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HrManagement\9_MATRIX KOMPETENCJI\"/>
    </mc:Choice>
  </mc:AlternateContent>
  <xr:revisionPtr revIDLastSave="0" documentId="8_{40586191-22AC-4BC2-8309-DD9E88C192E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ompetencje" sheetId="14" r:id="rId1"/>
    <sheet name="Matrix min. Kompetencji" sheetId="1" r:id="rId2"/>
    <sheet name="Dzial Matrix AND Diff" sheetId="11" r:id="rId3"/>
    <sheet name="Słownik matrycy komp." sheetId="19" r:id="rId4"/>
    <sheet name="Kompetencje wyj." sheetId="18" r:id="rId5"/>
    <sheet name="Tabelle1" sheetId="13" r:id="rId6"/>
    <sheet name="Pracownicy" sheetId="16" r:id="rId7"/>
  </sheets>
  <externalReferences>
    <externalReference r:id="rId8"/>
  </externalReferences>
  <definedNames>
    <definedName name="_xlnm._FilterDatabase" localSheetId="2" hidden="1">'Dzial Matrix AND Diff'!$A$8:$E$232</definedName>
    <definedName name="_xlnm._FilterDatabase" localSheetId="1" hidden="1">'Matrix min. Kompetencji'!#REF!</definedName>
    <definedName name="_xlnm._FilterDatabase" localSheetId="6" hidden="1">Pracownicy!$A$1:$D$117</definedName>
    <definedName name="_xlnm.Print_Area" localSheetId="2">'Dzial Matrix AND Diff'!$A$1:$GL$72</definedName>
    <definedName name="rng_Dzial" localSheetId="4">[1]!tab_Dzial[Dział
Abteilung]</definedName>
    <definedName name="rng_Dzial" localSheetId="3">[1]!tab_Dzial[Dział
Abteilung]</definedName>
    <definedName name="rng_Dzial">tab_Dzial[Dział
Abteilung]</definedName>
    <definedName name="rng_Name" localSheetId="4">#REF!</definedName>
    <definedName name="rng_Name" localSheetId="3">#REF!</definedName>
    <definedName name="rng_Name">#REF!</definedName>
    <definedName name="rng_Stanow" localSheetId="4">[1]!tab_Stanow[Stanowisko
Stelle]</definedName>
    <definedName name="rng_Stanow" localSheetId="3">[1]!tab_Stanow[Stanowisko
Stelle]</definedName>
    <definedName name="rng_Stanow">tab_Stanow[Stanowisko
Stelle]</definedName>
    <definedName name="rng_Vorges" localSheetId="4">[1]!Tabelle10[Odp.2
Verant.2]</definedName>
    <definedName name="rng_Vorges" localSheetId="3">[1]!Tabelle10[Odp.2
Verant.2]</definedName>
    <definedName name="rng_Vorges">Tabelle10[Odp.2
Verant.2]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132" i="11" l="1"/>
  <c r="EH132" i="11"/>
  <c r="EI132" i="11"/>
  <c r="EJ132" i="11"/>
  <c r="EK132" i="11"/>
  <c r="EL132" i="11"/>
  <c r="EM132" i="11"/>
  <c r="EN132" i="11"/>
  <c r="CJ190" i="11"/>
  <c r="EN148" i="11"/>
  <c r="EL148" i="11"/>
  <c r="EN146" i="11"/>
  <c r="EL146" i="11"/>
  <c r="EK146" i="11"/>
  <c r="EV148" i="11"/>
  <c r="ET148" i="11"/>
  <c r="ET146" i="11"/>
  <c r="EV146" i="11"/>
  <c r="FA148" i="11"/>
  <c r="EZ148" i="11"/>
  <c r="EY148" i="11"/>
  <c r="EX148" i="11"/>
  <c r="FA146" i="11"/>
  <c r="EZ146" i="11"/>
  <c r="EY146" i="11"/>
  <c r="EX146" i="11"/>
  <c r="FG148" i="11"/>
  <c r="FG146" i="11"/>
  <c r="GJ128" i="11"/>
  <c r="GI128" i="11"/>
  <c r="GF128" i="11"/>
  <c r="GE128" i="11"/>
  <c r="GD128" i="11"/>
  <c r="GB128" i="11"/>
  <c r="GA128" i="11"/>
  <c r="FZ128" i="11"/>
  <c r="FY128" i="11"/>
  <c r="FX128" i="11"/>
  <c r="FW128" i="11"/>
  <c r="FV128" i="11"/>
  <c r="FU128" i="11"/>
  <c r="GC134" i="11"/>
  <c r="GB134" i="11"/>
  <c r="GA134" i="11"/>
  <c r="FZ134" i="11"/>
  <c r="FY134" i="11"/>
  <c r="FX134" i="11"/>
  <c r="FW134" i="11"/>
  <c r="BZ100" i="11"/>
  <c r="BX100" i="11"/>
  <c r="CJ100" i="11"/>
  <c r="CQ100" i="11"/>
  <c r="CW100" i="11"/>
  <c r="DY100" i="11"/>
  <c r="ER100" i="11"/>
  <c r="FB100" i="11"/>
  <c r="FL100" i="11"/>
  <c r="FQ100" i="11"/>
  <c r="FS100" i="11"/>
  <c r="GD100" i="11"/>
  <c r="BZ94" i="11"/>
  <c r="BZ96" i="11"/>
  <c r="BX96" i="11"/>
  <c r="BX94" i="11"/>
  <c r="CJ96" i="11"/>
  <c r="CJ94" i="11"/>
  <c r="CQ96" i="11"/>
  <c r="CQ94" i="11"/>
  <c r="CW96" i="11"/>
  <c r="CW94" i="11"/>
  <c r="DY96" i="11"/>
  <c r="DY94" i="11"/>
  <c r="ER96" i="11"/>
  <c r="ER94" i="11"/>
  <c r="FB96" i="11"/>
  <c r="FB94" i="11"/>
  <c r="FL96" i="11"/>
  <c r="FL94" i="11"/>
  <c r="FS96" i="11"/>
  <c r="FQ96" i="11"/>
  <c r="FQ94" i="11"/>
  <c r="FS94" i="11"/>
  <c r="GD96" i="11"/>
  <c r="GD94" i="11"/>
  <c r="BS90" i="11"/>
  <c r="GL89" i="11"/>
  <c r="GL31" i="11"/>
  <c r="GL33" i="11"/>
  <c r="D76" i="11"/>
  <c r="D78" i="11"/>
  <c r="GK76" i="11"/>
  <c r="GJ76" i="11"/>
  <c r="GI76" i="11"/>
  <c r="GH76" i="11"/>
  <c r="GG76" i="11"/>
  <c r="GF76" i="11"/>
  <c r="GE76" i="11"/>
  <c r="GD76" i="11"/>
  <c r="GC76" i="11"/>
  <c r="GB76" i="11"/>
  <c r="GA76" i="11"/>
  <c r="FZ76" i="11"/>
  <c r="FY76" i="11"/>
  <c r="FX76" i="11"/>
  <c r="FW76" i="11"/>
  <c r="FV76" i="11"/>
  <c r="FU76" i="11"/>
  <c r="FT76" i="11"/>
  <c r="FS76" i="11"/>
  <c r="FR76" i="11"/>
  <c r="FQ76" i="11"/>
  <c r="FP76" i="11"/>
  <c r="FO76" i="11"/>
  <c r="FN76" i="11"/>
  <c r="FM76" i="11"/>
  <c r="FL76" i="11"/>
  <c r="FK76" i="11"/>
  <c r="FJ76" i="11"/>
  <c r="FI76" i="11"/>
  <c r="FH76" i="11"/>
  <c r="FG76" i="11"/>
  <c r="FF76" i="11"/>
  <c r="FE76" i="11"/>
  <c r="FD76" i="11"/>
  <c r="FC76" i="11"/>
  <c r="FB76" i="11"/>
  <c r="FA76" i="11"/>
  <c r="EZ76" i="11"/>
  <c r="EY76" i="11"/>
  <c r="EX76" i="11"/>
  <c r="EW76" i="11"/>
  <c r="EV76" i="11"/>
  <c r="EU76" i="11"/>
  <c r="ET76" i="11"/>
  <c r="ES76" i="11"/>
  <c r="ER76" i="11"/>
  <c r="EQ76" i="11"/>
  <c r="EP76" i="11"/>
  <c r="EO76" i="11"/>
  <c r="EN76" i="11"/>
  <c r="EM76" i="11"/>
  <c r="EL76" i="11"/>
  <c r="EK76" i="11"/>
  <c r="EJ76" i="11"/>
  <c r="EI76" i="11"/>
  <c r="EH76" i="11"/>
  <c r="EG76" i="11"/>
  <c r="EF76" i="11"/>
  <c r="EE76" i="11"/>
  <c r="ED76" i="11"/>
  <c r="EC76" i="11"/>
  <c r="EB76" i="11"/>
  <c r="EA76" i="11"/>
  <c r="DZ76" i="11"/>
  <c r="DY76" i="11"/>
  <c r="DX76" i="11"/>
  <c r="DW76" i="11"/>
  <c r="DV76" i="11"/>
  <c r="DU76" i="11"/>
  <c r="DT76" i="11"/>
  <c r="DS76" i="11"/>
  <c r="DR76" i="11"/>
  <c r="DQ76" i="11"/>
  <c r="DP76" i="11"/>
  <c r="DO76" i="11"/>
  <c r="DN76" i="11"/>
  <c r="DM76" i="11"/>
  <c r="DL76" i="11"/>
  <c r="DK76" i="11"/>
  <c r="DJ76" i="11"/>
  <c r="DI76" i="11"/>
  <c r="DH76" i="11"/>
  <c r="DG76" i="11"/>
  <c r="DF76" i="11"/>
  <c r="DE76" i="11"/>
  <c r="DD76" i="11"/>
  <c r="DC76" i="11"/>
  <c r="DB76" i="11"/>
  <c r="DA76" i="11"/>
  <c r="CZ76" i="11"/>
  <c r="CY76" i="11"/>
  <c r="CX76" i="11"/>
  <c r="CW76" i="11"/>
  <c r="CV76" i="11"/>
  <c r="CU76" i="11"/>
  <c r="CT76" i="11"/>
  <c r="CS76" i="11"/>
  <c r="CR76" i="11"/>
  <c r="CQ76" i="11"/>
  <c r="CP76" i="11"/>
  <c r="CO76" i="11"/>
  <c r="CN76" i="11"/>
  <c r="CM76" i="11"/>
  <c r="CL76" i="11"/>
  <c r="CK76" i="11"/>
  <c r="CJ76" i="11"/>
  <c r="CI76" i="11"/>
  <c r="CH76" i="11"/>
  <c r="CG76" i="11"/>
  <c r="CF76" i="11"/>
  <c r="CE76" i="11"/>
  <c r="CD76" i="11"/>
  <c r="CC76" i="11"/>
  <c r="CB76" i="11"/>
  <c r="CA76" i="11"/>
  <c r="BZ76" i="11"/>
  <c r="BY76" i="11"/>
  <c r="BX76" i="11"/>
  <c r="BW76" i="11"/>
  <c r="BV76" i="11"/>
  <c r="BU76" i="11"/>
  <c r="BT76" i="11"/>
  <c r="BS76" i="11"/>
  <c r="BR76" i="11"/>
  <c r="BQ76" i="11"/>
  <c r="BP76" i="11"/>
  <c r="BO76" i="11"/>
  <c r="BN76" i="11"/>
  <c r="BM76" i="11"/>
  <c r="BL76" i="11"/>
  <c r="BK76" i="11"/>
  <c r="BJ76" i="11"/>
  <c r="BI76" i="11"/>
  <c r="BH76" i="11"/>
  <c r="BG76" i="11"/>
  <c r="BF76" i="11"/>
  <c r="BE76" i="11"/>
  <c r="BD76" i="11"/>
  <c r="BC76" i="11"/>
  <c r="BB76" i="11"/>
  <c r="BA76" i="11"/>
  <c r="AZ76" i="11"/>
  <c r="AY76" i="11"/>
  <c r="AX76" i="11"/>
  <c r="AW76" i="11"/>
  <c r="AV76" i="11"/>
  <c r="AU76" i="11"/>
  <c r="AT76" i="11"/>
  <c r="AS76" i="11"/>
  <c r="AR76" i="11"/>
  <c r="AQ76" i="11"/>
  <c r="AP76" i="11"/>
  <c r="AO76" i="11"/>
  <c r="AN76" i="11"/>
  <c r="AM76" i="11"/>
  <c r="AL76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C76" i="11"/>
  <c r="B76" i="11"/>
  <c r="A76" i="11"/>
  <c r="GL75" i="11"/>
  <c r="GK124" i="11"/>
  <c r="GJ124" i="11"/>
  <c r="GI124" i="11"/>
  <c r="GE124" i="11"/>
  <c r="GD124" i="11"/>
  <c r="GC124" i="11"/>
  <c r="GB124" i="11"/>
  <c r="GA124" i="11"/>
  <c r="FZ124" i="11"/>
  <c r="FY124" i="11"/>
  <c r="FX124" i="11"/>
  <c r="FW124" i="11"/>
  <c r="FV124" i="11"/>
  <c r="FU124" i="11"/>
  <c r="FT124" i="11"/>
  <c r="FS124" i="11"/>
  <c r="FR124" i="11"/>
  <c r="FQ124" i="11"/>
  <c r="FP124" i="11"/>
  <c r="FO124" i="11"/>
  <c r="FN124" i="11"/>
  <c r="FM124" i="11"/>
  <c r="FL124" i="11"/>
  <c r="FK124" i="11"/>
  <c r="FJ124" i="11"/>
  <c r="FI124" i="11"/>
  <c r="FH124" i="11"/>
  <c r="FG124" i="11"/>
  <c r="FF124" i="11"/>
  <c r="FE124" i="11"/>
  <c r="FD124" i="11"/>
  <c r="FC124" i="11"/>
  <c r="FB124" i="11"/>
  <c r="FA124" i="11"/>
  <c r="EZ124" i="11"/>
  <c r="EY124" i="11"/>
  <c r="EX124" i="11"/>
  <c r="EW124" i="11"/>
  <c r="EV124" i="11"/>
  <c r="EU124" i="11"/>
  <c r="ET124" i="11"/>
  <c r="ES124" i="11"/>
  <c r="ER124" i="11"/>
  <c r="EQ124" i="11"/>
  <c r="EP124" i="11"/>
  <c r="EO124" i="11"/>
  <c r="EN124" i="11"/>
  <c r="EM124" i="11"/>
  <c r="EL124" i="11"/>
  <c r="EK124" i="11"/>
  <c r="EJ124" i="11"/>
  <c r="EI124" i="11"/>
  <c r="EH124" i="11"/>
  <c r="EG124" i="11"/>
  <c r="EE124" i="11"/>
  <c r="ED124" i="11"/>
  <c r="EC124" i="11"/>
  <c r="EB124" i="11"/>
  <c r="EA124" i="11"/>
  <c r="DZ124" i="11"/>
  <c r="DY124" i="11"/>
  <c r="DX124" i="11"/>
  <c r="DW124" i="11"/>
  <c r="DV124" i="11"/>
  <c r="DU124" i="11"/>
  <c r="DR124" i="11"/>
  <c r="DK124" i="11"/>
  <c r="DF124" i="11"/>
  <c r="DD124" i="11"/>
  <c r="DB124" i="11"/>
  <c r="CW124" i="11"/>
  <c r="CV124" i="11"/>
  <c r="CU124" i="11"/>
  <c r="CT124" i="11"/>
  <c r="CR124" i="11"/>
  <c r="CQ124" i="11"/>
  <c r="CP124" i="11"/>
  <c r="CO124" i="11"/>
  <c r="CN124" i="11"/>
  <c r="CM124" i="11"/>
  <c r="CL124" i="11"/>
  <c r="CK124" i="11"/>
  <c r="CJ124" i="11"/>
  <c r="CI124" i="11"/>
  <c r="CH124" i="11"/>
  <c r="CG124" i="11"/>
  <c r="CF124" i="11"/>
  <c r="CE124" i="11"/>
  <c r="CD124" i="11"/>
  <c r="CC124" i="11"/>
  <c r="CB124" i="11"/>
  <c r="CA124" i="11"/>
  <c r="BZ124" i="11"/>
  <c r="BY124" i="11"/>
  <c r="BX124" i="11"/>
  <c r="BW124" i="11"/>
  <c r="BV124" i="11"/>
  <c r="BU124" i="11"/>
  <c r="BT124" i="11"/>
  <c r="BS124" i="11"/>
  <c r="BR124" i="11"/>
  <c r="BQ124" i="11"/>
  <c r="BP124" i="11"/>
  <c r="BO124" i="11"/>
  <c r="BN124" i="11"/>
  <c r="BM124" i="11"/>
  <c r="BL124" i="11"/>
  <c r="BK124" i="11"/>
  <c r="BJ124" i="11"/>
  <c r="BI124" i="11"/>
  <c r="BH124" i="11"/>
  <c r="BG124" i="11"/>
  <c r="BF124" i="11"/>
  <c r="BE124" i="11"/>
  <c r="BD124" i="11"/>
  <c r="BC124" i="11"/>
  <c r="BB124" i="11"/>
  <c r="BA124" i="11"/>
  <c r="AZ124" i="11"/>
  <c r="AY124" i="11"/>
  <c r="AX124" i="11"/>
  <c r="AW124" i="11"/>
  <c r="AV124" i="11"/>
  <c r="AU124" i="11"/>
  <c r="AT124" i="11"/>
  <c r="AS124" i="11"/>
  <c r="AR124" i="11"/>
  <c r="AQ124" i="11"/>
  <c r="AP124" i="11"/>
  <c r="AO124" i="11"/>
  <c r="AN124" i="11"/>
  <c r="AM124" i="11"/>
  <c r="AL124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D124" i="11"/>
  <c r="GL123" i="11"/>
  <c r="D122" i="11"/>
  <c r="GK122" i="11"/>
  <c r="GJ122" i="11"/>
  <c r="GI122" i="11"/>
  <c r="GE122" i="11"/>
  <c r="GD122" i="11"/>
  <c r="GC122" i="11"/>
  <c r="GB122" i="11"/>
  <c r="GA122" i="11"/>
  <c r="FZ122" i="11"/>
  <c r="FY122" i="11"/>
  <c r="FX122" i="11"/>
  <c r="FW122" i="11"/>
  <c r="FV122" i="11"/>
  <c r="FU122" i="11"/>
  <c r="FT122" i="11"/>
  <c r="FS122" i="11"/>
  <c r="FR122" i="11"/>
  <c r="FQ122" i="11"/>
  <c r="FP122" i="11"/>
  <c r="FO122" i="11"/>
  <c r="FN122" i="11"/>
  <c r="FM122" i="11"/>
  <c r="FL122" i="11"/>
  <c r="FK122" i="11"/>
  <c r="FJ122" i="11"/>
  <c r="FI122" i="11"/>
  <c r="FH122" i="11"/>
  <c r="FG122" i="11"/>
  <c r="FF122" i="11"/>
  <c r="FE122" i="11"/>
  <c r="FD122" i="11"/>
  <c r="FC122" i="11"/>
  <c r="FB122" i="11"/>
  <c r="FA122" i="11"/>
  <c r="EZ122" i="11"/>
  <c r="EY122" i="11"/>
  <c r="EX122" i="11"/>
  <c r="EW122" i="11"/>
  <c r="EV122" i="11"/>
  <c r="EU122" i="11"/>
  <c r="ET122" i="11"/>
  <c r="ES122" i="11"/>
  <c r="ER122" i="11"/>
  <c r="EQ122" i="11"/>
  <c r="EP122" i="11"/>
  <c r="EO122" i="11"/>
  <c r="EN122" i="11"/>
  <c r="EM122" i="11"/>
  <c r="EL122" i="11"/>
  <c r="EK122" i="11"/>
  <c r="EJ122" i="11"/>
  <c r="EI122" i="11"/>
  <c r="EH122" i="11"/>
  <c r="EG122" i="11"/>
  <c r="EE122" i="11"/>
  <c r="ED122" i="11"/>
  <c r="EC122" i="11"/>
  <c r="EB122" i="11"/>
  <c r="EA122" i="11"/>
  <c r="DZ122" i="11"/>
  <c r="DY122" i="11"/>
  <c r="DX122" i="11"/>
  <c r="DW122" i="11"/>
  <c r="DV122" i="11"/>
  <c r="DU122" i="11"/>
  <c r="DR122" i="11"/>
  <c r="DK122" i="11"/>
  <c r="DF122" i="11"/>
  <c r="DD122" i="11"/>
  <c r="DB122" i="11"/>
  <c r="CW122" i="11"/>
  <c r="CV122" i="11"/>
  <c r="CU122" i="11"/>
  <c r="CT122" i="11"/>
  <c r="CR122" i="11"/>
  <c r="CQ122" i="11"/>
  <c r="CP122" i="11"/>
  <c r="CO122" i="11"/>
  <c r="CN122" i="11"/>
  <c r="CM122" i="11"/>
  <c r="CL122" i="11"/>
  <c r="CK122" i="11"/>
  <c r="CJ122" i="11"/>
  <c r="CI122" i="11"/>
  <c r="CH122" i="11"/>
  <c r="CG122" i="11"/>
  <c r="CF122" i="11"/>
  <c r="CE122" i="11"/>
  <c r="CD122" i="11"/>
  <c r="CC122" i="11"/>
  <c r="CB122" i="11"/>
  <c r="CA122" i="11"/>
  <c r="BZ122" i="11"/>
  <c r="BY122" i="11"/>
  <c r="BX122" i="11"/>
  <c r="BW122" i="11"/>
  <c r="BV122" i="11"/>
  <c r="BU122" i="11"/>
  <c r="BT122" i="11"/>
  <c r="BS122" i="11"/>
  <c r="BR122" i="11"/>
  <c r="BQ122" i="11"/>
  <c r="BP122" i="11"/>
  <c r="BO122" i="11"/>
  <c r="BN122" i="11"/>
  <c r="BM122" i="11"/>
  <c r="BL122" i="11"/>
  <c r="BK122" i="11"/>
  <c r="BJ122" i="11"/>
  <c r="BI122" i="11"/>
  <c r="BH122" i="11"/>
  <c r="BG122" i="11"/>
  <c r="BF122" i="11"/>
  <c r="BE122" i="11"/>
  <c r="BD122" i="11"/>
  <c r="BC122" i="11"/>
  <c r="BB122" i="11"/>
  <c r="BA122" i="11"/>
  <c r="AZ122" i="11"/>
  <c r="AY122" i="11"/>
  <c r="AX122" i="11"/>
  <c r="AW122" i="11"/>
  <c r="AV122" i="11"/>
  <c r="AU122" i="11"/>
  <c r="AT122" i="11"/>
  <c r="AS122" i="11"/>
  <c r="AR122" i="11"/>
  <c r="AQ122" i="11"/>
  <c r="AP122" i="11"/>
  <c r="AO122" i="11"/>
  <c r="AN122" i="11"/>
  <c r="AM122" i="11"/>
  <c r="AL122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GL121" i="11"/>
  <c r="C92" i="11"/>
  <c r="A98" i="11"/>
  <c r="GL179" i="11"/>
  <c r="GK178" i="11"/>
  <c r="GJ178" i="11"/>
  <c r="GI178" i="11"/>
  <c r="GH178" i="11"/>
  <c r="GG178" i="11"/>
  <c r="GF178" i="11"/>
  <c r="GE178" i="11"/>
  <c r="GD178" i="11"/>
  <c r="GC178" i="11"/>
  <c r="GB178" i="11"/>
  <c r="GA178" i="11"/>
  <c r="FZ178" i="11"/>
  <c r="FY178" i="11"/>
  <c r="FX178" i="11"/>
  <c r="FW178" i="11"/>
  <c r="FV178" i="11"/>
  <c r="FU178" i="11"/>
  <c r="FT178" i="11"/>
  <c r="FS178" i="11"/>
  <c r="FR178" i="11"/>
  <c r="FQ178" i="11"/>
  <c r="FP178" i="11"/>
  <c r="FO178" i="11"/>
  <c r="FN178" i="11"/>
  <c r="FM178" i="11"/>
  <c r="FL178" i="11"/>
  <c r="FK178" i="11"/>
  <c r="FJ178" i="11"/>
  <c r="FI178" i="11"/>
  <c r="FH178" i="11"/>
  <c r="FG178" i="11"/>
  <c r="FF178" i="11"/>
  <c r="FE178" i="11"/>
  <c r="FD178" i="11"/>
  <c r="FC178" i="11"/>
  <c r="FB178" i="11"/>
  <c r="FA178" i="11"/>
  <c r="EZ178" i="11"/>
  <c r="EY178" i="11"/>
  <c r="EX178" i="11"/>
  <c r="EW178" i="11"/>
  <c r="EV178" i="11"/>
  <c r="EU178" i="11"/>
  <c r="ET178" i="11"/>
  <c r="ES178" i="11"/>
  <c r="ER178" i="11"/>
  <c r="EQ178" i="11"/>
  <c r="EP178" i="11"/>
  <c r="EO178" i="11"/>
  <c r="EN178" i="11"/>
  <c r="EM178" i="11"/>
  <c r="EL178" i="11"/>
  <c r="EK178" i="11"/>
  <c r="EJ178" i="11"/>
  <c r="EI178" i="11"/>
  <c r="EH178" i="11"/>
  <c r="EG178" i="11"/>
  <c r="EF178" i="11"/>
  <c r="EE178" i="11"/>
  <c r="ED178" i="11"/>
  <c r="EC178" i="11"/>
  <c r="EB178" i="11"/>
  <c r="EA178" i="11"/>
  <c r="DZ178" i="11"/>
  <c r="DY178" i="11"/>
  <c r="DX178" i="11"/>
  <c r="DW178" i="11"/>
  <c r="DV178" i="11"/>
  <c r="DU178" i="11"/>
  <c r="DT178" i="11"/>
  <c r="DS178" i="11"/>
  <c r="DR178" i="11"/>
  <c r="DQ178" i="11"/>
  <c r="DP178" i="11"/>
  <c r="DO178" i="11"/>
  <c r="DN178" i="11"/>
  <c r="DM178" i="11"/>
  <c r="DL178" i="11"/>
  <c r="DK178" i="11"/>
  <c r="DJ178" i="11"/>
  <c r="DI178" i="11"/>
  <c r="DH178" i="11"/>
  <c r="DG178" i="11"/>
  <c r="DF178" i="11"/>
  <c r="DE178" i="11"/>
  <c r="DD178" i="11"/>
  <c r="DC178" i="11"/>
  <c r="DB178" i="11"/>
  <c r="DA178" i="11"/>
  <c r="CZ178" i="11"/>
  <c r="CY178" i="11"/>
  <c r="CX178" i="11"/>
  <c r="CW178" i="11"/>
  <c r="CV178" i="11"/>
  <c r="CU178" i="11"/>
  <c r="CT178" i="11"/>
  <c r="CS178" i="11"/>
  <c r="CR178" i="11"/>
  <c r="CQ178" i="11"/>
  <c r="CP178" i="11"/>
  <c r="CO178" i="11"/>
  <c r="CN178" i="11"/>
  <c r="CM178" i="11"/>
  <c r="CL178" i="11"/>
  <c r="CK178" i="11"/>
  <c r="CJ178" i="11"/>
  <c r="CI178" i="11"/>
  <c r="CH178" i="11"/>
  <c r="CG178" i="11"/>
  <c r="CF178" i="11"/>
  <c r="CE178" i="11"/>
  <c r="CD178" i="11"/>
  <c r="CC178" i="11"/>
  <c r="CB178" i="11"/>
  <c r="CA178" i="11"/>
  <c r="BZ178" i="11"/>
  <c r="BY178" i="11"/>
  <c r="BX178" i="11"/>
  <c r="BW178" i="11"/>
  <c r="BV178" i="11"/>
  <c r="BU178" i="11"/>
  <c r="BT178" i="11"/>
  <c r="BS178" i="11"/>
  <c r="BR178" i="11"/>
  <c r="BQ178" i="11"/>
  <c r="BP178" i="11"/>
  <c r="BO178" i="11"/>
  <c r="BN178" i="11"/>
  <c r="BM178" i="11"/>
  <c r="BL178" i="11"/>
  <c r="BK178" i="11"/>
  <c r="BJ178" i="11"/>
  <c r="BI178" i="11"/>
  <c r="BH178" i="11"/>
  <c r="BG178" i="11"/>
  <c r="BF178" i="11"/>
  <c r="BE178" i="11"/>
  <c r="BD178" i="11"/>
  <c r="BC178" i="11"/>
  <c r="BB178" i="11"/>
  <c r="BA178" i="11"/>
  <c r="AZ178" i="11"/>
  <c r="AY178" i="11"/>
  <c r="AX178" i="11"/>
  <c r="AW178" i="11"/>
  <c r="AV178" i="11"/>
  <c r="AU178" i="11"/>
  <c r="AT178" i="11"/>
  <c r="AS178" i="11"/>
  <c r="AR178" i="11"/>
  <c r="AQ178" i="11"/>
  <c r="AP178" i="11"/>
  <c r="AO178" i="11"/>
  <c r="AN178" i="11"/>
  <c r="AM178" i="11"/>
  <c r="AL178" i="11"/>
  <c r="AK178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E178" i="11"/>
  <c r="D178" i="11"/>
  <c r="C178" i="11"/>
  <c r="GL177" i="11"/>
  <c r="C134" i="11"/>
  <c r="C170" i="11"/>
  <c r="C168" i="11"/>
  <c r="C130" i="11"/>
  <c r="CL40" i="11"/>
  <c r="CR40" i="11"/>
  <c r="GK40" i="11"/>
  <c r="GJ40" i="11"/>
  <c r="GI40" i="11"/>
  <c r="GH40" i="11"/>
  <c r="GG40" i="11"/>
  <c r="GF40" i="11"/>
  <c r="GE40" i="11"/>
  <c r="GD40" i="11"/>
  <c r="GC40" i="11"/>
  <c r="GB40" i="11"/>
  <c r="GA40" i="11"/>
  <c r="FZ40" i="11"/>
  <c r="FY40" i="11"/>
  <c r="FX40" i="11"/>
  <c r="FW40" i="11"/>
  <c r="FV40" i="11"/>
  <c r="FU40" i="11"/>
  <c r="FT40" i="11"/>
  <c r="FS40" i="11"/>
  <c r="FR40" i="11"/>
  <c r="FQ40" i="11"/>
  <c r="FP40" i="11"/>
  <c r="FO40" i="11"/>
  <c r="FN40" i="11"/>
  <c r="FM40" i="11"/>
  <c r="FL40" i="11"/>
  <c r="FK40" i="11"/>
  <c r="FJ40" i="11"/>
  <c r="FI40" i="11"/>
  <c r="FH40" i="11"/>
  <c r="FG40" i="11"/>
  <c r="FF40" i="11"/>
  <c r="FE40" i="11"/>
  <c r="FD40" i="11"/>
  <c r="FC40" i="11"/>
  <c r="FB40" i="11"/>
  <c r="FA40" i="11"/>
  <c r="EZ40" i="11"/>
  <c r="EY40" i="11"/>
  <c r="EX40" i="11"/>
  <c r="EW40" i="11"/>
  <c r="EV40" i="11"/>
  <c r="EU40" i="11"/>
  <c r="ET40" i="11"/>
  <c r="ES40" i="11"/>
  <c r="ER40" i="11"/>
  <c r="EQ40" i="11"/>
  <c r="EP40" i="11"/>
  <c r="EO40" i="11"/>
  <c r="EN40" i="11"/>
  <c r="EM40" i="11"/>
  <c r="EL40" i="11"/>
  <c r="EK40" i="11"/>
  <c r="EJ40" i="11"/>
  <c r="EI40" i="11"/>
  <c r="EH40" i="11"/>
  <c r="EG40" i="11"/>
  <c r="EF40" i="11"/>
  <c r="EE40" i="11"/>
  <c r="ED40" i="11"/>
  <c r="EC40" i="11"/>
  <c r="EB40" i="11"/>
  <c r="EA40" i="11"/>
  <c r="DZ40" i="11"/>
  <c r="DY40" i="11"/>
  <c r="DX40" i="11"/>
  <c r="DW40" i="11"/>
  <c r="DV40" i="11"/>
  <c r="DU40" i="11"/>
  <c r="DT40" i="11"/>
  <c r="DS40" i="11"/>
  <c r="DR40" i="11"/>
  <c r="DQ40" i="11"/>
  <c r="DP40" i="11"/>
  <c r="DO40" i="11"/>
  <c r="DN40" i="11"/>
  <c r="DM40" i="11"/>
  <c r="DL40" i="11"/>
  <c r="DK40" i="11"/>
  <c r="DJ40" i="11"/>
  <c r="DI40" i="11"/>
  <c r="DH40" i="11"/>
  <c r="DG40" i="11"/>
  <c r="DF40" i="11"/>
  <c r="DE40" i="11"/>
  <c r="DD40" i="11"/>
  <c r="DC40" i="11"/>
  <c r="DB40" i="11"/>
  <c r="DA40" i="11"/>
  <c r="CZ40" i="11"/>
  <c r="CY40" i="11"/>
  <c r="CX40" i="11"/>
  <c r="CW40" i="11"/>
  <c r="CV40" i="11"/>
  <c r="CU40" i="11"/>
  <c r="CT40" i="11"/>
  <c r="CS40" i="11"/>
  <c r="CQ40" i="11"/>
  <c r="CP40" i="11"/>
  <c r="CO40" i="11"/>
  <c r="CN40" i="11"/>
  <c r="CM40" i="11"/>
  <c r="CK40" i="11"/>
  <c r="CJ40" i="11"/>
  <c r="CI40" i="11"/>
  <c r="CH40" i="11"/>
  <c r="CG40" i="11"/>
  <c r="CF40" i="11"/>
  <c r="CE40" i="11"/>
  <c r="CD40" i="11"/>
  <c r="CC40" i="11"/>
  <c r="CB40" i="11"/>
  <c r="CA40" i="11"/>
  <c r="BZ40" i="11"/>
  <c r="BY40" i="11"/>
  <c r="BX40" i="11"/>
  <c r="BW40" i="11"/>
  <c r="BV40" i="11"/>
  <c r="BU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E40" i="11"/>
  <c r="D40" i="11"/>
  <c r="B40" i="11"/>
  <c r="A40" i="11"/>
  <c r="GL39" i="11"/>
  <c r="GK206" i="11"/>
  <c r="GJ206" i="11"/>
  <c r="GI206" i="11"/>
  <c r="GH206" i="11"/>
  <c r="GG206" i="11"/>
  <c r="GF206" i="11"/>
  <c r="GE206" i="11"/>
  <c r="GD206" i="11"/>
  <c r="GC206" i="11"/>
  <c r="GB206" i="11"/>
  <c r="GA206" i="11"/>
  <c r="FZ206" i="11"/>
  <c r="FY206" i="11"/>
  <c r="FX206" i="11"/>
  <c r="FW206" i="11"/>
  <c r="FV206" i="11"/>
  <c r="FU206" i="11"/>
  <c r="FT206" i="11"/>
  <c r="FS206" i="11"/>
  <c r="FR206" i="11"/>
  <c r="FQ206" i="11"/>
  <c r="FP206" i="11"/>
  <c r="FO206" i="11"/>
  <c r="FN206" i="11"/>
  <c r="FM206" i="11"/>
  <c r="FL206" i="11"/>
  <c r="FK206" i="11"/>
  <c r="FJ206" i="11"/>
  <c r="FI206" i="11"/>
  <c r="FH206" i="11"/>
  <c r="FG206" i="11"/>
  <c r="FF206" i="11"/>
  <c r="FE206" i="11"/>
  <c r="FD206" i="11"/>
  <c r="FC206" i="11"/>
  <c r="FB206" i="11"/>
  <c r="FA206" i="11"/>
  <c r="EZ206" i="11"/>
  <c r="EY206" i="11"/>
  <c r="EX206" i="11"/>
  <c r="EW206" i="11"/>
  <c r="EV206" i="11"/>
  <c r="EU206" i="11"/>
  <c r="ET206" i="11"/>
  <c r="ES206" i="11"/>
  <c r="ER206" i="11"/>
  <c r="EQ206" i="11"/>
  <c r="EP206" i="11"/>
  <c r="EO206" i="11"/>
  <c r="EN206" i="11"/>
  <c r="EM206" i="11"/>
  <c r="EL206" i="11"/>
  <c r="EK206" i="11"/>
  <c r="EJ206" i="11"/>
  <c r="EI206" i="11"/>
  <c r="EH206" i="11"/>
  <c r="EG206" i="11"/>
  <c r="EF206" i="11"/>
  <c r="EE206" i="11"/>
  <c r="ED206" i="11"/>
  <c r="EC206" i="11"/>
  <c r="EB206" i="11"/>
  <c r="EA206" i="11"/>
  <c r="DZ206" i="11"/>
  <c r="DY206" i="11"/>
  <c r="DX206" i="11"/>
  <c r="DW206" i="11"/>
  <c r="DV206" i="11"/>
  <c r="DU206" i="11"/>
  <c r="DT206" i="11"/>
  <c r="DS206" i="11"/>
  <c r="DR206" i="11"/>
  <c r="DQ206" i="11"/>
  <c r="DP206" i="11"/>
  <c r="DO206" i="11"/>
  <c r="DN206" i="11"/>
  <c r="DM206" i="11"/>
  <c r="DL206" i="11"/>
  <c r="DK206" i="11"/>
  <c r="DJ206" i="11"/>
  <c r="DI206" i="11"/>
  <c r="DH206" i="11"/>
  <c r="DG206" i="11"/>
  <c r="DF206" i="11"/>
  <c r="DE206" i="11"/>
  <c r="DD206" i="11"/>
  <c r="DC206" i="11"/>
  <c r="DB206" i="11"/>
  <c r="DA206" i="11"/>
  <c r="CZ206" i="11"/>
  <c r="CY206" i="11"/>
  <c r="CX206" i="11"/>
  <c r="CW206" i="11"/>
  <c r="CV206" i="11"/>
  <c r="CU206" i="11"/>
  <c r="CT206" i="11"/>
  <c r="CS206" i="11"/>
  <c r="CR206" i="11"/>
  <c r="CQ206" i="11"/>
  <c r="CP206" i="11"/>
  <c r="CO206" i="11"/>
  <c r="CN206" i="11"/>
  <c r="CM206" i="11"/>
  <c r="CL206" i="11"/>
  <c r="CK206" i="11"/>
  <c r="CJ206" i="11"/>
  <c r="CI206" i="11"/>
  <c r="CH206" i="11"/>
  <c r="CG206" i="11"/>
  <c r="CF206" i="11"/>
  <c r="CE206" i="11"/>
  <c r="CD206" i="11"/>
  <c r="CC206" i="11"/>
  <c r="CB206" i="11"/>
  <c r="CA206" i="11"/>
  <c r="BZ206" i="11"/>
  <c r="BY206" i="11"/>
  <c r="BX206" i="11"/>
  <c r="BW206" i="11"/>
  <c r="BV206" i="11"/>
  <c r="BU206" i="11"/>
  <c r="BT206" i="11"/>
  <c r="BS206" i="11"/>
  <c r="BR206" i="11"/>
  <c r="BQ206" i="11"/>
  <c r="BP206" i="11"/>
  <c r="BO206" i="11"/>
  <c r="BN206" i="11"/>
  <c r="BM206" i="11"/>
  <c r="BL206" i="11"/>
  <c r="BK206" i="11"/>
  <c r="BJ206" i="11"/>
  <c r="BI206" i="11"/>
  <c r="BH206" i="11"/>
  <c r="BG206" i="11"/>
  <c r="BF206" i="11"/>
  <c r="BE206" i="11"/>
  <c r="BD206" i="11"/>
  <c r="BC206" i="11"/>
  <c r="BB206" i="11"/>
  <c r="BA206" i="11"/>
  <c r="AZ206" i="11"/>
  <c r="AY206" i="11"/>
  <c r="AX206" i="11"/>
  <c r="AW206" i="11"/>
  <c r="AV206" i="11"/>
  <c r="AU206" i="11"/>
  <c r="AT206" i="11"/>
  <c r="AS206" i="11"/>
  <c r="AR206" i="11"/>
  <c r="AQ206" i="11"/>
  <c r="AP206" i="11"/>
  <c r="AO206" i="11"/>
  <c r="AN206" i="11"/>
  <c r="AM206" i="11"/>
  <c r="AL206" i="11"/>
  <c r="AK206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E206" i="11"/>
  <c r="B206" i="11"/>
  <c r="A206" i="11"/>
  <c r="GL205" i="11"/>
  <c r="GK60" i="11"/>
  <c r="GJ60" i="11"/>
  <c r="GI60" i="11"/>
  <c r="GH60" i="11"/>
  <c r="GG60" i="11"/>
  <c r="GF60" i="11"/>
  <c r="GE60" i="11"/>
  <c r="GD60" i="11"/>
  <c r="GC60" i="11"/>
  <c r="GB60" i="11"/>
  <c r="GA60" i="11"/>
  <c r="FZ60" i="11"/>
  <c r="FY60" i="11"/>
  <c r="FX60" i="11"/>
  <c r="FW60" i="11"/>
  <c r="FV60" i="11"/>
  <c r="FU60" i="11"/>
  <c r="FT60" i="11"/>
  <c r="FS60" i="11"/>
  <c r="FR60" i="11"/>
  <c r="FQ60" i="11"/>
  <c r="FP60" i="11"/>
  <c r="FO60" i="11"/>
  <c r="FN60" i="11"/>
  <c r="FM60" i="11"/>
  <c r="FL60" i="11"/>
  <c r="FK60" i="11"/>
  <c r="FJ60" i="11"/>
  <c r="FI60" i="11"/>
  <c r="FH60" i="11"/>
  <c r="FG60" i="11"/>
  <c r="FF60" i="11"/>
  <c r="FE60" i="11"/>
  <c r="FD60" i="11"/>
  <c r="FC60" i="11"/>
  <c r="FB60" i="11"/>
  <c r="FA60" i="11"/>
  <c r="EZ60" i="11"/>
  <c r="EY60" i="11"/>
  <c r="EX60" i="11"/>
  <c r="EW60" i="11"/>
  <c r="EV60" i="11"/>
  <c r="EU60" i="11"/>
  <c r="ET60" i="11"/>
  <c r="ES60" i="11"/>
  <c r="ER60" i="11"/>
  <c r="EQ60" i="11"/>
  <c r="EP60" i="11"/>
  <c r="EO60" i="11"/>
  <c r="EN60" i="11"/>
  <c r="EM60" i="11"/>
  <c r="EL60" i="11"/>
  <c r="EK60" i="11"/>
  <c r="EJ60" i="11"/>
  <c r="EI60" i="11"/>
  <c r="EH60" i="11"/>
  <c r="EG60" i="11"/>
  <c r="EF60" i="11"/>
  <c r="EE60" i="11"/>
  <c r="ED60" i="11"/>
  <c r="EC60" i="11"/>
  <c r="EB60" i="11"/>
  <c r="EA60" i="11"/>
  <c r="DZ60" i="11"/>
  <c r="DY60" i="11"/>
  <c r="DX60" i="11"/>
  <c r="DW60" i="11"/>
  <c r="DV60" i="11"/>
  <c r="DU60" i="11"/>
  <c r="DT60" i="11"/>
  <c r="DS60" i="11"/>
  <c r="DR60" i="11"/>
  <c r="DQ60" i="11"/>
  <c r="DP60" i="11"/>
  <c r="DO60" i="11"/>
  <c r="DN60" i="11"/>
  <c r="DM60" i="11"/>
  <c r="DL60" i="11"/>
  <c r="DK60" i="11"/>
  <c r="DJ60" i="11"/>
  <c r="DI60" i="11"/>
  <c r="DH60" i="11"/>
  <c r="DG60" i="11"/>
  <c r="DF60" i="11"/>
  <c r="DE60" i="11"/>
  <c r="DD60" i="11"/>
  <c r="DC60" i="11"/>
  <c r="DB60" i="11"/>
  <c r="DA60" i="11"/>
  <c r="CZ60" i="11"/>
  <c r="CY60" i="11"/>
  <c r="CX60" i="11"/>
  <c r="CW60" i="11"/>
  <c r="CV60" i="11"/>
  <c r="CU60" i="11"/>
  <c r="CT60" i="11"/>
  <c r="CS60" i="11"/>
  <c r="CR60" i="11"/>
  <c r="CQ60" i="11"/>
  <c r="CP60" i="11"/>
  <c r="CO60" i="11"/>
  <c r="CN60" i="11"/>
  <c r="CM60" i="11"/>
  <c r="CL60" i="11"/>
  <c r="CK60" i="11"/>
  <c r="CJ60" i="11"/>
  <c r="CI60" i="11"/>
  <c r="CH60" i="11"/>
  <c r="CG60" i="11"/>
  <c r="CF60" i="11"/>
  <c r="CE60" i="11"/>
  <c r="CD60" i="11"/>
  <c r="CC60" i="11"/>
  <c r="CB60" i="11"/>
  <c r="CA60" i="11"/>
  <c r="BZ60" i="11"/>
  <c r="BY60" i="11"/>
  <c r="BX60" i="11"/>
  <c r="BW60" i="11"/>
  <c r="BV60" i="11"/>
  <c r="BU60" i="11"/>
  <c r="BT60" i="11"/>
  <c r="BS60" i="11"/>
  <c r="BR60" i="11"/>
  <c r="BQ60" i="11"/>
  <c r="BP60" i="11"/>
  <c r="BO60" i="11"/>
  <c r="BN60" i="11"/>
  <c r="BM60" i="11"/>
  <c r="BL60" i="11"/>
  <c r="BK60" i="11"/>
  <c r="BJ60" i="11"/>
  <c r="BI60" i="11"/>
  <c r="BH60" i="11"/>
  <c r="BG60" i="11"/>
  <c r="BF60" i="11"/>
  <c r="BE60" i="11"/>
  <c r="BD60" i="11"/>
  <c r="BC60" i="11"/>
  <c r="BB60" i="11"/>
  <c r="BA60" i="11"/>
  <c r="AZ60" i="11"/>
  <c r="AY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E60" i="11"/>
  <c r="D60" i="11"/>
  <c r="B60" i="11"/>
  <c r="A60" i="11"/>
  <c r="GL59" i="11"/>
  <c r="C100" i="11"/>
  <c r="C96" i="11"/>
  <c r="GJ214" i="11"/>
  <c r="GI214" i="11"/>
  <c r="GH214" i="11"/>
  <c r="GG214" i="11"/>
  <c r="GF214" i="11"/>
  <c r="GE214" i="11"/>
  <c r="GD214" i="11"/>
  <c r="GC214" i="11"/>
  <c r="GB214" i="11"/>
  <c r="GA214" i="11"/>
  <c r="FZ214" i="11"/>
  <c r="FY214" i="11"/>
  <c r="FX214" i="11"/>
  <c r="FW214" i="11"/>
  <c r="FV214" i="11"/>
  <c r="FU214" i="11"/>
  <c r="FT214" i="11"/>
  <c r="FS214" i="11"/>
  <c r="FR214" i="11"/>
  <c r="FQ214" i="11"/>
  <c r="FP214" i="11"/>
  <c r="FO214" i="11"/>
  <c r="FN214" i="11"/>
  <c r="FM214" i="11"/>
  <c r="FL214" i="11"/>
  <c r="FK214" i="11"/>
  <c r="FJ214" i="11"/>
  <c r="FI214" i="11"/>
  <c r="FH214" i="11"/>
  <c r="FG214" i="11"/>
  <c r="FF214" i="11"/>
  <c r="FE214" i="11"/>
  <c r="FD214" i="11"/>
  <c r="FC214" i="11"/>
  <c r="FB214" i="11"/>
  <c r="FA214" i="11"/>
  <c r="EZ214" i="11"/>
  <c r="EY214" i="11"/>
  <c r="EX214" i="11"/>
  <c r="EW214" i="11"/>
  <c r="EV214" i="11"/>
  <c r="EU214" i="11"/>
  <c r="ET214" i="11"/>
  <c r="ES214" i="11"/>
  <c r="ER214" i="11"/>
  <c r="EQ214" i="11"/>
  <c r="EP214" i="11"/>
  <c r="EO214" i="11"/>
  <c r="EN214" i="11"/>
  <c r="EM214" i="11"/>
  <c r="EL214" i="11"/>
  <c r="EK214" i="11"/>
  <c r="EJ214" i="11"/>
  <c r="EI214" i="11"/>
  <c r="EH214" i="11"/>
  <c r="EG214" i="11"/>
  <c r="EF214" i="11"/>
  <c r="EE214" i="11"/>
  <c r="ED214" i="11"/>
  <c r="EC214" i="11"/>
  <c r="EB214" i="11"/>
  <c r="EA214" i="11"/>
  <c r="DZ214" i="11"/>
  <c r="DY214" i="11"/>
  <c r="DX214" i="11"/>
  <c r="DW214" i="11"/>
  <c r="DV214" i="11"/>
  <c r="DU214" i="11"/>
  <c r="DT214" i="11"/>
  <c r="DS214" i="11"/>
  <c r="DR214" i="11"/>
  <c r="DQ214" i="11"/>
  <c r="DP214" i="11"/>
  <c r="DO214" i="11"/>
  <c r="DN214" i="11"/>
  <c r="DM214" i="11"/>
  <c r="DL214" i="11"/>
  <c r="DK214" i="11"/>
  <c r="DJ214" i="11"/>
  <c r="DI214" i="11"/>
  <c r="DH214" i="11"/>
  <c r="DG214" i="11"/>
  <c r="DF214" i="11"/>
  <c r="DE214" i="11"/>
  <c r="DD214" i="11"/>
  <c r="DC214" i="11"/>
  <c r="DB214" i="11"/>
  <c r="DA214" i="11"/>
  <c r="CZ214" i="11"/>
  <c r="CY214" i="11"/>
  <c r="CX214" i="11"/>
  <c r="CW214" i="11"/>
  <c r="CV214" i="11"/>
  <c r="CU214" i="11"/>
  <c r="CT214" i="11"/>
  <c r="CS214" i="11"/>
  <c r="CR214" i="11"/>
  <c r="CQ214" i="11"/>
  <c r="CP214" i="11"/>
  <c r="CO214" i="11"/>
  <c r="CN214" i="11"/>
  <c r="CM214" i="11"/>
  <c r="CL214" i="11"/>
  <c r="CK214" i="11"/>
  <c r="CJ214" i="11"/>
  <c r="CI214" i="11"/>
  <c r="CH214" i="11"/>
  <c r="CG214" i="11"/>
  <c r="CF214" i="11"/>
  <c r="CE214" i="11"/>
  <c r="CD214" i="11"/>
  <c r="CC214" i="11"/>
  <c r="CB214" i="11"/>
  <c r="CA214" i="11"/>
  <c r="BZ214" i="11"/>
  <c r="BY214" i="11"/>
  <c r="BX214" i="11"/>
  <c r="BW214" i="11"/>
  <c r="BV214" i="11"/>
  <c r="BU214" i="11"/>
  <c r="BT214" i="11"/>
  <c r="BS214" i="11"/>
  <c r="BR214" i="11"/>
  <c r="BQ214" i="11"/>
  <c r="BP214" i="11"/>
  <c r="BO214" i="11"/>
  <c r="BN214" i="11"/>
  <c r="BM214" i="11"/>
  <c r="BL214" i="11"/>
  <c r="BK214" i="11"/>
  <c r="BJ214" i="11"/>
  <c r="BI214" i="11"/>
  <c r="BH214" i="11"/>
  <c r="BG214" i="11"/>
  <c r="BF214" i="11"/>
  <c r="BE214" i="11"/>
  <c r="BD214" i="11"/>
  <c r="BC214" i="11"/>
  <c r="BB214" i="11"/>
  <c r="BA214" i="11"/>
  <c r="AZ214" i="11"/>
  <c r="AY214" i="11"/>
  <c r="AX214" i="11"/>
  <c r="AW214" i="11"/>
  <c r="AV214" i="11"/>
  <c r="AU214" i="11"/>
  <c r="AT214" i="11"/>
  <c r="AS214" i="11"/>
  <c r="AR214" i="11"/>
  <c r="AQ214" i="11"/>
  <c r="AP214" i="11"/>
  <c r="AO214" i="11"/>
  <c r="AN214" i="11"/>
  <c r="AM214" i="11"/>
  <c r="AL214" i="11"/>
  <c r="AK214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GL213" i="11"/>
  <c r="I212" i="11"/>
  <c r="GJ212" i="11"/>
  <c r="GI212" i="11"/>
  <c r="GH212" i="11"/>
  <c r="GG212" i="11"/>
  <c r="GF212" i="11"/>
  <c r="GE212" i="11"/>
  <c r="GD212" i="11"/>
  <c r="GC212" i="11"/>
  <c r="GB212" i="11"/>
  <c r="GA212" i="11"/>
  <c r="FZ212" i="11"/>
  <c r="FY212" i="11"/>
  <c r="FX212" i="11"/>
  <c r="FW212" i="11"/>
  <c r="FV212" i="11"/>
  <c r="FU212" i="11"/>
  <c r="FT212" i="11"/>
  <c r="FS212" i="11"/>
  <c r="FR212" i="11"/>
  <c r="FQ212" i="11"/>
  <c r="FP212" i="11"/>
  <c r="FO212" i="11"/>
  <c r="FN212" i="11"/>
  <c r="FM212" i="11"/>
  <c r="FL212" i="11"/>
  <c r="FK212" i="11"/>
  <c r="FJ212" i="11"/>
  <c r="FI212" i="11"/>
  <c r="FH212" i="11"/>
  <c r="FG212" i="11"/>
  <c r="FF212" i="11"/>
  <c r="FE212" i="11"/>
  <c r="FD212" i="11"/>
  <c r="FC212" i="11"/>
  <c r="FB212" i="11"/>
  <c r="FA212" i="11"/>
  <c r="EZ212" i="11"/>
  <c r="EY212" i="11"/>
  <c r="EX212" i="11"/>
  <c r="EW212" i="11"/>
  <c r="EV212" i="11"/>
  <c r="EU212" i="11"/>
  <c r="ET212" i="11"/>
  <c r="ES212" i="11"/>
  <c r="ER212" i="11"/>
  <c r="EQ212" i="11"/>
  <c r="EP212" i="11"/>
  <c r="EO212" i="11"/>
  <c r="EN212" i="11"/>
  <c r="EM212" i="11"/>
  <c r="EL212" i="11"/>
  <c r="EK212" i="11"/>
  <c r="EJ212" i="11"/>
  <c r="EI212" i="11"/>
  <c r="EH212" i="11"/>
  <c r="EG212" i="11"/>
  <c r="EF212" i="11"/>
  <c r="EE212" i="11"/>
  <c r="ED212" i="11"/>
  <c r="EC212" i="11"/>
  <c r="EB212" i="11"/>
  <c r="EA212" i="11"/>
  <c r="DZ212" i="11"/>
  <c r="DY212" i="11"/>
  <c r="DX212" i="11"/>
  <c r="DW212" i="11"/>
  <c r="DV212" i="11"/>
  <c r="DU212" i="11"/>
  <c r="DT212" i="11"/>
  <c r="DS212" i="11"/>
  <c r="DR212" i="11"/>
  <c r="DQ212" i="11"/>
  <c r="DP212" i="11"/>
  <c r="DO212" i="11"/>
  <c r="DN212" i="11"/>
  <c r="DM212" i="11"/>
  <c r="DL212" i="11"/>
  <c r="DK212" i="11"/>
  <c r="DJ212" i="11"/>
  <c r="DI212" i="11"/>
  <c r="DH212" i="11"/>
  <c r="DG212" i="11"/>
  <c r="DF212" i="11"/>
  <c r="DE212" i="11"/>
  <c r="DD212" i="11"/>
  <c r="DC212" i="11"/>
  <c r="DB212" i="11"/>
  <c r="DA212" i="11"/>
  <c r="CZ212" i="11"/>
  <c r="CY212" i="11"/>
  <c r="CX212" i="11"/>
  <c r="CW212" i="11"/>
  <c r="CV212" i="11"/>
  <c r="CU212" i="11"/>
  <c r="CT212" i="11"/>
  <c r="CS212" i="11"/>
  <c r="CR212" i="11"/>
  <c r="CQ212" i="11"/>
  <c r="CP212" i="11"/>
  <c r="CO212" i="11"/>
  <c r="CN212" i="11"/>
  <c r="CM212" i="11"/>
  <c r="CL212" i="11"/>
  <c r="CK212" i="11"/>
  <c r="CJ212" i="11"/>
  <c r="CI212" i="11"/>
  <c r="CH212" i="11"/>
  <c r="CG212" i="11"/>
  <c r="CF212" i="11"/>
  <c r="CE212" i="11"/>
  <c r="CD212" i="11"/>
  <c r="CC212" i="11"/>
  <c r="CB212" i="11"/>
  <c r="CA212" i="11"/>
  <c r="BZ212" i="11"/>
  <c r="BY212" i="11"/>
  <c r="BX212" i="11"/>
  <c r="BW212" i="11"/>
  <c r="BV212" i="11"/>
  <c r="BU212" i="11"/>
  <c r="BT212" i="11"/>
  <c r="BS212" i="11"/>
  <c r="BR212" i="11"/>
  <c r="BQ212" i="11"/>
  <c r="BP212" i="11"/>
  <c r="BO212" i="11"/>
  <c r="BN212" i="11"/>
  <c r="BM212" i="11"/>
  <c r="BL212" i="11"/>
  <c r="BK212" i="11"/>
  <c r="BJ212" i="11"/>
  <c r="BI212" i="11"/>
  <c r="BH212" i="11"/>
  <c r="BG212" i="11"/>
  <c r="BF212" i="11"/>
  <c r="BE212" i="11"/>
  <c r="BD212" i="11"/>
  <c r="BC212" i="11"/>
  <c r="BB212" i="11"/>
  <c r="BA212" i="11"/>
  <c r="AZ212" i="11"/>
  <c r="AY212" i="11"/>
  <c r="AX212" i="11"/>
  <c r="AW212" i="11"/>
  <c r="AV212" i="11"/>
  <c r="AU212" i="11"/>
  <c r="AT212" i="11"/>
  <c r="AS212" i="11"/>
  <c r="AR212" i="11"/>
  <c r="AQ212" i="11"/>
  <c r="AP212" i="11"/>
  <c r="AO212" i="11"/>
  <c r="AN212" i="11"/>
  <c r="AM212" i="11"/>
  <c r="AL212" i="11"/>
  <c r="AK212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H212" i="11"/>
  <c r="G212" i="11"/>
  <c r="GL211" i="11"/>
  <c r="K74" i="11"/>
  <c r="AI26" i="11"/>
  <c r="AJ26" i="11"/>
  <c r="AK26" i="11"/>
  <c r="S26" i="11"/>
  <c r="T26" i="11"/>
  <c r="U26" i="11"/>
  <c r="GK26" i="11"/>
  <c r="GJ26" i="11"/>
  <c r="GI26" i="11"/>
  <c r="GH26" i="11"/>
  <c r="GG26" i="11"/>
  <c r="GF26" i="11"/>
  <c r="GE26" i="11"/>
  <c r="GD26" i="11"/>
  <c r="GC26" i="11"/>
  <c r="GA26" i="11"/>
  <c r="FZ26" i="11"/>
  <c r="FY26" i="11"/>
  <c r="FX26" i="11"/>
  <c r="FW26" i="11"/>
  <c r="FV26" i="11"/>
  <c r="FS26" i="11"/>
  <c r="FR26" i="11"/>
  <c r="FQ26" i="11"/>
  <c r="FP26" i="11"/>
  <c r="FO26" i="11"/>
  <c r="FN26" i="11"/>
  <c r="FM26" i="11"/>
  <c r="FL26" i="11"/>
  <c r="FK26" i="11"/>
  <c r="FJ26" i="11"/>
  <c r="FI26" i="11"/>
  <c r="FH26" i="11"/>
  <c r="FG26" i="11"/>
  <c r="FF26" i="11"/>
  <c r="FE26" i="11"/>
  <c r="FD26" i="11"/>
  <c r="FC26" i="11"/>
  <c r="FB26" i="11"/>
  <c r="FA26" i="11"/>
  <c r="EZ26" i="11"/>
  <c r="EY26" i="11"/>
  <c r="EX26" i="11"/>
  <c r="EW26" i="11"/>
  <c r="EV26" i="11"/>
  <c r="EU26" i="11"/>
  <c r="ET26" i="11"/>
  <c r="ES26" i="11"/>
  <c r="ER26" i="11"/>
  <c r="EQ26" i="11"/>
  <c r="EP26" i="11"/>
  <c r="EO26" i="11"/>
  <c r="EN26" i="11"/>
  <c r="EM26" i="11"/>
  <c r="EL26" i="11"/>
  <c r="EK26" i="11"/>
  <c r="EJ26" i="11"/>
  <c r="EI26" i="11"/>
  <c r="EH26" i="11"/>
  <c r="EG26" i="11"/>
  <c r="EF26" i="11"/>
  <c r="EE26" i="11"/>
  <c r="ED26" i="11"/>
  <c r="EC26" i="11"/>
  <c r="EB26" i="11"/>
  <c r="EA26" i="11"/>
  <c r="DZ26" i="11"/>
  <c r="DY26" i="11"/>
  <c r="DX26" i="11"/>
  <c r="DW26" i="11"/>
  <c r="DV26" i="11"/>
  <c r="DU26" i="11"/>
  <c r="DT26" i="11"/>
  <c r="DS26" i="11"/>
  <c r="DR26" i="11"/>
  <c r="DQ26" i="11"/>
  <c r="DP26" i="11"/>
  <c r="DO26" i="11"/>
  <c r="DN26" i="11"/>
  <c r="DM26" i="11"/>
  <c r="DL26" i="11"/>
  <c r="DK26" i="11"/>
  <c r="DJ26" i="11"/>
  <c r="DI26" i="11"/>
  <c r="DH26" i="11"/>
  <c r="DG26" i="11"/>
  <c r="DF26" i="11"/>
  <c r="DE26" i="11"/>
  <c r="DD26" i="11"/>
  <c r="DC26" i="11"/>
  <c r="DB26" i="11"/>
  <c r="DA26" i="11"/>
  <c r="CZ26" i="11"/>
  <c r="CY26" i="11"/>
  <c r="CX26" i="11"/>
  <c r="CW26" i="11"/>
  <c r="CV26" i="11"/>
  <c r="CU26" i="11"/>
  <c r="CT26" i="11"/>
  <c r="CS26" i="11"/>
  <c r="CR26" i="11"/>
  <c r="CQ26" i="11"/>
  <c r="CP26" i="11"/>
  <c r="CO26" i="11"/>
  <c r="CN26" i="11"/>
  <c r="CM26" i="11"/>
  <c r="CL26" i="11"/>
  <c r="CK26" i="11"/>
  <c r="CJ26" i="11"/>
  <c r="CI26" i="11"/>
  <c r="CH26" i="11"/>
  <c r="CG26" i="11"/>
  <c r="CF26" i="11"/>
  <c r="CE26" i="11"/>
  <c r="CD26" i="11"/>
  <c r="CC26" i="11"/>
  <c r="CB26" i="11"/>
  <c r="CA26" i="11"/>
  <c r="BZ26" i="11"/>
  <c r="BY26" i="11"/>
  <c r="BX26" i="11"/>
  <c r="BW26" i="11"/>
  <c r="BV26" i="11"/>
  <c r="BU26" i="11"/>
  <c r="BT26" i="11"/>
  <c r="BS26" i="11"/>
  <c r="BR26" i="11"/>
  <c r="BQ26" i="11"/>
  <c r="BP26" i="11"/>
  <c r="BO26" i="11"/>
  <c r="BN26" i="11"/>
  <c r="BM26" i="11"/>
  <c r="BL26" i="11"/>
  <c r="BK26" i="11"/>
  <c r="BJ26" i="11"/>
  <c r="BI26" i="11"/>
  <c r="BH26" i="11"/>
  <c r="BG26" i="11"/>
  <c r="BF26" i="11"/>
  <c r="BE26" i="11"/>
  <c r="BD26" i="11"/>
  <c r="BC26" i="11"/>
  <c r="BB26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E26" i="11"/>
  <c r="D26" i="11"/>
  <c r="B26" i="11"/>
  <c r="A26" i="11"/>
  <c r="GL25" i="11"/>
  <c r="GJ32" i="1"/>
  <c r="L28" i="11"/>
  <c r="GK30" i="11"/>
  <c r="GJ30" i="11"/>
  <c r="GI30" i="11"/>
  <c r="GH30" i="11"/>
  <c r="GG30" i="11"/>
  <c r="GF30" i="11"/>
  <c r="GE30" i="11"/>
  <c r="GD30" i="11"/>
  <c r="GC30" i="11"/>
  <c r="GB30" i="11"/>
  <c r="GA30" i="11"/>
  <c r="FZ30" i="11"/>
  <c r="FY30" i="11"/>
  <c r="FX30" i="11"/>
  <c r="FW30" i="11"/>
  <c r="FV30" i="11"/>
  <c r="FT30" i="11"/>
  <c r="FQ30" i="11"/>
  <c r="FP30" i="11"/>
  <c r="FO30" i="11"/>
  <c r="FN30" i="11"/>
  <c r="FM30" i="11"/>
  <c r="FL30" i="11"/>
  <c r="FK30" i="11"/>
  <c r="FJ30" i="11"/>
  <c r="FI30" i="11"/>
  <c r="FH30" i="11"/>
  <c r="FG30" i="11"/>
  <c r="FF30" i="11"/>
  <c r="FE30" i="11"/>
  <c r="FD30" i="11"/>
  <c r="FC30" i="11"/>
  <c r="FB30" i="11"/>
  <c r="FA30" i="11"/>
  <c r="EZ30" i="11"/>
  <c r="EY30" i="11"/>
  <c r="EX30" i="11"/>
  <c r="EW30" i="11"/>
  <c r="EV30" i="11"/>
  <c r="EU30" i="11"/>
  <c r="ET30" i="11"/>
  <c r="ES30" i="11"/>
  <c r="ER30" i="11"/>
  <c r="EQ30" i="11"/>
  <c r="EP30" i="11"/>
  <c r="EO30" i="11"/>
  <c r="EN30" i="11"/>
  <c r="EM30" i="11"/>
  <c r="EL30" i="11"/>
  <c r="EK30" i="11"/>
  <c r="EJ30" i="11"/>
  <c r="EI30" i="11"/>
  <c r="EH30" i="11"/>
  <c r="EG30" i="11"/>
  <c r="EF30" i="11"/>
  <c r="EE30" i="11"/>
  <c r="ED30" i="11"/>
  <c r="EC30" i="11"/>
  <c r="EB30" i="11"/>
  <c r="EA30" i="11"/>
  <c r="DZ30" i="11"/>
  <c r="DY30" i="11"/>
  <c r="DX30" i="11"/>
  <c r="DW30" i="11"/>
  <c r="DV30" i="11"/>
  <c r="DU30" i="11"/>
  <c r="DT30" i="11"/>
  <c r="DS30" i="11"/>
  <c r="DR30" i="11"/>
  <c r="DQ30" i="11"/>
  <c r="DP30" i="11"/>
  <c r="DO30" i="11"/>
  <c r="DN30" i="11"/>
  <c r="DM30" i="11"/>
  <c r="DL30" i="11"/>
  <c r="DK30" i="11"/>
  <c r="DJ30" i="11"/>
  <c r="DI30" i="11"/>
  <c r="DH30" i="11"/>
  <c r="DG30" i="11"/>
  <c r="DF30" i="11"/>
  <c r="DE30" i="11"/>
  <c r="DD30" i="11"/>
  <c r="DC30" i="11"/>
  <c r="DB30" i="11"/>
  <c r="DA30" i="11"/>
  <c r="CZ30" i="11"/>
  <c r="CY30" i="11"/>
  <c r="CX30" i="11"/>
  <c r="CW30" i="11"/>
  <c r="CV30" i="11"/>
  <c r="CU30" i="11"/>
  <c r="CT30" i="11"/>
  <c r="CS30" i="11"/>
  <c r="CR30" i="11"/>
  <c r="CQ30" i="11"/>
  <c r="CP30" i="11"/>
  <c r="CO30" i="11"/>
  <c r="CN30" i="11"/>
  <c r="CM30" i="11"/>
  <c r="CL30" i="11"/>
  <c r="CK30" i="11"/>
  <c r="CJ30" i="11"/>
  <c r="CI30" i="11"/>
  <c r="CH30" i="11"/>
  <c r="CG30" i="11"/>
  <c r="CF30" i="11"/>
  <c r="CE30" i="11"/>
  <c r="CD30" i="11"/>
  <c r="CC30" i="11"/>
  <c r="CB30" i="11"/>
  <c r="CA30" i="11"/>
  <c r="BZ30" i="11"/>
  <c r="BY30" i="11"/>
  <c r="BX30" i="11"/>
  <c r="BW30" i="11"/>
  <c r="BV30" i="11"/>
  <c r="BU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E30" i="11"/>
  <c r="D30" i="11"/>
  <c r="B30" i="11"/>
  <c r="A30" i="11"/>
  <c r="GL29" i="11"/>
  <c r="EW232" i="11"/>
  <c r="EW230" i="11"/>
  <c r="EW228" i="11"/>
  <c r="EW226" i="11"/>
  <c r="EW224" i="11"/>
  <c r="EW222" i="11"/>
  <c r="EW220" i="11"/>
  <c r="EW218" i="11"/>
  <c r="EW216" i="11"/>
  <c r="EW210" i="11"/>
  <c r="EW208" i="11"/>
  <c r="EW204" i="11"/>
  <c r="EW202" i="11"/>
  <c r="EW200" i="11"/>
  <c r="EW198" i="11"/>
  <c r="EW196" i="11"/>
  <c r="EW194" i="11"/>
  <c r="EW192" i="11"/>
  <c r="EW190" i="11"/>
  <c r="EW188" i="11"/>
  <c r="EW186" i="11"/>
  <c r="EW184" i="11"/>
  <c r="EW182" i="11"/>
  <c r="EW180" i="11"/>
  <c r="EW176" i="11"/>
  <c r="EW174" i="11"/>
  <c r="EW172" i="11"/>
  <c r="EW170" i="11"/>
  <c r="EW168" i="11"/>
  <c r="EW166" i="11"/>
  <c r="EW164" i="11"/>
  <c r="EW162" i="11"/>
  <c r="EW160" i="11"/>
  <c r="EW158" i="11"/>
  <c r="EW156" i="11"/>
  <c r="EW134" i="11"/>
  <c r="EW154" i="11"/>
  <c r="EW152" i="11"/>
  <c r="EW140" i="11"/>
  <c r="EW138" i="11"/>
  <c r="EW136" i="11"/>
  <c r="EW132" i="11"/>
  <c r="EW130" i="11"/>
  <c r="EW128" i="11"/>
  <c r="EW126" i="11"/>
  <c r="EW120" i="11"/>
  <c r="EW118" i="11"/>
  <c r="EW116" i="11"/>
  <c r="EW114" i="11"/>
  <c r="EW112" i="11"/>
  <c r="EW110" i="11"/>
  <c r="EW108" i="11"/>
  <c r="EW106" i="11"/>
  <c r="EW104" i="11"/>
  <c r="EW102" i="11"/>
  <c r="EW100" i="11"/>
  <c r="EW98" i="11"/>
  <c r="EW96" i="11"/>
  <c r="EW94" i="11"/>
  <c r="EW92" i="11"/>
  <c r="EW90" i="11"/>
  <c r="EW88" i="11"/>
  <c r="EW86" i="11"/>
  <c r="EW84" i="11"/>
  <c r="EW82" i="11"/>
  <c r="EW80" i="11"/>
  <c r="EW78" i="11"/>
  <c r="EW74" i="11"/>
  <c r="EW72" i="11"/>
  <c r="EW70" i="11"/>
  <c r="EW68" i="11"/>
  <c r="EW56" i="11"/>
  <c r="EW54" i="11"/>
  <c r="EW52" i="11"/>
  <c r="EW50" i="11"/>
  <c r="EW48" i="11"/>
  <c r="EW46" i="11"/>
  <c r="EW44" i="11"/>
  <c r="EW42" i="11"/>
  <c r="EW38" i="11"/>
  <c r="EW36" i="11"/>
  <c r="EW34" i="11"/>
  <c r="EW32" i="11"/>
  <c r="EW28" i="11"/>
  <c r="EW24" i="11"/>
  <c r="EW22" i="11"/>
  <c r="EW18" i="11"/>
  <c r="EW14" i="11"/>
  <c r="EW12" i="11"/>
  <c r="EW10" i="11"/>
  <c r="EW150" i="11"/>
  <c r="EW148" i="11"/>
  <c r="EW146" i="11"/>
  <c r="EW144" i="11"/>
  <c r="EW142" i="11"/>
  <c r="EW66" i="11"/>
  <c r="EW64" i="11"/>
  <c r="EW62" i="11"/>
  <c r="EW58" i="11"/>
  <c r="GK108" i="11"/>
  <c r="GJ108" i="11"/>
  <c r="GI108" i="11"/>
  <c r="GH108" i="11"/>
  <c r="GG108" i="11"/>
  <c r="GF108" i="11"/>
  <c r="GE108" i="11"/>
  <c r="GD108" i="11"/>
  <c r="GC108" i="11"/>
  <c r="GB108" i="11"/>
  <c r="GA108" i="11"/>
  <c r="FZ108" i="11"/>
  <c r="FY108" i="11"/>
  <c r="FX108" i="11"/>
  <c r="FW108" i="11"/>
  <c r="FV108" i="11"/>
  <c r="FU108" i="11"/>
  <c r="FT108" i="11"/>
  <c r="FS108" i="11"/>
  <c r="FR108" i="11"/>
  <c r="FQ108" i="11"/>
  <c r="FP108" i="11"/>
  <c r="FO108" i="11"/>
  <c r="FN108" i="11"/>
  <c r="FM108" i="11"/>
  <c r="FL108" i="11"/>
  <c r="FK108" i="11"/>
  <c r="FJ108" i="11"/>
  <c r="FI108" i="11"/>
  <c r="FH108" i="11"/>
  <c r="FG108" i="11"/>
  <c r="FF108" i="11"/>
  <c r="FE108" i="11"/>
  <c r="FD108" i="11"/>
  <c r="FC108" i="11"/>
  <c r="FB108" i="11"/>
  <c r="FA108" i="11"/>
  <c r="EZ108" i="11"/>
  <c r="EY108" i="11"/>
  <c r="EX108" i="11"/>
  <c r="EV108" i="11"/>
  <c r="EU108" i="11"/>
  <c r="ET108" i="11"/>
  <c r="ES108" i="11"/>
  <c r="ER108" i="11"/>
  <c r="EQ108" i="11"/>
  <c r="EP108" i="11"/>
  <c r="EO108" i="11"/>
  <c r="EN108" i="11"/>
  <c r="EM108" i="11"/>
  <c r="EL108" i="11"/>
  <c r="EK108" i="11"/>
  <c r="EJ108" i="11"/>
  <c r="EI108" i="11"/>
  <c r="EH108" i="11"/>
  <c r="EG108" i="11"/>
  <c r="EF108" i="11"/>
  <c r="EE108" i="11"/>
  <c r="ED108" i="11"/>
  <c r="EC108" i="11"/>
  <c r="EB108" i="11"/>
  <c r="EA108" i="11"/>
  <c r="DZ108" i="11"/>
  <c r="DY108" i="11"/>
  <c r="DX108" i="11"/>
  <c r="DW108" i="11"/>
  <c r="DV108" i="11"/>
  <c r="DU108" i="11"/>
  <c r="DT108" i="11"/>
  <c r="DS108" i="11"/>
  <c r="DR108" i="11"/>
  <c r="DQ108" i="11"/>
  <c r="DP108" i="11"/>
  <c r="DO108" i="11"/>
  <c r="DN108" i="11"/>
  <c r="DM108" i="11"/>
  <c r="DL108" i="11"/>
  <c r="DK108" i="11"/>
  <c r="DJ108" i="11"/>
  <c r="DI108" i="11"/>
  <c r="DH108" i="11"/>
  <c r="DG108" i="11"/>
  <c r="DF108" i="11"/>
  <c r="DE108" i="11"/>
  <c r="DD108" i="11"/>
  <c r="DC108" i="11"/>
  <c r="DB108" i="11"/>
  <c r="DA108" i="11"/>
  <c r="CZ108" i="11"/>
  <c r="CY108" i="11"/>
  <c r="CX108" i="11"/>
  <c r="CW108" i="11"/>
  <c r="CV108" i="11"/>
  <c r="CU108" i="11"/>
  <c r="CT108" i="11"/>
  <c r="CS108" i="11"/>
  <c r="CR108" i="11"/>
  <c r="CQ108" i="11"/>
  <c r="CP108" i="11"/>
  <c r="CO108" i="11"/>
  <c r="CN108" i="11"/>
  <c r="CM108" i="11"/>
  <c r="CL108" i="11"/>
  <c r="CK108" i="11"/>
  <c r="CJ108" i="11"/>
  <c r="CI108" i="11"/>
  <c r="CH108" i="11"/>
  <c r="CG108" i="11"/>
  <c r="CF108" i="11"/>
  <c r="CE108" i="11"/>
  <c r="CD108" i="11"/>
  <c r="CC108" i="11"/>
  <c r="CB108" i="11"/>
  <c r="CA108" i="11"/>
  <c r="BZ108" i="11"/>
  <c r="BY108" i="11"/>
  <c r="BX108" i="11"/>
  <c r="BW108" i="11"/>
  <c r="BV108" i="11"/>
  <c r="BU108" i="11"/>
  <c r="BT108" i="11"/>
  <c r="BS108" i="11"/>
  <c r="BR108" i="11"/>
  <c r="BQ108" i="11"/>
  <c r="BP108" i="11"/>
  <c r="BO108" i="11"/>
  <c r="BN108" i="11"/>
  <c r="BM108" i="11"/>
  <c r="BL108" i="11"/>
  <c r="BK108" i="11"/>
  <c r="BJ108" i="11"/>
  <c r="BI108" i="11"/>
  <c r="BH108" i="11"/>
  <c r="BG108" i="11"/>
  <c r="BF108" i="11"/>
  <c r="BE108" i="11"/>
  <c r="BD108" i="11"/>
  <c r="BC108" i="11"/>
  <c r="BB108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E108" i="11"/>
  <c r="D108" i="11"/>
  <c r="C108" i="11"/>
  <c r="B108" i="11"/>
  <c r="A108" i="11"/>
  <c r="GL107" i="11"/>
  <c r="J80" i="11"/>
  <c r="DY80" i="11"/>
  <c r="GL79" i="11"/>
  <c r="GJ80" i="11"/>
  <c r="GG80" i="11"/>
  <c r="GF80" i="11"/>
  <c r="FX80" i="11"/>
  <c r="FP80" i="11"/>
  <c r="FO80" i="11"/>
  <c r="FN80" i="11"/>
  <c r="FM80" i="11"/>
  <c r="FL80" i="11"/>
  <c r="FK80" i="11"/>
  <c r="FJ80" i="11"/>
  <c r="FI80" i="11"/>
  <c r="FH80" i="11"/>
  <c r="FG80" i="11"/>
  <c r="FF80" i="11"/>
  <c r="FE80" i="11"/>
  <c r="FD80" i="11"/>
  <c r="FC80" i="11"/>
  <c r="FB80" i="11"/>
  <c r="FA80" i="11"/>
  <c r="EZ80" i="11"/>
  <c r="EY80" i="11"/>
  <c r="EX80" i="11"/>
  <c r="EV80" i="11"/>
  <c r="EU80" i="11"/>
  <c r="ET80" i="11"/>
  <c r="ES80" i="11"/>
  <c r="ER80" i="11"/>
  <c r="EQ80" i="11"/>
  <c r="EP80" i="11"/>
  <c r="EO80" i="11"/>
  <c r="EN80" i="11"/>
  <c r="EM80" i="11"/>
  <c r="EL80" i="11"/>
  <c r="EK80" i="11"/>
  <c r="EJ80" i="11"/>
  <c r="EI80" i="11"/>
  <c r="EH80" i="11"/>
  <c r="EG80" i="11"/>
  <c r="EF80" i="11"/>
  <c r="EE80" i="11"/>
  <c r="ED80" i="11"/>
  <c r="EC80" i="11"/>
  <c r="EB80" i="11"/>
  <c r="EA80" i="11"/>
  <c r="DZ80" i="11"/>
  <c r="DX80" i="11"/>
  <c r="DW80" i="11"/>
  <c r="DV80" i="11"/>
  <c r="DU80" i="11"/>
  <c r="DT80" i="11"/>
  <c r="DS80" i="11"/>
  <c r="DR80" i="11"/>
  <c r="DQ80" i="11"/>
  <c r="DP80" i="11"/>
  <c r="DO80" i="11"/>
  <c r="DN80" i="11"/>
  <c r="DM80" i="11"/>
  <c r="DL80" i="11"/>
  <c r="DK80" i="11"/>
  <c r="DJ80" i="11"/>
  <c r="DI80" i="11"/>
  <c r="DH80" i="11"/>
  <c r="DG80" i="11"/>
  <c r="DF80" i="11"/>
  <c r="DE80" i="11"/>
  <c r="DD80" i="11"/>
  <c r="DC80" i="11"/>
  <c r="DB80" i="11"/>
  <c r="DA80" i="11"/>
  <c r="CZ80" i="11"/>
  <c r="CY80" i="11"/>
  <c r="CX80" i="11"/>
  <c r="CW80" i="11"/>
  <c r="CV80" i="11"/>
  <c r="CU80" i="11"/>
  <c r="CT80" i="11"/>
  <c r="CS80" i="11"/>
  <c r="CR80" i="11"/>
  <c r="CQ80" i="11"/>
  <c r="CP80" i="11"/>
  <c r="CO80" i="11"/>
  <c r="CN80" i="11"/>
  <c r="CM80" i="11"/>
  <c r="CL80" i="11"/>
  <c r="CK80" i="11"/>
  <c r="CJ80" i="11"/>
  <c r="CI80" i="11"/>
  <c r="CH80" i="11"/>
  <c r="CG80" i="11"/>
  <c r="CF80" i="11"/>
  <c r="CE80" i="11"/>
  <c r="CD80" i="11"/>
  <c r="CC80" i="11"/>
  <c r="CB80" i="11"/>
  <c r="CA80" i="11"/>
  <c r="BZ80" i="11"/>
  <c r="BY80" i="11"/>
  <c r="BX80" i="11"/>
  <c r="BW80" i="11"/>
  <c r="BV80" i="11"/>
  <c r="BU80" i="11"/>
  <c r="BT80" i="11"/>
  <c r="BS80" i="11"/>
  <c r="BR80" i="11"/>
  <c r="BQ80" i="11"/>
  <c r="BP80" i="11"/>
  <c r="BO80" i="11"/>
  <c r="BN80" i="11"/>
  <c r="BM80" i="11"/>
  <c r="BL80" i="11"/>
  <c r="BK80" i="11"/>
  <c r="BJ80" i="11"/>
  <c r="BI80" i="11"/>
  <c r="BH80" i="11"/>
  <c r="BG80" i="11"/>
  <c r="BF80" i="11"/>
  <c r="BE80" i="11"/>
  <c r="BD80" i="11"/>
  <c r="BC80" i="11"/>
  <c r="BB80" i="11"/>
  <c r="BA80" i="11"/>
  <c r="AZ80" i="11"/>
  <c r="AY80" i="11"/>
  <c r="AX80" i="11"/>
  <c r="AW80" i="11"/>
  <c r="AV80" i="11"/>
  <c r="AU80" i="11"/>
  <c r="AT80" i="11"/>
  <c r="AS80" i="11"/>
  <c r="AR80" i="11"/>
  <c r="AQ80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I80" i="11"/>
  <c r="H80" i="11"/>
  <c r="G80" i="11"/>
  <c r="D80" i="11"/>
  <c r="C80" i="11"/>
  <c r="B80" i="11"/>
  <c r="A80" i="11"/>
  <c r="GK62" i="11"/>
  <c r="GJ62" i="11"/>
  <c r="GI62" i="11"/>
  <c r="GH62" i="11"/>
  <c r="GG62" i="11"/>
  <c r="GF62" i="11"/>
  <c r="GE62" i="11"/>
  <c r="GD62" i="11"/>
  <c r="GC62" i="11"/>
  <c r="GB62" i="11"/>
  <c r="GA62" i="11"/>
  <c r="FZ62" i="11"/>
  <c r="FY62" i="11"/>
  <c r="FX62" i="11"/>
  <c r="FW62" i="11"/>
  <c r="FV62" i="11"/>
  <c r="FU62" i="11"/>
  <c r="FT62" i="11"/>
  <c r="FS62" i="11"/>
  <c r="FR62" i="11"/>
  <c r="FQ62" i="11"/>
  <c r="FP62" i="11"/>
  <c r="FO62" i="11"/>
  <c r="FN62" i="11"/>
  <c r="FM62" i="11"/>
  <c r="FL62" i="11"/>
  <c r="FK62" i="11"/>
  <c r="FJ62" i="11"/>
  <c r="FI62" i="11"/>
  <c r="FH62" i="11"/>
  <c r="FG62" i="11"/>
  <c r="FF62" i="11"/>
  <c r="FE62" i="11"/>
  <c r="FD62" i="11"/>
  <c r="FC62" i="11"/>
  <c r="FB62" i="11"/>
  <c r="FA62" i="11"/>
  <c r="EZ62" i="11"/>
  <c r="EY62" i="11"/>
  <c r="EX62" i="11"/>
  <c r="EV62" i="11"/>
  <c r="EU62" i="11"/>
  <c r="ET62" i="11"/>
  <c r="ES62" i="11"/>
  <c r="ER62" i="11"/>
  <c r="EQ62" i="11"/>
  <c r="EP62" i="11"/>
  <c r="EO62" i="11"/>
  <c r="EN62" i="11"/>
  <c r="EM62" i="11"/>
  <c r="EL62" i="11"/>
  <c r="EK62" i="11"/>
  <c r="EJ62" i="11"/>
  <c r="EI62" i="11"/>
  <c r="EH62" i="11"/>
  <c r="EG62" i="11"/>
  <c r="EF62" i="11"/>
  <c r="EE62" i="11"/>
  <c r="ED62" i="11"/>
  <c r="EC62" i="11"/>
  <c r="EB62" i="11"/>
  <c r="EA62" i="11"/>
  <c r="DZ62" i="11"/>
  <c r="DY62" i="11"/>
  <c r="DX62" i="11"/>
  <c r="DW62" i="11"/>
  <c r="DV62" i="11"/>
  <c r="DU62" i="11"/>
  <c r="DT62" i="11"/>
  <c r="DS62" i="11"/>
  <c r="DR62" i="11"/>
  <c r="DQ62" i="11"/>
  <c r="DP62" i="11"/>
  <c r="DO62" i="11"/>
  <c r="DN62" i="11"/>
  <c r="DM62" i="11"/>
  <c r="DL62" i="11"/>
  <c r="DK62" i="11"/>
  <c r="DJ62" i="11"/>
  <c r="DI62" i="11"/>
  <c r="DH62" i="11"/>
  <c r="DG62" i="11"/>
  <c r="DF62" i="11"/>
  <c r="DE62" i="11"/>
  <c r="DD62" i="11"/>
  <c r="DC62" i="11"/>
  <c r="DB62" i="11"/>
  <c r="DA62" i="11"/>
  <c r="CZ62" i="11"/>
  <c r="CY62" i="11"/>
  <c r="CX62" i="11"/>
  <c r="CW62" i="11"/>
  <c r="CV62" i="11"/>
  <c r="CU62" i="11"/>
  <c r="CT62" i="11"/>
  <c r="CS62" i="11"/>
  <c r="CR62" i="11"/>
  <c r="CQ62" i="11"/>
  <c r="CP62" i="11"/>
  <c r="CO62" i="11"/>
  <c r="CN62" i="11"/>
  <c r="CM62" i="11"/>
  <c r="CL62" i="11"/>
  <c r="CK62" i="11"/>
  <c r="CJ62" i="11"/>
  <c r="CI62" i="11"/>
  <c r="CH62" i="11"/>
  <c r="CG62" i="11"/>
  <c r="CF62" i="11"/>
  <c r="CE62" i="11"/>
  <c r="CD62" i="11"/>
  <c r="CC62" i="11"/>
  <c r="CB62" i="11"/>
  <c r="CA62" i="11"/>
  <c r="BZ62" i="11"/>
  <c r="BY62" i="11"/>
  <c r="BX62" i="11"/>
  <c r="BW62" i="11"/>
  <c r="BV62" i="11"/>
  <c r="BU62" i="11"/>
  <c r="BT62" i="11"/>
  <c r="BS62" i="11"/>
  <c r="BR62" i="11"/>
  <c r="BQ62" i="11"/>
  <c r="BP62" i="11"/>
  <c r="BO62" i="11"/>
  <c r="BN62" i="11"/>
  <c r="BM62" i="11"/>
  <c r="BL62" i="11"/>
  <c r="BK62" i="11"/>
  <c r="BJ62" i="11"/>
  <c r="BI62" i="11"/>
  <c r="BH62" i="11"/>
  <c r="BG62" i="11"/>
  <c r="BF62" i="11"/>
  <c r="BE62" i="11"/>
  <c r="BD62" i="11"/>
  <c r="BC62" i="11"/>
  <c r="BB62" i="11"/>
  <c r="BA62" i="11"/>
  <c r="AZ62" i="11"/>
  <c r="AY62" i="11"/>
  <c r="AX62" i="11"/>
  <c r="AW62" i="11"/>
  <c r="AV62" i="11"/>
  <c r="AU62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GK116" i="11"/>
  <c r="GJ116" i="11"/>
  <c r="GI116" i="11"/>
  <c r="GH116" i="11"/>
  <c r="GG116" i="11"/>
  <c r="GF116" i="11"/>
  <c r="GE116" i="11"/>
  <c r="GD116" i="11"/>
  <c r="GC116" i="11"/>
  <c r="GB116" i="11"/>
  <c r="GA116" i="11"/>
  <c r="FZ116" i="11"/>
  <c r="FY116" i="11"/>
  <c r="FX116" i="11"/>
  <c r="FW116" i="11"/>
  <c r="FV116" i="11"/>
  <c r="FU116" i="11"/>
  <c r="FT116" i="11"/>
  <c r="FS116" i="11"/>
  <c r="FR116" i="11"/>
  <c r="FQ116" i="11"/>
  <c r="FP116" i="11"/>
  <c r="FO116" i="11"/>
  <c r="FN116" i="11"/>
  <c r="FM116" i="11"/>
  <c r="FL116" i="11"/>
  <c r="FK116" i="11"/>
  <c r="FJ116" i="11"/>
  <c r="FI116" i="11"/>
  <c r="FH116" i="11"/>
  <c r="FG116" i="11"/>
  <c r="FF116" i="11"/>
  <c r="FE116" i="11"/>
  <c r="FD116" i="11"/>
  <c r="FC116" i="11"/>
  <c r="FB116" i="11"/>
  <c r="FA116" i="11"/>
  <c r="EZ116" i="11"/>
  <c r="EY116" i="11"/>
  <c r="EX116" i="11"/>
  <c r="EV116" i="11"/>
  <c r="EU116" i="11"/>
  <c r="ET116" i="11"/>
  <c r="ES116" i="11"/>
  <c r="ER116" i="11"/>
  <c r="EQ116" i="11"/>
  <c r="EP116" i="11"/>
  <c r="EO116" i="11"/>
  <c r="EN116" i="11"/>
  <c r="EM116" i="11"/>
  <c r="EL116" i="11"/>
  <c r="EK116" i="11"/>
  <c r="EJ116" i="11"/>
  <c r="EI116" i="11"/>
  <c r="EH116" i="11"/>
  <c r="EG116" i="11"/>
  <c r="EF116" i="11"/>
  <c r="EE116" i="11"/>
  <c r="ED116" i="11"/>
  <c r="EC116" i="11"/>
  <c r="EB116" i="11"/>
  <c r="EA116" i="11"/>
  <c r="DZ116" i="11"/>
  <c r="DY116" i="11"/>
  <c r="DX116" i="11"/>
  <c r="DW116" i="11"/>
  <c r="DV116" i="11"/>
  <c r="DU116" i="11"/>
  <c r="DT116" i="11"/>
  <c r="DS116" i="11"/>
  <c r="DR116" i="11"/>
  <c r="DQ116" i="11"/>
  <c r="DP116" i="11"/>
  <c r="DO116" i="11"/>
  <c r="DN116" i="11"/>
  <c r="DM116" i="11"/>
  <c r="DL116" i="11"/>
  <c r="DK116" i="11"/>
  <c r="DJ116" i="11"/>
  <c r="DI116" i="11"/>
  <c r="DH116" i="11"/>
  <c r="DG116" i="11"/>
  <c r="DF116" i="11"/>
  <c r="DE116" i="11"/>
  <c r="DD116" i="11"/>
  <c r="DC116" i="11"/>
  <c r="DB116" i="11"/>
  <c r="DA116" i="11"/>
  <c r="CZ116" i="11"/>
  <c r="CY116" i="11"/>
  <c r="CX116" i="11"/>
  <c r="CW116" i="11"/>
  <c r="CV116" i="11"/>
  <c r="CU116" i="11"/>
  <c r="CT116" i="11"/>
  <c r="CS116" i="11"/>
  <c r="CR116" i="11"/>
  <c r="CQ116" i="11"/>
  <c r="CP116" i="11"/>
  <c r="CO116" i="11"/>
  <c r="CN116" i="11"/>
  <c r="CM116" i="11"/>
  <c r="CL116" i="11"/>
  <c r="CK116" i="11"/>
  <c r="CJ116" i="11"/>
  <c r="CI116" i="11"/>
  <c r="CH116" i="11"/>
  <c r="CG116" i="11"/>
  <c r="CF116" i="11"/>
  <c r="CE116" i="11"/>
  <c r="CD116" i="11"/>
  <c r="CC116" i="11"/>
  <c r="CB116" i="11"/>
  <c r="CA116" i="11"/>
  <c r="BZ116" i="11"/>
  <c r="BY116" i="11"/>
  <c r="BX116" i="11"/>
  <c r="BW116" i="11"/>
  <c r="BV116" i="11"/>
  <c r="BU116" i="11"/>
  <c r="BT116" i="11"/>
  <c r="BS116" i="11"/>
  <c r="BR116" i="11"/>
  <c r="BQ116" i="11"/>
  <c r="BP116" i="11"/>
  <c r="BO116" i="11"/>
  <c r="BN116" i="11"/>
  <c r="BM116" i="11"/>
  <c r="BL116" i="11"/>
  <c r="BK116" i="11"/>
  <c r="BJ116" i="11"/>
  <c r="BI116" i="11"/>
  <c r="BH116" i="11"/>
  <c r="BG116" i="11"/>
  <c r="BF116" i="11"/>
  <c r="BE116" i="11"/>
  <c r="BD116" i="11"/>
  <c r="BC116" i="11"/>
  <c r="BB116" i="11"/>
  <c r="BA116" i="11"/>
  <c r="AZ116" i="11"/>
  <c r="AY116" i="11"/>
  <c r="AX116" i="11"/>
  <c r="AW116" i="11"/>
  <c r="AV116" i="11"/>
  <c r="AU116" i="11"/>
  <c r="AT116" i="11"/>
  <c r="AS116" i="11"/>
  <c r="AR116" i="11"/>
  <c r="AQ116" i="11"/>
  <c r="AP116" i="11"/>
  <c r="AO116" i="11"/>
  <c r="AN116" i="11"/>
  <c r="AM116" i="11"/>
  <c r="AL116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B116" i="11"/>
  <c r="D116" i="11"/>
  <c r="E116" i="11"/>
  <c r="GL115" i="11"/>
  <c r="GJ64" i="1"/>
  <c r="GL77" i="11"/>
  <c r="GK78" i="11"/>
  <c r="GJ78" i="11"/>
  <c r="GI78" i="11"/>
  <c r="GH78" i="11"/>
  <c r="GG78" i="11"/>
  <c r="GF78" i="11"/>
  <c r="GE78" i="11"/>
  <c r="GD78" i="11"/>
  <c r="GC78" i="11"/>
  <c r="GB78" i="11"/>
  <c r="GA78" i="11"/>
  <c r="FZ78" i="11"/>
  <c r="FY78" i="11"/>
  <c r="FX78" i="11"/>
  <c r="FW78" i="11"/>
  <c r="FV78" i="11"/>
  <c r="FU78" i="11"/>
  <c r="FT78" i="11"/>
  <c r="FS78" i="11"/>
  <c r="FR78" i="11"/>
  <c r="FQ78" i="11"/>
  <c r="FP78" i="11"/>
  <c r="FO78" i="11"/>
  <c r="FN78" i="11"/>
  <c r="FM78" i="11"/>
  <c r="FL78" i="11"/>
  <c r="FK78" i="11"/>
  <c r="FJ78" i="11"/>
  <c r="FI78" i="11"/>
  <c r="FH78" i="11"/>
  <c r="FG78" i="11"/>
  <c r="FF78" i="11"/>
  <c r="FE78" i="11"/>
  <c r="FD78" i="11"/>
  <c r="FC78" i="11"/>
  <c r="FB78" i="11"/>
  <c r="FA78" i="11"/>
  <c r="EZ78" i="11"/>
  <c r="EY78" i="11"/>
  <c r="EX78" i="11"/>
  <c r="EV78" i="11"/>
  <c r="EU78" i="11"/>
  <c r="ET78" i="11"/>
  <c r="ES78" i="11"/>
  <c r="ER78" i="11"/>
  <c r="EQ78" i="11"/>
  <c r="EP78" i="11"/>
  <c r="EO78" i="11"/>
  <c r="EN78" i="11"/>
  <c r="EM78" i="11"/>
  <c r="EL78" i="11"/>
  <c r="EK78" i="11"/>
  <c r="EJ78" i="11"/>
  <c r="EI78" i="11"/>
  <c r="EH78" i="11"/>
  <c r="EG78" i="11"/>
  <c r="EF78" i="11"/>
  <c r="EE78" i="11"/>
  <c r="ED78" i="11"/>
  <c r="EC78" i="11"/>
  <c r="EB78" i="11"/>
  <c r="EA78" i="11"/>
  <c r="DZ78" i="11"/>
  <c r="DY78" i="11"/>
  <c r="DX78" i="11"/>
  <c r="DW78" i="11"/>
  <c r="DV78" i="11"/>
  <c r="DU78" i="11"/>
  <c r="DT78" i="11"/>
  <c r="DS78" i="11"/>
  <c r="DR78" i="11"/>
  <c r="DQ78" i="11"/>
  <c r="DP78" i="11"/>
  <c r="DO78" i="11"/>
  <c r="DN78" i="11"/>
  <c r="DM78" i="11"/>
  <c r="DL78" i="11"/>
  <c r="DK78" i="11"/>
  <c r="DJ78" i="11"/>
  <c r="DI78" i="11"/>
  <c r="DH78" i="11"/>
  <c r="DG78" i="11"/>
  <c r="DF78" i="11"/>
  <c r="DE78" i="11"/>
  <c r="DD78" i="11"/>
  <c r="DC78" i="11"/>
  <c r="DB78" i="11"/>
  <c r="DA78" i="11"/>
  <c r="CZ78" i="11"/>
  <c r="CY78" i="11"/>
  <c r="CX78" i="11"/>
  <c r="CW78" i="11"/>
  <c r="CV78" i="11"/>
  <c r="CU78" i="11"/>
  <c r="CT78" i="11"/>
  <c r="CS78" i="11"/>
  <c r="CR78" i="11"/>
  <c r="CQ78" i="11"/>
  <c r="CP78" i="11"/>
  <c r="CO78" i="11"/>
  <c r="CN78" i="11"/>
  <c r="CM78" i="11"/>
  <c r="CL78" i="11"/>
  <c r="CK78" i="11"/>
  <c r="CJ78" i="11"/>
  <c r="CI78" i="11"/>
  <c r="CH78" i="11"/>
  <c r="CG78" i="11"/>
  <c r="CF78" i="11"/>
  <c r="CE78" i="11"/>
  <c r="CD78" i="11"/>
  <c r="CC78" i="11"/>
  <c r="CB78" i="11"/>
  <c r="CA78" i="11"/>
  <c r="BZ78" i="11"/>
  <c r="BY78" i="11"/>
  <c r="BX78" i="11"/>
  <c r="BW78" i="11"/>
  <c r="BV78" i="11"/>
  <c r="BU78" i="11"/>
  <c r="BT78" i="11"/>
  <c r="BS78" i="11"/>
  <c r="BR78" i="11"/>
  <c r="BQ78" i="11"/>
  <c r="BP78" i="11"/>
  <c r="BO78" i="11"/>
  <c r="BN78" i="11"/>
  <c r="BM78" i="11"/>
  <c r="BL78" i="11"/>
  <c r="BK78" i="11"/>
  <c r="BJ78" i="11"/>
  <c r="BI78" i="11"/>
  <c r="BH78" i="11"/>
  <c r="BG78" i="11"/>
  <c r="BF78" i="11"/>
  <c r="BE78" i="11"/>
  <c r="BD78" i="11"/>
  <c r="BC78" i="11"/>
  <c r="BB78" i="11"/>
  <c r="BA78" i="11"/>
  <c r="AZ78" i="11"/>
  <c r="AY78" i="11"/>
  <c r="AX78" i="11"/>
  <c r="AW78" i="11"/>
  <c r="AV78" i="11"/>
  <c r="AU78" i="11"/>
  <c r="AT78" i="11"/>
  <c r="AS78" i="11"/>
  <c r="AR78" i="11"/>
  <c r="AQ78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C78" i="11"/>
  <c r="B78" i="11"/>
  <c r="A78" i="11"/>
  <c r="GK104" i="11"/>
  <c r="GJ104" i="11"/>
  <c r="GI104" i="11"/>
  <c r="GH104" i="11"/>
  <c r="GG104" i="11"/>
  <c r="GF104" i="11"/>
  <c r="GE104" i="11"/>
  <c r="GD104" i="11"/>
  <c r="GC104" i="11"/>
  <c r="GB104" i="11"/>
  <c r="GA104" i="11"/>
  <c r="FZ104" i="11"/>
  <c r="FY104" i="11"/>
  <c r="FX104" i="11"/>
  <c r="FW104" i="11"/>
  <c r="FV104" i="11"/>
  <c r="FU104" i="11"/>
  <c r="FT104" i="11"/>
  <c r="FS104" i="11"/>
  <c r="FR104" i="11"/>
  <c r="FQ104" i="11"/>
  <c r="FP104" i="11"/>
  <c r="FO104" i="11"/>
  <c r="FN104" i="11"/>
  <c r="FM104" i="11"/>
  <c r="FL104" i="11"/>
  <c r="FK104" i="11"/>
  <c r="FJ104" i="11"/>
  <c r="FI104" i="11"/>
  <c r="FH104" i="11"/>
  <c r="FG104" i="11"/>
  <c r="FF104" i="11"/>
  <c r="FE104" i="11"/>
  <c r="FD104" i="11"/>
  <c r="FC104" i="11"/>
  <c r="FB104" i="11"/>
  <c r="FA104" i="11"/>
  <c r="EZ104" i="11"/>
  <c r="EY104" i="11"/>
  <c r="EX104" i="11"/>
  <c r="EV104" i="11"/>
  <c r="EU104" i="11"/>
  <c r="ET104" i="11"/>
  <c r="ES104" i="11"/>
  <c r="ER104" i="11"/>
  <c r="EQ104" i="11"/>
  <c r="EP104" i="11"/>
  <c r="EO104" i="11"/>
  <c r="EN104" i="11"/>
  <c r="EM104" i="11"/>
  <c r="EL104" i="11"/>
  <c r="EK104" i="11"/>
  <c r="EJ104" i="11"/>
  <c r="EI104" i="11"/>
  <c r="EH104" i="11"/>
  <c r="EG104" i="11"/>
  <c r="EF104" i="11"/>
  <c r="EE104" i="11"/>
  <c r="ED104" i="11"/>
  <c r="EC104" i="11"/>
  <c r="EB104" i="11"/>
  <c r="EA104" i="11"/>
  <c r="DZ104" i="11"/>
  <c r="DY104" i="11"/>
  <c r="DX104" i="11"/>
  <c r="DW104" i="11"/>
  <c r="DV104" i="11"/>
  <c r="DU104" i="11"/>
  <c r="DT104" i="11"/>
  <c r="DS104" i="11"/>
  <c r="DR104" i="11"/>
  <c r="DQ104" i="11"/>
  <c r="DP104" i="11"/>
  <c r="DO104" i="11"/>
  <c r="DN104" i="11"/>
  <c r="DM104" i="11"/>
  <c r="DL104" i="11"/>
  <c r="DK104" i="11"/>
  <c r="DJ104" i="11"/>
  <c r="DI104" i="11"/>
  <c r="DH104" i="11"/>
  <c r="DG104" i="11"/>
  <c r="DF104" i="11"/>
  <c r="DE104" i="11"/>
  <c r="DD104" i="11"/>
  <c r="DC104" i="11"/>
  <c r="DB104" i="11"/>
  <c r="DA104" i="11"/>
  <c r="CZ104" i="11"/>
  <c r="CY104" i="11"/>
  <c r="CX104" i="11"/>
  <c r="CW104" i="11"/>
  <c r="CV104" i="11"/>
  <c r="CU104" i="11"/>
  <c r="CT104" i="11"/>
  <c r="CS104" i="11"/>
  <c r="CR104" i="11"/>
  <c r="CQ104" i="11"/>
  <c r="CP104" i="11"/>
  <c r="CO104" i="11"/>
  <c r="CN104" i="11"/>
  <c r="CM104" i="11"/>
  <c r="CL104" i="11"/>
  <c r="CK104" i="11"/>
  <c r="CJ104" i="11"/>
  <c r="CI104" i="11"/>
  <c r="CH104" i="11"/>
  <c r="CG104" i="11"/>
  <c r="CF104" i="11"/>
  <c r="CE104" i="11"/>
  <c r="CD104" i="11"/>
  <c r="CC104" i="11"/>
  <c r="CB104" i="11"/>
  <c r="CA104" i="11"/>
  <c r="BZ104" i="11"/>
  <c r="BY104" i="11"/>
  <c r="BX104" i="11"/>
  <c r="BW104" i="11"/>
  <c r="BV104" i="11"/>
  <c r="BU104" i="11"/>
  <c r="BT104" i="11"/>
  <c r="BS104" i="11"/>
  <c r="BR104" i="11"/>
  <c r="BQ104" i="11"/>
  <c r="BP104" i="11"/>
  <c r="BO104" i="11"/>
  <c r="BN104" i="11"/>
  <c r="BM104" i="11"/>
  <c r="BL104" i="11"/>
  <c r="BK104" i="11"/>
  <c r="BJ104" i="11"/>
  <c r="BI104" i="11"/>
  <c r="BH104" i="11"/>
  <c r="BG104" i="11"/>
  <c r="BF104" i="11"/>
  <c r="BE104" i="11"/>
  <c r="BD104" i="11"/>
  <c r="BC104" i="11"/>
  <c r="BB104" i="11"/>
  <c r="BA104" i="11"/>
  <c r="AZ104" i="11"/>
  <c r="AY104" i="11"/>
  <c r="AX104" i="11"/>
  <c r="AW104" i="11"/>
  <c r="AV104" i="11"/>
  <c r="AU104" i="11"/>
  <c r="AT104" i="11"/>
  <c r="AS104" i="11"/>
  <c r="AR104" i="11"/>
  <c r="AQ104" i="11"/>
  <c r="AP104" i="11"/>
  <c r="AO104" i="11"/>
  <c r="AN104" i="11"/>
  <c r="AM104" i="11"/>
  <c r="AL104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E104" i="11"/>
  <c r="D104" i="11"/>
  <c r="C104" i="11"/>
  <c r="B104" i="11"/>
  <c r="A104" i="11"/>
  <c r="GL103" i="11"/>
  <c r="GL187" i="11"/>
  <c r="GK188" i="11"/>
  <c r="GJ188" i="11"/>
  <c r="GI188" i="11"/>
  <c r="GH188" i="11"/>
  <c r="GG188" i="11"/>
  <c r="GF188" i="11"/>
  <c r="GE188" i="11"/>
  <c r="GD188" i="11"/>
  <c r="GC188" i="11"/>
  <c r="GB188" i="11"/>
  <c r="GA188" i="11"/>
  <c r="FZ188" i="11"/>
  <c r="FY188" i="11"/>
  <c r="FX188" i="11"/>
  <c r="FW188" i="11"/>
  <c r="FV188" i="11"/>
  <c r="FU188" i="11"/>
  <c r="FT188" i="11"/>
  <c r="FS188" i="11"/>
  <c r="FR188" i="11"/>
  <c r="FQ188" i="11"/>
  <c r="FP188" i="11"/>
  <c r="FO188" i="11"/>
  <c r="FN188" i="11"/>
  <c r="FM188" i="11"/>
  <c r="FL188" i="11"/>
  <c r="FK188" i="11"/>
  <c r="FJ188" i="11"/>
  <c r="FI188" i="11"/>
  <c r="FH188" i="11"/>
  <c r="FG188" i="11"/>
  <c r="FF188" i="11"/>
  <c r="FE188" i="11"/>
  <c r="FD188" i="11"/>
  <c r="FC188" i="11"/>
  <c r="FB188" i="11"/>
  <c r="FA188" i="11"/>
  <c r="EZ188" i="11"/>
  <c r="EY188" i="11"/>
  <c r="EX188" i="11"/>
  <c r="EV188" i="11"/>
  <c r="EU188" i="11"/>
  <c r="ET188" i="11"/>
  <c r="ES188" i="11"/>
  <c r="ER188" i="11"/>
  <c r="EQ188" i="11"/>
  <c r="EP188" i="11"/>
  <c r="EO188" i="11"/>
  <c r="EN188" i="11"/>
  <c r="EM188" i="11"/>
  <c r="EL188" i="11"/>
  <c r="EK188" i="11"/>
  <c r="EJ188" i="11"/>
  <c r="EI188" i="11"/>
  <c r="EH188" i="11"/>
  <c r="EG188" i="11"/>
  <c r="EF188" i="11"/>
  <c r="EE188" i="11"/>
  <c r="ED188" i="11"/>
  <c r="EC188" i="11"/>
  <c r="EB188" i="11"/>
  <c r="EA188" i="11"/>
  <c r="DZ188" i="11"/>
  <c r="DY188" i="11"/>
  <c r="DX188" i="11"/>
  <c r="DW188" i="11"/>
  <c r="DV188" i="11"/>
  <c r="DU188" i="11"/>
  <c r="DT188" i="11"/>
  <c r="DS188" i="11"/>
  <c r="DR188" i="11"/>
  <c r="DQ188" i="11"/>
  <c r="DP188" i="11"/>
  <c r="DO188" i="11"/>
  <c r="DN188" i="11"/>
  <c r="DM188" i="11"/>
  <c r="DL188" i="11"/>
  <c r="DK188" i="11"/>
  <c r="DJ188" i="11"/>
  <c r="DI188" i="11"/>
  <c r="DH188" i="11"/>
  <c r="DG188" i="11"/>
  <c r="DF188" i="11"/>
  <c r="DE188" i="11"/>
  <c r="DD188" i="11"/>
  <c r="DC188" i="11"/>
  <c r="DB188" i="11"/>
  <c r="DA188" i="11"/>
  <c r="CZ188" i="11"/>
  <c r="CY188" i="11"/>
  <c r="CX188" i="11"/>
  <c r="CW188" i="11"/>
  <c r="CV188" i="11"/>
  <c r="CU188" i="11"/>
  <c r="CT188" i="11"/>
  <c r="CS188" i="11"/>
  <c r="CR188" i="11"/>
  <c r="CQ188" i="11"/>
  <c r="CP188" i="11"/>
  <c r="CO188" i="11"/>
  <c r="CN188" i="11"/>
  <c r="CM188" i="11"/>
  <c r="CL188" i="11"/>
  <c r="CK188" i="11"/>
  <c r="CJ188" i="11"/>
  <c r="CI188" i="11"/>
  <c r="CH188" i="11"/>
  <c r="CG188" i="11"/>
  <c r="CF188" i="11"/>
  <c r="CE188" i="11"/>
  <c r="CD188" i="11"/>
  <c r="CC188" i="11"/>
  <c r="CB188" i="11"/>
  <c r="CA188" i="11"/>
  <c r="BZ188" i="11"/>
  <c r="BY188" i="11"/>
  <c r="BX188" i="11"/>
  <c r="BW188" i="11"/>
  <c r="BV188" i="11"/>
  <c r="BU188" i="11"/>
  <c r="BT188" i="11"/>
  <c r="BS188" i="11"/>
  <c r="BR188" i="11"/>
  <c r="BQ188" i="11"/>
  <c r="BP188" i="11"/>
  <c r="BO188" i="11"/>
  <c r="BN188" i="11"/>
  <c r="BM188" i="11"/>
  <c r="BL188" i="11"/>
  <c r="BK188" i="11"/>
  <c r="BJ188" i="11"/>
  <c r="BI188" i="11"/>
  <c r="BH188" i="11"/>
  <c r="BG188" i="11"/>
  <c r="BF188" i="11"/>
  <c r="BE188" i="11"/>
  <c r="BD188" i="11"/>
  <c r="BC188" i="11"/>
  <c r="BB188" i="11"/>
  <c r="BA188" i="11"/>
  <c r="AZ188" i="11"/>
  <c r="AY188" i="11"/>
  <c r="AX188" i="11"/>
  <c r="AW188" i="11"/>
  <c r="AV188" i="11"/>
  <c r="AU188" i="11"/>
  <c r="AT188" i="11"/>
  <c r="AS188" i="11"/>
  <c r="AR188" i="11"/>
  <c r="AQ188" i="11"/>
  <c r="AP188" i="11"/>
  <c r="AO188" i="11"/>
  <c r="AN188" i="11"/>
  <c r="AM188" i="11"/>
  <c r="AL188" i="11"/>
  <c r="AK188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EY210" i="11"/>
  <c r="EZ208" i="11"/>
  <c r="FA208" i="11"/>
  <c r="FB208" i="11"/>
  <c r="FC208" i="11"/>
  <c r="FD208" i="11"/>
  <c r="FE208" i="11"/>
  <c r="FF208" i="11"/>
  <c r="FG208" i="11"/>
  <c r="FH208" i="11"/>
  <c r="FI208" i="11"/>
  <c r="FJ208" i="11"/>
  <c r="FK208" i="11"/>
  <c r="FL208" i="11"/>
  <c r="FM208" i="11"/>
  <c r="FN208" i="11"/>
  <c r="FO208" i="11"/>
  <c r="FP208" i="11"/>
  <c r="EY208" i="11"/>
  <c r="AV118" i="11"/>
  <c r="BL42" i="11"/>
  <c r="AB42" i="11"/>
  <c r="CJ68" i="11"/>
  <c r="CQ68" i="11"/>
  <c r="CS68" i="11"/>
  <c r="GL76" i="11" l="1"/>
  <c r="GL124" i="11"/>
  <c r="GL122" i="11"/>
  <c r="GL178" i="11"/>
  <c r="GL40" i="11"/>
  <c r="GL206" i="11"/>
  <c r="GL60" i="11"/>
  <c r="GL214" i="11"/>
  <c r="GL212" i="11"/>
  <c r="GL26" i="11"/>
  <c r="GL30" i="11"/>
  <c r="GL108" i="11"/>
  <c r="GL80" i="11"/>
  <c r="GL116" i="11"/>
  <c r="GL78" i="11"/>
  <c r="GL104" i="11"/>
  <c r="GL188" i="11"/>
  <c r="AD180" i="11"/>
  <c r="G70" i="11"/>
  <c r="BG82" i="11"/>
  <c r="AC54" i="11"/>
  <c r="AD54" i="11"/>
  <c r="AE54" i="11"/>
  <c r="AF54" i="11"/>
  <c r="AG54" i="11"/>
  <c r="AH54" i="11"/>
  <c r="AI54" i="11"/>
  <c r="AJ54" i="11"/>
  <c r="AK54" i="11"/>
  <c r="AL54" i="11"/>
  <c r="AB54" i="11"/>
  <c r="AN54" i="11"/>
  <c r="AO54" i="11"/>
  <c r="AP54" i="11"/>
  <c r="AQ54" i="11"/>
  <c r="AR54" i="11"/>
  <c r="AS54" i="11"/>
  <c r="AT54" i="11"/>
  <c r="AU54" i="11"/>
  <c r="AV54" i="11"/>
  <c r="AW54" i="11"/>
  <c r="AX54" i="11"/>
  <c r="AY54" i="11"/>
  <c r="AM54" i="11"/>
  <c r="BA54" i="11"/>
  <c r="BB54" i="11"/>
  <c r="BC54" i="11"/>
  <c r="BD54" i="11"/>
  <c r="BE54" i="11"/>
  <c r="BF54" i="11"/>
  <c r="BG54" i="11"/>
  <c r="BH54" i="11"/>
  <c r="BI54" i="11"/>
  <c r="BJ54" i="11"/>
  <c r="BK54" i="11"/>
  <c r="BL54" i="11"/>
  <c r="CH54" i="11"/>
  <c r="CI54" i="11"/>
  <c r="CJ54" i="11"/>
  <c r="CK54" i="11"/>
  <c r="CL54" i="11"/>
  <c r="CG54" i="11"/>
  <c r="BM54" i="11"/>
  <c r="BN54" i="11"/>
  <c r="BO54" i="11"/>
  <c r="BP54" i="11"/>
  <c r="BQ54" i="11"/>
  <c r="BR54" i="11"/>
  <c r="BS54" i="11"/>
  <c r="BT54" i="11"/>
  <c r="BU54" i="11"/>
  <c r="BV54" i="11"/>
  <c r="BW54" i="11"/>
  <c r="BX54" i="11"/>
  <c r="BY54" i="11"/>
  <c r="BZ54" i="11"/>
  <c r="CA54" i="11"/>
  <c r="CB54" i="11"/>
  <c r="CC54" i="11"/>
  <c r="CD54" i="11"/>
  <c r="CE54" i="11"/>
  <c r="CF54" i="11"/>
  <c r="CN54" i="11"/>
  <c r="CO54" i="11"/>
  <c r="CP54" i="11"/>
  <c r="CQ54" i="11"/>
  <c r="CR54" i="11"/>
  <c r="CS54" i="11"/>
  <c r="CT54" i="11"/>
  <c r="CU54" i="11"/>
  <c r="CM54" i="11"/>
  <c r="CV54" i="11"/>
  <c r="CW54" i="11"/>
  <c r="CX54" i="11"/>
  <c r="CY54" i="11"/>
  <c r="CZ54" i="11"/>
  <c r="DA54" i="11"/>
  <c r="DB54" i="11"/>
  <c r="DC54" i="11"/>
  <c r="DD54" i="11"/>
  <c r="DE54" i="11"/>
  <c r="DF54" i="11"/>
  <c r="DG54" i="11"/>
  <c r="DH54" i="11"/>
  <c r="DI54" i="11"/>
  <c r="DJ54" i="11"/>
  <c r="DK54" i="11"/>
  <c r="DL54" i="11"/>
  <c r="DM54" i="11"/>
  <c r="DN54" i="11"/>
  <c r="DO54" i="11"/>
  <c r="DP54" i="11"/>
  <c r="DQ54" i="11"/>
  <c r="DR54" i="11"/>
  <c r="DS54" i="11"/>
  <c r="DT54" i="11"/>
  <c r="DU54" i="11"/>
  <c r="DV54" i="11"/>
  <c r="DW54" i="11"/>
  <c r="DX54" i="11"/>
  <c r="DZ54" i="11"/>
  <c r="EA54" i="11"/>
  <c r="EB54" i="11"/>
  <c r="EC54" i="11"/>
  <c r="ED54" i="11"/>
  <c r="EE54" i="11"/>
  <c r="EF54" i="11"/>
  <c r="EG54" i="11"/>
  <c r="EH54" i="11"/>
  <c r="EI54" i="11"/>
  <c r="EJ54" i="11"/>
  <c r="EK54" i="11"/>
  <c r="EL54" i="11"/>
  <c r="EM54" i="11"/>
  <c r="EN54" i="11"/>
  <c r="EO54" i="11"/>
  <c r="EP54" i="11"/>
  <c r="EQ54" i="11"/>
  <c r="ER54" i="11"/>
  <c r="ES54" i="11"/>
  <c r="ET54" i="11"/>
  <c r="EU54" i="11"/>
  <c r="EV54" i="11"/>
  <c r="EX54" i="11"/>
  <c r="DY54" i="11"/>
  <c r="EZ54" i="11"/>
  <c r="FA54" i="11"/>
  <c r="FB54" i="11"/>
  <c r="FC54" i="11"/>
  <c r="FD54" i="11"/>
  <c r="FE54" i="11"/>
  <c r="FF54" i="11"/>
  <c r="FG54" i="11"/>
  <c r="FH54" i="11"/>
  <c r="FI54" i="11"/>
  <c r="FJ54" i="11"/>
  <c r="FK54" i="11"/>
  <c r="FL54" i="11"/>
  <c r="FM54" i="11"/>
  <c r="FN54" i="11"/>
  <c r="FO54" i="11"/>
  <c r="FP54" i="11"/>
  <c r="EY54" i="11"/>
  <c r="GC54" i="11"/>
  <c r="GD54" i="11"/>
  <c r="GE54" i="11"/>
  <c r="GF54" i="11"/>
  <c r="GG54" i="11"/>
  <c r="GH54" i="11"/>
  <c r="GI54" i="11"/>
  <c r="GJ54" i="11"/>
  <c r="GK54" i="11"/>
  <c r="GB54" i="11"/>
  <c r="FS54" i="11"/>
  <c r="FT54" i="11"/>
  <c r="FU54" i="11"/>
  <c r="FV54" i="11"/>
  <c r="FW54" i="11"/>
  <c r="FX54" i="11"/>
  <c r="FY54" i="11"/>
  <c r="FZ54" i="11"/>
  <c r="FR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Z54" i="11"/>
  <c r="G54" i="11"/>
  <c r="GL53" i="11"/>
  <c r="A56" i="11"/>
  <c r="B56" i="11"/>
  <c r="C56" i="11"/>
  <c r="C58" i="11" s="1"/>
  <c r="A58" i="11"/>
  <c r="B58" i="11"/>
  <c r="B62" i="11" s="1"/>
  <c r="A64" i="11"/>
  <c r="B64" i="11"/>
  <c r="C64" i="11"/>
  <c r="GK36" i="11"/>
  <c r="GJ36" i="11"/>
  <c r="GI36" i="11"/>
  <c r="GH36" i="11"/>
  <c r="GG36" i="11"/>
  <c r="GF36" i="11"/>
  <c r="GE36" i="11"/>
  <c r="GD36" i="11"/>
  <c r="GC36" i="11"/>
  <c r="GB36" i="11"/>
  <c r="GA36" i="11"/>
  <c r="FZ36" i="11"/>
  <c r="FY36" i="11"/>
  <c r="FX36" i="11"/>
  <c r="FW36" i="11"/>
  <c r="FV36" i="11"/>
  <c r="FU36" i="11"/>
  <c r="FT36" i="11"/>
  <c r="FS36" i="11"/>
  <c r="FR36" i="11"/>
  <c r="FQ36" i="11"/>
  <c r="FP36" i="11"/>
  <c r="FO36" i="11"/>
  <c r="FN36" i="11"/>
  <c r="FM36" i="11"/>
  <c r="FL36" i="11"/>
  <c r="FK36" i="11"/>
  <c r="FJ36" i="11"/>
  <c r="FI36" i="11"/>
  <c r="FH36" i="11"/>
  <c r="FG36" i="11"/>
  <c r="FF36" i="11"/>
  <c r="FE36" i="11"/>
  <c r="FD36" i="11"/>
  <c r="FC36" i="11"/>
  <c r="FB36" i="11"/>
  <c r="FA36" i="11"/>
  <c r="EZ36" i="11"/>
  <c r="EY36" i="11"/>
  <c r="EX36" i="11"/>
  <c r="EV36" i="11"/>
  <c r="EU36" i="11"/>
  <c r="ET36" i="11"/>
  <c r="ES36" i="11"/>
  <c r="ER36" i="11"/>
  <c r="EQ36" i="11"/>
  <c r="EP36" i="11"/>
  <c r="EO36" i="11"/>
  <c r="EN36" i="11"/>
  <c r="EM36" i="11"/>
  <c r="EL36" i="11"/>
  <c r="EK36" i="11"/>
  <c r="EJ36" i="11"/>
  <c r="EI36" i="11"/>
  <c r="EH36" i="11"/>
  <c r="EG36" i="11"/>
  <c r="EF36" i="11"/>
  <c r="EE36" i="11"/>
  <c r="ED36" i="11"/>
  <c r="EC36" i="11"/>
  <c r="EB36" i="11"/>
  <c r="EA36" i="11"/>
  <c r="DZ36" i="11"/>
  <c r="DY36" i="11"/>
  <c r="DX36" i="11"/>
  <c r="DW36" i="11"/>
  <c r="DV36" i="11"/>
  <c r="DU36" i="11"/>
  <c r="DT36" i="11"/>
  <c r="DS36" i="11"/>
  <c r="DR36" i="11"/>
  <c r="DQ36" i="11"/>
  <c r="DP36" i="11"/>
  <c r="DO36" i="11"/>
  <c r="DN36" i="11"/>
  <c r="DM36" i="11"/>
  <c r="DL36" i="11"/>
  <c r="DK36" i="11"/>
  <c r="DJ36" i="11"/>
  <c r="DI36" i="11"/>
  <c r="DH36" i="11"/>
  <c r="DG36" i="11"/>
  <c r="DF36" i="11"/>
  <c r="DE36" i="11"/>
  <c r="DD36" i="11"/>
  <c r="DC36" i="11"/>
  <c r="DB36" i="11"/>
  <c r="DA36" i="11"/>
  <c r="CZ36" i="11"/>
  <c r="CY36" i="11"/>
  <c r="CX36" i="11"/>
  <c r="CW36" i="11"/>
  <c r="CV36" i="11"/>
  <c r="CU36" i="11"/>
  <c r="CT36" i="11"/>
  <c r="CS36" i="11"/>
  <c r="CR36" i="11"/>
  <c r="CQ36" i="11"/>
  <c r="CP36" i="11"/>
  <c r="CO36" i="11"/>
  <c r="CN36" i="11"/>
  <c r="CM36" i="11"/>
  <c r="CL36" i="11"/>
  <c r="CK36" i="11"/>
  <c r="CJ36" i="11"/>
  <c r="CI36" i="11"/>
  <c r="CH36" i="11"/>
  <c r="CG36" i="11"/>
  <c r="CF36" i="11"/>
  <c r="CE36" i="11"/>
  <c r="CD36" i="11"/>
  <c r="CC36" i="11"/>
  <c r="CB36" i="11"/>
  <c r="CA36" i="11"/>
  <c r="BZ36" i="11"/>
  <c r="BY36" i="11"/>
  <c r="BX36" i="11"/>
  <c r="BW36" i="11"/>
  <c r="BV36" i="11"/>
  <c r="BU36" i="11"/>
  <c r="BT36" i="11"/>
  <c r="BS36" i="11"/>
  <c r="BR36" i="11"/>
  <c r="BQ36" i="11"/>
  <c r="BP36" i="11"/>
  <c r="BO36" i="11"/>
  <c r="BN36" i="11"/>
  <c r="BM36" i="11"/>
  <c r="BL36" i="11"/>
  <c r="BK36" i="11"/>
  <c r="BJ36" i="11"/>
  <c r="BI36" i="11"/>
  <c r="BH36" i="11"/>
  <c r="BG36" i="11"/>
  <c r="BF36" i="11"/>
  <c r="BE36" i="11"/>
  <c r="BD36" i="11"/>
  <c r="BC36" i="11"/>
  <c r="BB36" i="11"/>
  <c r="BA36" i="11"/>
  <c r="AZ36" i="11"/>
  <c r="AY36" i="11"/>
  <c r="AX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GK34" i="11"/>
  <c r="GJ34" i="11"/>
  <c r="GI34" i="11"/>
  <c r="GH34" i="11"/>
  <c r="GG34" i="11"/>
  <c r="GF34" i="11"/>
  <c r="GE34" i="11"/>
  <c r="GD34" i="11"/>
  <c r="GC34" i="11"/>
  <c r="GB34" i="11"/>
  <c r="GA34" i="11"/>
  <c r="FZ34" i="11"/>
  <c r="FY34" i="11"/>
  <c r="FX34" i="11"/>
  <c r="FW34" i="11"/>
  <c r="FV34" i="11"/>
  <c r="FU34" i="11"/>
  <c r="FT34" i="11"/>
  <c r="FS34" i="11"/>
  <c r="FR34" i="11"/>
  <c r="FQ34" i="11"/>
  <c r="FP34" i="11"/>
  <c r="FO34" i="11"/>
  <c r="FN34" i="11"/>
  <c r="FM34" i="11"/>
  <c r="FL34" i="11"/>
  <c r="FK34" i="11"/>
  <c r="FJ34" i="11"/>
  <c r="FI34" i="11"/>
  <c r="FH34" i="11"/>
  <c r="FG34" i="11"/>
  <c r="FF34" i="11"/>
  <c r="FE34" i="11"/>
  <c r="FD34" i="11"/>
  <c r="FC34" i="11"/>
  <c r="FB34" i="11"/>
  <c r="FA34" i="11"/>
  <c r="EZ34" i="11"/>
  <c r="EY34" i="11"/>
  <c r="EX34" i="11"/>
  <c r="EV34" i="11"/>
  <c r="EU34" i="11"/>
  <c r="ET34" i="11"/>
  <c r="ES34" i="11"/>
  <c r="ER34" i="11"/>
  <c r="EQ34" i="11"/>
  <c r="EP34" i="11"/>
  <c r="EO34" i="11"/>
  <c r="EN34" i="11"/>
  <c r="EM34" i="11"/>
  <c r="EL34" i="11"/>
  <c r="EK34" i="11"/>
  <c r="EJ34" i="11"/>
  <c r="EI34" i="11"/>
  <c r="EH34" i="11"/>
  <c r="EG34" i="11"/>
  <c r="EF34" i="11"/>
  <c r="EE34" i="11"/>
  <c r="ED34" i="11"/>
  <c r="EC34" i="11"/>
  <c r="EB34" i="11"/>
  <c r="EA34" i="11"/>
  <c r="DZ34" i="11"/>
  <c r="DY34" i="11"/>
  <c r="DX34" i="11"/>
  <c r="DW34" i="11"/>
  <c r="DV34" i="11"/>
  <c r="DU34" i="11"/>
  <c r="DT34" i="11"/>
  <c r="DS34" i="11"/>
  <c r="DR34" i="11"/>
  <c r="DQ34" i="11"/>
  <c r="DP34" i="11"/>
  <c r="DO34" i="11"/>
  <c r="DN34" i="11"/>
  <c r="DM34" i="11"/>
  <c r="DL34" i="11"/>
  <c r="DK34" i="11"/>
  <c r="DJ34" i="11"/>
  <c r="DI34" i="11"/>
  <c r="DH34" i="11"/>
  <c r="DG34" i="11"/>
  <c r="DF34" i="11"/>
  <c r="DE34" i="11"/>
  <c r="DD34" i="11"/>
  <c r="DC34" i="11"/>
  <c r="DB34" i="11"/>
  <c r="DA34" i="11"/>
  <c r="CZ34" i="11"/>
  <c r="CY34" i="11"/>
  <c r="CX34" i="11"/>
  <c r="CW34" i="11"/>
  <c r="CV34" i="11"/>
  <c r="CU34" i="11"/>
  <c r="CT34" i="11"/>
  <c r="CS34" i="11"/>
  <c r="CR34" i="11"/>
  <c r="CQ34" i="11"/>
  <c r="CP34" i="11"/>
  <c r="CO34" i="11"/>
  <c r="CN34" i="11"/>
  <c r="CM34" i="11"/>
  <c r="CL34" i="11"/>
  <c r="CK34" i="11"/>
  <c r="CJ34" i="11"/>
  <c r="CI34" i="11"/>
  <c r="CH34" i="11"/>
  <c r="CG34" i="11"/>
  <c r="CF34" i="11"/>
  <c r="CE34" i="11"/>
  <c r="CD34" i="11"/>
  <c r="CC34" i="11"/>
  <c r="CB34" i="11"/>
  <c r="CA34" i="11"/>
  <c r="BZ34" i="11"/>
  <c r="BY34" i="11"/>
  <c r="BX34" i="11"/>
  <c r="BW34" i="11"/>
  <c r="BV34" i="11"/>
  <c r="BU34" i="11"/>
  <c r="BT34" i="11"/>
  <c r="BS34" i="11"/>
  <c r="BR34" i="11"/>
  <c r="BQ34" i="11"/>
  <c r="BP34" i="11"/>
  <c r="BO34" i="11"/>
  <c r="BN34" i="11"/>
  <c r="BM34" i="11"/>
  <c r="BL34" i="11"/>
  <c r="BK34" i="11"/>
  <c r="BJ34" i="11"/>
  <c r="BI34" i="11"/>
  <c r="BH34" i="11"/>
  <c r="BG34" i="11"/>
  <c r="BF34" i="11"/>
  <c r="BE34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V32" i="11"/>
  <c r="W32" i="11"/>
  <c r="X32" i="11"/>
  <c r="Y32" i="11"/>
  <c r="Z32" i="11"/>
  <c r="AA32" i="11"/>
  <c r="AB32" i="11"/>
  <c r="AD32" i="11"/>
  <c r="AE32" i="11"/>
  <c r="AF32" i="11"/>
  <c r="AG32" i="11"/>
  <c r="AH32" i="11"/>
  <c r="AI32" i="11"/>
  <c r="AJ32" i="11"/>
  <c r="AK32" i="11"/>
  <c r="AL32" i="11"/>
  <c r="AN32" i="11"/>
  <c r="AO32" i="11"/>
  <c r="AP32" i="11"/>
  <c r="AQ32" i="11"/>
  <c r="AR32" i="11"/>
  <c r="AS32" i="11"/>
  <c r="AT32" i="11"/>
  <c r="AU32" i="11"/>
  <c r="AW32" i="11"/>
  <c r="AX32" i="11"/>
  <c r="AY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N32" i="11"/>
  <c r="BO32" i="11"/>
  <c r="BP32" i="11"/>
  <c r="BQ32" i="11"/>
  <c r="BR32" i="11"/>
  <c r="BS32" i="11"/>
  <c r="BT32" i="11"/>
  <c r="BU32" i="11"/>
  <c r="BV32" i="11"/>
  <c r="BW32" i="11"/>
  <c r="BX32" i="11"/>
  <c r="BY32" i="11"/>
  <c r="BZ32" i="11"/>
  <c r="CA32" i="11"/>
  <c r="CB32" i="11"/>
  <c r="CC32" i="11"/>
  <c r="CD32" i="11"/>
  <c r="CE32" i="11"/>
  <c r="CF32" i="11"/>
  <c r="CG32" i="11"/>
  <c r="CH32" i="11"/>
  <c r="CJ32" i="11"/>
  <c r="CK32" i="11"/>
  <c r="CL32" i="11"/>
  <c r="CN32" i="11"/>
  <c r="CO32" i="11"/>
  <c r="CP32" i="11"/>
  <c r="CQ32" i="11"/>
  <c r="CR32" i="11"/>
  <c r="CS32" i="11"/>
  <c r="CT32" i="11"/>
  <c r="CV32" i="11"/>
  <c r="CW32" i="11"/>
  <c r="CX32" i="11"/>
  <c r="CY32" i="11"/>
  <c r="CZ32" i="11"/>
  <c r="DA32" i="11"/>
  <c r="DB32" i="11"/>
  <c r="DC32" i="11"/>
  <c r="DD32" i="11"/>
  <c r="DE32" i="11"/>
  <c r="DF32" i="11"/>
  <c r="DG32" i="11"/>
  <c r="DH32" i="11"/>
  <c r="DI32" i="11"/>
  <c r="DJ32" i="11"/>
  <c r="DK32" i="11"/>
  <c r="DL32" i="11"/>
  <c r="DM32" i="11"/>
  <c r="DN32" i="11"/>
  <c r="DO32" i="11"/>
  <c r="DP32" i="11"/>
  <c r="DQ32" i="11"/>
  <c r="DR32" i="11"/>
  <c r="DS32" i="11"/>
  <c r="DT32" i="11"/>
  <c r="DU32" i="11"/>
  <c r="DV32" i="11"/>
  <c r="DW32" i="11"/>
  <c r="DX32" i="11"/>
  <c r="DZ32" i="11"/>
  <c r="EA32" i="11"/>
  <c r="EB32" i="11"/>
  <c r="EC32" i="11"/>
  <c r="ED32" i="11"/>
  <c r="EE32" i="11"/>
  <c r="EF32" i="11"/>
  <c r="EG32" i="11"/>
  <c r="EH32" i="11"/>
  <c r="EI32" i="11"/>
  <c r="EJ32" i="11"/>
  <c r="EK32" i="11"/>
  <c r="EL32" i="11"/>
  <c r="EM32" i="11"/>
  <c r="EN32" i="11"/>
  <c r="EO32" i="11"/>
  <c r="EP32" i="11"/>
  <c r="EQ32" i="11"/>
  <c r="ER32" i="11"/>
  <c r="ES32" i="11"/>
  <c r="ET32" i="11"/>
  <c r="EU32" i="11"/>
  <c r="EV32" i="11"/>
  <c r="EX32" i="11"/>
  <c r="EZ32" i="11"/>
  <c r="FA32" i="11"/>
  <c r="FB32" i="11"/>
  <c r="FC32" i="11"/>
  <c r="FD32" i="11"/>
  <c r="FE32" i="11"/>
  <c r="FF32" i="11"/>
  <c r="FG32" i="11"/>
  <c r="FH32" i="11"/>
  <c r="FI32" i="11"/>
  <c r="FJ32" i="11"/>
  <c r="FK32" i="11"/>
  <c r="FM32" i="11"/>
  <c r="FN32" i="11"/>
  <c r="FO32" i="11"/>
  <c r="FP32" i="11"/>
  <c r="AW156" i="11"/>
  <c r="AX156" i="11"/>
  <c r="BA156" i="11"/>
  <c r="BB156" i="11"/>
  <c r="BC156" i="11"/>
  <c r="BD156" i="11"/>
  <c r="BE156" i="11"/>
  <c r="BF156" i="11"/>
  <c r="BG156" i="11"/>
  <c r="BH156" i="11"/>
  <c r="BI156" i="11"/>
  <c r="BJ156" i="11"/>
  <c r="BK156" i="11"/>
  <c r="BL156" i="11"/>
  <c r="BN156" i="11"/>
  <c r="BO156" i="11"/>
  <c r="BP156" i="11"/>
  <c r="BQ156" i="11"/>
  <c r="BR156" i="11"/>
  <c r="BS156" i="11"/>
  <c r="BT156" i="11"/>
  <c r="BU156" i="11"/>
  <c r="BV156" i="11"/>
  <c r="BX156" i="11"/>
  <c r="BY156" i="11"/>
  <c r="BZ156" i="11"/>
  <c r="CA156" i="11"/>
  <c r="CB156" i="11"/>
  <c r="CC156" i="11"/>
  <c r="CD156" i="11"/>
  <c r="CE156" i="11"/>
  <c r="CF156" i="11"/>
  <c r="CG156" i="11"/>
  <c r="CH156" i="11"/>
  <c r="CJ156" i="11"/>
  <c r="CK156" i="11"/>
  <c r="CL156" i="11"/>
  <c r="CJ154" i="11"/>
  <c r="CK154" i="11"/>
  <c r="CL154" i="11"/>
  <c r="CN156" i="11"/>
  <c r="CO156" i="11"/>
  <c r="CP156" i="11"/>
  <c r="CQ156" i="11"/>
  <c r="CR156" i="11"/>
  <c r="CS156" i="11"/>
  <c r="CT156" i="11"/>
  <c r="DZ156" i="11"/>
  <c r="EA156" i="11"/>
  <c r="EB156" i="11"/>
  <c r="EC156" i="11"/>
  <c r="ED156" i="11"/>
  <c r="EE156" i="11"/>
  <c r="EF156" i="11"/>
  <c r="EG156" i="11"/>
  <c r="EH156" i="11"/>
  <c r="EI156" i="11"/>
  <c r="EJ156" i="11"/>
  <c r="EK156" i="11"/>
  <c r="EL156" i="11"/>
  <c r="EM156" i="11"/>
  <c r="EN156" i="11"/>
  <c r="EO156" i="11"/>
  <c r="EP156" i="11"/>
  <c r="EQ156" i="11"/>
  <c r="ER156" i="11"/>
  <c r="ES156" i="11"/>
  <c r="ET156" i="11"/>
  <c r="EU156" i="11"/>
  <c r="EV156" i="11"/>
  <c r="EX156" i="11"/>
  <c r="EZ156" i="11"/>
  <c r="FA156" i="11"/>
  <c r="FB156" i="11"/>
  <c r="FC156" i="11"/>
  <c r="FD156" i="11"/>
  <c r="FE156" i="11"/>
  <c r="FF156" i="11"/>
  <c r="FG156" i="11"/>
  <c r="FH156" i="11"/>
  <c r="FI156" i="11"/>
  <c r="FJ156" i="11"/>
  <c r="FK156" i="11"/>
  <c r="FM156" i="11"/>
  <c r="FN156" i="11"/>
  <c r="FO156" i="11"/>
  <c r="FP156" i="11"/>
  <c r="AD136" i="11"/>
  <c r="AE136" i="11"/>
  <c r="AF136" i="11"/>
  <c r="AG136" i="11"/>
  <c r="AH136" i="11"/>
  <c r="AI136" i="11"/>
  <c r="AJ136" i="11"/>
  <c r="AK136" i="11"/>
  <c r="AL136" i="11"/>
  <c r="AN136" i="11"/>
  <c r="AO136" i="11"/>
  <c r="AP136" i="11"/>
  <c r="AQ136" i="11"/>
  <c r="AR136" i="11"/>
  <c r="AS136" i="11"/>
  <c r="AT136" i="11"/>
  <c r="AU136" i="11"/>
  <c r="AV136" i="11"/>
  <c r="AW136" i="11"/>
  <c r="AX136" i="11"/>
  <c r="AY136" i="11"/>
  <c r="BA136" i="11"/>
  <c r="BB136" i="11"/>
  <c r="BC136" i="11"/>
  <c r="BD136" i="11"/>
  <c r="BE136" i="11"/>
  <c r="BF136" i="11"/>
  <c r="BG136" i="11"/>
  <c r="BH136" i="11"/>
  <c r="BI136" i="11"/>
  <c r="BJ136" i="11"/>
  <c r="BK136" i="11"/>
  <c r="BL136" i="11"/>
  <c r="BN136" i="11"/>
  <c r="BO136" i="11"/>
  <c r="BP136" i="11"/>
  <c r="BQ136" i="11"/>
  <c r="BR136" i="11"/>
  <c r="BS136" i="11"/>
  <c r="BT136" i="11"/>
  <c r="BU136" i="11"/>
  <c r="BV136" i="11"/>
  <c r="BX136" i="11"/>
  <c r="BY136" i="11"/>
  <c r="BZ136" i="11"/>
  <c r="CA136" i="11"/>
  <c r="CB136" i="11"/>
  <c r="CC136" i="11"/>
  <c r="CD136" i="11"/>
  <c r="CE136" i="11"/>
  <c r="CF136" i="11"/>
  <c r="CG136" i="11"/>
  <c r="CH136" i="11"/>
  <c r="CL136" i="11"/>
  <c r="CJ136" i="11"/>
  <c r="CK136" i="11"/>
  <c r="CN136" i="11"/>
  <c r="CO136" i="11"/>
  <c r="CP136" i="11"/>
  <c r="CQ136" i="11"/>
  <c r="CR136" i="11"/>
  <c r="CS136" i="11"/>
  <c r="CT136" i="11"/>
  <c r="CV136" i="11"/>
  <c r="CW136" i="11"/>
  <c r="CX136" i="11"/>
  <c r="CY136" i="11"/>
  <c r="CZ136" i="11"/>
  <c r="DA136" i="11"/>
  <c r="DB136" i="11"/>
  <c r="DC136" i="11"/>
  <c r="DD136" i="11"/>
  <c r="DE136" i="11"/>
  <c r="DF136" i="11"/>
  <c r="DG136" i="11"/>
  <c r="DH136" i="11"/>
  <c r="DI136" i="11"/>
  <c r="DJ136" i="11"/>
  <c r="DK136" i="11"/>
  <c r="DL136" i="11"/>
  <c r="DM136" i="11"/>
  <c r="DN136" i="11"/>
  <c r="DO136" i="11"/>
  <c r="DP136" i="11"/>
  <c r="DQ136" i="11"/>
  <c r="DR136" i="11"/>
  <c r="DS136" i="11"/>
  <c r="DT136" i="11"/>
  <c r="DU136" i="11"/>
  <c r="DV136" i="11"/>
  <c r="DW136" i="11"/>
  <c r="DX136" i="11"/>
  <c r="DZ136" i="11"/>
  <c r="EA136" i="11"/>
  <c r="EB136" i="11"/>
  <c r="EC136" i="11"/>
  <c r="ED136" i="11"/>
  <c r="EE136" i="11"/>
  <c r="EF136" i="11"/>
  <c r="EG136" i="11"/>
  <c r="EH136" i="11"/>
  <c r="EI136" i="11"/>
  <c r="EJ136" i="11"/>
  <c r="EK136" i="11"/>
  <c r="EL136" i="11"/>
  <c r="EM136" i="11"/>
  <c r="EN136" i="11"/>
  <c r="EO136" i="11"/>
  <c r="EP136" i="11"/>
  <c r="EQ136" i="11"/>
  <c r="ER136" i="11"/>
  <c r="ES136" i="11"/>
  <c r="ET136" i="11"/>
  <c r="EU136" i="11"/>
  <c r="EV136" i="11"/>
  <c r="EX136" i="11"/>
  <c r="EZ136" i="11"/>
  <c r="FA136" i="11"/>
  <c r="FB136" i="11"/>
  <c r="FC136" i="11"/>
  <c r="FD136" i="11"/>
  <c r="FE136" i="11"/>
  <c r="FF136" i="11"/>
  <c r="FG136" i="11"/>
  <c r="FH136" i="11"/>
  <c r="FI136" i="11"/>
  <c r="FJ136" i="11"/>
  <c r="FK136" i="11"/>
  <c r="FM136" i="11"/>
  <c r="FN136" i="11"/>
  <c r="FO136" i="11"/>
  <c r="FP136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J162" i="11"/>
  <c r="AK162" i="11"/>
  <c r="AL162" i="11"/>
  <c r="AN162" i="11"/>
  <c r="AO162" i="11"/>
  <c r="AP162" i="11"/>
  <c r="AQ162" i="11"/>
  <c r="AR162" i="11"/>
  <c r="AS162" i="11"/>
  <c r="AT162" i="11"/>
  <c r="AU162" i="11"/>
  <c r="AV162" i="11"/>
  <c r="AW162" i="11"/>
  <c r="AX162" i="11"/>
  <c r="AY162" i="11"/>
  <c r="BA162" i="11"/>
  <c r="BB162" i="11"/>
  <c r="BC162" i="11"/>
  <c r="BD162" i="11"/>
  <c r="BE162" i="11"/>
  <c r="BF162" i="11"/>
  <c r="BG162" i="11"/>
  <c r="BH162" i="11"/>
  <c r="BI162" i="11"/>
  <c r="BJ162" i="11"/>
  <c r="BK162" i="11"/>
  <c r="BL162" i="11"/>
  <c r="BM162" i="11"/>
  <c r="BN162" i="11"/>
  <c r="BO162" i="11"/>
  <c r="BP162" i="11"/>
  <c r="BQ162" i="11"/>
  <c r="BR162" i="11"/>
  <c r="BS162" i="11"/>
  <c r="BT162" i="11"/>
  <c r="BU162" i="11"/>
  <c r="BV162" i="11"/>
  <c r="BX162" i="11"/>
  <c r="BY162" i="11"/>
  <c r="BZ162" i="11"/>
  <c r="CA162" i="11"/>
  <c r="CB162" i="11"/>
  <c r="CC162" i="11"/>
  <c r="CD162" i="11"/>
  <c r="CE162" i="11"/>
  <c r="CF162" i="11"/>
  <c r="CG162" i="11"/>
  <c r="CH162" i="11"/>
  <c r="CI162" i="11"/>
  <c r="CJ162" i="11"/>
  <c r="CK162" i="11"/>
  <c r="CL162" i="11"/>
  <c r="CN162" i="11"/>
  <c r="CO162" i="11"/>
  <c r="CP162" i="11"/>
  <c r="CQ162" i="11"/>
  <c r="CR162" i="11"/>
  <c r="CS162" i="11"/>
  <c r="CT162" i="11"/>
  <c r="CV162" i="11"/>
  <c r="CW162" i="11"/>
  <c r="CX162" i="11"/>
  <c r="CY162" i="11"/>
  <c r="CZ162" i="11"/>
  <c r="DA162" i="11"/>
  <c r="DB162" i="11"/>
  <c r="DC162" i="11"/>
  <c r="DD162" i="11"/>
  <c r="DE162" i="11"/>
  <c r="DF162" i="11"/>
  <c r="DG162" i="11"/>
  <c r="DH162" i="11"/>
  <c r="DI162" i="11"/>
  <c r="DJ162" i="11"/>
  <c r="DK162" i="11"/>
  <c r="DL162" i="11"/>
  <c r="DM162" i="11"/>
  <c r="DN162" i="11"/>
  <c r="DO162" i="11"/>
  <c r="DP162" i="11"/>
  <c r="DQ162" i="11"/>
  <c r="DR162" i="11"/>
  <c r="DS162" i="11"/>
  <c r="DT162" i="11"/>
  <c r="DU162" i="11"/>
  <c r="DV162" i="11"/>
  <c r="DW162" i="11"/>
  <c r="DX162" i="11"/>
  <c r="DZ162" i="11"/>
  <c r="EA162" i="11"/>
  <c r="EB162" i="11"/>
  <c r="EC162" i="11"/>
  <c r="ED162" i="11"/>
  <c r="EE162" i="11"/>
  <c r="EF162" i="11"/>
  <c r="EG162" i="11"/>
  <c r="EH162" i="11"/>
  <c r="EI162" i="11"/>
  <c r="EJ162" i="11"/>
  <c r="EK162" i="11"/>
  <c r="EL162" i="11"/>
  <c r="EM162" i="11"/>
  <c r="EN162" i="11"/>
  <c r="EO162" i="11"/>
  <c r="EP162" i="11"/>
  <c r="EQ162" i="11"/>
  <c r="ER162" i="11"/>
  <c r="ES162" i="11"/>
  <c r="ET162" i="11"/>
  <c r="EU162" i="11"/>
  <c r="EV162" i="11"/>
  <c r="EX162" i="11"/>
  <c r="EZ162" i="11"/>
  <c r="FA162" i="11"/>
  <c r="FB162" i="11"/>
  <c r="FC162" i="11"/>
  <c r="FD162" i="11"/>
  <c r="FE162" i="11"/>
  <c r="FF162" i="11"/>
  <c r="FG162" i="11"/>
  <c r="FH162" i="11"/>
  <c r="FI162" i="11"/>
  <c r="FJ162" i="11"/>
  <c r="FK162" i="11"/>
  <c r="FM162" i="11"/>
  <c r="FN162" i="11"/>
  <c r="FO162" i="11"/>
  <c r="FP162" i="11"/>
  <c r="H28" i="11"/>
  <c r="I28" i="11"/>
  <c r="J28" i="11"/>
  <c r="K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D28" i="11"/>
  <c r="AE28" i="11"/>
  <c r="AF28" i="11"/>
  <c r="AG28" i="11"/>
  <c r="AH28" i="11"/>
  <c r="AI28" i="11"/>
  <c r="AJ28" i="11"/>
  <c r="AK28" i="11"/>
  <c r="AL28" i="11"/>
  <c r="AN28" i="11"/>
  <c r="AO28" i="11"/>
  <c r="AP28" i="11"/>
  <c r="AQ28" i="11"/>
  <c r="AR28" i="11"/>
  <c r="AS28" i="11"/>
  <c r="AT28" i="11"/>
  <c r="AU28" i="11"/>
  <c r="AW28" i="11"/>
  <c r="AX28" i="11"/>
  <c r="AY28" i="11"/>
  <c r="BA28" i="11"/>
  <c r="BB28" i="11"/>
  <c r="BC28" i="11"/>
  <c r="BD28" i="11"/>
  <c r="BE28" i="11"/>
  <c r="BF28" i="11"/>
  <c r="BG28" i="11"/>
  <c r="BH28" i="11"/>
  <c r="BI28" i="11"/>
  <c r="BJ28" i="11"/>
  <c r="BK28" i="11"/>
  <c r="BL28" i="11"/>
  <c r="BN28" i="11"/>
  <c r="BO28" i="11"/>
  <c r="BP28" i="11"/>
  <c r="BQ28" i="11"/>
  <c r="BR28" i="11"/>
  <c r="BS28" i="11"/>
  <c r="BT28" i="11"/>
  <c r="BU28" i="11"/>
  <c r="BV28" i="11"/>
  <c r="BX28" i="11"/>
  <c r="BY28" i="11"/>
  <c r="BZ28" i="11"/>
  <c r="CA28" i="11"/>
  <c r="CB28" i="11"/>
  <c r="CC28" i="11"/>
  <c r="CD28" i="11"/>
  <c r="CE28" i="11"/>
  <c r="CF28" i="11"/>
  <c r="CG28" i="11"/>
  <c r="CH28" i="11"/>
  <c r="CJ28" i="11"/>
  <c r="CK28" i="11"/>
  <c r="CL28" i="11"/>
  <c r="CN28" i="11"/>
  <c r="CO28" i="11"/>
  <c r="CP28" i="11"/>
  <c r="CQ28" i="11"/>
  <c r="CR28" i="11"/>
  <c r="CS28" i="11"/>
  <c r="CT28" i="11"/>
  <c r="CV28" i="11"/>
  <c r="CW28" i="11"/>
  <c r="CX28" i="11"/>
  <c r="CY28" i="11"/>
  <c r="CZ28" i="11"/>
  <c r="DA28" i="11"/>
  <c r="DB28" i="11"/>
  <c r="DC28" i="11"/>
  <c r="DD28" i="11"/>
  <c r="DE28" i="11"/>
  <c r="DF28" i="11"/>
  <c r="DG28" i="11"/>
  <c r="DH28" i="11"/>
  <c r="DI28" i="11"/>
  <c r="DJ28" i="11"/>
  <c r="DK28" i="11"/>
  <c r="DL28" i="11"/>
  <c r="DM28" i="11"/>
  <c r="DN28" i="11"/>
  <c r="DO28" i="11"/>
  <c r="DP28" i="11"/>
  <c r="DQ28" i="11"/>
  <c r="DR28" i="11"/>
  <c r="DS28" i="11"/>
  <c r="DT28" i="11"/>
  <c r="DU28" i="11"/>
  <c r="DV28" i="11"/>
  <c r="DW28" i="11"/>
  <c r="DX28" i="11"/>
  <c r="DZ28" i="11"/>
  <c r="EA28" i="11"/>
  <c r="EB28" i="11"/>
  <c r="EC28" i="11"/>
  <c r="ED28" i="11"/>
  <c r="EE28" i="11"/>
  <c r="EF28" i="11"/>
  <c r="EG28" i="11"/>
  <c r="EH28" i="11"/>
  <c r="EI28" i="11"/>
  <c r="EJ28" i="11"/>
  <c r="EK28" i="11"/>
  <c r="EL28" i="11"/>
  <c r="EM28" i="11"/>
  <c r="EN28" i="11"/>
  <c r="EO28" i="11"/>
  <c r="EQ28" i="11"/>
  <c r="ER28" i="11"/>
  <c r="ES28" i="11"/>
  <c r="ET28" i="11"/>
  <c r="EU28" i="11"/>
  <c r="EV28" i="11"/>
  <c r="EX28" i="11"/>
  <c r="EZ28" i="11"/>
  <c r="FA28" i="11"/>
  <c r="FB28" i="11"/>
  <c r="FC28" i="11"/>
  <c r="FD28" i="11"/>
  <c r="FE28" i="11"/>
  <c r="FF28" i="11"/>
  <c r="FG28" i="11"/>
  <c r="FH28" i="11"/>
  <c r="FI28" i="11"/>
  <c r="FJ28" i="11"/>
  <c r="FK28" i="11"/>
  <c r="FM28" i="11"/>
  <c r="FN28" i="11"/>
  <c r="FO28" i="11"/>
  <c r="FP28" i="11"/>
  <c r="FZ28" i="11"/>
  <c r="G14" i="11"/>
  <c r="CU14" i="11"/>
  <c r="CV14" i="11"/>
  <c r="CW14" i="11"/>
  <c r="CX14" i="11"/>
  <c r="CY14" i="11"/>
  <c r="CZ14" i="11"/>
  <c r="DA14" i="11"/>
  <c r="DB14" i="11"/>
  <c r="DC14" i="11"/>
  <c r="DD14" i="11"/>
  <c r="DE14" i="11"/>
  <c r="DF14" i="11"/>
  <c r="DG14" i="11"/>
  <c r="DH14" i="11"/>
  <c r="DI14" i="11"/>
  <c r="DJ14" i="11"/>
  <c r="DK14" i="11"/>
  <c r="DL14" i="11"/>
  <c r="DM14" i="11"/>
  <c r="DN14" i="11"/>
  <c r="DO14" i="11"/>
  <c r="DP14" i="11"/>
  <c r="DQ14" i="11"/>
  <c r="DR14" i="11"/>
  <c r="DS14" i="11"/>
  <c r="DT14" i="11"/>
  <c r="DU14" i="11"/>
  <c r="DV14" i="11"/>
  <c r="DW14" i="11"/>
  <c r="DX14" i="11"/>
  <c r="G22" i="11"/>
  <c r="H22" i="11"/>
  <c r="I22" i="11"/>
  <c r="J22" i="11"/>
  <c r="K22" i="11"/>
  <c r="DZ14" i="11"/>
  <c r="EA14" i="11"/>
  <c r="EB14" i="11"/>
  <c r="EC14" i="11"/>
  <c r="ED14" i="11"/>
  <c r="EE14" i="11"/>
  <c r="EF14" i="11"/>
  <c r="EG14" i="11"/>
  <c r="EH14" i="11"/>
  <c r="EI14" i="11"/>
  <c r="EJ14" i="11"/>
  <c r="EK14" i="11"/>
  <c r="EL14" i="11"/>
  <c r="EM14" i="11"/>
  <c r="EN14" i="11"/>
  <c r="EO14" i="11"/>
  <c r="EP14" i="11"/>
  <c r="EQ14" i="11"/>
  <c r="ER14" i="11"/>
  <c r="ES14" i="11"/>
  <c r="ET14" i="11"/>
  <c r="EU14" i="11"/>
  <c r="EV14" i="11"/>
  <c r="EX14" i="11"/>
  <c r="EZ14" i="11"/>
  <c r="FA14" i="11"/>
  <c r="FB14" i="11"/>
  <c r="FC14" i="11"/>
  <c r="FD14" i="11"/>
  <c r="FE14" i="11"/>
  <c r="FF14" i="11"/>
  <c r="FG14" i="11"/>
  <c r="FH14" i="11"/>
  <c r="FI14" i="11"/>
  <c r="FJ14" i="11"/>
  <c r="FK14" i="11"/>
  <c r="FM14" i="11"/>
  <c r="FN14" i="11"/>
  <c r="FO14" i="11"/>
  <c r="FX22" i="11"/>
  <c r="FX2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D204" i="11"/>
  <c r="AE204" i="11"/>
  <c r="AF204" i="11"/>
  <c r="AG204" i="11"/>
  <c r="AH204" i="11"/>
  <c r="AI204" i="11"/>
  <c r="AJ204" i="11"/>
  <c r="AK204" i="11"/>
  <c r="AL204" i="11"/>
  <c r="AN204" i="11"/>
  <c r="AO204" i="11"/>
  <c r="AP204" i="11"/>
  <c r="AQ204" i="11"/>
  <c r="AR204" i="11"/>
  <c r="AS204" i="11"/>
  <c r="AT204" i="11"/>
  <c r="AU204" i="11"/>
  <c r="AV204" i="11"/>
  <c r="AW204" i="11"/>
  <c r="AX204" i="11"/>
  <c r="AY204" i="11"/>
  <c r="BA204" i="11"/>
  <c r="BB204" i="11"/>
  <c r="BC204" i="11"/>
  <c r="BD204" i="11"/>
  <c r="BE204" i="11"/>
  <c r="BF204" i="11"/>
  <c r="BG204" i="11"/>
  <c r="BH204" i="11"/>
  <c r="BI204" i="11"/>
  <c r="BJ204" i="11"/>
  <c r="BK204" i="11"/>
  <c r="BL204" i="11"/>
  <c r="BN204" i="11"/>
  <c r="BO204" i="11"/>
  <c r="BP204" i="11"/>
  <c r="BQ204" i="11"/>
  <c r="BR204" i="11"/>
  <c r="BS204" i="11"/>
  <c r="BT204" i="11"/>
  <c r="BU204" i="11"/>
  <c r="BV204" i="11"/>
  <c r="BX204" i="11"/>
  <c r="BY204" i="11"/>
  <c r="BZ204" i="11"/>
  <c r="CA204" i="11"/>
  <c r="CB204" i="11"/>
  <c r="CC204" i="11"/>
  <c r="CD204" i="11"/>
  <c r="CE204" i="11"/>
  <c r="CF204" i="11"/>
  <c r="CG204" i="11"/>
  <c r="CH204" i="11"/>
  <c r="CJ204" i="11"/>
  <c r="CK204" i="11"/>
  <c r="CL204" i="11"/>
  <c r="CM204" i="11"/>
  <c r="CN204" i="11"/>
  <c r="CO204" i="11"/>
  <c r="CP204" i="11"/>
  <c r="CQ204" i="11"/>
  <c r="CR204" i="11"/>
  <c r="CS204" i="11"/>
  <c r="CT204" i="11"/>
  <c r="CV204" i="11"/>
  <c r="CW204" i="11"/>
  <c r="CX204" i="11"/>
  <c r="CY204" i="11"/>
  <c r="CZ204" i="11"/>
  <c r="DA204" i="11"/>
  <c r="DB204" i="11"/>
  <c r="DC204" i="11"/>
  <c r="DD204" i="11"/>
  <c r="DE204" i="11"/>
  <c r="DF204" i="11"/>
  <c r="DG204" i="11"/>
  <c r="DH204" i="11"/>
  <c r="DI204" i="11"/>
  <c r="DJ204" i="11"/>
  <c r="DK204" i="11"/>
  <c r="DL204" i="11"/>
  <c r="DM204" i="11"/>
  <c r="DN204" i="11"/>
  <c r="DO204" i="11"/>
  <c r="DP204" i="11"/>
  <c r="DQ204" i="11"/>
  <c r="DR204" i="11"/>
  <c r="DS204" i="11"/>
  <c r="DT204" i="11"/>
  <c r="DU204" i="11"/>
  <c r="DV204" i="11"/>
  <c r="DW204" i="11"/>
  <c r="DX204" i="11"/>
  <c r="DZ204" i="11"/>
  <c r="EA204" i="11"/>
  <c r="EB204" i="11"/>
  <c r="EC204" i="11"/>
  <c r="ED204" i="11"/>
  <c r="EE204" i="11"/>
  <c r="EF204" i="11"/>
  <c r="EG204" i="11"/>
  <c r="EH204" i="11"/>
  <c r="EI204" i="11"/>
  <c r="EJ204" i="11"/>
  <c r="EK204" i="11"/>
  <c r="EL204" i="11"/>
  <c r="EM204" i="11"/>
  <c r="EN204" i="11"/>
  <c r="EO204" i="11"/>
  <c r="EP204" i="11"/>
  <c r="EQ204" i="11"/>
  <c r="ER204" i="11"/>
  <c r="ES204" i="11"/>
  <c r="ET204" i="11"/>
  <c r="EU204" i="11"/>
  <c r="EV204" i="11"/>
  <c r="EX204" i="11"/>
  <c r="EZ204" i="11"/>
  <c r="FA204" i="11"/>
  <c r="FB204" i="11"/>
  <c r="FC204" i="11"/>
  <c r="FD204" i="11"/>
  <c r="FE204" i="11"/>
  <c r="FF204" i="11"/>
  <c r="FG204" i="11"/>
  <c r="FH204" i="11"/>
  <c r="FI204" i="11"/>
  <c r="FJ204" i="11"/>
  <c r="FK204" i="11"/>
  <c r="FM204" i="11"/>
  <c r="FN204" i="11"/>
  <c r="FO204" i="11"/>
  <c r="FP204" i="11"/>
  <c r="GK202" i="11"/>
  <c r="GJ202" i="11"/>
  <c r="GI202" i="11"/>
  <c r="GH202" i="11"/>
  <c r="GG202" i="11"/>
  <c r="GF202" i="11"/>
  <c r="GE202" i="11"/>
  <c r="GD202" i="11"/>
  <c r="GC202" i="11"/>
  <c r="GB202" i="11"/>
  <c r="GA202" i="11"/>
  <c r="FZ202" i="11"/>
  <c r="FY202" i="11"/>
  <c r="FX202" i="11"/>
  <c r="FW202" i="11"/>
  <c r="FV202" i="11"/>
  <c r="FU202" i="11"/>
  <c r="FT202" i="11"/>
  <c r="FS202" i="11"/>
  <c r="FR202" i="11"/>
  <c r="FQ202" i="11"/>
  <c r="FP202" i="11"/>
  <c r="FO202" i="11"/>
  <c r="FN202" i="11"/>
  <c r="FM202" i="11"/>
  <c r="FL202" i="11"/>
  <c r="FK202" i="11"/>
  <c r="FJ202" i="11"/>
  <c r="FI202" i="11"/>
  <c r="FH202" i="11"/>
  <c r="FG202" i="11"/>
  <c r="FF202" i="11"/>
  <c r="FE202" i="11"/>
  <c r="FD202" i="11"/>
  <c r="FC202" i="11"/>
  <c r="FB202" i="11"/>
  <c r="FA202" i="11"/>
  <c r="EZ202" i="11"/>
  <c r="EY202" i="11"/>
  <c r="EX202" i="11"/>
  <c r="EV202" i="11"/>
  <c r="EU202" i="11"/>
  <c r="ET202" i="11"/>
  <c r="ES202" i="11"/>
  <c r="ER202" i="11"/>
  <c r="EQ202" i="11"/>
  <c r="EP202" i="11"/>
  <c r="EO202" i="11"/>
  <c r="EN202" i="11"/>
  <c r="EM202" i="11"/>
  <c r="EL202" i="11"/>
  <c r="EK202" i="11"/>
  <c r="EJ202" i="11"/>
  <c r="EI202" i="11"/>
  <c r="EH202" i="11"/>
  <c r="EG202" i="11"/>
  <c r="EF202" i="11"/>
  <c r="EE202" i="11"/>
  <c r="ED202" i="11"/>
  <c r="EC202" i="11"/>
  <c r="EB202" i="11"/>
  <c r="EA202" i="11"/>
  <c r="DZ202" i="11"/>
  <c r="DY202" i="11"/>
  <c r="DX202" i="11"/>
  <c r="DW202" i="11"/>
  <c r="DV202" i="11"/>
  <c r="DU202" i="11"/>
  <c r="DT202" i="11"/>
  <c r="DS202" i="11"/>
  <c r="DR202" i="11"/>
  <c r="DQ202" i="11"/>
  <c r="DP202" i="11"/>
  <c r="DO202" i="11"/>
  <c r="DN202" i="11"/>
  <c r="DM202" i="11"/>
  <c r="DL202" i="11"/>
  <c r="DK202" i="11"/>
  <c r="DJ202" i="11"/>
  <c r="DI202" i="11"/>
  <c r="DH202" i="11"/>
  <c r="DG202" i="11"/>
  <c r="DF202" i="11"/>
  <c r="DE202" i="11"/>
  <c r="DD202" i="11"/>
  <c r="DC202" i="11"/>
  <c r="DB202" i="11"/>
  <c r="DA202" i="11"/>
  <c r="CZ202" i="11"/>
  <c r="CY202" i="11"/>
  <c r="CX202" i="11"/>
  <c r="CW202" i="11"/>
  <c r="CV202" i="11"/>
  <c r="CU202" i="11"/>
  <c r="CT202" i="11"/>
  <c r="CS202" i="11"/>
  <c r="CR202" i="11"/>
  <c r="CQ202" i="11"/>
  <c r="CP202" i="11"/>
  <c r="CO202" i="11"/>
  <c r="CN202" i="11"/>
  <c r="CM202" i="11"/>
  <c r="CL202" i="11"/>
  <c r="CK202" i="11"/>
  <c r="CJ202" i="11"/>
  <c r="CI202" i="11"/>
  <c r="CH202" i="11"/>
  <c r="CG202" i="11"/>
  <c r="CF202" i="11"/>
  <c r="CE202" i="11"/>
  <c r="CD202" i="11"/>
  <c r="CC202" i="11"/>
  <c r="CB202" i="11"/>
  <c r="CA202" i="11"/>
  <c r="BZ202" i="11"/>
  <c r="BY202" i="11"/>
  <c r="BX202" i="11"/>
  <c r="BW202" i="11"/>
  <c r="BV202" i="11"/>
  <c r="BU202" i="11"/>
  <c r="BT202" i="11"/>
  <c r="BS202" i="11"/>
  <c r="BR202" i="11"/>
  <c r="BQ202" i="11"/>
  <c r="BP202" i="11"/>
  <c r="BO202" i="11"/>
  <c r="BN202" i="11"/>
  <c r="BM202" i="11"/>
  <c r="BL202" i="11"/>
  <c r="BK202" i="11"/>
  <c r="BJ202" i="11"/>
  <c r="BI202" i="11"/>
  <c r="BH202" i="11"/>
  <c r="BG202" i="11"/>
  <c r="BF202" i="11"/>
  <c r="BE202" i="11"/>
  <c r="BD202" i="11"/>
  <c r="BC202" i="11"/>
  <c r="BB202" i="11"/>
  <c r="BA202" i="11"/>
  <c r="AZ202" i="11"/>
  <c r="AY202" i="11"/>
  <c r="AX202" i="11"/>
  <c r="AW202" i="11"/>
  <c r="AV202" i="11"/>
  <c r="AU202" i="11"/>
  <c r="AT202" i="11"/>
  <c r="AS202" i="11"/>
  <c r="AR202" i="11"/>
  <c r="AQ202" i="11"/>
  <c r="AP202" i="11"/>
  <c r="AO202" i="11"/>
  <c r="AN202" i="11"/>
  <c r="AM202" i="11"/>
  <c r="AL202" i="11"/>
  <c r="AK202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GK190" i="11"/>
  <c r="GJ190" i="11"/>
  <c r="GI190" i="11"/>
  <c r="GH190" i="11"/>
  <c r="GG190" i="11"/>
  <c r="GF190" i="11"/>
  <c r="GE190" i="11"/>
  <c r="GD190" i="11"/>
  <c r="GC190" i="11"/>
  <c r="GB190" i="11"/>
  <c r="GA190" i="11"/>
  <c r="FZ190" i="11"/>
  <c r="FY190" i="11"/>
  <c r="FX190" i="11"/>
  <c r="FW190" i="11"/>
  <c r="FV190" i="11"/>
  <c r="FU190" i="11"/>
  <c r="FT190" i="11"/>
  <c r="FS190" i="11"/>
  <c r="FR190" i="11"/>
  <c r="FQ190" i="11"/>
  <c r="FP190" i="11"/>
  <c r="FO190" i="11"/>
  <c r="FN190" i="11"/>
  <c r="FM190" i="11"/>
  <c r="FL190" i="11"/>
  <c r="FK190" i="11"/>
  <c r="FJ190" i="11"/>
  <c r="FI190" i="11"/>
  <c r="FH190" i="11"/>
  <c r="FG190" i="11"/>
  <c r="FF190" i="11"/>
  <c r="FE190" i="11"/>
  <c r="FD190" i="11"/>
  <c r="FC190" i="11"/>
  <c r="FB190" i="11"/>
  <c r="FA190" i="11"/>
  <c r="EZ190" i="11"/>
  <c r="EY190" i="11"/>
  <c r="EX190" i="11"/>
  <c r="EV190" i="11"/>
  <c r="EU190" i="11"/>
  <c r="ET190" i="11"/>
  <c r="ES190" i="11"/>
  <c r="ER190" i="11"/>
  <c r="EQ190" i="11"/>
  <c r="EP190" i="11"/>
  <c r="EO190" i="11"/>
  <c r="EN190" i="11"/>
  <c r="EM190" i="11"/>
  <c r="EL190" i="11"/>
  <c r="EK190" i="11"/>
  <c r="EJ190" i="11"/>
  <c r="EI190" i="11"/>
  <c r="EH190" i="11"/>
  <c r="EG190" i="11"/>
  <c r="EF190" i="11"/>
  <c r="EE190" i="11"/>
  <c r="ED190" i="11"/>
  <c r="EC190" i="11"/>
  <c r="EB190" i="11"/>
  <c r="EA190" i="11"/>
  <c r="DZ190" i="11"/>
  <c r="DY190" i="11"/>
  <c r="DX190" i="11"/>
  <c r="DW190" i="11"/>
  <c r="DV190" i="11"/>
  <c r="DU190" i="11"/>
  <c r="DT190" i="11"/>
  <c r="DS190" i="11"/>
  <c r="DR190" i="11"/>
  <c r="DQ190" i="11"/>
  <c r="DP190" i="11"/>
  <c r="DO190" i="11"/>
  <c r="DN190" i="11"/>
  <c r="DM190" i="11"/>
  <c r="DL190" i="11"/>
  <c r="DK190" i="11"/>
  <c r="DJ190" i="11"/>
  <c r="DI190" i="11"/>
  <c r="DH190" i="11"/>
  <c r="DG190" i="11"/>
  <c r="DF190" i="11"/>
  <c r="DE190" i="11"/>
  <c r="DD190" i="11"/>
  <c r="DC190" i="11"/>
  <c r="DB190" i="11"/>
  <c r="DA190" i="11"/>
  <c r="CZ190" i="11"/>
  <c r="CY190" i="11"/>
  <c r="CX190" i="11"/>
  <c r="CW190" i="11"/>
  <c r="CV190" i="11"/>
  <c r="CU190" i="11"/>
  <c r="CS190" i="11"/>
  <c r="CR190" i="11"/>
  <c r="CL190" i="11"/>
  <c r="CK190" i="11"/>
  <c r="CI190" i="11"/>
  <c r="CH190" i="11"/>
  <c r="CG190" i="11"/>
  <c r="CF190" i="11"/>
  <c r="CE190" i="11"/>
  <c r="CD190" i="11"/>
  <c r="CC190" i="11"/>
  <c r="CB190" i="11"/>
  <c r="CA190" i="11"/>
  <c r="BZ190" i="11"/>
  <c r="BY190" i="11"/>
  <c r="BX190" i="11"/>
  <c r="BW190" i="11"/>
  <c r="BV190" i="11"/>
  <c r="BU190" i="11"/>
  <c r="BT190" i="11"/>
  <c r="BS190" i="11"/>
  <c r="BR190" i="11"/>
  <c r="BQ190" i="11"/>
  <c r="BP190" i="11"/>
  <c r="BO190" i="11"/>
  <c r="BN190" i="11"/>
  <c r="BM190" i="11"/>
  <c r="BL190" i="11"/>
  <c r="BK190" i="11"/>
  <c r="BJ190" i="11"/>
  <c r="BI190" i="11"/>
  <c r="BH190" i="11"/>
  <c r="BG190" i="11"/>
  <c r="BF190" i="11"/>
  <c r="BE190" i="11"/>
  <c r="BD190" i="11"/>
  <c r="BC190" i="11"/>
  <c r="BB190" i="11"/>
  <c r="BA190" i="11"/>
  <c r="AZ190" i="11"/>
  <c r="AY190" i="11"/>
  <c r="AX190" i="11"/>
  <c r="AW190" i="11"/>
  <c r="AV190" i="11"/>
  <c r="AT190" i="11"/>
  <c r="AS190" i="11"/>
  <c r="AR190" i="11"/>
  <c r="AQ190" i="11"/>
  <c r="AP190" i="11"/>
  <c r="AO190" i="11"/>
  <c r="AN190" i="11"/>
  <c r="AM190" i="11"/>
  <c r="AL190" i="11"/>
  <c r="AK190" i="11"/>
  <c r="AJ190" i="11"/>
  <c r="AI190" i="11"/>
  <c r="AH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H190" i="11"/>
  <c r="G190" i="11"/>
  <c r="GK186" i="11"/>
  <c r="GJ186" i="11"/>
  <c r="GI186" i="11"/>
  <c r="GH186" i="11"/>
  <c r="GG186" i="11"/>
  <c r="GF186" i="11"/>
  <c r="GE186" i="11"/>
  <c r="GD186" i="11"/>
  <c r="GC186" i="11"/>
  <c r="GB186" i="11"/>
  <c r="GA186" i="11"/>
  <c r="FZ186" i="11"/>
  <c r="FY186" i="11"/>
  <c r="FX186" i="11"/>
  <c r="FW186" i="11"/>
  <c r="FV186" i="11"/>
  <c r="FU186" i="11"/>
  <c r="FT186" i="11"/>
  <c r="FS186" i="11"/>
  <c r="FR186" i="11"/>
  <c r="FQ186" i="11"/>
  <c r="FP186" i="11"/>
  <c r="FO186" i="11"/>
  <c r="FN186" i="11"/>
  <c r="FM186" i="11"/>
  <c r="FL186" i="11"/>
  <c r="FK186" i="11"/>
  <c r="FJ186" i="11"/>
  <c r="FI186" i="11"/>
  <c r="FH186" i="11"/>
  <c r="FG186" i="11"/>
  <c r="FF186" i="11"/>
  <c r="FE186" i="11"/>
  <c r="FD186" i="11"/>
  <c r="FC186" i="11"/>
  <c r="FB186" i="11"/>
  <c r="FA186" i="11"/>
  <c r="EZ186" i="11"/>
  <c r="EY186" i="11"/>
  <c r="EX186" i="11"/>
  <c r="EV186" i="11"/>
  <c r="EU186" i="11"/>
  <c r="ET186" i="11"/>
  <c r="ES186" i="11"/>
  <c r="ER186" i="11"/>
  <c r="EQ186" i="11"/>
  <c r="EP186" i="11"/>
  <c r="EO186" i="11"/>
  <c r="EN186" i="11"/>
  <c r="EM186" i="11"/>
  <c r="EL186" i="11"/>
  <c r="EK186" i="11"/>
  <c r="EJ186" i="11"/>
  <c r="EI186" i="11"/>
  <c r="EH186" i="11"/>
  <c r="EG186" i="11"/>
  <c r="EF186" i="11"/>
  <c r="EE186" i="11"/>
  <c r="ED186" i="11"/>
  <c r="EC186" i="11"/>
  <c r="EB186" i="11"/>
  <c r="EA186" i="11"/>
  <c r="DZ186" i="11"/>
  <c r="DY186" i="11"/>
  <c r="DX186" i="11"/>
  <c r="DW186" i="11"/>
  <c r="DV186" i="11"/>
  <c r="DU186" i="11"/>
  <c r="DT186" i="11"/>
  <c r="DS186" i="11"/>
  <c r="DR186" i="11"/>
  <c r="DQ186" i="11"/>
  <c r="DP186" i="11"/>
  <c r="DO186" i="11"/>
  <c r="DN186" i="11"/>
  <c r="DM186" i="11"/>
  <c r="DL186" i="11"/>
  <c r="DK186" i="11"/>
  <c r="DJ186" i="11"/>
  <c r="DI186" i="11"/>
  <c r="DH186" i="11"/>
  <c r="DG186" i="11"/>
  <c r="DF186" i="11"/>
  <c r="DE186" i="11"/>
  <c r="DD186" i="11"/>
  <c r="DC186" i="11"/>
  <c r="DB186" i="11"/>
  <c r="DA186" i="11"/>
  <c r="CZ186" i="11"/>
  <c r="CY186" i="11"/>
  <c r="CX186" i="11"/>
  <c r="CW186" i="11"/>
  <c r="CV186" i="11"/>
  <c r="CU186" i="11"/>
  <c r="CT186" i="11"/>
  <c r="CS186" i="11"/>
  <c r="CR186" i="11"/>
  <c r="CQ186" i="11"/>
  <c r="CP186" i="11"/>
  <c r="CO186" i="11"/>
  <c r="CN186" i="11"/>
  <c r="CM186" i="11"/>
  <c r="CL186" i="11"/>
  <c r="CK186" i="11"/>
  <c r="CJ186" i="11"/>
  <c r="CI186" i="11"/>
  <c r="CH186" i="11"/>
  <c r="CG186" i="11"/>
  <c r="CF186" i="11"/>
  <c r="CE186" i="11"/>
  <c r="CD186" i="11"/>
  <c r="CC186" i="11"/>
  <c r="CB186" i="11"/>
  <c r="CA186" i="11"/>
  <c r="BZ186" i="11"/>
  <c r="BY186" i="11"/>
  <c r="BX186" i="11"/>
  <c r="BW186" i="11"/>
  <c r="BV186" i="11"/>
  <c r="BU186" i="11"/>
  <c r="BT186" i="11"/>
  <c r="BS186" i="11"/>
  <c r="BR186" i="11"/>
  <c r="BQ186" i="11"/>
  <c r="BP186" i="11"/>
  <c r="BO186" i="11"/>
  <c r="BN186" i="11"/>
  <c r="BM186" i="11"/>
  <c r="BL186" i="11"/>
  <c r="BK186" i="11"/>
  <c r="BJ186" i="11"/>
  <c r="BI186" i="11"/>
  <c r="BH186" i="11"/>
  <c r="BG186" i="11"/>
  <c r="BF186" i="11"/>
  <c r="BE186" i="11"/>
  <c r="BD186" i="11"/>
  <c r="BC186" i="11"/>
  <c r="BB186" i="11"/>
  <c r="BA186" i="11"/>
  <c r="AZ186" i="11"/>
  <c r="AY186" i="11"/>
  <c r="AX186" i="11"/>
  <c r="AW186" i="11"/>
  <c r="AV186" i="11"/>
  <c r="AU186" i="11"/>
  <c r="AT186" i="11"/>
  <c r="AS186" i="11"/>
  <c r="AR186" i="11"/>
  <c r="AQ186" i="11"/>
  <c r="AP186" i="11"/>
  <c r="AO186" i="11"/>
  <c r="AN186" i="11"/>
  <c r="AM186" i="11"/>
  <c r="AL186" i="11"/>
  <c r="AK186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H12" i="11"/>
  <c r="I12" i="11"/>
  <c r="J12" i="11"/>
  <c r="K12" i="11"/>
  <c r="H10" i="11"/>
  <c r="I10" i="11"/>
  <c r="J10" i="11"/>
  <c r="K10" i="11"/>
  <c r="M12" i="11"/>
  <c r="N12" i="11"/>
  <c r="O12" i="11"/>
  <c r="P12" i="11"/>
  <c r="Q12" i="11"/>
  <c r="R12" i="11"/>
  <c r="S12" i="11"/>
  <c r="T12" i="11"/>
  <c r="M10" i="11"/>
  <c r="N10" i="11"/>
  <c r="O10" i="11"/>
  <c r="P10" i="11"/>
  <c r="Q10" i="11"/>
  <c r="R10" i="11"/>
  <c r="S10" i="11"/>
  <c r="T10" i="11"/>
  <c r="V12" i="11"/>
  <c r="W12" i="11"/>
  <c r="X12" i="11"/>
  <c r="Y12" i="11"/>
  <c r="Z12" i="11"/>
  <c r="AA12" i="11"/>
  <c r="AB12" i="11"/>
  <c r="V10" i="11"/>
  <c r="W10" i="11"/>
  <c r="X10" i="11"/>
  <c r="Y10" i="11"/>
  <c r="Z10" i="11"/>
  <c r="AA10" i="11"/>
  <c r="AB10" i="11"/>
  <c r="AD12" i="11"/>
  <c r="AE12" i="11"/>
  <c r="AF12" i="11"/>
  <c r="AG12" i="11"/>
  <c r="AH12" i="11"/>
  <c r="AI12" i="11"/>
  <c r="AJ12" i="11"/>
  <c r="AK12" i="11"/>
  <c r="AL12" i="11"/>
  <c r="AD10" i="11"/>
  <c r="AE10" i="11"/>
  <c r="AF10" i="11"/>
  <c r="AG10" i="11"/>
  <c r="AH10" i="11"/>
  <c r="AI10" i="11"/>
  <c r="AJ10" i="11"/>
  <c r="AK10" i="11"/>
  <c r="AL10" i="11"/>
  <c r="AN12" i="11"/>
  <c r="AO12" i="11"/>
  <c r="AP12" i="11"/>
  <c r="AQ12" i="11"/>
  <c r="AR12" i="11"/>
  <c r="AS12" i="11"/>
  <c r="AT12" i="11"/>
  <c r="AU12" i="11"/>
  <c r="AN10" i="11"/>
  <c r="AO10" i="11"/>
  <c r="AP10" i="11"/>
  <c r="AQ10" i="11"/>
  <c r="AR10" i="11"/>
  <c r="AS10" i="11"/>
  <c r="AT10" i="11"/>
  <c r="AU10" i="11"/>
  <c r="AW12" i="11"/>
  <c r="AX12" i="11"/>
  <c r="AY12" i="11"/>
  <c r="AW10" i="11"/>
  <c r="AX10" i="11"/>
  <c r="AY10" i="11"/>
  <c r="BV12" i="11"/>
  <c r="BO12" i="11"/>
  <c r="BP12" i="11"/>
  <c r="BQ12" i="11"/>
  <c r="BR12" i="11"/>
  <c r="BS12" i="11"/>
  <c r="BT12" i="11"/>
  <c r="BU12" i="11"/>
  <c r="BV10" i="11"/>
  <c r="BN10" i="11"/>
  <c r="BO10" i="11"/>
  <c r="BP10" i="11"/>
  <c r="BQ10" i="11"/>
  <c r="BR10" i="11"/>
  <c r="BS10" i="11"/>
  <c r="BT10" i="11"/>
  <c r="BU10" i="11"/>
  <c r="BX12" i="11"/>
  <c r="BY12" i="11"/>
  <c r="BZ12" i="11"/>
  <c r="CA12" i="11"/>
  <c r="CB12" i="11"/>
  <c r="CC12" i="11"/>
  <c r="CD12" i="11"/>
  <c r="CE12" i="11"/>
  <c r="CF12" i="11"/>
  <c r="CG12" i="11"/>
  <c r="CH12" i="11"/>
  <c r="BX10" i="11"/>
  <c r="BY10" i="11"/>
  <c r="BZ10" i="11"/>
  <c r="CA10" i="11"/>
  <c r="CB10" i="11"/>
  <c r="CC10" i="11"/>
  <c r="CD10" i="11"/>
  <c r="CE10" i="11"/>
  <c r="CF10" i="11"/>
  <c r="CG10" i="11"/>
  <c r="CH10" i="11"/>
  <c r="CN12" i="11"/>
  <c r="CO12" i="11"/>
  <c r="CP12" i="11"/>
  <c r="CQ12" i="11"/>
  <c r="CR12" i="11"/>
  <c r="CS12" i="11"/>
  <c r="CT12" i="11"/>
  <c r="CN10" i="11"/>
  <c r="CO10" i="11"/>
  <c r="CP10" i="11"/>
  <c r="CQ10" i="11"/>
  <c r="CR10" i="11"/>
  <c r="CS10" i="11"/>
  <c r="CT10" i="11"/>
  <c r="CV12" i="11"/>
  <c r="CW12" i="11"/>
  <c r="CX12" i="11"/>
  <c r="CY12" i="11"/>
  <c r="CZ12" i="11"/>
  <c r="DA12" i="11"/>
  <c r="DB12" i="11"/>
  <c r="DC12" i="11"/>
  <c r="DD12" i="11"/>
  <c r="DE12" i="11"/>
  <c r="DF12" i="11"/>
  <c r="DG12" i="11"/>
  <c r="DH12" i="11"/>
  <c r="DI12" i="11"/>
  <c r="DJ12" i="11"/>
  <c r="DK12" i="11"/>
  <c r="DL12" i="11"/>
  <c r="DM12" i="11"/>
  <c r="DN12" i="11"/>
  <c r="DO12" i="11"/>
  <c r="DP12" i="11"/>
  <c r="DQ12" i="11"/>
  <c r="DR12" i="11"/>
  <c r="DS12" i="11"/>
  <c r="DT12" i="11"/>
  <c r="DU12" i="11"/>
  <c r="DV12" i="11"/>
  <c r="DW12" i="11"/>
  <c r="DX12" i="11"/>
  <c r="CV10" i="11"/>
  <c r="CW10" i="11"/>
  <c r="CX10" i="11"/>
  <c r="CY10" i="11"/>
  <c r="CZ10" i="11"/>
  <c r="DA10" i="11"/>
  <c r="DB10" i="11"/>
  <c r="DC10" i="11"/>
  <c r="DD10" i="11"/>
  <c r="DE10" i="11"/>
  <c r="DF10" i="11"/>
  <c r="DG10" i="11"/>
  <c r="DH10" i="11"/>
  <c r="DI10" i="11"/>
  <c r="DJ10" i="11"/>
  <c r="DK10" i="11"/>
  <c r="DL10" i="11"/>
  <c r="DM10" i="11"/>
  <c r="DN10" i="11"/>
  <c r="DO10" i="11"/>
  <c r="DP10" i="11"/>
  <c r="DQ10" i="11"/>
  <c r="DR10" i="11"/>
  <c r="DS10" i="11"/>
  <c r="DT10" i="11"/>
  <c r="DU10" i="11"/>
  <c r="DV10" i="11"/>
  <c r="DW10" i="11"/>
  <c r="DX10" i="11"/>
  <c r="DZ12" i="11"/>
  <c r="EA12" i="11"/>
  <c r="EB12" i="11"/>
  <c r="EC12" i="11"/>
  <c r="ED12" i="11"/>
  <c r="EE12" i="11"/>
  <c r="EF12" i="11"/>
  <c r="EG12" i="11"/>
  <c r="EH12" i="11"/>
  <c r="EI12" i="11"/>
  <c r="EJ12" i="11"/>
  <c r="EK12" i="11"/>
  <c r="EL12" i="11"/>
  <c r="EM12" i="11"/>
  <c r="EN12" i="11"/>
  <c r="EO12" i="11"/>
  <c r="DZ10" i="11"/>
  <c r="EA10" i="11"/>
  <c r="EB10" i="11"/>
  <c r="EC10" i="11"/>
  <c r="ED10" i="11"/>
  <c r="EE10" i="11"/>
  <c r="EF10" i="11"/>
  <c r="EG10" i="11"/>
  <c r="EH10" i="11"/>
  <c r="EI10" i="11"/>
  <c r="EJ10" i="11"/>
  <c r="EK10" i="11"/>
  <c r="EL10" i="11"/>
  <c r="EM10" i="11"/>
  <c r="EN10" i="11"/>
  <c r="EO10" i="11"/>
  <c r="EQ12" i="11"/>
  <c r="ER12" i="11"/>
  <c r="ES12" i="11"/>
  <c r="ET12" i="11"/>
  <c r="EU12" i="11"/>
  <c r="EV12" i="11"/>
  <c r="EX12" i="11"/>
  <c r="EQ10" i="11"/>
  <c r="ER10" i="11"/>
  <c r="ES10" i="11"/>
  <c r="ET10" i="11"/>
  <c r="EU10" i="11"/>
  <c r="EV10" i="11"/>
  <c r="EX10" i="11"/>
  <c r="EZ12" i="11"/>
  <c r="FA12" i="11"/>
  <c r="FB12" i="11"/>
  <c r="FC12" i="11"/>
  <c r="FD12" i="11"/>
  <c r="FE12" i="11"/>
  <c r="FF12" i="11"/>
  <c r="FG12" i="11"/>
  <c r="FH12" i="11"/>
  <c r="FI12" i="11"/>
  <c r="FJ12" i="11"/>
  <c r="FK12" i="11"/>
  <c r="FL12" i="11"/>
  <c r="FM12" i="11"/>
  <c r="FN12" i="11"/>
  <c r="FO12" i="11"/>
  <c r="FP12" i="11"/>
  <c r="EZ10" i="11"/>
  <c r="FA10" i="11"/>
  <c r="FB10" i="11"/>
  <c r="FC10" i="11"/>
  <c r="FD10" i="11"/>
  <c r="FE10" i="11"/>
  <c r="FF10" i="11"/>
  <c r="FG10" i="11"/>
  <c r="FH10" i="11"/>
  <c r="FI10" i="11"/>
  <c r="FJ10" i="11"/>
  <c r="FK10" i="11"/>
  <c r="FL10" i="11"/>
  <c r="FM10" i="11"/>
  <c r="FN10" i="11"/>
  <c r="FO10" i="11"/>
  <c r="FP10" i="11"/>
  <c r="AD216" i="11"/>
  <c r="AE216" i="11"/>
  <c r="AF216" i="11"/>
  <c r="AG216" i="11"/>
  <c r="AH216" i="11"/>
  <c r="AI216" i="11"/>
  <c r="AJ216" i="11"/>
  <c r="AK216" i="11"/>
  <c r="AL216" i="11"/>
  <c r="AM216" i="11"/>
  <c r="AN216" i="11"/>
  <c r="AO216" i="11"/>
  <c r="AD158" i="11"/>
  <c r="AE158" i="11"/>
  <c r="AF158" i="11"/>
  <c r="AG158" i="11"/>
  <c r="AH158" i="11"/>
  <c r="AI158" i="11"/>
  <c r="AJ158" i="11"/>
  <c r="AK158" i="11"/>
  <c r="AL158" i="11"/>
  <c r="AP216" i="11"/>
  <c r="AQ216" i="11"/>
  <c r="AR216" i="11"/>
  <c r="AS216" i="11"/>
  <c r="AT216" i="11"/>
  <c r="AU216" i="11"/>
  <c r="AN158" i="11"/>
  <c r="AO158" i="11"/>
  <c r="AP158" i="11"/>
  <c r="AQ158" i="11"/>
  <c r="AR158" i="11"/>
  <c r="AS158" i="11"/>
  <c r="AT158" i="11"/>
  <c r="AU158" i="11"/>
  <c r="AW216" i="11"/>
  <c r="AX216" i="11"/>
  <c r="AY216" i="11"/>
  <c r="AW158" i="11"/>
  <c r="AX158" i="11"/>
  <c r="AY158" i="11"/>
  <c r="BM216" i="11"/>
  <c r="BN216" i="11"/>
  <c r="BO216" i="11"/>
  <c r="BP216" i="11"/>
  <c r="BQ216" i="11"/>
  <c r="BR216" i="11"/>
  <c r="BS216" i="11"/>
  <c r="BT216" i="11"/>
  <c r="BU216" i="11"/>
  <c r="BV216" i="11"/>
  <c r="BL216" i="11"/>
  <c r="BW216" i="11"/>
  <c r="BX216" i="11"/>
  <c r="BY216" i="11"/>
  <c r="BZ216" i="11"/>
  <c r="CA216" i="11"/>
  <c r="CB216" i="11"/>
  <c r="CC216" i="11"/>
  <c r="CD216" i="11"/>
  <c r="CE216" i="11"/>
  <c r="CF216" i="11"/>
  <c r="CG216" i="11"/>
  <c r="CH216" i="11"/>
  <c r="CI216" i="11"/>
  <c r="CJ216" i="11"/>
  <c r="CK216" i="11"/>
  <c r="CL216" i="11"/>
  <c r="CJ158" i="11"/>
  <c r="CK158" i="11"/>
  <c r="CL158" i="11"/>
  <c r="CN158" i="11"/>
  <c r="CO158" i="11"/>
  <c r="CP158" i="11"/>
  <c r="CQ158" i="11"/>
  <c r="CR158" i="11"/>
  <c r="CS158" i="11"/>
  <c r="CT158" i="11"/>
  <c r="CN216" i="11"/>
  <c r="CO216" i="11"/>
  <c r="CP216" i="11"/>
  <c r="CQ216" i="11"/>
  <c r="CR216" i="11"/>
  <c r="CS216" i="11"/>
  <c r="CT216" i="11"/>
  <c r="CM216" i="11"/>
  <c r="CU216" i="11"/>
  <c r="CV216" i="11"/>
  <c r="CW216" i="11"/>
  <c r="CX216" i="11"/>
  <c r="CY216" i="11"/>
  <c r="CZ216" i="11"/>
  <c r="DA216" i="11"/>
  <c r="DB216" i="11"/>
  <c r="DC216" i="11"/>
  <c r="DD216" i="11"/>
  <c r="DE216" i="11"/>
  <c r="DF216" i="11"/>
  <c r="DG216" i="11"/>
  <c r="DH216" i="11"/>
  <c r="DI216" i="11"/>
  <c r="DJ216" i="11"/>
  <c r="DK216" i="11"/>
  <c r="DL216" i="11"/>
  <c r="DM216" i="11"/>
  <c r="DN216" i="11"/>
  <c r="DO216" i="11"/>
  <c r="DP216" i="11"/>
  <c r="DQ216" i="11"/>
  <c r="DR216" i="11"/>
  <c r="DS216" i="11"/>
  <c r="DT216" i="11"/>
  <c r="DU216" i="11"/>
  <c r="DV216" i="11"/>
  <c r="DW216" i="11"/>
  <c r="DX216" i="11"/>
  <c r="CU158" i="11"/>
  <c r="CV158" i="11"/>
  <c r="CW158" i="11"/>
  <c r="CX158" i="11"/>
  <c r="CY158" i="11"/>
  <c r="CZ158" i="11"/>
  <c r="DA158" i="11"/>
  <c r="DB158" i="11"/>
  <c r="DC158" i="11"/>
  <c r="DD158" i="11"/>
  <c r="DE158" i="11"/>
  <c r="DF158" i="11"/>
  <c r="DG158" i="11"/>
  <c r="DH158" i="11"/>
  <c r="DI158" i="11"/>
  <c r="DJ158" i="11"/>
  <c r="DK158" i="11"/>
  <c r="DL158" i="11"/>
  <c r="DM158" i="11"/>
  <c r="DN158" i="11"/>
  <c r="DO158" i="11"/>
  <c r="DP158" i="11"/>
  <c r="DQ158" i="11"/>
  <c r="DR158" i="11"/>
  <c r="DS158" i="11"/>
  <c r="DT158" i="11"/>
  <c r="DU158" i="11"/>
  <c r="DV158" i="11"/>
  <c r="DW158" i="11"/>
  <c r="DX158" i="11"/>
  <c r="EX216" i="11"/>
  <c r="EV216" i="11"/>
  <c r="EU216" i="11"/>
  <c r="ET216" i="11"/>
  <c r="ES216" i="11"/>
  <c r="ER216" i="11"/>
  <c r="EQ216" i="11"/>
  <c r="EP216" i="11"/>
  <c r="EO216" i="11"/>
  <c r="EN216" i="11"/>
  <c r="EM216" i="11"/>
  <c r="EL216" i="11"/>
  <c r="EK216" i="11"/>
  <c r="EJ216" i="11"/>
  <c r="EI216" i="11"/>
  <c r="EH216" i="11"/>
  <c r="EG216" i="11"/>
  <c r="EF216" i="11"/>
  <c r="EE216" i="11"/>
  <c r="ED216" i="11"/>
  <c r="EC216" i="11"/>
  <c r="EB216" i="11"/>
  <c r="EA216" i="11"/>
  <c r="DZ216" i="11"/>
  <c r="DY216" i="11"/>
  <c r="DZ158" i="11"/>
  <c r="EA158" i="11"/>
  <c r="EB158" i="11"/>
  <c r="EC158" i="11"/>
  <c r="ED158" i="11"/>
  <c r="EE158" i="11"/>
  <c r="EF158" i="11"/>
  <c r="EG158" i="11"/>
  <c r="EH158" i="11"/>
  <c r="EI158" i="11"/>
  <c r="EJ158" i="11"/>
  <c r="EK158" i="11"/>
  <c r="EL158" i="11"/>
  <c r="EM158" i="11"/>
  <c r="EN158" i="11"/>
  <c r="EO158" i="11"/>
  <c r="EP158" i="11"/>
  <c r="EQ158" i="11"/>
  <c r="ER158" i="11"/>
  <c r="ES158" i="11"/>
  <c r="ET158" i="11"/>
  <c r="EU158" i="11"/>
  <c r="EV158" i="11"/>
  <c r="EX158" i="11"/>
  <c r="EZ216" i="11"/>
  <c r="FA216" i="11"/>
  <c r="FB216" i="11"/>
  <c r="FC216" i="11"/>
  <c r="FD216" i="11"/>
  <c r="FE216" i="11"/>
  <c r="FF216" i="11"/>
  <c r="FG216" i="11"/>
  <c r="FH216" i="11"/>
  <c r="FI216" i="11"/>
  <c r="FJ216" i="11"/>
  <c r="FK216" i="11"/>
  <c r="EZ158" i="11"/>
  <c r="FA158" i="11"/>
  <c r="FB158" i="11"/>
  <c r="FC158" i="11"/>
  <c r="FD158" i="11"/>
  <c r="FE158" i="11"/>
  <c r="FF158" i="11"/>
  <c r="FG158" i="11"/>
  <c r="FH158" i="11"/>
  <c r="FI158" i="11"/>
  <c r="FJ158" i="11"/>
  <c r="FK158" i="11"/>
  <c r="FL216" i="11"/>
  <c r="FM216" i="11"/>
  <c r="FN216" i="11"/>
  <c r="FO216" i="11"/>
  <c r="FP216" i="11"/>
  <c r="FQ216" i="11"/>
  <c r="FZ216" i="11"/>
  <c r="GD216" i="11"/>
  <c r="GK66" i="11"/>
  <c r="GI66" i="11"/>
  <c r="GH66" i="11"/>
  <c r="GE66" i="11"/>
  <c r="GD66" i="11"/>
  <c r="GC66" i="11"/>
  <c r="GB66" i="11"/>
  <c r="GA66" i="11"/>
  <c r="FZ66" i="11"/>
  <c r="FY66" i="11"/>
  <c r="FX66" i="11"/>
  <c r="FW66" i="11"/>
  <c r="FV66" i="11"/>
  <c r="FU66" i="11"/>
  <c r="FT66" i="11"/>
  <c r="FS66" i="11"/>
  <c r="FQ66" i="11"/>
  <c r="FP66" i="11"/>
  <c r="FO66" i="11"/>
  <c r="FN66" i="11"/>
  <c r="FM66" i="11"/>
  <c r="FL66" i="11"/>
  <c r="FK66" i="11"/>
  <c r="FJ66" i="11"/>
  <c r="FI66" i="11"/>
  <c r="FH66" i="11"/>
  <c r="FG66" i="11"/>
  <c r="FF66" i="11"/>
  <c r="FE66" i="11"/>
  <c r="FD66" i="11"/>
  <c r="FC66" i="11"/>
  <c r="FB66" i="11"/>
  <c r="FA66" i="11"/>
  <c r="EZ66" i="11"/>
  <c r="EY66" i="11"/>
  <c r="EX66" i="11"/>
  <c r="EV66" i="11"/>
  <c r="EU66" i="11"/>
  <c r="ET66" i="11"/>
  <c r="ES66" i="11"/>
  <c r="ER66" i="11"/>
  <c r="EQ66" i="11"/>
  <c r="EP66" i="11"/>
  <c r="EO66" i="11"/>
  <c r="EN66" i="11"/>
  <c r="EM66" i="11"/>
  <c r="EL66" i="11"/>
  <c r="EK66" i="11"/>
  <c r="EJ66" i="11"/>
  <c r="EI66" i="11"/>
  <c r="EH66" i="11"/>
  <c r="EG66" i="11"/>
  <c r="EF66" i="11"/>
  <c r="EE66" i="11"/>
  <c r="ED66" i="11"/>
  <c r="EC66" i="11"/>
  <c r="EB66" i="11"/>
  <c r="EA66" i="11"/>
  <c r="DZ66" i="11"/>
  <c r="DY66" i="11"/>
  <c r="DX66" i="11"/>
  <c r="DW66" i="11"/>
  <c r="DV66" i="11"/>
  <c r="DU66" i="11"/>
  <c r="DT66" i="11"/>
  <c r="DS66" i="11"/>
  <c r="DR66" i="11"/>
  <c r="DQ66" i="11"/>
  <c r="DP66" i="11"/>
  <c r="DO66" i="11"/>
  <c r="DN66" i="11"/>
  <c r="DM66" i="11"/>
  <c r="DL66" i="11"/>
  <c r="DK66" i="11"/>
  <c r="DJ66" i="11"/>
  <c r="DI66" i="11"/>
  <c r="DH66" i="11"/>
  <c r="DG66" i="11"/>
  <c r="DF66" i="11"/>
  <c r="DE66" i="11"/>
  <c r="DD66" i="11"/>
  <c r="DC66" i="11"/>
  <c r="DB66" i="11"/>
  <c r="DA66" i="11"/>
  <c r="CZ66" i="11"/>
  <c r="CY66" i="11"/>
  <c r="CX66" i="11"/>
  <c r="CW66" i="11"/>
  <c r="CV66" i="11"/>
  <c r="CU66" i="11"/>
  <c r="CT66" i="11"/>
  <c r="CS66" i="11"/>
  <c r="CR66" i="11"/>
  <c r="CQ66" i="11"/>
  <c r="CP66" i="11"/>
  <c r="CO66" i="11"/>
  <c r="CN66" i="11"/>
  <c r="CM66" i="11"/>
  <c r="CL66" i="11"/>
  <c r="CK66" i="11"/>
  <c r="CJ66" i="11"/>
  <c r="CI66" i="11"/>
  <c r="CH66" i="11"/>
  <c r="CG66" i="11"/>
  <c r="CF66" i="11"/>
  <c r="CE66" i="11"/>
  <c r="CD66" i="11"/>
  <c r="CC66" i="11"/>
  <c r="CB66" i="11"/>
  <c r="CA66" i="11"/>
  <c r="BZ66" i="11"/>
  <c r="BY66" i="11"/>
  <c r="BX66" i="11"/>
  <c r="BW66" i="11"/>
  <c r="BV66" i="11"/>
  <c r="BU66" i="11"/>
  <c r="BT66" i="11"/>
  <c r="BS66" i="11"/>
  <c r="BR66" i="11"/>
  <c r="BQ66" i="11"/>
  <c r="BP66" i="11"/>
  <c r="BO66" i="11"/>
  <c r="BN66" i="11"/>
  <c r="BM66" i="11"/>
  <c r="BL66" i="11"/>
  <c r="BK66" i="11"/>
  <c r="BJ66" i="11"/>
  <c r="BI66" i="11"/>
  <c r="BH66" i="11"/>
  <c r="BG66" i="11"/>
  <c r="BF66" i="11"/>
  <c r="BE66" i="11"/>
  <c r="BD66" i="11"/>
  <c r="BC66" i="11"/>
  <c r="BB66" i="11"/>
  <c r="BA66" i="11"/>
  <c r="AZ66" i="11"/>
  <c r="AY66" i="11"/>
  <c r="AX66" i="11"/>
  <c r="AW66" i="11"/>
  <c r="AV66" i="11"/>
  <c r="AU66" i="11"/>
  <c r="AT66" i="11"/>
  <c r="AS66" i="11"/>
  <c r="AR66" i="11"/>
  <c r="AQ66" i="11"/>
  <c r="AP66" i="11"/>
  <c r="AO66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V56" i="11"/>
  <c r="W56" i="11"/>
  <c r="X56" i="11"/>
  <c r="Y56" i="11"/>
  <c r="Z56" i="11"/>
  <c r="AA56" i="11"/>
  <c r="AB56" i="11"/>
  <c r="AD56" i="11"/>
  <c r="AE56" i="11"/>
  <c r="AF56" i="11"/>
  <c r="AG56" i="11"/>
  <c r="AH56" i="11"/>
  <c r="AI56" i="11"/>
  <c r="AJ56" i="11"/>
  <c r="AK56" i="11"/>
  <c r="AL56" i="11"/>
  <c r="AN56" i="11"/>
  <c r="AO56" i="11"/>
  <c r="AP56" i="11"/>
  <c r="AQ56" i="11"/>
  <c r="AR56" i="11"/>
  <c r="AS56" i="11"/>
  <c r="AT56" i="11"/>
  <c r="AU56" i="11"/>
  <c r="AW56" i="11"/>
  <c r="AX56" i="11"/>
  <c r="AY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N56" i="11"/>
  <c r="BO56" i="11"/>
  <c r="BP56" i="11"/>
  <c r="BQ56" i="11"/>
  <c r="BR56" i="11"/>
  <c r="BS56" i="11"/>
  <c r="BT56" i="11"/>
  <c r="BU56" i="11"/>
  <c r="BV56" i="11"/>
  <c r="BX56" i="11"/>
  <c r="BY56" i="11"/>
  <c r="BZ56" i="11"/>
  <c r="CA56" i="11"/>
  <c r="CB56" i="11"/>
  <c r="CC56" i="11"/>
  <c r="CD56" i="11"/>
  <c r="CE56" i="11"/>
  <c r="CF56" i="11"/>
  <c r="CG56" i="11"/>
  <c r="CH56" i="11"/>
  <c r="CJ56" i="11"/>
  <c r="CK56" i="11"/>
  <c r="CL56" i="11"/>
  <c r="CM56" i="11"/>
  <c r="CV56" i="11"/>
  <c r="CW56" i="11"/>
  <c r="CX56" i="11"/>
  <c r="CY56" i="11"/>
  <c r="CZ56" i="11"/>
  <c r="DA56" i="11"/>
  <c r="DB56" i="11"/>
  <c r="DC56" i="11"/>
  <c r="DD56" i="11"/>
  <c r="DE56" i="11"/>
  <c r="DF56" i="11"/>
  <c r="DG56" i="11"/>
  <c r="DH56" i="11"/>
  <c r="DI56" i="11"/>
  <c r="DJ56" i="11"/>
  <c r="DK56" i="11"/>
  <c r="DL56" i="11"/>
  <c r="DM56" i="11"/>
  <c r="DN56" i="11"/>
  <c r="DO56" i="11"/>
  <c r="DP56" i="11"/>
  <c r="DQ56" i="11"/>
  <c r="DR56" i="11"/>
  <c r="DS56" i="11"/>
  <c r="DT56" i="11"/>
  <c r="DU56" i="11"/>
  <c r="DV56" i="11"/>
  <c r="DW56" i="11"/>
  <c r="DX56" i="11"/>
  <c r="DY56" i="11"/>
  <c r="DZ56" i="11"/>
  <c r="EA56" i="11"/>
  <c r="EB56" i="11"/>
  <c r="EC56" i="11"/>
  <c r="ED56" i="11"/>
  <c r="EE56" i="11"/>
  <c r="EG56" i="11"/>
  <c r="EH56" i="11"/>
  <c r="EI56" i="11"/>
  <c r="EJ56" i="11"/>
  <c r="EK56" i="11"/>
  <c r="EL56" i="11"/>
  <c r="EM56" i="11"/>
  <c r="EN56" i="11"/>
  <c r="EO56" i="11"/>
  <c r="EP56" i="11"/>
  <c r="EQ56" i="11"/>
  <c r="ER56" i="11"/>
  <c r="ES56" i="11"/>
  <c r="ET56" i="11"/>
  <c r="EU56" i="11"/>
  <c r="EV56" i="11"/>
  <c r="EX56" i="11"/>
  <c r="EZ56" i="11"/>
  <c r="FA56" i="11"/>
  <c r="FB56" i="11"/>
  <c r="FC56" i="11"/>
  <c r="FD56" i="11"/>
  <c r="FE56" i="11"/>
  <c r="FF56" i="11"/>
  <c r="FG56" i="11"/>
  <c r="FH56" i="11"/>
  <c r="FI56" i="11"/>
  <c r="FJ56" i="11"/>
  <c r="FK56" i="11"/>
  <c r="FL56" i="11"/>
  <c r="FM56" i="11"/>
  <c r="FN56" i="11"/>
  <c r="FO56" i="11"/>
  <c r="FP56" i="11"/>
  <c r="GK150" i="11"/>
  <c r="GJ150" i="11"/>
  <c r="GI150" i="11"/>
  <c r="GH150" i="11"/>
  <c r="GG150" i="11"/>
  <c r="GF150" i="11"/>
  <c r="GE150" i="11"/>
  <c r="GD150" i="11"/>
  <c r="GC150" i="11"/>
  <c r="GB150" i="11"/>
  <c r="GA150" i="11"/>
  <c r="FZ150" i="11"/>
  <c r="FY150" i="11"/>
  <c r="FX150" i="11"/>
  <c r="FW150" i="11"/>
  <c r="FV150" i="11"/>
  <c r="FU150" i="11"/>
  <c r="FT150" i="11"/>
  <c r="FS150" i="11"/>
  <c r="FR150" i="11"/>
  <c r="FQ150" i="11"/>
  <c r="FP150" i="11"/>
  <c r="FO150" i="11"/>
  <c r="FN150" i="11"/>
  <c r="FM150" i="11"/>
  <c r="FL150" i="11"/>
  <c r="FK150" i="11"/>
  <c r="FJ150" i="11"/>
  <c r="FI150" i="11"/>
  <c r="FH150" i="11"/>
  <c r="FG150" i="11"/>
  <c r="FF150" i="11"/>
  <c r="FE150" i="11"/>
  <c r="FD150" i="11"/>
  <c r="FC150" i="11"/>
  <c r="FB150" i="11"/>
  <c r="FA150" i="11"/>
  <c r="EZ150" i="11"/>
  <c r="EY150" i="11"/>
  <c r="EX150" i="11"/>
  <c r="EV150" i="11"/>
  <c r="EU150" i="11"/>
  <c r="ET150" i="11"/>
  <c r="ES150" i="11"/>
  <c r="ER150" i="11"/>
  <c r="EQ150" i="11"/>
  <c r="EP150" i="11"/>
  <c r="EO150" i="11"/>
  <c r="EN150" i="11"/>
  <c r="EM150" i="11"/>
  <c r="EL150" i="11"/>
  <c r="EK150" i="11"/>
  <c r="EJ150" i="11"/>
  <c r="EI150" i="11"/>
  <c r="EH150" i="11"/>
  <c r="EG150" i="11"/>
  <c r="EF150" i="11"/>
  <c r="EE150" i="11"/>
  <c r="ED150" i="11"/>
  <c r="EC150" i="11"/>
  <c r="EB150" i="11"/>
  <c r="EA150" i="11"/>
  <c r="DZ150" i="11"/>
  <c r="DY150" i="11"/>
  <c r="DX150" i="11"/>
  <c r="DW150" i="11"/>
  <c r="DV150" i="11"/>
  <c r="DU150" i="11"/>
  <c r="DT150" i="11"/>
  <c r="DS150" i="11"/>
  <c r="DR150" i="11"/>
  <c r="DQ150" i="11"/>
  <c r="DP150" i="11"/>
  <c r="DO150" i="11"/>
  <c r="DN150" i="11"/>
  <c r="DM150" i="11"/>
  <c r="DL150" i="11"/>
  <c r="DK150" i="11"/>
  <c r="DJ150" i="11"/>
  <c r="DI150" i="11"/>
  <c r="DH150" i="11"/>
  <c r="DG150" i="11"/>
  <c r="DF150" i="11"/>
  <c r="DE150" i="11"/>
  <c r="DD150" i="11"/>
  <c r="DC150" i="11"/>
  <c r="DB150" i="11"/>
  <c r="DA150" i="11"/>
  <c r="CZ150" i="11"/>
  <c r="CY150" i="11"/>
  <c r="CX150" i="11"/>
  <c r="CW150" i="11"/>
  <c r="CV150" i="11"/>
  <c r="CU150" i="11"/>
  <c r="CT150" i="11"/>
  <c r="CS150" i="11"/>
  <c r="CR150" i="11"/>
  <c r="CQ150" i="11"/>
  <c r="CP150" i="11"/>
  <c r="CO150" i="11"/>
  <c r="CN150" i="11"/>
  <c r="CM150" i="11"/>
  <c r="CL150" i="11"/>
  <c r="CK150" i="11"/>
  <c r="CJ150" i="11"/>
  <c r="CI150" i="11"/>
  <c r="CH150" i="11"/>
  <c r="CG150" i="11"/>
  <c r="CF150" i="11"/>
  <c r="CE150" i="11"/>
  <c r="CD150" i="11"/>
  <c r="CC150" i="11"/>
  <c r="CB150" i="11"/>
  <c r="CA150" i="11"/>
  <c r="BZ150" i="11"/>
  <c r="BY150" i="11"/>
  <c r="BX150" i="11"/>
  <c r="BW150" i="11"/>
  <c r="BV150" i="11"/>
  <c r="BU150" i="11"/>
  <c r="BT150" i="11"/>
  <c r="BS150" i="11"/>
  <c r="BR150" i="11"/>
  <c r="BQ150" i="11"/>
  <c r="BP150" i="11"/>
  <c r="BO150" i="11"/>
  <c r="BN150" i="11"/>
  <c r="BM150" i="11"/>
  <c r="BL150" i="11"/>
  <c r="BK150" i="11"/>
  <c r="BJ150" i="11"/>
  <c r="BI150" i="11"/>
  <c r="BH150" i="11"/>
  <c r="BG150" i="11"/>
  <c r="BF150" i="11"/>
  <c r="BE150" i="11"/>
  <c r="BD150" i="11"/>
  <c r="BC150" i="11"/>
  <c r="BB150" i="11"/>
  <c r="BA150" i="11"/>
  <c r="AZ150" i="11"/>
  <c r="AY150" i="11"/>
  <c r="AX150" i="11"/>
  <c r="AW150" i="11"/>
  <c r="AV150" i="11"/>
  <c r="AU150" i="11"/>
  <c r="AT150" i="11"/>
  <c r="AS150" i="11"/>
  <c r="AR150" i="11"/>
  <c r="AQ150" i="11"/>
  <c r="AP150" i="11"/>
  <c r="AO150" i="11"/>
  <c r="AN150" i="11"/>
  <c r="AM150" i="11"/>
  <c r="AL150" i="11"/>
  <c r="AK150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GK148" i="11"/>
  <c r="GJ148" i="11"/>
  <c r="GI148" i="11"/>
  <c r="GH148" i="11"/>
  <c r="GG148" i="11"/>
  <c r="GF148" i="11"/>
  <c r="GE148" i="11"/>
  <c r="GD148" i="11"/>
  <c r="GC148" i="11"/>
  <c r="GB148" i="11"/>
  <c r="GA148" i="11"/>
  <c r="FZ148" i="11"/>
  <c r="FY148" i="11"/>
  <c r="FX148" i="11"/>
  <c r="FW148" i="11"/>
  <c r="FV148" i="11"/>
  <c r="FU148" i="11"/>
  <c r="FT148" i="11"/>
  <c r="FS148" i="11"/>
  <c r="FR148" i="11"/>
  <c r="FQ148" i="11"/>
  <c r="FP148" i="11"/>
  <c r="FO148" i="11"/>
  <c r="FN148" i="11"/>
  <c r="FM148" i="11"/>
  <c r="FL148" i="11"/>
  <c r="FK148" i="11"/>
  <c r="FJ148" i="11"/>
  <c r="FI148" i="11"/>
  <c r="FH148" i="11"/>
  <c r="FF148" i="11"/>
  <c r="FE148" i="11"/>
  <c r="FD148" i="11"/>
  <c r="FC148" i="11"/>
  <c r="FB148" i="11"/>
  <c r="EU148" i="11"/>
  <c r="ES148" i="11"/>
  <c r="ER148" i="11"/>
  <c r="EQ148" i="11"/>
  <c r="EP148" i="11"/>
  <c r="EO148" i="11"/>
  <c r="EM148" i="11"/>
  <c r="EK148" i="11"/>
  <c r="EJ148" i="11"/>
  <c r="EI148" i="11"/>
  <c r="EH148" i="11"/>
  <c r="EG148" i="11"/>
  <c r="EF148" i="11"/>
  <c r="EE148" i="11"/>
  <c r="ED148" i="11"/>
  <c r="EC148" i="11"/>
  <c r="EB148" i="11"/>
  <c r="EA148" i="11"/>
  <c r="DZ148" i="11"/>
  <c r="DY148" i="11"/>
  <c r="DX148" i="11"/>
  <c r="DW148" i="11"/>
  <c r="DV148" i="11"/>
  <c r="DU148" i="11"/>
  <c r="DT148" i="11"/>
  <c r="DS148" i="11"/>
  <c r="DR148" i="11"/>
  <c r="DQ148" i="11"/>
  <c r="DP148" i="11"/>
  <c r="DO148" i="11"/>
  <c r="DN148" i="11"/>
  <c r="DM148" i="11"/>
  <c r="DL148" i="11"/>
  <c r="DK148" i="11"/>
  <c r="DJ148" i="11"/>
  <c r="DI148" i="11"/>
  <c r="DH148" i="11"/>
  <c r="DG148" i="11"/>
  <c r="DF148" i="11"/>
  <c r="DE148" i="11"/>
  <c r="DD148" i="11"/>
  <c r="DC148" i="11"/>
  <c r="DB148" i="11"/>
  <c r="DA148" i="11"/>
  <c r="CZ148" i="11"/>
  <c r="CY148" i="11"/>
  <c r="CX148" i="11"/>
  <c r="CW148" i="11"/>
  <c r="CV148" i="11"/>
  <c r="CU148" i="11"/>
  <c r="CT148" i="11"/>
  <c r="CS148" i="11"/>
  <c r="CR148" i="11"/>
  <c r="CQ148" i="11"/>
  <c r="CP148" i="11"/>
  <c r="CO148" i="11"/>
  <c r="CN148" i="11"/>
  <c r="CM148" i="11"/>
  <c r="CL148" i="11"/>
  <c r="CK148" i="11"/>
  <c r="CJ148" i="11"/>
  <c r="CI148" i="11"/>
  <c r="CH148" i="11"/>
  <c r="CG148" i="11"/>
  <c r="CF148" i="11"/>
  <c r="CE148" i="11"/>
  <c r="CD148" i="11"/>
  <c r="CC148" i="11"/>
  <c r="CB148" i="11"/>
  <c r="CA148" i="11"/>
  <c r="BZ148" i="11"/>
  <c r="BY148" i="11"/>
  <c r="BX148" i="11"/>
  <c r="BW148" i="11"/>
  <c r="BV148" i="11"/>
  <c r="BU148" i="11"/>
  <c r="BT148" i="11"/>
  <c r="BS148" i="11"/>
  <c r="BR148" i="11"/>
  <c r="BQ148" i="11"/>
  <c r="BP148" i="11"/>
  <c r="BO148" i="11"/>
  <c r="BN148" i="11"/>
  <c r="BM148" i="11"/>
  <c r="BL148" i="11"/>
  <c r="BK148" i="11"/>
  <c r="BJ148" i="11"/>
  <c r="BI148" i="11"/>
  <c r="BH148" i="11"/>
  <c r="BG148" i="11"/>
  <c r="BF148" i="11"/>
  <c r="BE148" i="11"/>
  <c r="BD148" i="11"/>
  <c r="BC148" i="11"/>
  <c r="BB148" i="11"/>
  <c r="BA148" i="11"/>
  <c r="AZ148" i="11"/>
  <c r="AY148" i="11"/>
  <c r="AX148" i="11"/>
  <c r="AW148" i="11"/>
  <c r="AV148" i="11"/>
  <c r="AU148" i="11"/>
  <c r="AT148" i="11"/>
  <c r="AS148" i="11"/>
  <c r="AR148" i="11"/>
  <c r="AQ148" i="11"/>
  <c r="AP148" i="11"/>
  <c r="AO148" i="11"/>
  <c r="AN148" i="11"/>
  <c r="AM148" i="11"/>
  <c r="AL148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GK146" i="11"/>
  <c r="GJ146" i="11"/>
  <c r="GI146" i="11"/>
  <c r="GH146" i="11"/>
  <c r="GG146" i="11"/>
  <c r="GF146" i="11"/>
  <c r="GE146" i="11"/>
  <c r="GD146" i="11"/>
  <c r="GC146" i="11"/>
  <c r="GB146" i="11"/>
  <c r="GA146" i="11"/>
  <c r="FZ146" i="11"/>
  <c r="FY146" i="11"/>
  <c r="FX146" i="11"/>
  <c r="FW146" i="11"/>
  <c r="FV146" i="11"/>
  <c r="FU146" i="11"/>
  <c r="FT146" i="11"/>
  <c r="FS146" i="11"/>
  <c r="FR146" i="11"/>
  <c r="FQ146" i="11"/>
  <c r="FP146" i="11"/>
  <c r="FO146" i="11"/>
  <c r="FN146" i="11"/>
  <c r="FM146" i="11"/>
  <c r="FL146" i="11"/>
  <c r="FK146" i="11"/>
  <c r="FJ146" i="11"/>
  <c r="FI146" i="11"/>
  <c r="FH146" i="11"/>
  <c r="FF146" i="11"/>
  <c r="FE146" i="11"/>
  <c r="FD146" i="11"/>
  <c r="FC146" i="11"/>
  <c r="FB146" i="11"/>
  <c r="EU146" i="11"/>
  <c r="ES146" i="11"/>
  <c r="ER146" i="11"/>
  <c r="EQ146" i="11"/>
  <c r="EP146" i="11"/>
  <c r="EO146" i="11"/>
  <c r="EM146" i="11"/>
  <c r="EJ146" i="11"/>
  <c r="EI146" i="11"/>
  <c r="EH146" i="11"/>
  <c r="EG146" i="11"/>
  <c r="EF146" i="11"/>
  <c r="EE146" i="11"/>
  <c r="ED146" i="11"/>
  <c r="EC146" i="11"/>
  <c r="EB146" i="11"/>
  <c r="EA146" i="11"/>
  <c r="DZ146" i="11"/>
  <c r="DY146" i="11"/>
  <c r="DX146" i="11"/>
  <c r="DW146" i="11"/>
  <c r="DV146" i="11"/>
  <c r="DU146" i="11"/>
  <c r="DT146" i="11"/>
  <c r="DS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DG146" i="11"/>
  <c r="DF146" i="11"/>
  <c r="DE146" i="11"/>
  <c r="DD146" i="11"/>
  <c r="DC146" i="11"/>
  <c r="DB146" i="11"/>
  <c r="DA146" i="11"/>
  <c r="CZ146" i="11"/>
  <c r="CY146" i="11"/>
  <c r="CX146" i="11"/>
  <c r="CW146" i="11"/>
  <c r="CV146" i="11"/>
  <c r="CU146" i="11"/>
  <c r="CT146" i="11"/>
  <c r="CS146" i="11"/>
  <c r="CR146" i="11"/>
  <c r="CQ146" i="11"/>
  <c r="CP146" i="11"/>
  <c r="CO146" i="11"/>
  <c r="CN146" i="11"/>
  <c r="CM146" i="11"/>
  <c r="CL146" i="11"/>
  <c r="CK146" i="11"/>
  <c r="CJ146" i="11"/>
  <c r="CI146" i="11"/>
  <c r="CH146" i="11"/>
  <c r="CG146" i="11"/>
  <c r="CF146" i="11"/>
  <c r="CE146" i="11"/>
  <c r="CD146" i="11"/>
  <c r="CC146" i="11"/>
  <c r="CB146" i="11"/>
  <c r="CA146" i="11"/>
  <c r="BZ146" i="11"/>
  <c r="BY146" i="11"/>
  <c r="BX146" i="11"/>
  <c r="BW146" i="11"/>
  <c r="BV146" i="11"/>
  <c r="BU146" i="11"/>
  <c r="BT146" i="11"/>
  <c r="BS146" i="11"/>
  <c r="BR146" i="11"/>
  <c r="BQ146" i="11"/>
  <c r="BP146" i="11"/>
  <c r="BO146" i="11"/>
  <c r="BN146" i="11"/>
  <c r="BM146" i="11"/>
  <c r="BL146" i="11"/>
  <c r="BK146" i="11"/>
  <c r="BJ146" i="11"/>
  <c r="BI146" i="11"/>
  <c r="BH146" i="11"/>
  <c r="BG146" i="11"/>
  <c r="BF146" i="11"/>
  <c r="BE146" i="11"/>
  <c r="BD146" i="11"/>
  <c r="BC146" i="11"/>
  <c r="BB146" i="11"/>
  <c r="BA146" i="11"/>
  <c r="AZ146" i="11"/>
  <c r="AY146" i="11"/>
  <c r="AX146" i="11"/>
  <c r="AW146" i="11"/>
  <c r="AV146" i="11"/>
  <c r="AU146" i="11"/>
  <c r="AT146" i="11"/>
  <c r="AS146" i="11"/>
  <c r="AR146" i="11"/>
  <c r="AQ146" i="11"/>
  <c r="AP146" i="11"/>
  <c r="AO146" i="11"/>
  <c r="AN146" i="11"/>
  <c r="AM146" i="11"/>
  <c r="AL146" i="11"/>
  <c r="AK146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GK144" i="11"/>
  <c r="GJ144" i="11"/>
  <c r="GI144" i="11"/>
  <c r="GH144" i="11"/>
  <c r="GG144" i="11"/>
  <c r="GF144" i="11"/>
  <c r="GE144" i="11"/>
  <c r="GD144" i="11"/>
  <c r="GC144" i="11"/>
  <c r="GB144" i="11"/>
  <c r="GA144" i="11"/>
  <c r="FZ144" i="11"/>
  <c r="FY144" i="11"/>
  <c r="FX144" i="11"/>
  <c r="FW144" i="11"/>
  <c r="FV144" i="11"/>
  <c r="FU144" i="11"/>
  <c r="FT144" i="11"/>
  <c r="FS144" i="11"/>
  <c r="FR144" i="11"/>
  <c r="FQ144" i="11"/>
  <c r="FP144" i="11"/>
  <c r="FO144" i="11"/>
  <c r="FN144" i="11"/>
  <c r="FM144" i="11"/>
  <c r="FL144" i="11"/>
  <c r="FK144" i="11"/>
  <c r="FJ144" i="11"/>
  <c r="FI144" i="11"/>
  <c r="FH144" i="11"/>
  <c r="FG144" i="11"/>
  <c r="FF144" i="11"/>
  <c r="FE144" i="11"/>
  <c r="FD144" i="11"/>
  <c r="FC144" i="11"/>
  <c r="FB144" i="11"/>
  <c r="FA144" i="11"/>
  <c r="EZ144" i="11"/>
  <c r="EY144" i="11"/>
  <c r="EX144" i="11"/>
  <c r="EV144" i="11"/>
  <c r="EU144" i="11"/>
  <c r="ET144" i="11"/>
  <c r="ES144" i="11"/>
  <c r="ER144" i="11"/>
  <c r="EQ144" i="11"/>
  <c r="EP144" i="11"/>
  <c r="EO144" i="11"/>
  <c r="EN144" i="11"/>
  <c r="EM144" i="11"/>
  <c r="EL144" i="11"/>
  <c r="EK144" i="11"/>
  <c r="EJ144" i="11"/>
  <c r="EI144" i="11"/>
  <c r="EH144" i="11"/>
  <c r="EG144" i="11"/>
  <c r="EF144" i="11"/>
  <c r="EE144" i="11"/>
  <c r="ED144" i="11"/>
  <c r="EC144" i="11"/>
  <c r="EB144" i="11"/>
  <c r="EA144" i="11"/>
  <c r="DZ144" i="11"/>
  <c r="DY144" i="11"/>
  <c r="DX144" i="11"/>
  <c r="DW144" i="11"/>
  <c r="DV144" i="11"/>
  <c r="DU144" i="11"/>
  <c r="DT144" i="11"/>
  <c r="DS144" i="11"/>
  <c r="DR144" i="11"/>
  <c r="DQ144" i="11"/>
  <c r="DP144" i="11"/>
  <c r="DO144" i="11"/>
  <c r="DN144" i="11"/>
  <c r="DM144" i="11"/>
  <c r="DL144" i="11"/>
  <c r="DK144" i="11"/>
  <c r="DJ144" i="11"/>
  <c r="DI144" i="11"/>
  <c r="DH144" i="11"/>
  <c r="DG144" i="11"/>
  <c r="DF144" i="11"/>
  <c r="DE144" i="11"/>
  <c r="DD144" i="11"/>
  <c r="DC144" i="11"/>
  <c r="DB144" i="11"/>
  <c r="DA144" i="11"/>
  <c r="CZ144" i="11"/>
  <c r="CY144" i="11"/>
  <c r="CX144" i="11"/>
  <c r="CW144" i="11"/>
  <c r="CV144" i="11"/>
  <c r="CU144" i="11"/>
  <c r="CT144" i="11"/>
  <c r="CS144" i="11"/>
  <c r="CR144" i="11"/>
  <c r="CQ144" i="11"/>
  <c r="CP144" i="11"/>
  <c r="CO144" i="11"/>
  <c r="CN144" i="11"/>
  <c r="CM144" i="11"/>
  <c r="CL144" i="11"/>
  <c r="CK144" i="11"/>
  <c r="CJ144" i="11"/>
  <c r="CI144" i="11"/>
  <c r="CH144" i="11"/>
  <c r="CG144" i="11"/>
  <c r="CF144" i="11"/>
  <c r="CE144" i="11"/>
  <c r="CD144" i="11"/>
  <c r="CC144" i="11"/>
  <c r="CB144" i="11"/>
  <c r="CA144" i="11"/>
  <c r="BZ144" i="11"/>
  <c r="BY144" i="11"/>
  <c r="BX144" i="11"/>
  <c r="BW144" i="11"/>
  <c r="BV144" i="11"/>
  <c r="BU144" i="11"/>
  <c r="BT144" i="11"/>
  <c r="BS144" i="11"/>
  <c r="BR144" i="11"/>
  <c r="BQ144" i="11"/>
  <c r="BP144" i="11"/>
  <c r="BO144" i="11"/>
  <c r="BN144" i="11"/>
  <c r="BM144" i="11"/>
  <c r="BL144" i="11"/>
  <c r="BK144" i="11"/>
  <c r="BJ144" i="11"/>
  <c r="BI144" i="11"/>
  <c r="BH144" i="11"/>
  <c r="BG144" i="11"/>
  <c r="BF144" i="11"/>
  <c r="BE144" i="11"/>
  <c r="BD144" i="11"/>
  <c r="BC144" i="11"/>
  <c r="BB144" i="11"/>
  <c r="BA144" i="11"/>
  <c r="AZ144" i="11"/>
  <c r="AY144" i="11"/>
  <c r="AX144" i="11"/>
  <c r="AW144" i="11"/>
  <c r="AV144" i="11"/>
  <c r="AU144" i="11"/>
  <c r="AT144" i="11"/>
  <c r="AS144" i="11"/>
  <c r="AR144" i="11"/>
  <c r="AQ144" i="11"/>
  <c r="AP144" i="11"/>
  <c r="AO144" i="11"/>
  <c r="AN144" i="11"/>
  <c r="AM144" i="11"/>
  <c r="AL144" i="11"/>
  <c r="AK144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GK142" i="11"/>
  <c r="GJ142" i="11"/>
  <c r="GI142" i="11"/>
  <c r="GH142" i="11"/>
  <c r="GG142" i="11"/>
  <c r="GF142" i="11"/>
  <c r="GE142" i="11"/>
  <c r="GD142" i="11"/>
  <c r="GC142" i="11"/>
  <c r="GB142" i="11"/>
  <c r="GA142" i="11"/>
  <c r="FZ142" i="11"/>
  <c r="FY142" i="11"/>
  <c r="FX142" i="11"/>
  <c r="FW142" i="11"/>
  <c r="FV142" i="11"/>
  <c r="FU142" i="11"/>
  <c r="FT142" i="11"/>
  <c r="FS142" i="11"/>
  <c r="FR142" i="11"/>
  <c r="FQ142" i="11"/>
  <c r="FP142" i="11"/>
  <c r="FO142" i="11"/>
  <c r="FN142" i="11"/>
  <c r="FM142" i="11"/>
  <c r="FL142" i="11"/>
  <c r="FK142" i="11"/>
  <c r="FJ142" i="11"/>
  <c r="FI142" i="11"/>
  <c r="FH142" i="11"/>
  <c r="FG142" i="11"/>
  <c r="FF142" i="11"/>
  <c r="FE142" i="11"/>
  <c r="FD142" i="11"/>
  <c r="FC142" i="11"/>
  <c r="FB142" i="11"/>
  <c r="FA142" i="11"/>
  <c r="EZ142" i="11"/>
  <c r="EY142" i="11"/>
  <c r="EX142" i="11"/>
  <c r="EV142" i="11"/>
  <c r="EU142" i="11"/>
  <c r="ET142" i="11"/>
  <c r="ES142" i="11"/>
  <c r="ER142" i="11"/>
  <c r="EQ142" i="11"/>
  <c r="EP142" i="11"/>
  <c r="EO142" i="11"/>
  <c r="EN142" i="11"/>
  <c r="EM142" i="11"/>
  <c r="EL142" i="11"/>
  <c r="EK142" i="11"/>
  <c r="EJ142" i="11"/>
  <c r="EI142" i="11"/>
  <c r="EH142" i="11"/>
  <c r="EG142" i="11"/>
  <c r="EF142" i="11"/>
  <c r="EE142" i="11"/>
  <c r="ED142" i="11"/>
  <c r="EC142" i="11"/>
  <c r="EB142" i="11"/>
  <c r="EA142" i="11"/>
  <c r="DZ142" i="11"/>
  <c r="DY142" i="11"/>
  <c r="DX142" i="11"/>
  <c r="DW142" i="11"/>
  <c r="DV142" i="11"/>
  <c r="DU142" i="11"/>
  <c r="DT142" i="11"/>
  <c r="DS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DG142" i="11"/>
  <c r="DF142" i="11"/>
  <c r="DE142" i="11"/>
  <c r="DD142" i="11"/>
  <c r="DC142" i="11"/>
  <c r="DB142" i="11"/>
  <c r="DA142" i="11"/>
  <c r="CZ142" i="11"/>
  <c r="CY142" i="11"/>
  <c r="CX142" i="11"/>
  <c r="CW142" i="11"/>
  <c r="CV142" i="11"/>
  <c r="CU142" i="11"/>
  <c r="CT142" i="11"/>
  <c r="CS142" i="11"/>
  <c r="CR142" i="11"/>
  <c r="CQ142" i="11"/>
  <c r="CP142" i="11"/>
  <c r="CO142" i="11"/>
  <c r="CN142" i="11"/>
  <c r="CM142" i="11"/>
  <c r="CL142" i="11"/>
  <c r="CK142" i="11"/>
  <c r="CJ142" i="11"/>
  <c r="CI142" i="11"/>
  <c r="CH142" i="11"/>
  <c r="CG142" i="11"/>
  <c r="CF142" i="11"/>
  <c r="CE142" i="11"/>
  <c r="CD142" i="11"/>
  <c r="CC142" i="11"/>
  <c r="CB142" i="11"/>
  <c r="CA142" i="11"/>
  <c r="BZ142" i="11"/>
  <c r="BY142" i="11"/>
  <c r="BX142" i="11"/>
  <c r="BW142" i="11"/>
  <c r="BV142" i="11"/>
  <c r="BU142" i="11"/>
  <c r="BT142" i="11"/>
  <c r="BS142" i="11"/>
  <c r="BR142" i="11"/>
  <c r="BQ142" i="11"/>
  <c r="BP142" i="11"/>
  <c r="BO142" i="11"/>
  <c r="BN142" i="11"/>
  <c r="BM142" i="11"/>
  <c r="BL142" i="11"/>
  <c r="BK142" i="11"/>
  <c r="BJ142" i="11"/>
  <c r="BI142" i="11"/>
  <c r="BH142" i="11"/>
  <c r="BG142" i="11"/>
  <c r="BF142" i="11"/>
  <c r="BE142" i="11"/>
  <c r="BD142" i="11"/>
  <c r="BC142" i="11"/>
  <c r="BB142" i="11"/>
  <c r="BA142" i="11"/>
  <c r="AZ142" i="11"/>
  <c r="AY142" i="11"/>
  <c r="AX142" i="11"/>
  <c r="AW142" i="11"/>
  <c r="AV142" i="11"/>
  <c r="AU142" i="11"/>
  <c r="AT142" i="11"/>
  <c r="AS142" i="11"/>
  <c r="AR142" i="11"/>
  <c r="AQ142" i="11"/>
  <c r="AP142" i="11"/>
  <c r="AO142" i="11"/>
  <c r="AN142" i="11"/>
  <c r="AM142" i="11"/>
  <c r="AL142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GK64" i="11"/>
  <c r="GJ64" i="11"/>
  <c r="GI64" i="11"/>
  <c r="GH64" i="11"/>
  <c r="GG64" i="11"/>
  <c r="GF64" i="11"/>
  <c r="GE64" i="11"/>
  <c r="GD64" i="11"/>
  <c r="GC64" i="11"/>
  <c r="GB64" i="11"/>
  <c r="GA64" i="11"/>
  <c r="FZ64" i="11"/>
  <c r="FY64" i="11"/>
  <c r="FX64" i="11"/>
  <c r="FW64" i="11"/>
  <c r="FV64" i="11"/>
  <c r="FU64" i="11"/>
  <c r="FT64" i="11"/>
  <c r="FS64" i="11"/>
  <c r="FR64" i="11"/>
  <c r="FQ64" i="11"/>
  <c r="FP64" i="11"/>
  <c r="FO64" i="11"/>
  <c r="FN64" i="11"/>
  <c r="FM64" i="11"/>
  <c r="FL64" i="11"/>
  <c r="FK64" i="11"/>
  <c r="FJ64" i="11"/>
  <c r="FI64" i="11"/>
  <c r="FH64" i="11"/>
  <c r="FG64" i="11"/>
  <c r="FF64" i="11"/>
  <c r="FE64" i="11"/>
  <c r="FD64" i="11"/>
  <c r="FC64" i="11"/>
  <c r="FB64" i="11"/>
  <c r="FA64" i="11"/>
  <c r="EZ64" i="11"/>
  <c r="EY64" i="11"/>
  <c r="EX64" i="11"/>
  <c r="EV64" i="11"/>
  <c r="EU64" i="11"/>
  <c r="ET64" i="11"/>
  <c r="ES64" i="11"/>
  <c r="ER64" i="11"/>
  <c r="EQ64" i="11"/>
  <c r="EP64" i="11"/>
  <c r="EO64" i="11"/>
  <c r="EN64" i="11"/>
  <c r="EM64" i="11"/>
  <c r="EL64" i="11"/>
  <c r="EK64" i="11"/>
  <c r="EJ64" i="11"/>
  <c r="EI64" i="11"/>
  <c r="EH64" i="11"/>
  <c r="EG64" i="11"/>
  <c r="EF64" i="11"/>
  <c r="EE64" i="11"/>
  <c r="ED64" i="11"/>
  <c r="EC64" i="11"/>
  <c r="EB64" i="11"/>
  <c r="EA64" i="11"/>
  <c r="DZ64" i="11"/>
  <c r="DY64" i="11"/>
  <c r="DX64" i="11"/>
  <c r="DW64" i="11"/>
  <c r="DV64" i="11"/>
  <c r="DU64" i="11"/>
  <c r="DT64" i="11"/>
  <c r="DS64" i="11"/>
  <c r="DR64" i="11"/>
  <c r="DQ64" i="11"/>
  <c r="DP64" i="11"/>
  <c r="DO64" i="11"/>
  <c r="DN64" i="11"/>
  <c r="DM64" i="11"/>
  <c r="DL64" i="11"/>
  <c r="DK64" i="11"/>
  <c r="DJ64" i="11"/>
  <c r="DI64" i="11"/>
  <c r="DH64" i="11"/>
  <c r="DG64" i="11"/>
  <c r="DF64" i="11"/>
  <c r="DE64" i="11"/>
  <c r="DD64" i="11"/>
  <c r="DC64" i="11"/>
  <c r="DB64" i="11"/>
  <c r="DA64" i="11"/>
  <c r="CZ64" i="11"/>
  <c r="CY64" i="11"/>
  <c r="CX64" i="11"/>
  <c r="CW64" i="11"/>
  <c r="CV64" i="11"/>
  <c r="CU64" i="11"/>
  <c r="CT64" i="11"/>
  <c r="CS64" i="11"/>
  <c r="CR64" i="11"/>
  <c r="CQ64" i="11"/>
  <c r="CP64" i="11"/>
  <c r="CO64" i="11"/>
  <c r="CN64" i="11"/>
  <c r="CM64" i="11"/>
  <c r="CL64" i="11"/>
  <c r="CK64" i="11"/>
  <c r="CJ64" i="11"/>
  <c r="CI64" i="11"/>
  <c r="CH64" i="11"/>
  <c r="CG64" i="11"/>
  <c r="CF64" i="11"/>
  <c r="CE64" i="11"/>
  <c r="CD64" i="11"/>
  <c r="CC64" i="11"/>
  <c r="CB64" i="11"/>
  <c r="CA64" i="11"/>
  <c r="BZ64" i="11"/>
  <c r="BY64" i="11"/>
  <c r="BX64" i="11"/>
  <c r="BW64" i="11"/>
  <c r="BV64" i="11"/>
  <c r="BU64" i="11"/>
  <c r="BT64" i="11"/>
  <c r="BS64" i="11"/>
  <c r="BR64" i="11"/>
  <c r="BQ64" i="11"/>
  <c r="BP64" i="11"/>
  <c r="BO64" i="11"/>
  <c r="BN64" i="11"/>
  <c r="BM64" i="11"/>
  <c r="BL64" i="11"/>
  <c r="BK64" i="11"/>
  <c r="BJ64" i="11"/>
  <c r="BI64" i="11"/>
  <c r="BH64" i="11"/>
  <c r="BG64" i="11"/>
  <c r="BF64" i="11"/>
  <c r="BE64" i="11"/>
  <c r="BD64" i="11"/>
  <c r="BC64" i="11"/>
  <c r="BB64" i="11"/>
  <c r="BA64" i="11"/>
  <c r="AZ64" i="11"/>
  <c r="AY64" i="11"/>
  <c r="AX64" i="11"/>
  <c r="AW64" i="11"/>
  <c r="AV64" i="11"/>
  <c r="AU64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GK58" i="11"/>
  <c r="GJ58" i="11"/>
  <c r="GI58" i="11"/>
  <c r="GH58" i="11"/>
  <c r="GG58" i="11"/>
  <c r="GF58" i="11"/>
  <c r="GE58" i="11"/>
  <c r="GD58" i="11"/>
  <c r="GC58" i="11"/>
  <c r="GB58" i="11"/>
  <c r="GA58" i="11"/>
  <c r="FZ58" i="11"/>
  <c r="FY58" i="11"/>
  <c r="FX58" i="11"/>
  <c r="FW58" i="11"/>
  <c r="FV58" i="11"/>
  <c r="FU58" i="11"/>
  <c r="FT58" i="11"/>
  <c r="FS58" i="11"/>
  <c r="FR58" i="11"/>
  <c r="FQ58" i="11"/>
  <c r="FP58" i="11"/>
  <c r="FO58" i="11"/>
  <c r="FN58" i="11"/>
  <c r="FM58" i="11"/>
  <c r="FL58" i="11"/>
  <c r="FK58" i="11"/>
  <c r="FJ58" i="11"/>
  <c r="FI58" i="11"/>
  <c r="FH58" i="11"/>
  <c r="FG58" i="11"/>
  <c r="FF58" i="11"/>
  <c r="FE58" i="11"/>
  <c r="FD58" i="11"/>
  <c r="FC58" i="11"/>
  <c r="FB58" i="11"/>
  <c r="FA58" i="11"/>
  <c r="EZ58" i="11"/>
  <c r="EY58" i="11"/>
  <c r="EX58" i="11"/>
  <c r="EV58" i="11"/>
  <c r="EU58" i="11"/>
  <c r="ET58" i="11"/>
  <c r="ES58" i="11"/>
  <c r="ER58" i="11"/>
  <c r="EQ58" i="11"/>
  <c r="EP58" i="11"/>
  <c r="EO58" i="11"/>
  <c r="EN58" i="11"/>
  <c r="EM58" i="11"/>
  <c r="EL58" i="11"/>
  <c r="EK58" i="11"/>
  <c r="EJ58" i="11"/>
  <c r="EI58" i="11"/>
  <c r="EH58" i="11"/>
  <c r="EG58" i="11"/>
  <c r="EF58" i="11"/>
  <c r="EE58" i="11"/>
  <c r="ED58" i="11"/>
  <c r="EC58" i="11"/>
  <c r="EB58" i="11"/>
  <c r="EA58" i="11"/>
  <c r="DZ58" i="11"/>
  <c r="DY58" i="11"/>
  <c r="DX58" i="11"/>
  <c r="DW58" i="11"/>
  <c r="DV58" i="11"/>
  <c r="DU58" i="11"/>
  <c r="DT58" i="11"/>
  <c r="DS58" i="11"/>
  <c r="DR58" i="11"/>
  <c r="DQ58" i="11"/>
  <c r="DP58" i="11"/>
  <c r="DO58" i="11"/>
  <c r="DN58" i="11"/>
  <c r="DM58" i="11"/>
  <c r="DL58" i="11"/>
  <c r="DK58" i="11"/>
  <c r="DJ58" i="11"/>
  <c r="DI58" i="11"/>
  <c r="DH58" i="11"/>
  <c r="DG58" i="11"/>
  <c r="DF58" i="11"/>
  <c r="DE58" i="11"/>
  <c r="DD58" i="11"/>
  <c r="DC58" i="11"/>
  <c r="DB58" i="11"/>
  <c r="DA58" i="11"/>
  <c r="CZ58" i="11"/>
  <c r="CY58" i="11"/>
  <c r="CX58" i="11"/>
  <c r="CW58" i="11"/>
  <c r="CV58" i="11"/>
  <c r="CU58" i="11"/>
  <c r="CT58" i="11"/>
  <c r="CS58" i="11"/>
  <c r="CR58" i="11"/>
  <c r="CQ58" i="11"/>
  <c r="CP58" i="11"/>
  <c r="CO58" i="11"/>
  <c r="CN58" i="11"/>
  <c r="CM58" i="11"/>
  <c r="CL58" i="11"/>
  <c r="CK58" i="11"/>
  <c r="CJ58" i="11"/>
  <c r="CI58" i="11"/>
  <c r="CH58" i="11"/>
  <c r="CG58" i="11"/>
  <c r="CF58" i="11"/>
  <c r="CE58" i="11"/>
  <c r="CD58" i="11"/>
  <c r="CC58" i="11"/>
  <c r="CB58" i="11"/>
  <c r="CA58" i="11"/>
  <c r="BZ58" i="11"/>
  <c r="BY58" i="11"/>
  <c r="BX58" i="11"/>
  <c r="BW58" i="11"/>
  <c r="BV58" i="11"/>
  <c r="BU58" i="11"/>
  <c r="BT58" i="11"/>
  <c r="BS58" i="11"/>
  <c r="BR58" i="11"/>
  <c r="BQ58" i="11"/>
  <c r="BP58" i="11"/>
  <c r="BO58" i="11"/>
  <c r="BN58" i="11"/>
  <c r="BM58" i="11"/>
  <c r="BL58" i="11"/>
  <c r="BK58" i="11"/>
  <c r="BJ58" i="11"/>
  <c r="BI58" i="11"/>
  <c r="BH58" i="11"/>
  <c r="BG58" i="11"/>
  <c r="BF58" i="11"/>
  <c r="BE58" i="11"/>
  <c r="BD58" i="11"/>
  <c r="BC58" i="11"/>
  <c r="BB58" i="11"/>
  <c r="BA58" i="11"/>
  <c r="AZ58" i="11"/>
  <c r="AY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GE200" i="11"/>
  <c r="GD200" i="11"/>
  <c r="GE196" i="11"/>
  <c r="GD196" i="11"/>
  <c r="GE184" i="11"/>
  <c r="GD184" i="11"/>
  <c r="GE182" i="11"/>
  <c r="GD182" i="11"/>
  <c r="GE152" i="11"/>
  <c r="GD152" i="11"/>
  <c r="GE120" i="11"/>
  <c r="GD120" i="11"/>
  <c r="GE72" i="11"/>
  <c r="GD72" i="11"/>
  <c r="GE70" i="11"/>
  <c r="H82" i="11"/>
  <c r="I82" i="11"/>
  <c r="J82" i="11"/>
  <c r="K82" i="11"/>
  <c r="M82" i="11"/>
  <c r="N82" i="11"/>
  <c r="O82" i="11"/>
  <c r="P82" i="11"/>
  <c r="Q82" i="11"/>
  <c r="R82" i="11"/>
  <c r="S82" i="11"/>
  <c r="T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J82" i="11"/>
  <c r="AK82" i="11"/>
  <c r="AL82" i="11"/>
  <c r="AN82" i="11"/>
  <c r="AO82" i="11"/>
  <c r="AP82" i="11"/>
  <c r="AQ82" i="11"/>
  <c r="AR82" i="11"/>
  <c r="AS82" i="11"/>
  <c r="AT82" i="11"/>
  <c r="AU82" i="11"/>
  <c r="AW82" i="11"/>
  <c r="AX82" i="11"/>
  <c r="AY82" i="11"/>
  <c r="BA82" i="11"/>
  <c r="BB82" i="11"/>
  <c r="BC82" i="11"/>
  <c r="BD82" i="11"/>
  <c r="BE82" i="11"/>
  <c r="BF82" i="11"/>
  <c r="BH82" i="11"/>
  <c r="BI82" i="11"/>
  <c r="BJ82" i="11"/>
  <c r="BK82" i="11"/>
  <c r="BL82" i="11"/>
  <c r="BM82" i="11"/>
  <c r="BN82" i="11"/>
  <c r="BO82" i="11"/>
  <c r="BP82" i="11"/>
  <c r="BQ82" i="11"/>
  <c r="BR82" i="11"/>
  <c r="BS82" i="11"/>
  <c r="BT82" i="11"/>
  <c r="BU82" i="11"/>
  <c r="BV82" i="11"/>
  <c r="BW82" i="11"/>
  <c r="BX82" i="11"/>
  <c r="BY82" i="11"/>
  <c r="BZ82" i="11"/>
  <c r="CA82" i="11"/>
  <c r="CB82" i="11"/>
  <c r="CC82" i="11"/>
  <c r="CD82" i="11"/>
  <c r="CE82" i="11"/>
  <c r="CF82" i="11"/>
  <c r="CG82" i="11"/>
  <c r="CH82" i="11"/>
  <c r="CI82" i="11"/>
  <c r="CJ82" i="11"/>
  <c r="CK82" i="11"/>
  <c r="CL82" i="11"/>
  <c r="CM82" i="11"/>
  <c r="CN82" i="11"/>
  <c r="CO82" i="11"/>
  <c r="CP82" i="11"/>
  <c r="CQ82" i="11"/>
  <c r="CR82" i="11"/>
  <c r="CS82" i="11"/>
  <c r="CT82" i="11"/>
  <c r="CU82" i="11"/>
  <c r="CV82" i="11"/>
  <c r="CW82" i="11"/>
  <c r="CX82" i="11"/>
  <c r="CY82" i="11"/>
  <c r="CZ82" i="11"/>
  <c r="DA82" i="11"/>
  <c r="DB82" i="11"/>
  <c r="DC82" i="11"/>
  <c r="DD82" i="11"/>
  <c r="DE82" i="11"/>
  <c r="DF82" i="11"/>
  <c r="DG82" i="11"/>
  <c r="DH82" i="11"/>
  <c r="DI82" i="11"/>
  <c r="DJ82" i="11"/>
  <c r="DK82" i="11"/>
  <c r="DL82" i="11"/>
  <c r="DM82" i="11"/>
  <c r="DN82" i="11"/>
  <c r="DO82" i="11"/>
  <c r="DP82" i="11"/>
  <c r="DQ82" i="11"/>
  <c r="DR82" i="11"/>
  <c r="DS82" i="11"/>
  <c r="DT82" i="11"/>
  <c r="DU82" i="11"/>
  <c r="DV82" i="11"/>
  <c r="DW82" i="11"/>
  <c r="DX82" i="11"/>
  <c r="DY82" i="11"/>
  <c r="DZ82" i="11"/>
  <c r="EA82" i="11"/>
  <c r="EB82" i="11"/>
  <c r="EC82" i="11"/>
  <c r="ED82" i="11"/>
  <c r="EE82" i="11"/>
  <c r="EF82" i="11"/>
  <c r="EG82" i="11"/>
  <c r="EH82" i="11"/>
  <c r="EI82" i="11"/>
  <c r="EJ82" i="11"/>
  <c r="EK82" i="11"/>
  <c r="EL82" i="11"/>
  <c r="EM82" i="11"/>
  <c r="EN82" i="11"/>
  <c r="EO82" i="11"/>
  <c r="EP82" i="11"/>
  <c r="EQ82" i="11"/>
  <c r="ER82" i="11"/>
  <c r="ES82" i="11"/>
  <c r="ET82" i="11"/>
  <c r="EU82" i="11"/>
  <c r="EV82" i="11"/>
  <c r="EX82" i="11"/>
  <c r="EY82" i="11"/>
  <c r="EZ82" i="11"/>
  <c r="FA82" i="11"/>
  <c r="FB82" i="11"/>
  <c r="FC82" i="11"/>
  <c r="FD82" i="11"/>
  <c r="FE82" i="11"/>
  <c r="FF82" i="11"/>
  <c r="FG82" i="11"/>
  <c r="FH82" i="11"/>
  <c r="FI82" i="11"/>
  <c r="FJ82" i="11"/>
  <c r="FK82" i="11"/>
  <c r="FL82" i="11"/>
  <c r="FM82" i="11"/>
  <c r="FN82" i="11"/>
  <c r="FO82" i="11"/>
  <c r="FP82" i="11"/>
  <c r="FQ82" i="11"/>
  <c r="FR82" i="11"/>
  <c r="FS82" i="11"/>
  <c r="FT82" i="11"/>
  <c r="FU82" i="11"/>
  <c r="FV82" i="11"/>
  <c r="AW196" i="11"/>
  <c r="AX196" i="11"/>
  <c r="GK200" i="11"/>
  <c r="GJ200" i="11"/>
  <c r="GI200" i="11"/>
  <c r="GH200" i="11"/>
  <c r="GG200" i="11"/>
  <c r="GF200" i="11"/>
  <c r="GC200" i="11"/>
  <c r="GB200" i="11"/>
  <c r="GA200" i="11"/>
  <c r="FZ200" i="11"/>
  <c r="FX200" i="11"/>
  <c r="FW200" i="11"/>
  <c r="FV200" i="11"/>
  <c r="FU200" i="11"/>
  <c r="FT200" i="11"/>
  <c r="FS200" i="11"/>
  <c r="FR200" i="11"/>
  <c r="FQ200" i="11"/>
  <c r="FP200" i="11"/>
  <c r="FO200" i="11"/>
  <c r="FN200" i="11"/>
  <c r="FM200" i="11"/>
  <c r="FL200" i="11"/>
  <c r="FK200" i="11"/>
  <c r="FJ200" i="11"/>
  <c r="FI200" i="11"/>
  <c r="FH200" i="11"/>
  <c r="FG200" i="11"/>
  <c r="FF200" i="11"/>
  <c r="FE200" i="11"/>
  <c r="FD200" i="11"/>
  <c r="FC200" i="11"/>
  <c r="FB200" i="11"/>
  <c r="FA200" i="11"/>
  <c r="EZ200" i="11"/>
  <c r="EY200" i="11"/>
  <c r="EX200" i="11"/>
  <c r="EV200" i="11"/>
  <c r="EU200" i="11"/>
  <c r="ET200" i="11"/>
  <c r="ES200" i="11"/>
  <c r="ER200" i="11"/>
  <c r="EQ200" i="11"/>
  <c r="EP200" i="11"/>
  <c r="EO200" i="11"/>
  <c r="EN200" i="11"/>
  <c r="EM200" i="11"/>
  <c r="EL200" i="11"/>
  <c r="EK200" i="11"/>
  <c r="EJ200" i="11"/>
  <c r="EI200" i="11"/>
  <c r="EH200" i="11"/>
  <c r="EG200" i="11"/>
  <c r="EF200" i="11"/>
  <c r="EE200" i="11"/>
  <c r="ED200" i="11"/>
  <c r="EC200" i="11"/>
  <c r="EB200" i="11"/>
  <c r="EA200" i="11"/>
  <c r="DZ200" i="11"/>
  <c r="DY200" i="11"/>
  <c r="DX200" i="11"/>
  <c r="DW200" i="11"/>
  <c r="DV200" i="11"/>
  <c r="DU200" i="11"/>
  <c r="DT200" i="11"/>
  <c r="DS200" i="11"/>
  <c r="DR200" i="11"/>
  <c r="DQ200" i="11"/>
  <c r="DP200" i="11"/>
  <c r="DO200" i="11"/>
  <c r="DN200" i="11"/>
  <c r="DM200" i="11"/>
  <c r="DL200" i="11"/>
  <c r="DK200" i="11"/>
  <c r="DJ200" i="11"/>
  <c r="DI200" i="11"/>
  <c r="DH200" i="11"/>
  <c r="DG200" i="11"/>
  <c r="DF200" i="11"/>
  <c r="DE200" i="11"/>
  <c r="DD200" i="11"/>
  <c r="DC200" i="11"/>
  <c r="DB200" i="11"/>
  <c r="DA200" i="11"/>
  <c r="CZ200" i="11"/>
  <c r="CY200" i="11"/>
  <c r="CX200" i="11"/>
  <c r="CW200" i="11"/>
  <c r="CV200" i="11"/>
  <c r="CU200" i="11"/>
  <c r="CT200" i="11"/>
  <c r="CS200" i="11"/>
  <c r="CR200" i="11"/>
  <c r="CQ200" i="11"/>
  <c r="CP200" i="11"/>
  <c r="CO200" i="11"/>
  <c r="CN200" i="11"/>
  <c r="CM200" i="11"/>
  <c r="CL200" i="11"/>
  <c r="CK200" i="11"/>
  <c r="CJ200" i="11"/>
  <c r="CI200" i="11"/>
  <c r="CH200" i="11"/>
  <c r="CG200" i="11"/>
  <c r="CF200" i="11"/>
  <c r="CE200" i="11"/>
  <c r="CD200" i="11"/>
  <c r="CC200" i="11"/>
  <c r="CB200" i="11"/>
  <c r="CA200" i="11"/>
  <c r="BZ200" i="11"/>
  <c r="BY200" i="11"/>
  <c r="BX200" i="11"/>
  <c r="BW200" i="11"/>
  <c r="BV200" i="11"/>
  <c r="BU200" i="11"/>
  <c r="BT200" i="11"/>
  <c r="BS200" i="11"/>
  <c r="BR200" i="11"/>
  <c r="BQ200" i="11"/>
  <c r="BP200" i="11"/>
  <c r="BO200" i="11"/>
  <c r="BN200" i="11"/>
  <c r="BM200" i="11"/>
  <c r="BL200" i="11"/>
  <c r="BK200" i="11"/>
  <c r="BJ200" i="11"/>
  <c r="BI200" i="11"/>
  <c r="BH200" i="11"/>
  <c r="BG200" i="11"/>
  <c r="BF200" i="11"/>
  <c r="BE200" i="11"/>
  <c r="BD200" i="11"/>
  <c r="BC200" i="11"/>
  <c r="BB200" i="11"/>
  <c r="BA200" i="11"/>
  <c r="AZ200" i="11"/>
  <c r="AY200" i="11"/>
  <c r="AX200" i="11"/>
  <c r="AW200" i="11"/>
  <c r="AV200" i="11"/>
  <c r="AU200" i="11"/>
  <c r="AT200" i="11"/>
  <c r="AS200" i="11"/>
  <c r="AR200" i="11"/>
  <c r="AQ200" i="11"/>
  <c r="AP200" i="11"/>
  <c r="AO200" i="11"/>
  <c r="AN200" i="11"/>
  <c r="AM200" i="11"/>
  <c r="AL200" i="11"/>
  <c r="AK200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GK196" i="11"/>
  <c r="GJ196" i="11"/>
  <c r="GI196" i="11"/>
  <c r="GH196" i="11"/>
  <c r="GG196" i="11"/>
  <c r="GF196" i="11"/>
  <c r="GC196" i="11"/>
  <c r="GB196" i="11"/>
  <c r="GA196" i="11"/>
  <c r="FZ196" i="11"/>
  <c r="FX196" i="11"/>
  <c r="FW196" i="11"/>
  <c r="FV196" i="11"/>
  <c r="FU196" i="11"/>
  <c r="FT196" i="11"/>
  <c r="FS196" i="11"/>
  <c r="FR196" i="11"/>
  <c r="FQ196" i="11"/>
  <c r="FP196" i="11"/>
  <c r="FO196" i="11"/>
  <c r="FN196" i="11"/>
  <c r="FM196" i="11"/>
  <c r="FL196" i="11"/>
  <c r="FK196" i="11"/>
  <c r="FJ196" i="11"/>
  <c r="FI196" i="11"/>
  <c r="FH196" i="11"/>
  <c r="FG196" i="11"/>
  <c r="FF196" i="11"/>
  <c r="FE196" i="11"/>
  <c r="FD196" i="11"/>
  <c r="FC196" i="11"/>
  <c r="FB196" i="11"/>
  <c r="FA196" i="11"/>
  <c r="EZ196" i="11"/>
  <c r="EY196" i="11"/>
  <c r="EX196" i="11"/>
  <c r="EV196" i="11"/>
  <c r="EU196" i="11"/>
  <c r="ET196" i="11"/>
  <c r="ES196" i="11"/>
  <c r="ER196" i="11"/>
  <c r="EQ196" i="11"/>
  <c r="EP196" i="11"/>
  <c r="EO196" i="11"/>
  <c r="EN196" i="11"/>
  <c r="EM196" i="11"/>
  <c r="EL196" i="11"/>
  <c r="EK196" i="11"/>
  <c r="EJ196" i="11"/>
  <c r="EI196" i="11"/>
  <c r="EH196" i="11"/>
  <c r="EG196" i="11"/>
  <c r="EF196" i="11"/>
  <c r="EE196" i="11"/>
  <c r="ED196" i="11"/>
  <c r="EC196" i="11"/>
  <c r="EB196" i="11"/>
  <c r="EA196" i="11"/>
  <c r="DZ196" i="11"/>
  <c r="DY196" i="11"/>
  <c r="DX196" i="11"/>
  <c r="DW196" i="11"/>
  <c r="DV196" i="11"/>
  <c r="DU196" i="11"/>
  <c r="DT196" i="11"/>
  <c r="DS196" i="11"/>
  <c r="DR196" i="11"/>
  <c r="DQ196" i="11"/>
  <c r="DP196" i="11"/>
  <c r="DO196" i="11"/>
  <c r="DN196" i="11"/>
  <c r="DM196" i="11"/>
  <c r="DL196" i="11"/>
  <c r="DK196" i="11"/>
  <c r="DJ196" i="11"/>
  <c r="DI196" i="11"/>
  <c r="DH196" i="11"/>
  <c r="DG196" i="11"/>
  <c r="DF196" i="11"/>
  <c r="DE196" i="11"/>
  <c r="DD196" i="11"/>
  <c r="DC196" i="11"/>
  <c r="DB196" i="11"/>
  <c r="DA196" i="11"/>
  <c r="CZ196" i="11"/>
  <c r="CY196" i="11"/>
  <c r="CX196" i="11"/>
  <c r="CW196" i="11"/>
  <c r="CV196" i="11"/>
  <c r="CU196" i="11"/>
  <c r="CT196" i="11"/>
  <c r="CS196" i="11"/>
  <c r="CR196" i="11"/>
  <c r="CQ196" i="11"/>
  <c r="CP196" i="11"/>
  <c r="CO196" i="11"/>
  <c r="CN196" i="11"/>
  <c r="CM196" i="11"/>
  <c r="CL196" i="11"/>
  <c r="CK196" i="11"/>
  <c r="CJ196" i="11"/>
  <c r="CI196" i="11"/>
  <c r="CH196" i="11"/>
  <c r="CG196" i="11"/>
  <c r="CF196" i="11"/>
  <c r="CE196" i="11"/>
  <c r="CD196" i="11"/>
  <c r="CC196" i="11"/>
  <c r="CB196" i="11"/>
  <c r="CA196" i="11"/>
  <c r="BZ196" i="11"/>
  <c r="BY196" i="11"/>
  <c r="BX196" i="11"/>
  <c r="BW196" i="11"/>
  <c r="BV196" i="11"/>
  <c r="BU196" i="11"/>
  <c r="BT196" i="11"/>
  <c r="BS196" i="11"/>
  <c r="BR196" i="11"/>
  <c r="BQ196" i="11"/>
  <c r="BP196" i="11"/>
  <c r="BO196" i="11"/>
  <c r="BN196" i="11"/>
  <c r="BM196" i="11"/>
  <c r="BL196" i="11"/>
  <c r="BK196" i="11"/>
  <c r="BJ196" i="11"/>
  <c r="BI196" i="11"/>
  <c r="BH196" i="11"/>
  <c r="BG196" i="11"/>
  <c r="BF196" i="11"/>
  <c r="BE196" i="11"/>
  <c r="BD196" i="11"/>
  <c r="BC196" i="11"/>
  <c r="BB196" i="11"/>
  <c r="BA196" i="11"/>
  <c r="AZ196" i="11"/>
  <c r="AY196" i="11"/>
  <c r="AV196" i="11"/>
  <c r="AU196" i="11"/>
  <c r="AT196" i="11"/>
  <c r="AS196" i="11"/>
  <c r="AR196" i="11"/>
  <c r="AQ196" i="11"/>
  <c r="AP196" i="11"/>
  <c r="AO196" i="11"/>
  <c r="AN196" i="11"/>
  <c r="AM196" i="11"/>
  <c r="AL196" i="11"/>
  <c r="AK196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GK184" i="11"/>
  <c r="GJ184" i="11"/>
  <c r="GI184" i="11"/>
  <c r="GH184" i="11"/>
  <c r="GG184" i="11"/>
  <c r="GF184" i="11"/>
  <c r="GC184" i="11"/>
  <c r="GB184" i="11"/>
  <c r="GA184" i="11"/>
  <c r="FZ184" i="11"/>
  <c r="FX184" i="11"/>
  <c r="FW184" i="11"/>
  <c r="FV184" i="11"/>
  <c r="FU184" i="11"/>
  <c r="FT184" i="11"/>
  <c r="FS184" i="11"/>
  <c r="FR184" i="11"/>
  <c r="FQ184" i="11"/>
  <c r="FP184" i="11"/>
  <c r="FO184" i="11"/>
  <c r="FN184" i="11"/>
  <c r="FM184" i="11"/>
  <c r="FL184" i="11"/>
  <c r="FK184" i="11"/>
  <c r="FJ184" i="11"/>
  <c r="FI184" i="11"/>
  <c r="FH184" i="11"/>
  <c r="FG184" i="11"/>
  <c r="FF184" i="11"/>
  <c r="FE184" i="11"/>
  <c r="FD184" i="11"/>
  <c r="FC184" i="11"/>
  <c r="FB184" i="11"/>
  <c r="FA184" i="11"/>
  <c r="EZ184" i="11"/>
  <c r="EY184" i="11"/>
  <c r="EX184" i="11"/>
  <c r="EV184" i="11"/>
  <c r="EU184" i="11"/>
  <c r="ET184" i="11"/>
  <c r="ES184" i="11"/>
  <c r="ER184" i="11"/>
  <c r="EQ184" i="11"/>
  <c r="EP184" i="11"/>
  <c r="EO184" i="11"/>
  <c r="EN184" i="11"/>
  <c r="EM184" i="11"/>
  <c r="EL184" i="11"/>
  <c r="EK184" i="11"/>
  <c r="EJ184" i="11"/>
  <c r="EI184" i="11"/>
  <c r="EH184" i="11"/>
  <c r="EG184" i="11"/>
  <c r="EF184" i="11"/>
  <c r="EE184" i="11"/>
  <c r="ED184" i="11"/>
  <c r="EC184" i="11"/>
  <c r="EB184" i="11"/>
  <c r="EA184" i="11"/>
  <c r="DZ184" i="11"/>
  <c r="DY184" i="11"/>
  <c r="DX184" i="11"/>
  <c r="DW184" i="11"/>
  <c r="DV184" i="11"/>
  <c r="DU184" i="11"/>
  <c r="DT184" i="11"/>
  <c r="DS184" i="11"/>
  <c r="DR184" i="11"/>
  <c r="DQ184" i="11"/>
  <c r="DP184" i="11"/>
  <c r="DO184" i="11"/>
  <c r="DN184" i="11"/>
  <c r="DM184" i="11"/>
  <c r="DL184" i="11"/>
  <c r="DK184" i="11"/>
  <c r="DJ184" i="11"/>
  <c r="DI184" i="11"/>
  <c r="DH184" i="11"/>
  <c r="DG184" i="11"/>
  <c r="DF184" i="11"/>
  <c r="DE184" i="11"/>
  <c r="DD184" i="11"/>
  <c r="DC184" i="11"/>
  <c r="DB184" i="11"/>
  <c r="DA184" i="11"/>
  <c r="CZ184" i="11"/>
  <c r="CY184" i="11"/>
  <c r="CX184" i="11"/>
  <c r="CW184" i="11"/>
  <c r="CV184" i="11"/>
  <c r="CU184" i="11"/>
  <c r="CT184" i="11"/>
  <c r="CS184" i="11"/>
  <c r="CR184" i="11"/>
  <c r="CQ184" i="11"/>
  <c r="CP184" i="11"/>
  <c r="CO184" i="11"/>
  <c r="CN184" i="11"/>
  <c r="CM184" i="11"/>
  <c r="CL184" i="11"/>
  <c r="CK184" i="11"/>
  <c r="CJ184" i="11"/>
  <c r="CI184" i="11"/>
  <c r="CH184" i="11"/>
  <c r="CG184" i="11"/>
  <c r="CF184" i="11"/>
  <c r="CE184" i="11"/>
  <c r="CD184" i="11"/>
  <c r="CC184" i="11"/>
  <c r="CB184" i="11"/>
  <c r="CA184" i="11"/>
  <c r="BZ184" i="11"/>
  <c r="BY184" i="11"/>
  <c r="BX184" i="11"/>
  <c r="BW184" i="11"/>
  <c r="BV184" i="11"/>
  <c r="BU184" i="11"/>
  <c r="BT184" i="11"/>
  <c r="BS184" i="11"/>
  <c r="BR184" i="11"/>
  <c r="BQ184" i="11"/>
  <c r="BP184" i="11"/>
  <c r="BO184" i="11"/>
  <c r="BN184" i="11"/>
  <c r="BM184" i="11"/>
  <c r="BL184" i="11"/>
  <c r="BK184" i="11"/>
  <c r="BJ184" i="11"/>
  <c r="BI184" i="11"/>
  <c r="BH184" i="11"/>
  <c r="BG184" i="11"/>
  <c r="BF184" i="11"/>
  <c r="BE184" i="11"/>
  <c r="BD184" i="11"/>
  <c r="BC184" i="11"/>
  <c r="BB184" i="11"/>
  <c r="BA184" i="11"/>
  <c r="AZ184" i="11"/>
  <c r="AY184" i="11"/>
  <c r="AX184" i="11"/>
  <c r="AW184" i="11"/>
  <c r="AV184" i="11"/>
  <c r="AU184" i="11"/>
  <c r="AT184" i="11"/>
  <c r="AS184" i="11"/>
  <c r="AR184" i="11"/>
  <c r="AQ184" i="11"/>
  <c r="AP184" i="11"/>
  <c r="AO184" i="11"/>
  <c r="AN184" i="11"/>
  <c r="AM184" i="11"/>
  <c r="AL184" i="11"/>
  <c r="AK184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GK182" i="11"/>
  <c r="GJ182" i="11"/>
  <c r="GI182" i="11"/>
  <c r="GH182" i="11"/>
  <c r="GG182" i="11"/>
  <c r="GF182" i="11"/>
  <c r="GC182" i="11"/>
  <c r="GB182" i="11"/>
  <c r="GA182" i="11"/>
  <c r="FZ182" i="11"/>
  <c r="FX182" i="11"/>
  <c r="FW182" i="11"/>
  <c r="FV182" i="11"/>
  <c r="FU182" i="11"/>
  <c r="FT182" i="11"/>
  <c r="FS182" i="11"/>
  <c r="FR182" i="11"/>
  <c r="FQ182" i="11"/>
  <c r="FP182" i="11"/>
  <c r="FO182" i="11"/>
  <c r="FN182" i="11"/>
  <c r="FM182" i="11"/>
  <c r="FL182" i="11"/>
  <c r="FK182" i="11"/>
  <c r="FJ182" i="11"/>
  <c r="FI182" i="11"/>
  <c r="FH182" i="11"/>
  <c r="FG182" i="11"/>
  <c r="FF182" i="11"/>
  <c r="FE182" i="11"/>
  <c r="FD182" i="11"/>
  <c r="FC182" i="11"/>
  <c r="FB182" i="11"/>
  <c r="FA182" i="11"/>
  <c r="EZ182" i="11"/>
  <c r="EY182" i="11"/>
  <c r="EX182" i="11"/>
  <c r="EV182" i="11"/>
  <c r="EU182" i="11"/>
  <c r="ET182" i="11"/>
  <c r="ES182" i="11"/>
  <c r="ER182" i="11"/>
  <c r="EQ182" i="11"/>
  <c r="EP182" i="11"/>
  <c r="EO182" i="11"/>
  <c r="EN182" i="11"/>
  <c r="EM182" i="11"/>
  <c r="EL182" i="11"/>
  <c r="EK182" i="11"/>
  <c r="EJ182" i="11"/>
  <c r="EI182" i="11"/>
  <c r="EH182" i="11"/>
  <c r="EG182" i="11"/>
  <c r="EF182" i="11"/>
  <c r="EE182" i="11"/>
  <c r="ED182" i="11"/>
  <c r="EC182" i="11"/>
  <c r="EB182" i="11"/>
  <c r="EA182" i="11"/>
  <c r="DZ182" i="11"/>
  <c r="DY182" i="11"/>
  <c r="DX182" i="11"/>
  <c r="DW182" i="11"/>
  <c r="DV182" i="11"/>
  <c r="DU182" i="11"/>
  <c r="DT182" i="11"/>
  <c r="DS182" i="11"/>
  <c r="DR182" i="11"/>
  <c r="DQ182" i="11"/>
  <c r="DP182" i="11"/>
  <c r="DO182" i="11"/>
  <c r="DN182" i="11"/>
  <c r="DM182" i="11"/>
  <c r="DL182" i="11"/>
  <c r="DK182" i="11"/>
  <c r="DJ182" i="11"/>
  <c r="DI182" i="11"/>
  <c r="DH182" i="11"/>
  <c r="DG182" i="11"/>
  <c r="DF182" i="11"/>
  <c r="DE182" i="11"/>
  <c r="DD182" i="11"/>
  <c r="DC182" i="11"/>
  <c r="DB182" i="11"/>
  <c r="DA182" i="11"/>
  <c r="CZ182" i="11"/>
  <c r="CY182" i="11"/>
  <c r="CX182" i="11"/>
  <c r="CW182" i="11"/>
  <c r="CV182" i="11"/>
  <c r="CU182" i="11"/>
  <c r="CT182" i="11"/>
  <c r="CS182" i="11"/>
  <c r="CR182" i="11"/>
  <c r="CQ182" i="11"/>
  <c r="CP182" i="11"/>
  <c r="CO182" i="11"/>
  <c r="CN182" i="11"/>
  <c r="CM182" i="11"/>
  <c r="CL182" i="11"/>
  <c r="CK182" i="11"/>
  <c r="CJ182" i="11"/>
  <c r="CI182" i="11"/>
  <c r="CH182" i="11"/>
  <c r="CG182" i="11"/>
  <c r="CF182" i="11"/>
  <c r="CE182" i="11"/>
  <c r="CD182" i="11"/>
  <c r="CC182" i="11"/>
  <c r="CB182" i="11"/>
  <c r="CA182" i="11"/>
  <c r="BZ182" i="11"/>
  <c r="BY182" i="11"/>
  <c r="BX182" i="11"/>
  <c r="BW182" i="11"/>
  <c r="BV182" i="11"/>
  <c r="BU182" i="11"/>
  <c r="BT182" i="11"/>
  <c r="BS182" i="11"/>
  <c r="BR182" i="11"/>
  <c r="BQ182" i="11"/>
  <c r="BP182" i="11"/>
  <c r="BO182" i="11"/>
  <c r="BN182" i="11"/>
  <c r="BM182" i="11"/>
  <c r="BL182" i="11"/>
  <c r="BK182" i="11"/>
  <c r="BJ182" i="11"/>
  <c r="BI182" i="11"/>
  <c r="BH182" i="11"/>
  <c r="BG182" i="11"/>
  <c r="BF182" i="11"/>
  <c r="BE182" i="11"/>
  <c r="BD182" i="11"/>
  <c r="BC182" i="11"/>
  <c r="BB182" i="11"/>
  <c r="BA182" i="11"/>
  <c r="AZ182" i="11"/>
  <c r="AY182" i="11"/>
  <c r="AX182" i="11"/>
  <c r="AW182" i="11"/>
  <c r="AV182" i="11"/>
  <c r="AU182" i="11"/>
  <c r="AT182" i="11"/>
  <c r="AS182" i="11"/>
  <c r="AR182" i="11"/>
  <c r="AQ182" i="11"/>
  <c r="AP182" i="11"/>
  <c r="AO182" i="11"/>
  <c r="AN182" i="11"/>
  <c r="AM182" i="11"/>
  <c r="AL182" i="11"/>
  <c r="AK182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GK120" i="11"/>
  <c r="GJ120" i="11"/>
  <c r="GI120" i="11"/>
  <c r="GH120" i="11"/>
  <c r="GG120" i="11"/>
  <c r="GF120" i="11"/>
  <c r="GC120" i="11"/>
  <c r="GB120" i="11"/>
  <c r="GA120" i="11"/>
  <c r="FZ120" i="11"/>
  <c r="FX120" i="11"/>
  <c r="FW120" i="11"/>
  <c r="FV120" i="11"/>
  <c r="FU120" i="11"/>
  <c r="FT120" i="11"/>
  <c r="FS120" i="11"/>
  <c r="FR120" i="11"/>
  <c r="FQ120" i="11"/>
  <c r="FP120" i="11"/>
  <c r="FO120" i="11"/>
  <c r="FN120" i="11"/>
  <c r="FM120" i="11"/>
  <c r="FL120" i="11"/>
  <c r="FK120" i="11"/>
  <c r="FJ120" i="11"/>
  <c r="FI120" i="11"/>
  <c r="FH120" i="11"/>
  <c r="FG120" i="11"/>
  <c r="FF120" i="11"/>
  <c r="FE120" i="11"/>
  <c r="FD120" i="11"/>
  <c r="FC120" i="11"/>
  <c r="FB120" i="11"/>
  <c r="FA120" i="11"/>
  <c r="EZ120" i="11"/>
  <c r="EY120" i="11"/>
  <c r="EX120" i="11"/>
  <c r="EV120" i="11"/>
  <c r="EU120" i="11"/>
  <c r="ET120" i="11"/>
  <c r="ES120" i="11"/>
  <c r="ER120" i="11"/>
  <c r="EQ120" i="11"/>
  <c r="EP120" i="11"/>
  <c r="EO120" i="11"/>
  <c r="EN120" i="11"/>
  <c r="EM120" i="11"/>
  <c r="EL120" i="11"/>
  <c r="EK120" i="11"/>
  <c r="EJ120" i="11"/>
  <c r="EI120" i="11"/>
  <c r="EH120" i="11"/>
  <c r="EG120" i="11"/>
  <c r="EF120" i="11"/>
  <c r="EE120" i="11"/>
  <c r="ED120" i="11"/>
  <c r="EC120" i="11"/>
  <c r="EB120" i="11"/>
  <c r="EA120" i="11"/>
  <c r="DZ120" i="11"/>
  <c r="DY120" i="11"/>
  <c r="DX120" i="11"/>
  <c r="DW120" i="11"/>
  <c r="DV120" i="11"/>
  <c r="DU120" i="11"/>
  <c r="DT120" i="11"/>
  <c r="DS120" i="11"/>
  <c r="DR120" i="11"/>
  <c r="DQ120" i="11"/>
  <c r="DP120" i="11"/>
  <c r="DO120" i="11"/>
  <c r="DN120" i="11"/>
  <c r="DM120" i="11"/>
  <c r="DL120" i="11"/>
  <c r="DK120" i="11"/>
  <c r="DJ120" i="11"/>
  <c r="DI120" i="11"/>
  <c r="DH120" i="11"/>
  <c r="DG120" i="11"/>
  <c r="DF120" i="11"/>
  <c r="DE120" i="11"/>
  <c r="DD120" i="11"/>
  <c r="DC120" i="11"/>
  <c r="DB120" i="11"/>
  <c r="DA120" i="11"/>
  <c r="CZ120" i="11"/>
  <c r="CY120" i="11"/>
  <c r="CX120" i="11"/>
  <c r="CW120" i="11"/>
  <c r="CV120" i="11"/>
  <c r="CU120" i="11"/>
  <c r="CT120" i="11"/>
  <c r="CS120" i="11"/>
  <c r="CR120" i="11"/>
  <c r="CQ120" i="11"/>
  <c r="CP120" i="11"/>
  <c r="CO120" i="11"/>
  <c r="CN120" i="11"/>
  <c r="CM120" i="11"/>
  <c r="CL120" i="11"/>
  <c r="CK120" i="11"/>
  <c r="CJ120" i="11"/>
  <c r="CI120" i="11"/>
  <c r="CH120" i="11"/>
  <c r="CG120" i="11"/>
  <c r="CF120" i="11"/>
  <c r="CE120" i="11"/>
  <c r="CD120" i="11"/>
  <c r="CC120" i="11"/>
  <c r="CB120" i="11"/>
  <c r="CA120" i="11"/>
  <c r="BZ120" i="11"/>
  <c r="BY120" i="11"/>
  <c r="BX120" i="11"/>
  <c r="BW120" i="11"/>
  <c r="BV120" i="11"/>
  <c r="BU120" i="11"/>
  <c r="BT120" i="11"/>
  <c r="BS120" i="11"/>
  <c r="BR120" i="11"/>
  <c r="BQ120" i="11"/>
  <c r="BP120" i="11"/>
  <c r="BO120" i="11"/>
  <c r="BN120" i="11"/>
  <c r="BM120" i="11"/>
  <c r="BL120" i="11"/>
  <c r="BK120" i="11"/>
  <c r="BJ120" i="11"/>
  <c r="BI120" i="11"/>
  <c r="BH120" i="11"/>
  <c r="BG120" i="11"/>
  <c r="BF120" i="11"/>
  <c r="BE120" i="11"/>
  <c r="BD120" i="11"/>
  <c r="BC120" i="11"/>
  <c r="BB120" i="11"/>
  <c r="BA120" i="11"/>
  <c r="AZ120" i="11"/>
  <c r="AY120" i="11"/>
  <c r="AX120" i="11"/>
  <c r="AW120" i="11"/>
  <c r="AV120" i="11"/>
  <c r="AU120" i="11"/>
  <c r="AT120" i="11"/>
  <c r="AS120" i="11"/>
  <c r="AR120" i="11"/>
  <c r="AQ120" i="11"/>
  <c r="AP120" i="11"/>
  <c r="AO120" i="11"/>
  <c r="AN120" i="11"/>
  <c r="AM120" i="11"/>
  <c r="AL120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GK72" i="11"/>
  <c r="GJ72" i="11"/>
  <c r="GI72" i="11"/>
  <c r="GH72" i="11"/>
  <c r="GG72" i="11"/>
  <c r="GF72" i="11"/>
  <c r="GC72" i="11"/>
  <c r="GB72" i="11"/>
  <c r="GA72" i="11"/>
  <c r="FZ72" i="11"/>
  <c r="FX72" i="11"/>
  <c r="FW72" i="11"/>
  <c r="FV72" i="11"/>
  <c r="FU72" i="11"/>
  <c r="FT72" i="11"/>
  <c r="FS72" i="11"/>
  <c r="FR72" i="11"/>
  <c r="FQ72" i="11"/>
  <c r="FP72" i="11"/>
  <c r="FO72" i="11"/>
  <c r="FN72" i="11"/>
  <c r="FM72" i="11"/>
  <c r="FL72" i="11"/>
  <c r="FK72" i="11"/>
  <c r="FJ72" i="11"/>
  <c r="FI72" i="11"/>
  <c r="FH72" i="11"/>
  <c r="FG72" i="11"/>
  <c r="FF72" i="11"/>
  <c r="FE72" i="11"/>
  <c r="FD72" i="11"/>
  <c r="FC72" i="11"/>
  <c r="FB72" i="11"/>
  <c r="FA72" i="11"/>
  <c r="EZ72" i="11"/>
  <c r="EY72" i="11"/>
  <c r="EX72" i="11"/>
  <c r="EV72" i="11"/>
  <c r="EU72" i="11"/>
  <c r="ET72" i="11"/>
  <c r="ES72" i="11"/>
  <c r="ER72" i="11"/>
  <c r="EQ72" i="11"/>
  <c r="EP72" i="11"/>
  <c r="EO72" i="11"/>
  <c r="EN72" i="11"/>
  <c r="EM72" i="11"/>
  <c r="EL72" i="11"/>
  <c r="EK72" i="11"/>
  <c r="EJ72" i="11"/>
  <c r="EI72" i="11"/>
  <c r="EH72" i="11"/>
  <c r="EG72" i="11"/>
  <c r="EF72" i="11"/>
  <c r="EE72" i="11"/>
  <c r="ED72" i="11"/>
  <c r="EC72" i="11"/>
  <c r="EB72" i="11"/>
  <c r="EA72" i="11"/>
  <c r="DZ72" i="11"/>
  <c r="DY72" i="11"/>
  <c r="DX72" i="11"/>
  <c r="DW72" i="11"/>
  <c r="DV72" i="11"/>
  <c r="DU72" i="11"/>
  <c r="DT72" i="11"/>
  <c r="DS72" i="11"/>
  <c r="DR72" i="11"/>
  <c r="DQ72" i="11"/>
  <c r="DP72" i="11"/>
  <c r="DO72" i="11"/>
  <c r="DN72" i="11"/>
  <c r="DM72" i="11"/>
  <c r="DL72" i="11"/>
  <c r="DK72" i="11"/>
  <c r="DJ72" i="11"/>
  <c r="DI72" i="11"/>
  <c r="DH72" i="11"/>
  <c r="DG72" i="11"/>
  <c r="DF72" i="11"/>
  <c r="DE72" i="11"/>
  <c r="DD72" i="11"/>
  <c r="DC72" i="11"/>
  <c r="DB72" i="11"/>
  <c r="DA72" i="11"/>
  <c r="CZ72" i="11"/>
  <c r="CY72" i="11"/>
  <c r="CX72" i="11"/>
  <c r="CW72" i="11"/>
  <c r="CV72" i="11"/>
  <c r="CU72" i="11"/>
  <c r="CT72" i="11"/>
  <c r="CS72" i="11"/>
  <c r="CR72" i="11"/>
  <c r="CQ72" i="11"/>
  <c r="CP72" i="11"/>
  <c r="CO72" i="11"/>
  <c r="CN72" i="11"/>
  <c r="CM72" i="11"/>
  <c r="CL72" i="11"/>
  <c r="CK72" i="11"/>
  <c r="CJ72" i="11"/>
  <c r="CI72" i="11"/>
  <c r="CH72" i="11"/>
  <c r="CG72" i="11"/>
  <c r="CF72" i="11"/>
  <c r="CE72" i="11"/>
  <c r="CD72" i="11"/>
  <c r="CC72" i="11"/>
  <c r="CB72" i="11"/>
  <c r="CA72" i="11"/>
  <c r="BZ72" i="11"/>
  <c r="BY72" i="11"/>
  <c r="BX72" i="11"/>
  <c r="BW72" i="11"/>
  <c r="BV72" i="11"/>
  <c r="BU72" i="11"/>
  <c r="BT72" i="11"/>
  <c r="BS72" i="11"/>
  <c r="BR72" i="11"/>
  <c r="BQ72" i="11"/>
  <c r="BP72" i="11"/>
  <c r="BO72" i="11"/>
  <c r="BN72" i="11"/>
  <c r="BM72" i="11"/>
  <c r="BL72" i="11"/>
  <c r="BK72" i="11"/>
  <c r="BJ72" i="11"/>
  <c r="BI72" i="11"/>
  <c r="BH72" i="11"/>
  <c r="BG72" i="11"/>
  <c r="BF72" i="11"/>
  <c r="BE72" i="11"/>
  <c r="BD72" i="11"/>
  <c r="BC72" i="11"/>
  <c r="BB72" i="11"/>
  <c r="BA72" i="11"/>
  <c r="AZ72" i="11"/>
  <c r="AY72" i="11"/>
  <c r="AX72" i="11"/>
  <c r="AW72" i="11"/>
  <c r="AV72" i="11"/>
  <c r="AU72" i="11"/>
  <c r="AT72" i="11"/>
  <c r="AS72" i="11"/>
  <c r="AR72" i="11"/>
  <c r="AQ72" i="11"/>
  <c r="AP72" i="11"/>
  <c r="AO72" i="11"/>
  <c r="AN72" i="11"/>
  <c r="AM72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H70" i="11"/>
  <c r="I70" i="11"/>
  <c r="J70" i="11"/>
  <c r="K70" i="11"/>
  <c r="M70" i="11"/>
  <c r="N70" i="11"/>
  <c r="O70" i="11"/>
  <c r="P70" i="11"/>
  <c r="Q70" i="11"/>
  <c r="R70" i="11"/>
  <c r="S70" i="11"/>
  <c r="T70" i="11"/>
  <c r="V70" i="11"/>
  <c r="W70" i="11"/>
  <c r="X70" i="11"/>
  <c r="Y70" i="11"/>
  <c r="Z70" i="11"/>
  <c r="AA70" i="11"/>
  <c r="AB70" i="11"/>
  <c r="AD70" i="11"/>
  <c r="AE70" i="11"/>
  <c r="AF70" i="11"/>
  <c r="AG70" i="11"/>
  <c r="AH70" i="11"/>
  <c r="AI70" i="11"/>
  <c r="AJ70" i="11"/>
  <c r="AK70" i="11"/>
  <c r="AL70" i="11"/>
  <c r="AN70" i="11"/>
  <c r="AO70" i="11"/>
  <c r="AP70" i="11"/>
  <c r="AQ70" i="11"/>
  <c r="AR70" i="11"/>
  <c r="AS70" i="11"/>
  <c r="AT70" i="11"/>
  <c r="AU70" i="11"/>
  <c r="AW70" i="11"/>
  <c r="AX70" i="11"/>
  <c r="AY70" i="11"/>
  <c r="BA70" i="11"/>
  <c r="BB70" i="11"/>
  <c r="BC70" i="11"/>
  <c r="BD70" i="11"/>
  <c r="BE70" i="11"/>
  <c r="BF70" i="11"/>
  <c r="BG70" i="11"/>
  <c r="BH70" i="11"/>
  <c r="BI70" i="11"/>
  <c r="BJ70" i="11"/>
  <c r="BK70" i="11"/>
  <c r="BL70" i="11"/>
  <c r="BN70" i="11"/>
  <c r="BO70" i="11"/>
  <c r="BP70" i="11"/>
  <c r="BQ70" i="11"/>
  <c r="BR70" i="11"/>
  <c r="BS70" i="11"/>
  <c r="BT70" i="11"/>
  <c r="BU70" i="11"/>
  <c r="BV70" i="11"/>
  <c r="BX70" i="11"/>
  <c r="BY70" i="11"/>
  <c r="BZ70" i="11"/>
  <c r="CA70" i="11"/>
  <c r="CB70" i="11"/>
  <c r="CC70" i="11"/>
  <c r="CD70" i="11"/>
  <c r="CE70" i="11"/>
  <c r="CF70" i="11"/>
  <c r="CG70" i="11"/>
  <c r="CH70" i="11"/>
  <c r="CJ70" i="11"/>
  <c r="CK70" i="11"/>
  <c r="CL70" i="11"/>
  <c r="CN70" i="11"/>
  <c r="CO70" i="11"/>
  <c r="CP70" i="11"/>
  <c r="CQ70" i="11"/>
  <c r="CR70" i="11"/>
  <c r="CS70" i="11"/>
  <c r="CT70" i="11"/>
  <c r="CV70" i="11"/>
  <c r="CW70" i="11"/>
  <c r="CX70" i="11"/>
  <c r="CY70" i="11"/>
  <c r="CZ70" i="11"/>
  <c r="DA70" i="11"/>
  <c r="DB70" i="11"/>
  <c r="DC70" i="11"/>
  <c r="DD70" i="11"/>
  <c r="DE70" i="11"/>
  <c r="DF70" i="11"/>
  <c r="DG70" i="11"/>
  <c r="DH70" i="11"/>
  <c r="DI70" i="11"/>
  <c r="DJ70" i="11"/>
  <c r="DK70" i="11"/>
  <c r="DL70" i="11"/>
  <c r="DM70" i="11"/>
  <c r="DN70" i="11"/>
  <c r="DO70" i="11"/>
  <c r="DP70" i="11"/>
  <c r="DQ70" i="11"/>
  <c r="DR70" i="11"/>
  <c r="DS70" i="11"/>
  <c r="DT70" i="11"/>
  <c r="DU70" i="11"/>
  <c r="DV70" i="11"/>
  <c r="DW70" i="11"/>
  <c r="DX70" i="11"/>
  <c r="DZ70" i="11"/>
  <c r="EA70" i="11"/>
  <c r="EB70" i="11"/>
  <c r="EC70" i="11"/>
  <c r="ED70" i="11"/>
  <c r="EE70" i="11"/>
  <c r="EF70" i="11"/>
  <c r="EG70" i="11"/>
  <c r="EH70" i="11"/>
  <c r="EI70" i="11"/>
  <c r="EJ70" i="11"/>
  <c r="EK70" i="11"/>
  <c r="EL70" i="11"/>
  <c r="EM70" i="11"/>
  <c r="EN70" i="11"/>
  <c r="EO70" i="11"/>
  <c r="EZ70" i="11"/>
  <c r="FA70" i="11"/>
  <c r="FB70" i="11"/>
  <c r="FC70" i="11"/>
  <c r="FD70" i="11"/>
  <c r="FE70" i="11"/>
  <c r="FF70" i="11"/>
  <c r="FG70" i="11"/>
  <c r="FH70" i="11"/>
  <c r="FI70" i="11"/>
  <c r="FJ70" i="11"/>
  <c r="FK70" i="11"/>
  <c r="FM70" i="11"/>
  <c r="FN70" i="11"/>
  <c r="FO70" i="11"/>
  <c r="FP70" i="11"/>
  <c r="M68" i="11"/>
  <c r="N68" i="11"/>
  <c r="O68" i="11"/>
  <c r="P68" i="11"/>
  <c r="Q68" i="11"/>
  <c r="R68" i="11"/>
  <c r="S68" i="11"/>
  <c r="T68" i="11"/>
  <c r="V68" i="11"/>
  <c r="W68" i="11"/>
  <c r="X68" i="11"/>
  <c r="Y68" i="11"/>
  <c r="Z68" i="11"/>
  <c r="AA68" i="11"/>
  <c r="AB68" i="11"/>
  <c r="AD68" i="11"/>
  <c r="AE68" i="11"/>
  <c r="AF68" i="11"/>
  <c r="AG68" i="11"/>
  <c r="AH68" i="11"/>
  <c r="AI68" i="11"/>
  <c r="AJ68" i="11"/>
  <c r="AK68" i="11"/>
  <c r="AL68" i="11"/>
  <c r="AV68" i="11"/>
  <c r="AW68" i="11"/>
  <c r="AX68" i="11"/>
  <c r="AY68" i="11"/>
  <c r="BM68" i="11"/>
  <c r="BN68" i="11"/>
  <c r="BO68" i="11"/>
  <c r="BP68" i="11"/>
  <c r="BQ68" i="11"/>
  <c r="BR68" i="11"/>
  <c r="BS68" i="11"/>
  <c r="BT68" i="11"/>
  <c r="BU68" i="11"/>
  <c r="BV68" i="11"/>
  <c r="BL68" i="11"/>
  <c r="BW68" i="11"/>
  <c r="BX68" i="11"/>
  <c r="BY68" i="11"/>
  <c r="BZ68" i="11"/>
  <c r="CA68" i="11"/>
  <c r="CB68" i="11"/>
  <c r="CC68" i="11"/>
  <c r="CD68" i="11"/>
  <c r="CE68" i="11"/>
  <c r="CF68" i="11"/>
  <c r="CG68" i="11"/>
  <c r="CH68" i="11"/>
  <c r="CI68" i="11"/>
  <c r="CK68" i="11"/>
  <c r="CL68" i="11"/>
  <c r="CU68" i="11"/>
  <c r="CV68" i="11"/>
  <c r="CW68" i="11"/>
  <c r="CX68" i="11"/>
  <c r="CY68" i="11"/>
  <c r="CZ68" i="11"/>
  <c r="DA68" i="11"/>
  <c r="DB68" i="11"/>
  <c r="DC68" i="11"/>
  <c r="DD68" i="11"/>
  <c r="DE68" i="11"/>
  <c r="DF68" i="11"/>
  <c r="DG68" i="11"/>
  <c r="DH68" i="11"/>
  <c r="DI68" i="11"/>
  <c r="DJ68" i="11"/>
  <c r="DK68" i="11"/>
  <c r="DL68" i="11"/>
  <c r="DM68" i="11"/>
  <c r="DN68" i="11"/>
  <c r="DO68" i="11"/>
  <c r="DP68" i="11"/>
  <c r="DQ68" i="11"/>
  <c r="DR68" i="11"/>
  <c r="DS68" i="11"/>
  <c r="DT68" i="11"/>
  <c r="DU68" i="11"/>
  <c r="DV68" i="11"/>
  <c r="DW68" i="11"/>
  <c r="DX68" i="11"/>
  <c r="CT68" i="11"/>
  <c r="DY68" i="11"/>
  <c r="DZ68" i="11"/>
  <c r="EA68" i="11"/>
  <c r="EB68" i="11"/>
  <c r="EC68" i="11"/>
  <c r="ED68" i="11"/>
  <c r="EE68" i="11"/>
  <c r="EF68" i="11"/>
  <c r="EG68" i="11"/>
  <c r="EH68" i="11"/>
  <c r="EI68" i="11"/>
  <c r="EJ68" i="11"/>
  <c r="EK68" i="11"/>
  <c r="EL68" i="11"/>
  <c r="EM68" i="11"/>
  <c r="EN68" i="11"/>
  <c r="EO68" i="11"/>
  <c r="EP68" i="11"/>
  <c r="EQ68" i="11"/>
  <c r="ER68" i="11"/>
  <c r="ES68" i="11"/>
  <c r="ET68" i="11"/>
  <c r="EU68" i="11"/>
  <c r="EV68" i="11"/>
  <c r="EX68" i="11"/>
  <c r="EY68" i="11"/>
  <c r="EZ68" i="11"/>
  <c r="FA68" i="11"/>
  <c r="FB68" i="11"/>
  <c r="FC68" i="11"/>
  <c r="FD68" i="11"/>
  <c r="FE68" i="11"/>
  <c r="FF68" i="11"/>
  <c r="FG68" i="11"/>
  <c r="FH68" i="11"/>
  <c r="FI68" i="11"/>
  <c r="FJ68" i="11"/>
  <c r="FK68" i="11"/>
  <c r="FL68" i="11"/>
  <c r="FM68" i="11"/>
  <c r="FN68" i="11"/>
  <c r="FO68" i="11"/>
  <c r="FP68" i="11"/>
  <c r="FQ68" i="11"/>
  <c r="FS68" i="11"/>
  <c r="FT68" i="11"/>
  <c r="FU68" i="11"/>
  <c r="FV68" i="11"/>
  <c r="FW68" i="11"/>
  <c r="FX68" i="11"/>
  <c r="FY68" i="11"/>
  <c r="FZ68" i="11"/>
  <c r="GA68" i="11"/>
  <c r="GD68" i="11"/>
  <c r="GE68" i="11"/>
  <c r="GF68" i="11"/>
  <c r="GG68" i="11"/>
  <c r="GH68" i="11"/>
  <c r="GI68" i="11"/>
  <c r="GJ68" i="11"/>
  <c r="GK68" i="11"/>
  <c r="CP152" i="11"/>
  <c r="BM152" i="11"/>
  <c r="BN152" i="11"/>
  <c r="BO152" i="11"/>
  <c r="BP152" i="11"/>
  <c r="BQ152" i="11"/>
  <c r="BR152" i="11"/>
  <c r="BS152" i="11"/>
  <c r="BT152" i="11"/>
  <c r="BU152" i="11"/>
  <c r="BL152" i="11"/>
  <c r="CH152" i="11"/>
  <c r="CI152" i="11"/>
  <c r="CJ152" i="11"/>
  <c r="CK152" i="11"/>
  <c r="CL152" i="11"/>
  <c r="CG152" i="11"/>
  <c r="CN152" i="11"/>
  <c r="CO152" i="11"/>
  <c r="CQ152" i="11"/>
  <c r="CR152" i="11"/>
  <c r="CS152" i="11"/>
  <c r="CT152" i="11"/>
  <c r="CM152" i="11"/>
  <c r="CU152" i="11"/>
  <c r="CV152" i="11"/>
  <c r="CW152" i="11"/>
  <c r="CX152" i="11"/>
  <c r="CY152" i="11"/>
  <c r="CZ152" i="11"/>
  <c r="DA152" i="11"/>
  <c r="DB152" i="11"/>
  <c r="DC152" i="11"/>
  <c r="DD152" i="11"/>
  <c r="DE152" i="11"/>
  <c r="DF152" i="11"/>
  <c r="DG152" i="11"/>
  <c r="DH152" i="11"/>
  <c r="DI152" i="11"/>
  <c r="DJ152" i="11"/>
  <c r="DK152" i="11"/>
  <c r="DL152" i="11"/>
  <c r="DM152" i="11"/>
  <c r="DN152" i="11"/>
  <c r="DO152" i="11"/>
  <c r="DP152" i="11"/>
  <c r="DQ152" i="11"/>
  <c r="DR152" i="11"/>
  <c r="DS152" i="11"/>
  <c r="DT152" i="11"/>
  <c r="DU152" i="11"/>
  <c r="DV152" i="11"/>
  <c r="DW152" i="11"/>
  <c r="DX152" i="11"/>
  <c r="DY152" i="11"/>
  <c r="DZ152" i="11"/>
  <c r="EA152" i="11"/>
  <c r="EB152" i="11"/>
  <c r="EC152" i="11"/>
  <c r="ED152" i="11"/>
  <c r="EE152" i="11"/>
  <c r="EF152" i="11"/>
  <c r="EG152" i="11"/>
  <c r="EH152" i="11"/>
  <c r="EI152" i="11"/>
  <c r="EJ152" i="11"/>
  <c r="EK152" i="11"/>
  <c r="EL152" i="11"/>
  <c r="EM152" i="11"/>
  <c r="EN152" i="11"/>
  <c r="EO152" i="11"/>
  <c r="EQ152" i="11"/>
  <c r="ER152" i="11"/>
  <c r="ES152" i="11"/>
  <c r="ET152" i="11"/>
  <c r="EU152" i="11"/>
  <c r="EV152" i="11"/>
  <c r="EX152" i="11"/>
  <c r="EP152" i="11"/>
  <c r="EY152" i="11"/>
  <c r="EZ152" i="11"/>
  <c r="FA152" i="11"/>
  <c r="FB152" i="11"/>
  <c r="FC152" i="11"/>
  <c r="FD152" i="11"/>
  <c r="FE152" i="11"/>
  <c r="FF152" i="11"/>
  <c r="FG152" i="11"/>
  <c r="FH152" i="11"/>
  <c r="FI152" i="11"/>
  <c r="FJ152" i="11"/>
  <c r="FK152" i="11"/>
  <c r="FL152" i="11"/>
  <c r="FM152" i="11"/>
  <c r="FN152" i="11"/>
  <c r="FP152" i="11"/>
  <c r="FO152" i="11"/>
  <c r="EY17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J152" i="11"/>
  <c r="AK152" i="11"/>
  <c r="AL152" i="11"/>
  <c r="AM152" i="11"/>
  <c r="AN152" i="11"/>
  <c r="AO152" i="11"/>
  <c r="AP152" i="11"/>
  <c r="AQ152" i="11"/>
  <c r="AR152" i="11"/>
  <c r="AS152" i="11"/>
  <c r="AT152" i="11"/>
  <c r="AU152" i="11"/>
  <c r="AV152" i="11"/>
  <c r="AW152" i="11"/>
  <c r="AX152" i="11"/>
  <c r="AY152" i="11"/>
  <c r="AZ152" i="11"/>
  <c r="BA152" i="11"/>
  <c r="BB152" i="11"/>
  <c r="BC152" i="11"/>
  <c r="BD152" i="11"/>
  <c r="BE152" i="11"/>
  <c r="BF152" i="11"/>
  <c r="BG152" i="11"/>
  <c r="BH152" i="11"/>
  <c r="BI152" i="11"/>
  <c r="BJ152" i="11"/>
  <c r="BK152" i="11"/>
  <c r="BV152" i="11"/>
  <c r="BW152" i="11"/>
  <c r="BX152" i="11"/>
  <c r="BY152" i="11"/>
  <c r="BZ152" i="11"/>
  <c r="CA152" i="11"/>
  <c r="CB152" i="11"/>
  <c r="CC152" i="11"/>
  <c r="CD152" i="11"/>
  <c r="CE152" i="11"/>
  <c r="CF152" i="11"/>
  <c r="FQ152" i="11"/>
  <c r="FS152" i="11"/>
  <c r="FT152" i="11"/>
  <c r="FU152" i="11"/>
  <c r="FV152" i="11"/>
  <c r="FW152" i="11"/>
  <c r="FX152" i="11"/>
  <c r="FY152" i="11"/>
  <c r="GA152" i="11"/>
  <c r="GB152" i="11"/>
  <c r="GC152" i="11"/>
  <c r="GK160" i="11"/>
  <c r="GJ160" i="11"/>
  <c r="GI160" i="11"/>
  <c r="GH160" i="11"/>
  <c r="GG160" i="11"/>
  <c r="GF160" i="11"/>
  <c r="GE160" i="11"/>
  <c r="GD160" i="11"/>
  <c r="GC160" i="11"/>
  <c r="GB160" i="11"/>
  <c r="GA160" i="11"/>
  <c r="FZ160" i="11"/>
  <c r="FY160" i="11"/>
  <c r="FX160" i="11"/>
  <c r="FW160" i="11"/>
  <c r="FV160" i="11"/>
  <c r="FU160" i="11"/>
  <c r="FT160" i="11"/>
  <c r="FS160" i="11"/>
  <c r="FR160" i="11"/>
  <c r="FQ160" i="11"/>
  <c r="FP160" i="11"/>
  <c r="FO160" i="11"/>
  <c r="FN160" i="11"/>
  <c r="FM160" i="11"/>
  <c r="FL160" i="11"/>
  <c r="FK160" i="11"/>
  <c r="FJ160" i="11"/>
  <c r="FI160" i="11"/>
  <c r="FH160" i="11"/>
  <c r="FG160" i="11"/>
  <c r="FF160" i="11"/>
  <c r="FE160" i="11"/>
  <c r="FD160" i="11"/>
  <c r="FC160" i="11"/>
  <c r="FB160" i="11"/>
  <c r="FA160" i="11"/>
  <c r="EZ160" i="11"/>
  <c r="EY160" i="11"/>
  <c r="EX160" i="11"/>
  <c r="EV160" i="11"/>
  <c r="EU160" i="11"/>
  <c r="ET160" i="11"/>
  <c r="ES160" i="11"/>
  <c r="ER160" i="11"/>
  <c r="EQ160" i="11"/>
  <c r="EP160" i="11"/>
  <c r="EO160" i="11"/>
  <c r="EN160" i="11"/>
  <c r="EM160" i="11"/>
  <c r="EL160" i="11"/>
  <c r="EK160" i="11"/>
  <c r="EJ160" i="11"/>
  <c r="EI160" i="11"/>
  <c r="EH160" i="11"/>
  <c r="EG160" i="11"/>
  <c r="EF160" i="11"/>
  <c r="EE160" i="11"/>
  <c r="ED160" i="11"/>
  <c r="EC160" i="11"/>
  <c r="EB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DM160" i="11"/>
  <c r="DL160" i="11"/>
  <c r="DK160" i="11"/>
  <c r="DJ160" i="11"/>
  <c r="DI160" i="11"/>
  <c r="DH160" i="11"/>
  <c r="DG160" i="11"/>
  <c r="DF160" i="11"/>
  <c r="DE160" i="11"/>
  <c r="DD160" i="11"/>
  <c r="DC160" i="11"/>
  <c r="DB160" i="11"/>
  <c r="DA160" i="11"/>
  <c r="CZ160" i="11"/>
  <c r="CY160" i="11"/>
  <c r="CX160" i="11"/>
  <c r="CW160" i="11"/>
  <c r="CV160" i="11"/>
  <c r="CU160" i="11"/>
  <c r="CT160" i="11"/>
  <c r="CS160" i="11"/>
  <c r="CR160" i="11"/>
  <c r="CQ160" i="11"/>
  <c r="CP160" i="11"/>
  <c r="CO160" i="11"/>
  <c r="CN160" i="11"/>
  <c r="CM160" i="11"/>
  <c r="CL160" i="11"/>
  <c r="CK160" i="11"/>
  <c r="CJ160" i="11"/>
  <c r="CI160" i="11"/>
  <c r="CH160" i="11"/>
  <c r="CG160" i="11"/>
  <c r="CF160" i="11"/>
  <c r="CE160" i="11"/>
  <c r="CD160" i="11"/>
  <c r="CC160" i="11"/>
  <c r="CB160" i="11"/>
  <c r="CA160" i="11"/>
  <c r="BZ160" i="11"/>
  <c r="BY160" i="11"/>
  <c r="BX160" i="11"/>
  <c r="BW160" i="11"/>
  <c r="BV160" i="11"/>
  <c r="BU160" i="11"/>
  <c r="BT160" i="11"/>
  <c r="BS160" i="11"/>
  <c r="BR160" i="11"/>
  <c r="BQ160" i="11"/>
  <c r="BP160" i="11"/>
  <c r="BO160" i="11"/>
  <c r="BN160" i="11"/>
  <c r="BM160" i="11"/>
  <c r="BL160" i="11"/>
  <c r="BK160" i="11"/>
  <c r="BJ160" i="11"/>
  <c r="BI160" i="11"/>
  <c r="BH160" i="11"/>
  <c r="BG160" i="11"/>
  <c r="BF160" i="11"/>
  <c r="BE160" i="11"/>
  <c r="BD160" i="11"/>
  <c r="BC160" i="11"/>
  <c r="BB160" i="11"/>
  <c r="BA160" i="11"/>
  <c r="AZ160" i="11"/>
  <c r="AY160" i="11"/>
  <c r="AX160" i="11"/>
  <c r="AW160" i="11"/>
  <c r="AV160" i="11"/>
  <c r="AU160" i="11"/>
  <c r="AT160" i="11"/>
  <c r="AS160" i="11"/>
  <c r="AR160" i="11"/>
  <c r="AQ160" i="11"/>
  <c r="AP160" i="11"/>
  <c r="AO160" i="11"/>
  <c r="AN160" i="11"/>
  <c r="AM160" i="11"/>
  <c r="AL160" i="11"/>
  <c r="AK160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GK140" i="11"/>
  <c r="GJ140" i="11"/>
  <c r="GI140" i="11"/>
  <c r="GH140" i="11"/>
  <c r="GG140" i="11"/>
  <c r="GF140" i="11"/>
  <c r="GE140" i="11"/>
  <c r="GD140" i="11"/>
  <c r="GC140" i="11"/>
  <c r="GB140" i="11"/>
  <c r="GA140" i="11"/>
  <c r="FZ140" i="11"/>
  <c r="FY140" i="11"/>
  <c r="FX140" i="11"/>
  <c r="FW140" i="11"/>
  <c r="FV140" i="11"/>
  <c r="FU140" i="11"/>
  <c r="FT140" i="11"/>
  <c r="FS140" i="11"/>
  <c r="FR140" i="11"/>
  <c r="FQ140" i="11"/>
  <c r="FP140" i="11"/>
  <c r="FO140" i="11"/>
  <c r="FN140" i="11"/>
  <c r="FM140" i="11"/>
  <c r="FL140" i="11"/>
  <c r="FK140" i="11"/>
  <c r="FJ140" i="11"/>
  <c r="FI140" i="11"/>
  <c r="FH140" i="11"/>
  <c r="FG140" i="11"/>
  <c r="FF140" i="11"/>
  <c r="FE140" i="11"/>
  <c r="FD140" i="11"/>
  <c r="FC140" i="11"/>
  <c r="FB140" i="11"/>
  <c r="FA140" i="11"/>
  <c r="EZ140" i="11"/>
  <c r="EY140" i="11"/>
  <c r="EX140" i="11"/>
  <c r="EV140" i="11"/>
  <c r="EU140" i="11"/>
  <c r="ET140" i="11"/>
  <c r="ES140" i="11"/>
  <c r="ER140" i="11"/>
  <c r="EQ140" i="11"/>
  <c r="EP140" i="11"/>
  <c r="EO140" i="11"/>
  <c r="EN140" i="11"/>
  <c r="EM140" i="11"/>
  <c r="EL140" i="11"/>
  <c r="EK140" i="11"/>
  <c r="EJ140" i="11"/>
  <c r="EI140" i="11"/>
  <c r="EH140" i="11"/>
  <c r="EG140" i="11"/>
  <c r="EF140" i="11"/>
  <c r="EE140" i="11"/>
  <c r="ED140" i="11"/>
  <c r="EC140" i="11"/>
  <c r="EB140" i="11"/>
  <c r="EA140" i="11"/>
  <c r="DZ140" i="11"/>
  <c r="DY140" i="11"/>
  <c r="DX140" i="11"/>
  <c r="DW140" i="11"/>
  <c r="DV140" i="11"/>
  <c r="DU140" i="11"/>
  <c r="DT140" i="11"/>
  <c r="DS140" i="11"/>
  <c r="DR140" i="11"/>
  <c r="DQ140" i="11"/>
  <c r="DP140" i="11"/>
  <c r="DO140" i="11"/>
  <c r="DN140" i="11"/>
  <c r="DM140" i="11"/>
  <c r="DL140" i="11"/>
  <c r="DK140" i="11"/>
  <c r="DJ140" i="11"/>
  <c r="DI140" i="11"/>
  <c r="DH140" i="11"/>
  <c r="DG140" i="11"/>
  <c r="DF140" i="11"/>
  <c r="DE140" i="11"/>
  <c r="DD140" i="11"/>
  <c r="DC140" i="11"/>
  <c r="DB140" i="11"/>
  <c r="DA140" i="11"/>
  <c r="CZ140" i="11"/>
  <c r="CY140" i="11"/>
  <c r="CX140" i="11"/>
  <c r="CW140" i="11"/>
  <c r="CV140" i="11"/>
  <c r="CU140" i="11"/>
  <c r="CT140" i="11"/>
  <c r="CS140" i="11"/>
  <c r="CR140" i="11"/>
  <c r="CQ140" i="11"/>
  <c r="CP140" i="11"/>
  <c r="CO140" i="11"/>
  <c r="CN140" i="11"/>
  <c r="CM140" i="11"/>
  <c r="CL140" i="11"/>
  <c r="CK140" i="11"/>
  <c r="CJ140" i="11"/>
  <c r="CI140" i="11"/>
  <c r="CH140" i="11"/>
  <c r="CG140" i="11"/>
  <c r="CF140" i="11"/>
  <c r="CE140" i="11"/>
  <c r="CD140" i="11"/>
  <c r="CC140" i="11"/>
  <c r="CB140" i="11"/>
  <c r="CA140" i="11"/>
  <c r="BZ140" i="11"/>
  <c r="BY140" i="11"/>
  <c r="BX140" i="11"/>
  <c r="BW140" i="11"/>
  <c r="BV140" i="11"/>
  <c r="BU140" i="11"/>
  <c r="BT140" i="11"/>
  <c r="BS140" i="11"/>
  <c r="BR140" i="11"/>
  <c r="BQ140" i="11"/>
  <c r="BP140" i="11"/>
  <c r="BO140" i="11"/>
  <c r="BN140" i="11"/>
  <c r="BM140" i="11"/>
  <c r="BL140" i="11"/>
  <c r="BK140" i="11"/>
  <c r="BJ140" i="11"/>
  <c r="BI140" i="11"/>
  <c r="BH140" i="11"/>
  <c r="BG140" i="11"/>
  <c r="BF140" i="11"/>
  <c r="BE140" i="11"/>
  <c r="BD140" i="11"/>
  <c r="BC140" i="11"/>
  <c r="BB140" i="11"/>
  <c r="BA140" i="11"/>
  <c r="AZ140" i="11"/>
  <c r="AY140" i="11"/>
  <c r="AX140" i="11"/>
  <c r="AW140" i="11"/>
  <c r="AV140" i="11"/>
  <c r="AU140" i="11"/>
  <c r="AT140" i="11"/>
  <c r="AS140" i="11"/>
  <c r="AR140" i="11"/>
  <c r="AQ140" i="11"/>
  <c r="AP140" i="11"/>
  <c r="AO140" i="11"/>
  <c r="AN140" i="11"/>
  <c r="AM140" i="11"/>
  <c r="AL140" i="11"/>
  <c r="AK140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GK138" i="11"/>
  <c r="GJ138" i="11"/>
  <c r="GI138" i="11"/>
  <c r="GH138" i="11"/>
  <c r="GG138" i="11"/>
  <c r="GF138" i="11"/>
  <c r="GE138" i="11"/>
  <c r="GD138" i="11"/>
  <c r="GC138" i="11"/>
  <c r="GB138" i="11"/>
  <c r="GA138" i="11"/>
  <c r="FZ138" i="11"/>
  <c r="FY138" i="11"/>
  <c r="FX138" i="11"/>
  <c r="FW138" i="11"/>
  <c r="FV138" i="11"/>
  <c r="FU138" i="11"/>
  <c r="FT138" i="11"/>
  <c r="FS138" i="11"/>
  <c r="FR138" i="11"/>
  <c r="FQ138" i="11"/>
  <c r="FP138" i="11"/>
  <c r="FO138" i="11"/>
  <c r="FN138" i="11"/>
  <c r="FM138" i="11"/>
  <c r="FL138" i="11"/>
  <c r="FK138" i="11"/>
  <c r="FJ138" i="11"/>
  <c r="FI138" i="11"/>
  <c r="FH138" i="11"/>
  <c r="FG138" i="11"/>
  <c r="FF138" i="11"/>
  <c r="FE138" i="11"/>
  <c r="FD138" i="11"/>
  <c r="FC138" i="11"/>
  <c r="FB138" i="11"/>
  <c r="FA138" i="11"/>
  <c r="EZ138" i="11"/>
  <c r="EY138" i="11"/>
  <c r="EX138" i="11"/>
  <c r="EV138" i="11"/>
  <c r="EU138" i="11"/>
  <c r="ET138" i="11"/>
  <c r="ES138" i="11"/>
  <c r="ER138" i="11"/>
  <c r="EQ138" i="11"/>
  <c r="EP138" i="11"/>
  <c r="EO138" i="11"/>
  <c r="EN138" i="11"/>
  <c r="EM138" i="11"/>
  <c r="EL138" i="11"/>
  <c r="EK138" i="11"/>
  <c r="EJ138" i="11"/>
  <c r="EI138" i="11"/>
  <c r="EH138" i="11"/>
  <c r="EG138" i="11"/>
  <c r="EF138" i="11"/>
  <c r="EE138" i="11"/>
  <c r="ED138" i="11"/>
  <c r="EC138" i="11"/>
  <c r="EB138" i="11"/>
  <c r="EA138" i="11"/>
  <c r="DZ138" i="11"/>
  <c r="DY138" i="11"/>
  <c r="DX138" i="11"/>
  <c r="DW138" i="11"/>
  <c r="DV138" i="11"/>
  <c r="DU138" i="11"/>
  <c r="DT138" i="11"/>
  <c r="DS138" i="11"/>
  <c r="DR138" i="11"/>
  <c r="DQ138" i="11"/>
  <c r="DP138" i="11"/>
  <c r="DO138" i="11"/>
  <c r="DN138" i="11"/>
  <c r="DM138" i="11"/>
  <c r="DL138" i="11"/>
  <c r="DK138" i="11"/>
  <c r="DJ138" i="11"/>
  <c r="DI138" i="11"/>
  <c r="DH138" i="11"/>
  <c r="DG138" i="11"/>
  <c r="DF138" i="11"/>
  <c r="DE138" i="11"/>
  <c r="DD138" i="11"/>
  <c r="DC138" i="11"/>
  <c r="DB138" i="11"/>
  <c r="DA138" i="11"/>
  <c r="CZ138" i="11"/>
  <c r="CY138" i="11"/>
  <c r="CX138" i="11"/>
  <c r="CW138" i="11"/>
  <c r="CV138" i="11"/>
  <c r="CU138" i="11"/>
  <c r="CT138" i="11"/>
  <c r="CS138" i="11"/>
  <c r="CR138" i="11"/>
  <c r="CQ138" i="11"/>
  <c r="CP138" i="11"/>
  <c r="CO138" i="11"/>
  <c r="CN138" i="11"/>
  <c r="CM138" i="11"/>
  <c r="CL138" i="11"/>
  <c r="CK138" i="11"/>
  <c r="CJ138" i="11"/>
  <c r="CI138" i="11"/>
  <c r="CH138" i="11"/>
  <c r="CG138" i="11"/>
  <c r="CF138" i="11"/>
  <c r="CE138" i="11"/>
  <c r="CD138" i="11"/>
  <c r="CC138" i="11"/>
  <c r="CB138" i="11"/>
  <c r="CA138" i="11"/>
  <c r="BZ138" i="11"/>
  <c r="BY138" i="11"/>
  <c r="BX138" i="11"/>
  <c r="BW138" i="11"/>
  <c r="BV138" i="11"/>
  <c r="BU138" i="11"/>
  <c r="BT138" i="11"/>
  <c r="BS138" i="11"/>
  <c r="BR138" i="11"/>
  <c r="BQ138" i="11"/>
  <c r="BP138" i="11"/>
  <c r="BO138" i="11"/>
  <c r="BN138" i="11"/>
  <c r="BM138" i="11"/>
  <c r="BL138" i="11"/>
  <c r="BK138" i="11"/>
  <c r="BJ138" i="11"/>
  <c r="BI138" i="11"/>
  <c r="BH138" i="11"/>
  <c r="BG138" i="11"/>
  <c r="BF138" i="11"/>
  <c r="BE138" i="11"/>
  <c r="BD138" i="11"/>
  <c r="BC138" i="11"/>
  <c r="BB138" i="11"/>
  <c r="BA138" i="11"/>
  <c r="AZ138" i="11"/>
  <c r="AY138" i="11"/>
  <c r="AX138" i="11"/>
  <c r="AW138" i="11"/>
  <c r="AV138" i="11"/>
  <c r="AU138" i="11"/>
  <c r="AT138" i="11"/>
  <c r="AS138" i="11"/>
  <c r="AR138" i="11"/>
  <c r="AQ138" i="11"/>
  <c r="AP138" i="11"/>
  <c r="AO138" i="11"/>
  <c r="AN138" i="11"/>
  <c r="AM138" i="11"/>
  <c r="AL138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GK74" i="11"/>
  <c r="GJ74" i="11"/>
  <c r="GI74" i="11"/>
  <c r="GH74" i="11"/>
  <c r="GG74" i="11"/>
  <c r="GF74" i="11"/>
  <c r="GE74" i="11"/>
  <c r="GD74" i="11"/>
  <c r="GC74" i="11"/>
  <c r="GB74" i="11"/>
  <c r="GA74" i="11"/>
  <c r="FZ74" i="11"/>
  <c r="FY74" i="11"/>
  <c r="FX74" i="11"/>
  <c r="FW74" i="11"/>
  <c r="FV74" i="11"/>
  <c r="FU74" i="11"/>
  <c r="FT74" i="11"/>
  <c r="FS74" i="11"/>
  <c r="FR74" i="11"/>
  <c r="FQ74" i="11"/>
  <c r="FP74" i="11"/>
  <c r="FO74" i="11"/>
  <c r="FN74" i="11"/>
  <c r="FM74" i="11"/>
  <c r="FL74" i="11"/>
  <c r="FK74" i="11"/>
  <c r="FJ74" i="11"/>
  <c r="FI74" i="11"/>
  <c r="FH74" i="11"/>
  <c r="FG74" i="11"/>
  <c r="FF74" i="11"/>
  <c r="FE74" i="11"/>
  <c r="FD74" i="11"/>
  <c r="FC74" i="11"/>
  <c r="FB74" i="11"/>
  <c r="FA74" i="11"/>
  <c r="EZ74" i="11"/>
  <c r="EY74" i="11"/>
  <c r="EX74" i="11"/>
  <c r="EV74" i="11"/>
  <c r="EU74" i="11"/>
  <c r="ET74" i="11"/>
  <c r="ES74" i="11"/>
  <c r="ER74" i="11"/>
  <c r="EQ74" i="11"/>
  <c r="EP74" i="11"/>
  <c r="EO74" i="11"/>
  <c r="EN74" i="11"/>
  <c r="EM74" i="11"/>
  <c r="EL74" i="11"/>
  <c r="EK74" i="11"/>
  <c r="EJ74" i="11"/>
  <c r="EI74" i="11"/>
  <c r="EH74" i="11"/>
  <c r="EG74" i="11"/>
  <c r="EF74" i="11"/>
  <c r="EE74" i="11"/>
  <c r="ED74" i="11"/>
  <c r="EC74" i="11"/>
  <c r="EB74" i="11"/>
  <c r="EA74" i="11"/>
  <c r="DZ74" i="11"/>
  <c r="DY74" i="11"/>
  <c r="DX74" i="11"/>
  <c r="DW74" i="11"/>
  <c r="DV74" i="11"/>
  <c r="DU74" i="11"/>
  <c r="DT74" i="11"/>
  <c r="DS74" i="11"/>
  <c r="DR74" i="11"/>
  <c r="DQ74" i="11"/>
  <c r="DP74" i="11"/>
  <c r="DO74" i="11"/>
  <c r="DN74" i="11"/>
  <c r="DM74" i="11"/>
  <c r="DL74" i="11"/>
  <c r="DK74" i="11"/>
  <c r="DJ74" i="11"/>
  <c r="DI74" i="11"/>
  <c r="DH74" i="11"/>
  <c r="DG74" i="11"/>
  <c r="DF74" i="11"/>
  <c r="DE74" i="11"/>
  <c r="DD74" i="11"/>
  <c r="DC74" i="11"/>
  <c r="DB74" i="11"/>
  <c r="DA74" i="11"/>
  <c r="CZ74" i="11"/>
  <c r="CY74" i="11"/>
  <c r="CX74" i="11"/>
  <c r="CW74" i="11"/>
  <c r="CV74" i="11"/>
  <c r="CU74" i="11"/>
  <c r="CT74" i="11"/>
  <c r="CS74" i="11"/>
  <c r="CR74" i="11"/>
  <c r="CQ74" i="11"/>
  <c r="CP74" i="11"/>
  <c r="CO74" i="11"/>
  <c r="CN74" i="11"/>
  <c r="CM74" i="11"/>
  <c r="CL74" i="11"/>
  <c r="CK74" i="11"/>
  <c r="CJ74" i="11"/>
  <c r="CI74" i="11"/>
  <c r="CH74" i="11"/>
  <c r="CG74" i="11"/>
  <c r="CF74" i="11"/>
  <c r="CE74" i="11"/>
  <c r="CD74" i="11"/>
  <c r="CC74" i="11"/>
  <c r="CB74" i="11"/>
  <c r="CA74" i="11"/>
  <c r="BZ74" i="11"/>
  <c r="BY74" i="11"/>
  <c r="BX74" i="11"/>
  <c r="BW74" i="11"/>
  <c r="BV74" i="11"/>
  <c r="BU74" i="11"/>
  <c r="BT74" i="11"/>
  <c r="BS74" i="11"/>
  <c r="BR74" i="11"/>
  <c r="BQ74" i="11"/>
  <c r="BP74" i="11"/>
  <c r="BO74" i="11"/>
  <c r="BN74" i="11"/>
  <c r="BM74" i="11"/>
  <c r="BL74" i="11"/>
  <c r="BK74" i="11"/>
  <c r="BJ74" i="11"/>
  <c r="BI74" i="11"/>
  <c r="BH74" i="11"/>
  <c r="BG74" i="11"/>
  <c r="BF74" i="11"/>
  <c r="BE74" i="11"/>
  <c r="BD74" i="11"/>
  <c r="BC74" i="11"/>
  <c r="BB74" i="11"/>
  <c r="BA74" i="11"/>
  <c r="AZ74" i="11"/>
  <c r="AY74" i="11"/>
  <c r="AX74" i="11"/>
  <c r="AW74" i="11"/>
  <c r="AV74" i="11"/>
  <c r="AU74" i="11"/>
  <c r="AT74" i="11"/>
  <c r="AS74" i="11"/>
  <c r="AR74" i="11"/>
  <c r="AQ74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J74" i="11"/>
  <c r="I74" i="11"/>
  <c r="H74" i="11"/>
  <c r="G74" i="11"/>
  <c r="GJ180" i="11"/>
  <c r="GH180" i="11"/>
  <c r="GF180" i="11"/>
  <c r="GE180" i="11"/>
  <c r="GD180" i="11"/>
  <c r="GC180" i="11"/>
  <c r="GB180" i="11"/>
  <c r="GA180" i="11"/>
  <c r="FY180" i="11"/>
  <c r="FX180" i="11"/>
  <c r="FW180" i="11"/>
  <c r="FV180" i="11"/>
  <c r="FU180" i="11"/>
  <c r="FT180" i="11"/>
  <c r="FS180" i="11"/>
  <c r="FR180" i="11"/>
  <c r="FQ180" i="11"/>
  <c r="FP180" i="11"/>
  <c r="FO180" i="11"/>
  <c r="FN180" i="11"/>
  <c r="FM180" i="11"/>
  <c r="FL180" i="11"/>
  <c r="FK180" i="11"/>
  <c r="FJ180" i="11"/>
  <c r="FI180" i="11"/>
  <c r="FH180" i="11"/>
  <c r="FG180" i="11"/>
  <c r="FF180" i="11"/>
  <c r="FE180" i="11"/>
  <c r="FD180" i="11"/>
  <c r="FC180" i="11"/>
  <c r="FB180" i="11"/>
  <c r="FA180" i="11"/>
  <c r="EZ180" i="11"/>
  <c r="EY180" i="11"/>
  <c r="EX180" i="11"/>
  <c r="EV180" i="11"/>
  <c r="EU180" i="11"/>
  <c r="ET180" i="11"/>
  <c r="ES180" i="11"/>
  <c r="ER180" i="11"/>
  <c r="EQ180" i="11"/>
  <c r="EP180" i="11"/>
  <c r="EO180" i="11"/>
  <c r="EN180" i="11"/>
  <c r="EM180" i="11"/>
  <c r="EL180" i="11"/>
  <c r="EK180" i="11"/>
  <c r="EJ180" i="11"/>
  <c r="EI180" i="11"/>
  <c r="EH180" i="11"/>
  <c r="EG180" i="11"/>
  <c r="EF180" i="11"/>
  <c r="EE180" i="11"/>
  <c r="ED180" i="11"/>
  <c r="EC180" i="11"/>
  <c r="EB180" i="11"/>
  <c r="EA180" i="11"/>
  <c r="DZ180" i="11"/>
  <c r="DY180" i="11"/>
  <c r="DX180" i="11"/>
  <c r="DW180" i="11"/>
  <c r="DV180" i="11"/>
  <c r="DU180" i="11"/>
  <c r="DT180" i="11"/>
  <c r="DS180" i="11"/>
  <c r="DR180" i="11"/>
  <c r="DQ180" i="11"/>
  <c r="DP180" i="11"/>
  <c r="DO180" i="11"/>
  <c r="DN180" i="11"/>
  <c r="DM180" i="11"/>
  <c r="DL180" i="11"/>
  <c r="DK180" i="11"/>
  <c r="DJ180" i="11"/>
  <c r="DI180" i="11"/>
  <c r="DH180" i="11"/>
  <c r="DG180" i="11"/>
  <c r="DF180" i="11"/>
  <c r="DE180" i="11"/>
  <c r="DD180" i="11"/>
  <c r="DC180" i="11"/>
  <c r="DB180" i="11"/>
  <c r="DA180" i="11"/>
  <c r="CZ180" i="11"/>
  <c r="CY180" i="11"/>
  <c r="CX180" i="11"/>
  <c r="CW180" i="11"/>
  <c r="CV180" i="11"/>
  <c r="CU180" i="11"/>
  <c r="CT180" i="11"/>
  <c r="CS180" i="11"/>
  <c r="CR180" i="11"/>
  <c r="CQ180" i="11"/>
  <c r="CP180" i="11"/>
  <c r="CO180" i="11"/>
  <c r="CN180" i="11"/>
  <c r="CM180" i="11"/>
  <c r="CL180" i="11"/>
  <c r="CK180" i="11"/>
  <c r="CJ180" i="11"/>
  <c r="CI180" i="11"/>
  <c r="CH180" i="11"/>
  <c r="CG180" i="11"/>
  <c r="CF180" i="11"/>
  <c r="CE180" i="11"/>
  <c r="CD180" i="11"/>
  <c r="CC180" i="11"/>
  <c r="CB180" i="11"/>
  <c r="CA180" i="11"/>
  <c r="BZ180" i="11"/>
  <c r="BY180" i="11"/>
  <c r="BX180" i="11"/>
  <c r="BW180" i="11"/>
  <c r="BV180" i="11"/>
  <c r="BU180" i="11"/>
  <c r="BT180" i="11"/>
  <c r="BS180" i="11"/>
  <c r="BR180" i="11"/>
  <c r="BQ180" i="11"/>
  <c r="BP180" i="11"/>
  <c r="BO180" i="11"/>
  <c r="BN180" i="11"/>
  <c r="BM180" i="11"/>
  <c r="BL180" i="11"/>
  <c r="BK180" i="11"/>
  <c r="BJ180" i="11"/>
  <c r="BI180" i="11"/>
  <c r="BH180" i="11"/>
  <c r="BG180" i="11"/>
  <c r="BF180" i="11"/>
  <c r="BE180" i="11"/>
  <c r="BD180" i="11"/>
  <c r="BC180" i="11"/>
  <c r="BB180" i="11"/>
  <c r="BA180" i="11"/>
  <c r="AZ180" i="11"/>
  <c r="AY180" i="11"/>
  <c r="AX180" i="11"/>
  <c r="AW180" i="11"/>
  <c r="AV180" i="11"/>
  <c r="AU180" i="11"/>
  <c r="AT180" i="11"/>
  <c r="AS180" i="11"/>
  <c r="AR180" i="11"/>
  <c r="AQ180" i="11"/>
  <c r="AP180" i="11"/>
  <c r="AO180" i="11"/>
  <c r="AN180" i="11"/>
  <c r="AM180" i="11"/>
  <c r="AL180" i="11"/>
  <c r="AK180" i="11"/>
  <c r="AJ180" i="11"/>
  <c r="AI180" i="11"/>
  <c r="AH180" i="11"/>
  <c r="AG180" i="11"/>
  <c r="AF180" i="11"/>
  <c r="AE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GJ88" i="11"/>
  <c r="GH88" i="11"/>
  <c r="GF88" i="11"/>
  <c r="GE88" i="11"/>
  <c r="GD88" i="11"/>
  <c r="GC88" i="11"/>
  <c r="GB88" i="11"/>
  <c r="GA88" i="11"/>
  <c r="FY88" i="11"/>
  <c r="FX88" i="11"/>
  <c r="FW88" i="11"/>
  <c r="FV88" i="11"/>
  <c r="FU88" i="11"/>
  <c r="FT88" i="11"/>
  <c r="FS88" i="11"/>
  <c r="FR88" i="11"/>
  <c r="FQ88" i="11"/>
  <c r="FP88" i="11"/>
  <c r="FO88" i="11"/>
  <c r="FN88" i="11"/>
  <c r="FM88" i="11"/>
  <c r="FL88" i="11"/>
  <c r="FK88" i="11"/>
  <c r="FJ88" i="11"/>
  <c r="FI88" i="11"/>
  <c r="FH88" i="11"/>
  <c r="FG88" i="11"/>
  <c r="FF88" i="11"/>
  <c r="FE88" i="11"/>
  <c r="FD88" i="11"/>
  <c r="FC88" i="11"/>
  <c r="FB88" i="11"/>
  <c r="FA88" i="11"/>
  <c r="EZ88" i="11"/>
  <c r="EY88" i="11"/>
  <c r="EX88" i="11"/>
  <c r="EV88" i="11"/>
  <c r="EU88" i="11"/>
  <c r="ET88" i="11"/>
  <c r="ES88" i="11"/>
  <c r="ER88" i="11"/>
  <c r="EQ88" i="11"/>
  <c r="EP88" i="11"/>
  <c r="EO88" i="11"/>
  <c r="EN88" i="11"/>
  <c r="EM88" i="11"/>
  <c r="EL88" i="11"/>
  <c r="EK88" i="11"/>
  <c r="EJ88" i="11"/>
  <c r="EI88" i="11"/>
  <c r="EH88" i="11"/>
  <c r="EG88" i="11"/>
  <c r="EF88" i="11"/>
  <c r="EE88" i="11"/>
  <c r="ED88" i="11"/>
  <c r="EC88" i="11"/>
  <c r="EB88" i="11"/>
  <c r="EA88" i="11"/>
  <c r="DZ88" i="11"/>
  <c r="DY88" i="11"/>
  <c r="DX88" i="11"/>
  <c r="DW88" i="11"/>
  <c r="DV88" i="11"/>
  <c r="DU88" i="11"/>
  <c r="DT88" i="11"/>
  <c r="DS88" i="11"/>
  <c r="DR88" i="11"/>
  <c r="DQ88" i="11"/>
  <c r="DP88" i="11"/>
  <c r="DO88" i="11"/>
  <c r="DN88" i="11"/>
  <c r="DM88" i="11"/>
  <c r="DL88" i="11"/>
  <c r="DK88" i="11"/>
  <c r="DJ88" i="11"/>
  <c r="DI88" i="11"/>
  <c r="DH88" i="11"/>
  <c r="DG88" i="11"/>
  <c r="DF88" i="11"/>
  <c r="DE88" i="11"/>
  <c r="DD88" i="11"/>
  <c r="DC88" i="11"/>
  <c r="DB88" i="11"/>
  <c r="DA88" i="11"/>
  <c r="CZ88" i="11"/>
  <c r="CY88" i="11"/>
  <c r="CX88" i="11"/>
  <c r="CW88" i="11"/>
  <c r="CV88" i="11"/>
  <c r="CU88" i="11"/>
  <c r="CT88" i="11"/>
  <c r="CS88" i="11"/>
  <c r="CR88" i="11"/>
  <c r="CQ88" i="11"/>
  <c r="CP88" i="11"/>
  <c r="CO88" i="11"/>
  <c r="CN88" i="11"/>
  <c r="CM88" i="11"/>
  <c r="CL88" i="11"/>
  <c r="CK88" i="11"/>
  <c r="CJ88" i="11"/>
  <c r="CI88" i="11"/>
  <c r="CH88" i="11"/>
  <c r="CG88" i="11"/>
  <c r="CF88" i="11"/>
  <c r="CE88" i="11"/>
  <c r="CD88" i="11"/>
  <c r="CC88" i="11"/>
  <c r="CB88" i="11"/>
  <c r="CA88" i="11"/>
  <c r="BZ88" i="11"/>
  <c r="BY88" i="11"/>
  <c r="BX88" i="11"/>
  <c r="BW88" i="11"/>
  <c r="BV88" i="11"/>
  <c r="BU88" i="11"/>
  <c r="BT88" i="11"/>
  <c r="BS88" i="11"/>
  <c r="BR88" i="11"/>
  <c r="BQ88" i="11"/>
  <c r="BP88" i="11"/>
  <c r="BO88" i="11"/>
  <c r="BN88" i="11"/>
  <c r="BM88" i="11"/>
  <c r="BL88" i="11"/>
  <c r="BK88" i="11"/>
  <c r="BJ88" i="11"/>
  <c r="BI88" i="11"/>
  <c r="BH88" i="11"/>
  <c r="BG88" i="11"/>
  <c r="BF88" i="11"/>
  <c r="BE88" i="11"/>
  <c r="BD88" i="11"/>
  <c r="BC88" i="11"/>
  <c r="BB88" i="11"/>
  <c r="BA88" i="11"/>
  <c r="AZ88" i="11"/>
  <c r="AY88" i="11"/>
  <c r="AX88" i="11"/>
  <c r="AW88" i="11"/>
  <c r="AV88" i="11"/>
  <c r="AU88" i="11"/>
  <c r="AT88" i="11"/>
  <c r="AS88" i="11"/>
  <c r="AR88" i="11"/>
  <c r="AQ88" i="11"/>
  <c r="AP88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GJ86" i="11"/>
  <c r="GH86" i="11"/>
  <c r="GF86" i="11"/>
  <c r="GE86" i="11"/>
  <c r="GD86" i="11"/>
  <c r="GC86" i="11"/>
  <c r="GB86" i="11"/>
  <c r="GA86" i="11"/>
  <c r="FY86" i="11"/>
  <c r="FX86" i="11"/>
  <c r="FW86" i="11"/>
  <c r="FV86" i="11"/>
  <c r="FU86" i="11"/>
  <c r="FT86" i="11"/>
  <c r="FS86" i="11"/>
  <c r="FR86" i="11"/>
  <c r="FQ86" i="11"/>
  <c r="FP86" i="11"/>
  <c r="FO86" i="11"/>
  <c r="FN86" i="11"/>
  <c r="FM86" i="11"/>
  <c r="FL86" i="11"/>
  <c r="FK86" i="11"/>
  <c r="FJ86" i="11"/>
  <c r="FI86" i="11"/>
  <c r="FH86" i="11"/>
  <c r="FG86" i="11"/>
  <c r="FF86" i="11"/>
  <c r="FE86" i="11"/>
  <c r="FD86" i="11"/>
  <c r="FC86" i="11"/>
  <c r="FB86" i="11"/>
  <c r="FA86" i="11"/>
  <c r="EZ86" i="11"/>
  <c r="EY86" i="11"/>
  <c r="EX86" i="11"/>
  <c r="EV86" i="11"/>
  <c r="EU86" i="11"/>
  <c r="ET86" i="11"/>
  <c r="ES86" i="11"/>
  <c r="ER86" i="11"/>
  <c r="EQ86" i="11"/>
  <c r="EP86" i="11"/>
  <c r="EO86" i="11"/>
  <c r="EN86" i="11"/>
  <c r="EM86" i="11"/>
  <c r="EL86" i="11"/>
  <c r="EK86" i="11"/>
  <c r="EJ86" i="11"/>
  <c r="EI86" i="11"/>
  <c r="EH86" i="11"/>
  <c r="EG86" i="11"/>
  <c r="EF86" i="11"/>
  <c r="EE86" i="11"/>
  <c r="ED86" i="11"/>
  <c r="EC86" i="11"/>
  <c r="EB86" i="11"/>
  <c r="EA86" i="11"/>
  <c r="DZ86" i="11"/>
  <c r="DY86" i="11"/>
  <c r="DX86" i="11"/>
  <c r="DW86" i="11"/>
  <c r="DV86" i="11"/>
  <c r="DU86" i="11"/>
  <c r="DT86" i="11"/>
  <c r="DS86" i="11"/>
  <c r="DR86" i="11"/>
  <c r="DQ86" i="11"/>
  <c r="DP86" i="11"/>
  <c r="DO86" i="11"/>
  <c r="DN86" i="11"/>
  <c r="DM86" i="11"/>
  <c r="DL86" i="11"/>
  <c r="DK86" i="11"/>
  <c r="DJ86" i="11"/>
  <c r="DI86" i="11"/>
  <c r="DH86" i="11"/>
  <c r="DG86" i="11"/>
  <c r="DF86" i="11"/>
  <c r="DE86" i="11"/>
  <c r="DD86" i="11"/>
  <c r="DC86" i="11"/>
  <c r="DB86" i="11"/>
  <c r="DA86" i="11"/>
  <c r="CZ86" i="11"/>
  <c r="CY86" i="11"/>
  <c r="CX86" i="11"/>
  <c r="CW86" i="11"/>
  <c r="CV86" i="11"/>
  <c r="CU86" i="11"/>
  <c r="CT86" i="11"/>
  <c r="CS86" i="11"/>
  <c r="CR86" i="11"/>
  <c r="CQ86" i="11"/>
  <c r="CP86" i="11"/>
  <c r="CO86" i="11"/>
  <c r="CN86" i="11"/>
  <c r="CM86" i="11"/>
  <c r="CL86" i="11"/>
  <c r="CK86" i="11"/>
  <c r="CJ86" i="11"/>
  <c r="CI86" i="11"/>
  <c r="CH86" i="11"/>
  <c r="CG86" i="11"/>
  <c r="CF86" i="11"/>
  <c r="CE86" i="11"/>
  <c r="CD86" i="11"/>
  <c r="CC86" i="11"/>
  <c r="CB86" i="11"/>
  <c r="CA86" i="11"/>
  <c r="BZ86" i="11"/>
  <c r="BY86" i="11"/>
  <c r="BX86" i="11"/>
  <c r="BW86" i="11"/>
  <c r="BV86" i="11"/>
  <c r="BU86" i="11"/>
  <c r="BT86" i="11"/>
  <c r="BS86" i="11"/>
  <c r="BR86" i="11"/>
  <c r="BQ86" i="11"/>
  <c r="BP86" i="11"/>
  <c r="BO86" i="11"/>
  <c r="BN86" i="11"/>
  <c r="BM86" i="11"/>
  <c r="BL86" i="11"/>
  <c r="BK86" i="11"/>
  <c r="BJ86" i="11"/>
  <c r="BI86" i="11"/>
  <c r="BH86" i="11"/>
  <c r="BG86" i="11"/>
  <c r="BF86" i="11"/>
  <c r="BE86" i="11"/>
  <c r="BD86" i="11"/>
  <c r="BC86" i="11"/>
  <c r="BB86" i="11"/>
  <c r="BA86" i="11"/>
  <c r="AZ86" i="11"/>
  <c r="AY86" i="11"/>
  <c r="AX86" i="11"/>
  <c r="AW86" i="11"/>
  <c r="AV86" i="11"/>
  <c r="AU86" i="11"/>
  <c r="AT86" i="11"/>
  <c r="AS86" i="11"/>
  <c r="AR86" i="11"/>
  <c r="AQ86" i="11"/>
  <c r="AP86" i="11"/>
  <c r="AO86" i="11"/>
  <c r="AN86" i="11"/>
  <c r="AM86" i="11"/>
  <c r="AL86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E84" i="11"/>
  <c r="FF84" i="11"/>
  <c r="FG84" i="11"/>
  <c r="FH84" i="11"/>
  <c r="FI84" i="11"/>
  <c r="FJ84" i="11"/>
  <c r="FK84" i="11"/>
  <c r="FL84" i="11"/>
  <c r="FM84" i="11"/>
  <c r="FN84" i="11"/>
  <c r="FO84" i="11"/>
  <c r="EY84" i="11"/>
  <c r="EZ84" i="11"/>
  <c r="FA84" i="11"/>
  <c r="FB84" i="11"/>
  <c r="FC84" i="11"/>
  <c r="FD84" i="11"/>
  <c r="EP84" i="11"/>
  <c r="EQ84" i="11"/>
  <c r="ER84" i="11"/>
  <c r="ES84" i="11"/>
  <c r="ET84" i="11"/>
  <c r="EU84" i="11"/>
  <c r="EV84" i="11"/>
  <c r="EX84" i="11"/>
  <c r="DY84" i="11"/>
  <c r="DZ84" i="11"/>
  <c r="EA84" i="11"/>
  <c r="EB84" i="11"/>
  <c r="EC84" i="11"/>
  <c r="ED84" i="11"/>
  <c r="EE84" i="11"/>
  <c r="EF84" i="11"/>
  <c r="EG84" i="11"/>
  <c r="EH84" i="11"/>
  <c r="EI84" i="11"/>
  <c r="EJ84" i="11"/>
  <c r="EK84" i="11"/>
  <c r="EL84" i="11"/>
  <c r="EM84" i="11"/>
  <c r="EN84" i="11"/>
  <c r="EO84" i="11"/>
  <c r="CU84" i="11"/>
  <c r="CV84" i="11"/>
  <c r="CW84" i="11"/>
  <c r="CX84" i="11"/>
  <c r="CY84" i="11"/>
  <c r="CZ84" i="11"/>
  <c r="DA84" i="11"/>
  <c r="DB84" i="11"/>
  <c r="DC84" i="11"/>
  <c r="DD84" i="11"/>
  <c r="DE84" i="11"/>
  <c r="DF84" i="11"/>
  <c r="DG84" i="11"/>
  <c r="DH84" i="11"/>
  <c r="DI84" i="11"/>
  <c r="DJ84" i="11"/>
  <c r="DK84" i="11"/>
  <c r="DL84" i="11"/>
  <c r="DM84" i="11"/>
  <c r="DN84" i="11"/>
  <c r="DO84" i="11"/>
  <c r="DP84" i="11"/>
  <c r="DQ84" i="11"/>
  <c r="DR84" i="11"/>
  <c r="DS84" i="11"/>
  <c r="DT84" i="11"/>
  <c r="DU84" i="11"/>
  <c r="DV84" i="11"/>
  <c r="DW84" i="11"/>
  <c r="DX84" i="11"/>
  <c r="CO84" i="11"/>
  <c r="CM84" i="11"/>
  <c r="CN84" i="11"/>
  <c r="CP84" i="11"/>
  <c r="CQ84" i="11"/>
  <c r="CR84" i="11"/>
  <c r="CS84" i="11"/>
  <c r="CT84" i="11"/>
  <c r="CJ84" i="11"/>
  <c r="CK84" i="11"/>
  <c r="CL84" i="11"/>
  <c r="CI84" i="11"/>
  <c r="CB84" i="11"/>
  <c r="CC84" i="11"/>
  <c r="CD84" i="11"/>
  <c r="CE84" i="11"/>
  <c r="CF84" i="11"/>
  <c r="CG84" i="11"/>
  <c r="CH84" i="11"/>
  <c r="BW84" i="11"/>
  <c r="BX84" i="11"/>
  <c r="BY84" i="11"/>
  <c r="BZ84" i="11"/>
  <c r="BV84" i="11"/>
  <c r="BU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J84" i="11"/>
  <c r="AK84" i="11"/>
  <c r="AL84" i="11"/>
  <c r="AM84" i="11"/>
  <c r="AN84" i="11"/>
  <c r="AO84" i="11"/>
  <c r="AP84" i="11"/>
  <c r="AQ84" i="11"/>
  <c r="AR84" i="11"/>
  <c r="AS84" i="11"/>
  <c r="AT84" i="11"/>
  <c r="AU84" i="11"/>
  <c r="AV84" i="11"/>
  <c r="AW84" i="11"/>
  <c r="AX84" i="11"/>
  <c r="AY84" i="11"/>
  <c r="AZ84" i="11"/>
  <c r="BA84" i="11"/>
  <c r="BB84" i="11"/>
  <c r="BC84" i="11"/>
  <c r="BD84" i="11"/>
  <c r="BE84" i="11"/>
  <c r="BF84" i="11"/>
  <c r="BG84" i="11"/>
  <c r="BH84" i="11"/>
  <c r="BI84" i="11"/>
  <c r="BJ84" i="11"/>
  <c r="BK84" i="11"/>
  <c r="BL84" i="11"/>
  <c r="BM84" i="11"/>
  <c r="BN84" i="11"/>
  <c r="BO84" i="11"/>
  <c r="BP84" i="11"/>
  <c r="BQ84" i="11"/>
  <c r="BR84" i="11"/>
  <c r="BS84" i="11"/>
  <c r="BT84" i="11"/>
  <c r="CA84" i="11"/>
  <c r="FP84" i="11"/>
  <c r="FQ84" i="11"/>
  <c r="GJ84" i="11"/>
  <c r="GF84" i="11"/>
  <c r="GA84" i="11"/>
  <c r="FR84" i="11"/>
  <c r="FS84" i="11"/>
  <c r="FT84" i="11"/>
  <c r="FU84" i="11"/>
  <c r="FV84" i="11"/>
  <c r="FW84" i="11"/>
  <c r="FX84" i="11"/>
  <c r="FY84" i="11"/>
  <c r="GB84" i="11"/>
  <c r="GC84" i="11"/>
  <c r="GD84" i="11"/>
  <c r="GE84" i="11"/>
  <c r="GH84" i="11"/>
  <c r="H68" i="11"/>
  <c r="I68" i="11"/>
  <c r="J68" i="11"/>
  <c r="K68" i="11"/>
  <c r="L68" i="11"/>
  <c r="U68" i="11"/>
  <c r="AC68" i="11"/>
  <c r="AM68" i="11"/>
  <c r="AN68" i="11"/>
  <c r="AO68" i="11"/>
  <c r="AP68" i="11"/>
  <c r="AQ68" i="11"/>
  <c r="AR68" i="11"/>
  <c r="AS68" i="11"/>
  <c r="AT68" i="11"/>
  <c r="AU68" i="11"/>
  <c r="AZ68" i="11"/>
  <c r="BA68" i="11"/>
  <c r="BB68" i="11"/>
  <c r="BC68" i="11"/>
  <c r="BD68" i="11"/>
  <c r="BE68" i="11"/>
  <c r="BF68" i="11"/>
  <c r="BG68" i="11"/>
  <c r="BH68" i="11"/>
  <c r="BI68" i="11"/>
  <c r="BJ68" i="11"/>
  <c r="BK68" i="11"/>
  <c r="CM68" i="11"/>
  <c r="CN68" i="11"/>
  <c r="CO68" i="11"/>
  <c r="CP68" i="11"/>
  <c r="CR68" i="11"/>
  <c r="GJ83" i="1"/>
  <c r="CT114" i="11"/>
  <c r="CS114" i="11"/>
  <c r="CR114" i="11"/>
  <c r="CQ114" i="11"/>
  <c r="CP114" i="11"/>
  <c r="CO114" i="11"/>
  <c r="CN114" i="11"/>
  <c r="CM114" i="11"/>
  <c r="CM18" i="11"/>
  <c r="GL34" i="11" l="1"/>
  <c r="GL180" i="11"/>
  <c r="C62" i="11"/>
  <c r="C59" i="11"/>
  <c r="C60" i="11" s="1"/>
  <c r="GL54" i="11"/>
  <c r="AN132" i="11"/>
  <c r="GK56" i="11"/>
  <c r="GI56" i="11"/>
  <c r="GH56" i="11"/>
  <c r="GE56" i="11"/>
  <c r="GD56" i="11"/>
  <c r="GC56" i="11"/>
  <c r="GB56" i="11"/>
  <c r="GA56" i="11"/>
  <c r="FZ56" i="11"/>
  <c r="FY56" i="11"/>
  <c r="FX56" i="11"/>
  <c r="FW56" i="11"/>
  <c r="FV56" i="11"/>
  <c r="FU56" i="11"/>
  <c r="FT56" i="11"/>
  <c r="FS56" i="11"/>
  <c r="FQ56" i="11"/>
  <c r="EY56" i="11"/>
  <c r="EF56" i="11"/>
  <c r="CU56" i="11"/>
  <c r="CT56" i="11"/>
  <c r="CS56" i="11"/>
  <c r="CR56" i="11"/>
  <c r="CQ56" i="11"/>
  <c r="CP56" i="11"/>
  <c r="CO56" i="11"/>
  <c r="CN56" i="11"/>
  <c r="CI56" i="11"/>
  <c r="BW56" i="11"/>
  <c r="BM56" i="11"/>
  <c r="AZ56" i="11"/>
  <c r="AV56" i="11"/>
  <c r="AM56" i="11"/>
  <c r="AC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GL147" i="11"/>
  <c r="GL145" i="11"/>
  <c r="FQ98" i="11"/>
  <c r="FS98" i="11"/>
  <c r="FT98" i="11"/>
  <c r="FU98" i="11"/>
  <c r="FV98" i="11"/>
  <c r="FW98" i="11"/>
  <c r="FX98" i="11"/>
  <c r="FY98" i="11"/>
  <c r="FZ98" i="11"/>
  <c r="GA98" i="11"/>
  <c r="GD98" i="11"/>
  <c r="GE98" i="11"/>
  <c r="GF98" i="11"/>
  <c r="GG98" i="11"/>
  <c r="GH98" i="11"/>
  <c r="GI98" i="11"/>
  <c r="GJ98" i="11"/>
  <c r="GK98" i="11"/>
  <c r="AB98" i="11"/>
  <c r="AC98" i="11"/>
  <c r="AD98" i="11"/>
  <c r="AE98" i="11"/>
  <c r="AF98" i="11"/>
  <c r="AG98" i="11"/>
  <c r="AH98" i="11"/>
  <c r="AI98" i="11"/>
  <c r="AJ98" i="11"/>
  <c r="AK98" i="11"/>
  <c r="AL98" i="11"/>
  <c r="AM98" i="11"/>
  <c r="AN98" i="11"/>
  <c r="AO98" i="11"/>
  <c r="AP98" i="11"/>
  <c r="AQ98" i="11"/>
  <c r="AR98" i="11"/>
  <c r="AS98" i="11"/>
  <c r="AT98" i="11"/>
  <c r="AU98" i="11"/>
  <c r="AV98" i="11"/>
  <c r="AW98" i="11"/>
  <c r="AX98" i="11"/>
  <c r="AY98" i="11"/>
  <c r="AZ98" i="11"/>
  <c r="BA98" i="11"/>
  <c r="BB98" i="11"/>
  <c r="BC98" i="11"/>
  <c r="BD98" i="11"/>
  <c r="BE98" i="11"/>
  <c r="BF98" i="11"/>
  <c r="BG98" i="11"/>
  <c r="BH98" i="11"/>
  <c r="BI98" i="11"/>
  <c r="BJ98" i="11"/>
  <c r="BK98" i="11"/>
  <c r="BL98" i="11"/>
  <c r="BM98" i="11"/>
  <c r="BN98" i="11"/>
  <c r="BO98" i="11"/>
  <c r="BP98" i="11"/>
  <c r="BQ98" i="11"/>
  <c r="BR98" i="11"/>
  <c r="BS98" i="11"/>
  <c r="BT98" i="11"/>
  <c r="BU98" i="11"/>
  <c r="BV98" i="11"/>
  <c r="BW98" i="11"/>
  <c r="BX98" i="11"/>
  <c r="BY98" i="11"/>
  <c r="BZ98" i="11"/>
  <c r="CA98" i="11"/>
  <c r="CB98" i="11"/>
  <c r="CC98" i="11"/>
  <c r="CD98" i="11"/>
  <c r="CE98" i="11"/>
  <c r="CF98" i="11"/>
  <c r="CG98" i="11"/>
  <c r="CH98" i="11"/>
  <c r="CI98" i="11"/>
  <c r="CJ98" i="11"/>
  <c r="CK98" i="11"/>
  <c r="CL98" i="11"/>
  <c r="CM98" i="11"/>
  <c r="CN98" i="11"/>
  <c r="CO98" i="11"/>
  <c r="CP98" i="11"/>
  <c r="CQ98" i="11"/>
  <c r="CR98" i="11"/>
  <c r="CS98" i="11"/>
  <c r="CT98" i="11"/>
  <c r="CU98" i="11"/>
  <c r="CV98" i="11"/>
  <c r="CW98" i="11"/>
  <c r="CX98" i="11"/>
  <c r="CY98" i="11"/>
  <c r="CZ98" i="11"/>
  <c r="DA98" i="11"/>
  <c r="DB98" i="11"/>
  <c r="DC98" i="11"/>
  <c r="DD98" i="11"/>
  <c r="DE98" i="11"/>
  <c r="DF98" i="11"/>
  <c r="DG98" i="11"/>
  <c r="DH98" i="11"/>
  <c r="DI98" i="11"/>
  <c r="DJ98" i="11"/>
  <c r="DK98" i="11"/>
  <c r="DL98" i="11"/>
  <c r="DM98" i="11"/>
  <c r="DN98" i="11"/>
  <c r="DO98" i="11"/>
  <c r="DP98" i="11"/>
  <c r="DQ98" i="11"/>
  <c r="DR98" i="11"/>
  <c r="DS98" i="11"/>
  <c r="DT98" i="11"/>
  <c r="DU98" i="11"/>
  <c r="DV98" i="11"/>
  <c r="DW98" i="11"/>
  <c r="DX98" i="11"/>
  <c r="DY98" i="11"/>
  <c r="DZ98" i="11"/>
  <c r="EA98" i="11"/>
  <c r="EB98" i="11"/>
  <c r="EC98" i="11"/>
  <c r="ED98" i="11"/>
  <c r="EE98" i="11"/>
  <c r="EF98" i="11"/>
  <c r="EG98" i="11"/>
  <c r="EH98" i="11"/>
  <c r="EI98" i="11"/>
  <c r="EJ98" i="11"/>
  <c r="EK98" i="11"/>
  <c r="EL98" i="11"/>
  <c r="EM98" i="11"/>
  <c r="EN98" i="11"/>
  <c r="EO98" i="11"/>
  <c r="EP98" i="11"/>
  <c r="EQ98" i="11"/>
  <c r="ER98" i="11"/>
  <c r="ES98" i="11"/>
  <c r="ET98" i="11"/>
  <c r="EU98" i="11"/>
  <c r="EV98" i="11"/>
  <c r="EX98" i="11"/>
  <c r="EY98" i="11"/>
  <c r="EZ98" i="11"/>
  <c r="FA98" i="11"/>
  <c r="FB98" i="11"/>
  <c r="FC98" i="11"/>
  <c r="FD98" i="11"/>
  <c r="FE98" i="11"/>
  <c r="FF98" i="11"/>
  <c r="FG98" i="11"/>
  <c r="FH98" i="11"/>
  <c r="FI98" i="11"/>
  <c r="FJ98" i="11"/>
  <c r="FK98" i="11"/>
  <c r="FL98" i="11"/>
  <c r="FM98" i="11"/>
  <c r="FN98" i="11"/>
  <c r="FO98" i="11"/>
  <c r="FP98" i="11"/>
  <c r="AA98" i="11"/>
  <c r="P98" i="11"/>
  <c r="H98" i="11"/>
  <c r="I98" i="11"/>
  <c r="J98" i="11"/>
  <c r="K98" i="11"/>
  <c r="L98" i="11"/>
  <c r="M98" i="11"/>
  <c r="N98" i="11"/>
  <c r="O98" i="11"/>
  <c r="Q98" i="11"/>
  <c r="R98" i="11"/>
  <c r="S98" i="11"/>
  <c r="T98" i="11"/>
  <c r="U98" i="11"/>
  <c r="V98" i="11"/>
  <c r="W98" i="11"/>
  <c r="X98" i="11"/>
  <c r="Y98" i="11"/>
  <c r="Z98" i="11"/>
  <c r="G98" i="11"/>
  <c r="GL97" i="11"/>
  <c r="E98" i="11"/>
  <c r="AY94" i="11"/>
  <c r="GL99" i="11"/>
  <c r="GL95" i="11"/>
  <c r="GK100" i="11"/>
  <c r="GJ100" i="11"/>
  <c r="GI100" i="11"/>
  <c r="GH100" i="11"/>
  <c r="GG100" i="11"/>
  <c r="GF100" i="11"/>
  <c r="GE100" i="11"/>
  <c r="GA100" i="11"/>
  <c r="FZ100" i="11"/>
  <c r="FY100" i="11"/>
  <c r="FX100" i="11"/>
  <c r="FW100" i="11"/>
  <c r="FV100" i="11"/>
  <c r="FU100" i="11"/>
  <c r="FT100" i="11"/>
  <c r="FP100" i="11"/>
  <c r="FO100" i="11"/>
  <c r="FN100" i="11"/>
  <c r="FM100" i="11"/>
  <c r="FK100" i="11"/>
  <c r="FJ100" i="11"/>
  <c r="FI100" i="11"/>
  <c r="FH100" i="11"/>
  <c r="FG100" i="11"/>
  <c r="FF100" i="11"/>
  <c r="FE100" i="11"/>
  <c r="FD100" i="11"/>
  <c r="FC100" i="11"/>
  <c r="FA100" i="11"/>
  <c r="EZ100" i="11"/>
  <c r="EY100" i="11"/>
  <c r="EX100" i="11"/>
  <c r="EV100" i="11"/>
  <c r="EU100" i="11"/>
  <c r="ET100" i="11"/>
  <c r="ES100" i="11"/>
  <c r="EQ100" i="11"/>
  <c r="EP100" i="11"/>
  <c r="EO100" i="11"/>
  <c r="EN100" i="11"/>
  <c r="EM100" i="11"/>
  <c r="EL100" i="11"/>
  <c r="EK100" i="11"/>
  <c r="EJ100" i="11"/>
  <c r="EI100" i="11"/>
  <c r="EH100" i="11"/>
  <c r="EG100" i="11"/>
  <c r="EF100" i="11"/>
  <c r="EE100" i="11"/>
  <c r="ED100" i="11"/>
  <c r="EC100" i="11"/>
  <c r="EB100" i="11"/>
  <c r="EA100" i="11"/>
  <c r="DZ100" i="11"/>
  <c r="DX100" i="11"/>
  <c r="DW100" i="11"/>
  <c r="DV100" i="11"/>
  <c r="DU100" i="11"/>
  <c r="DT100" i="11"/>
  <c r="DS100" i="11"/>
  <c r="DR100" i="11"/>
  <c r="DQ100" i="11"/>
  <c r="DP100" i="11"/>
  <c r="DO100" i="11"/>
  <c r="DN100" i="11"/>
  <c r="DM100" i="11"/>
  <c r="DL100" i="11"/>
  <c r="DK100" i="11"/>
  <c r="DJ100" i="11"/>
  <c r="DI100" i="11"/>
  <c r="DH100" i="11"/>
  <c r="DG100" i="11"/>
  <c r="DF100" i="11"/>
  <c r="DE100" i="11"/>
  <c r="DD100" i="11"/>
  <c r="DC100" i="11"/>
  <c r="DB100" i="11"/>
  <c r="DA100" i="11"/>
  <c r="CZ100" i="11"/>
  <c r="CY100" i="11"/>
  <c r="CX100" i="11"/>
  <c r="CV100" i="11"/>
  <c r="CU100" i="11"/>
  <c r="CT100" i="11"/>
  <c r="CS100" i="11"/>
  <c r="CR100" i="11"/>
  <c r="CP100" i="11"/>
  <c r="CO100" i="11"/>
  <c r="CN100" i="11"/>
  <c r="CM100" i="11"/>
  <c r="CL100" i="11"/>
  <c r="CK100" i="11"/>
  <c r="CI100" i="11"/>
  <c r="CH100" i="11"/>
  <c r="CG100" i="11"/>
  <c r="CF100" i="11"/>
  <c r="CE100" i="11"/>
  <c r="CD100" i="11"/>
  <c r="CC100" i="11"/>
  <c r="CB100" i="11"/>
  <c r="CA100" i="11"/>
  <c r="BY100" i="11"/>
  <c r="BW100" i="11"/>
  <c r="BV100" i="11"/>
  <c r="BU100" i="11"/>
  <c r="BT100" i="11"/>
  <c r="BS100" i="11"/>
  <c r="BR100" i="11"/>
  <c r="BQ100" i="11"/>
  <c r="BP100" i="11"/>
  <c r="BO100" i="11"/>
  <c r="BN100" i="11"/>
  <c r="BM100" i="11"/>
  <c r="BL100" i="11"/>
  <c r="BK100" i="11"/>
  <c r="BJ100" i="11"/>
  <c r="BI100" i="11"/>
  <c r="BH100" i="11"/>
  <c r="BG100" i="11"/>
  <c r="BF100" i="11"/>
  <c r="BE100" i="11"/>
  <c r="BD100" i="11"/>
  <c r="BC100" i="11"/>
  <c r="BB100" i="11"/>
  <c r="BA100" i="11"/>
  <c r="AZ100" i="11"/>
  <c r="AY100" i="11"/>
  <c r="AX100" i="11"/>
  <c r="AW100" i="11"/>
  <c r="AV100" i="11"/>
  <c r="AU100" i="11"/>
  <c r="AT100" i="11"/>
  <c r="AS100" i="11"/>
  <c r="AR100" i="11"/>
  <c r="AQ100" i="11"/>
  <c r="AP100" i="11"/>
  <c r="AO100" i="11"/>
  <c r="AN100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GK96" i="11"/>
  <c r="GJ96" i="11"/>
  <c r="GI96" i="11"/>
  <c r="GH96" i="11"/>
  <c r="GG96" i="11"/>
  <c r="GF96" i="11"/>
  <c r="GE96" i="11"/>
  <c r="GA96" i="11"/>
  <c r="FZ96" i="11"/>
  <c r="FY96" i="11"/>
  <c r="FX96" i="11"/>
  <c r="FW96" i="11"/>
  <c r="FV96" i="11"/>
  <c r="FU96" i="11"/>
  <c r="FT96" i="11"/>
  <c r="FP96" i="11"/>
  <c r="FO96" i="11"/>
  <c r="FN96" i="11"/>
  <c r="FM96" i="11"/>
  <c r="FK96" i="11"/>
  <c r="FJ96" i="11"/>
  <c r="FI96" i="11"/>
  <c r="FH96" i="11"/>
  <c r="FG96" i="11"/>
  <c r="FF96" i="11"/>
  <c r="FE96" i="11"/>
  <c r="FD96" i="11"/>
  <c r="FC96" i="11"/>
  <c r="FA96" i="11"/>
  <c r="EZ96" i="11"/>
  <c r="EY96" i="11"/>
  <c r="EX96" i="11"/>
  <c r="EV96" i="11"/>
  <c r="EU96" i="11"/>
  <c r="ET96" i="11"/>
  <c r="ES96" i="11"/>
  <c r="EQ96" i="11"/>
  <c r="EP96" i="11"/>
  <c r="EO96" i="11"/>
  <c r="EN96" i="11"/>
  <c r="EM96" i="11"/>
  <c r="EL96" i="11"/>
  <c r="EK96" i="11"/>
  <c r="EJ96" i="11"/>
  <c r="EI96" i="11"/>
  <c r="EH96" i="11"/>
  <c r="EG96" i="11"/>
  <c r="EF96" i="11"/>
  <c r="EE96" i="11"/>
  <c r="ED96" i="11"/>
  <c r="EC96" i="11"/>
  <c r="EB96" i="11"/>
  <c r="EA96" i="11"/>
  <c r="DZ96" i="11"/>
  <c r="DX96" i="11"/>
  <c r="DW96" i="11"/>
  <c r="DV96" i="11"/>
  <c r="DU96" i="11"/>
  <c r="DT96" i="11"/>
  <c r="DS96" i="11"/>
  <c r="DR96" i="11"/>
  <c r="DQ96" i="11"/>
  <c r="DP96" i="11"/>
  <c r="DO96" i="11"/>
  <c r="DN96" i="11"/>
  <c r="DM96" i="11"/>
  <c r="DL96" i="11"/>
  <c r="DK96" i="11"/>
  <c r="DJ96" i="11"/>
  <c r="DI96" i="11"/>
  <c r="DH96" i="11"/>
  <c r="DG96" i="11"/>
  <c r="DF96" i="11"/>
  <c r="DE96" i="11"/>
  <c r="DD96" i="11"/>
  <c r="DC96" i="11"/>
  <c r="DB96" i="11"/>
  <c r="DA96" i="11"/>
  <c r="CZ96" i="11"/>
  <c r="CY96" i="11"/>
  <c r="CX96" i="11"/>
  <c r="CV96" i="11"/>
  <c r="CU96" i="11"/>
  <c r="CT96" i="11"/>
  <c r="CS96" i="11"/>
  <c r="CR96" i="11"/>
  <c r="CP96" i="11"/>
  <c r="CO96" i="11"/>
  <c r="CN96" i="11"/>
  <c r="CM96" i="11"/>
  <c r="CL96" i="11"/>
  <c r="CK96" i="11"/>
  <c r="CI96" i="11"/>
  <c r="CH96" i="11"/>
  <c r="CG96" i="11"/>
  <c r="CF96" i="11"/>
  <c r="CE96" i="11"/>
  <c r="CD96" i="11"/>
  <c r="CC96" i="11"/>
  <c r="CB96" i="11"/>
  <c r="CA96" i="11"/>
  <c r="BY96" i="11"/>
  <c r="BW96" i="11"/>
  <c r="BV96" i="11"/>
  <c r="BU96" i="11"/>
  <c r="BT96" i="11"/>
  <c r="BS96" i="11"/>
  <c r="BR96" i="11"/>
  <c r="BQ96" i="11"/>
  <c r="BP96" i="11"/>
  <c r="BO96" i="11"/>
  <c r="BN96" i="11"/>
  <c r="BM96" i="11"/>
  <c r="BL96" i="11"/>
  <c r="BK96" i="11"/>
  <c r="BJ96" i="11"/>
  <c r="BI96" i="11"/>
  <c r="BH96" i="11"/>
  <c r="BG96" i="11"/>
  <c r="BF96" i="11"/>
  <c r="BE96" i="11"/>
  <c r="BD96" i="11"/>
  <c r="BC96" i="11"/>
  <c r="BB96" i="11"/>
  <c r="BA96" i="11"/>
  <c r="AZ96" i="11"/>
  <c r="AY96" i="11"/>
  <c r="AX96" i="11"/>
  <c r="AW96" i="11"/>
  <c r="AV96" i="11"/>
  <c r="AU96" i="11"/>
  <c r="AT96" i="11"/>
  <c r="AS96" i="11"/>
  <c r="AR96" i="11"/>
  <c r="AQ96" i="11"/>
  <c r="AP96" i="11"/>
  <c r="AO96" i="11"/>
  <c r="AN96" i="11"/>
  <c r="AM96" i="11"/>
  <c r="AL96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E96" i="11"/>
  <c r="E100" i="11"/>
  <c r="GL93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J94" i="11"/>
  <c r="AK94" i="11"/>
  <c r="AL94" i="11"/>
  <c r="AM94" i="11"/>
  <c r="AN94" i="11"/>
  <c r="AO94" i="11"/>
  <c r="AP94" i="11"/>
  <c r="AQ94" i="11"/>
  <c r="AR94" i="11"/>
  <c r="AS94" i="11"/>
  <c r="AT94" i="11"/>
  <c r="AU94" i="11"/>
  <c r="AV94" i="11"/>
  <c r="AW94" i="11"/>
  <c r="AX94" i="11"/>
  <c r="AZ94" i="11"/>
  <c r="BA94" i="11"/>
  <c r="BB94" i="11"/>
  <c r="BC94" i="11"/>
  <c r="BD94" i="11"/>
  <c r="BE94" i="11"/>
  <c r="BF94" i="11"/>
  <c r="BG94" i="11"/>
  <c r="BH94" i="11"/>
  <c r="BI94" i="11"/>
  <c r="BJ94" i="11"/>
  <c r="BK94" i="11"/>
  <c r="BL94" i="11"/>
  <c r="BM94" i="11"/>
  <c r="BN94" i="11"/>
  <c r="BO94" i="11"/>
  <c r="BP94" i="11"/>
  <c r="BQ94" i="11"/>
  <c r="BR94" i="11"/>
  <c r="BS94" i="11"/>
  <c r="BT94" i="11"/>
  <c r="BU94" i="11"/>
  <c r="BV94" i="11"/>
  <c r="BW94" i="11"/>
  <c r="BY94" i="11"/>
  <c r="CA94" i="11"/>
  <c r="CB94" i="11"/>
  <c r="CC94" i="11"/>
  <c r="CD94" i="11"/>
  <c r="CE94" i="11"/>
  <c r="CF94" i="11"/>
  <c r="CG94" i="11"/>
  <c r="CH94" i="11"/>
  <c r="CI94" i="11"/>
  <c r="CK94" i="11"/>
  <c r="CL94" i="11"/>
  <c r="CM94" i="11"/>
  <c r="CN94" i="11"/>
  <c r="CO94" i="11"/>
  <c r="CP94" i="11"/>
  <c r="CR94" i="11"/>
  <c r="CS94" i="11"/>
  <c r="CT94" i="11"/>
  <c r="CU94" i="11"/>
  <c r="CV94" i="11"/>
  <c r="CX94" i="11"/>
  <c r="CY94" i="11"/>
  <c r="CZ94" i="11"/>
  <c r="DA94" i="11"/>
  <c r="DB94" i="11"/>
  <c r="DC94" i="11"/>
  <c r="DD94" i="11"/>
  <c r="DE94" i="11"/>
  <c r="DF94" i="11"/>
  <c r="DG94" i="11"/>
  <c r="DH94" i="11"/>
  <c r="DI94" i="11"/>
  <c r="DJ94" i="11"/>
  <c r="DK94" i="11"/>
  <c r="DL94" i="11"/>
  <c r="DM94" i="11"/>
  <c r="DN94" i="11"/>
  <c r="DO94" i="11"/>
  <c r="DP94" i="11"/>
  <c r="DQ94" i="11"/>
  <c r="DR94" i="11"/>
  <c r="DS94" i="11"/>
  <c r="DT94" i="11"/>
  <c r="DU94" i="11"/>
  <c r="DV94" i="11"/>
  <c r="DW94" i="11"/>
  <c r="DX94" i="11"/>
  <c r="DZ94" i="11"/>
  <c r="EA94" i="11"/>
  <c r="EB94" i="11"/>
  <c r="EC94" i="11"/>
  <c r="ED94" i="11"/>
  <c r="EE94" i="11"/>
  <c r="EF94" i="11"/>
  <c r="EG94" i="11"/>
  <c r="EH94" i="11"/>
  <c r="EI94" i="11"/>
  <c r="EJ94" i="11"/>
  <c r="EK94" i="11"/>
  <c r="EL94" i="11"/>
  <c r="EM94" i="11"/>
  <c r="EN94" i="11"/>
  <c r="EO94" i="11"/>
  <c r="EP94" i="11"/>
  <c r="EQ94" i="11"/>
  <c r="ES94" i="11"/>
  <c r="ET94" i="11"/>
  <c r="EU94" i="11"/>
  <c r="EV94" i="11"/>
  <c r="EX94" i="11"/>
  <c r="EY94" i="11"/>
  <c r="EZ94" i="11"/>
  <c r="FA94" i="11"/>
  <c r="FC94" i="11"/>
  <c r="FD94" i="11"/>
  <c r="FE94" i="11"/>
  <c r="FF94" i="11"/>
  <c r="FG94" i="11"/>
  <c r="FH94" i="11"/>
  <c r="FI94" i="11"/>
  <c r="FJ94" i="11"/>
  <c r="FK94" i="11"/>
  <c r="FM94" i="11"/>
  <c r="FN94" i="11"/>
  <c r="FO94" i="11"/>
  <c r="FP94" i="11"/>
  <c r="FT94" i="11"/>
  <c r="FU94" i="11"/>
  <c r="FV94" i="11"/>
  <c r="FW94" i="11"/>
  <c r="FX94" i="11"/>
  <c r="FY94" i="11"/>
  <c r="FZ94" i="11"/>
  <c r="GA94" i="11"/>
  <c r="GE94" i="11"/>
  <c r="GF94" i="11"/>
  <c r="GG94" i="11"/>
  <c r="GH94" i="11"/>
  <c r="GI94" i="11"/>
  <c r="GJ94" i="11"/>
  <c r="GK94" i="11"/>
  <c r="G94" i="11"/>
  <c r="E94" i="11"/>
  <c r="GJ85" i="1"/>
  <c r="C142" i="11"/>
  <c r="C143" i="11" s="1"/>
  <c r="C144" i="11" s="1"/>
  <c r="C150" i="11" s="1"/>
  <c r="GL117" i="11"/>
  <c r="GK118" i="11"/>
  <c r="GJ118" i="11"/>
  <c r="GI118" i="11"/>
  <c r="GH118" i="11"/>
  <c r="GG118" i="11"/>
  <c r="GF118" i="11"/>
  <c r="GE118" i="11"/>
  <c r="GD118" i="11"/>
  <c r="GC118" i="11"/>
  <c r="GB118" i="11"/>
  <c r="GA118" i="11"/>
  <c r="FZ118" i="11"/>
  <c r="FY118" i="11"/>
  <c r="FX118" i="11"/>
  <c r="FW118" i="11"/>
  <c r="FV118" i="11"/>
  <c r="FU118" i="11"/>
  <c r="FT118" i="11"/>
  <c r="FS118" i="11"/>
  <c r="FR118" i="11"/>
  <c r="FQ118" i="11"/>
  <c r="FP118" i="11"/>
  <c r="FO118" i="11"/>
  <c r="FN118" i="11"/>
  <c r="FM118" i="11"/>
  <c r="FL118" i="11"/>
  <c r="FK118" i="11"/>
  <c r="FJ118" i="11"/>
  <c r="FI118" i="11"/>
  <c r="FH118" i="11"/>
  <c r="FG118" i="11"/>
  <c r="FF118" i="11"/>
  <c r="FE118" i="11"/>
  <c r="FD118" i="11"/>
  <c r="FC118" i="11"/>
  <c r="FB118" i="11"/>
  <c r="FA118" i="11"/>
  <c r="EZ118" i="11"/>
  <c r="EY118" i="11"/>
  <c r="EX118" i="11"/>
  <c r="EV118" i="11"/>
  <c r="EU118" i="11"/>
  <c r="ET118" i="11"/>
  <c r="ES118" i="11"/>
  <c r="ER118" i="11"/>
  <c r="EQ118" i="11"/>
  <c r="EP118" i="11"/>
  <c r="EO118" i="11"/>
  <c r="EN118" i="11"/>
  <c r="EM118" i="11"/>
  <c r="EL118" i="11"/>
  <c r="EK118" i="11"/>
  <c r="EJ118" i="11"/>
  <c r="EI118" i="11"/>
  <c r="EH118" i="11"/>
  <c r="EG118" i="11"/>
  <c r="EF118" i="11"/>
  <c r="EE118" i="11"/>
  <c r="ED118" i="11"/>
  <c r="EC118" i="11"/>
  <c r="EB118" i="11"/>
  <c r="EA118" i="11"/>
  <c r="DZ118" i="11"/>
  <c r="DY118" i="11"/>
  <c r="DX118" i="11"/>
  <c r="DW118" i="11"/>
  <c r="DV118" i="11"/>
  <c r="DU118" i="11"/>
  <c r="DT118" i="11"/>
  <c r="DS118" i="11"/>
  <c r="DR118" i="11"/>
  <c r="DQ118" i="11"/>
  <c r="DP118" i="11"/>
  <c r="DO118" i="11"/>
  <c r="DN118" i="11"/>
  <c r="DM118" i="11"/>
  <c r="DL118" i="11"/>
  <c r="DK118" i="11"/>
  <c r="DJ118" i="11"/>
  <c r="DI118" i="11"/>
  <c r="DH118" i="11"/>
  <c r="DG118" i="11"/>
  <c r="DF118" i="11"/>
  <c r="DE118" i="11"/>
  <c r="DD118" i="11"/>
  <c r="DC118" i="11"/>
  <c r="DB118" i="11"/>
  <c r="DA118" i="11"/>
  <c r="CZ118" i="11"/>
  <c r="CY118" i="11"/>
  <c r="CX118" i="11"/>
  <c r="CW118" i="11"/>
  <c r="CV118" i="11"/>
  <c r="CU118" i="11"/>
  <c r="CT118" i="11"/>
  <c r="CS118" i="11"/>
  <c r="CR118" i="11"/>
  <c r="CQ118" i="11"/>
  <c r="CP118" i="11"/>
  <c r="CO118" i="11"/>
  <c r="CN118" i="11"/>
  <c r="CM118" i="11"/>
  <c r="CL118" i="11"/>
  <c r="CK118" i="11"/>
  <c r="CJ118" i="11"/>
  <c r="CI118" i="11"/>
  <c r="CH118" i="11"/>
  <c r="CG118" i="11"/>
  <c r="CF118" i="11"/>
  <c r="CE118" i="11"/>
  <c r="CD118" i="11"/>
  <c r="CC118" i="11"/>
  <c r="CB118" i="11"/>
  <c r="CA118" i="11"/>
  <c r="BZ118" i="11"/>
  <c r="BY118" i="11"/>
  <c r="BX118" i="11"/>
  <c r="BW118" i="11"/>
  <c r="BV118" i="11"/>
  <c r="BU118" i="11"/>
  <c r="BT118" i="11"/>
  <c r="BS118" i="11"/>
  <c r="BR118" i="11"/>
  <c r="BQ118" i="11"/>
  <c r="BP118" i="11"/>
  <c r="BO118" i="11"/>
  <c r="BN118" i="11"/>
  <c r="BM118" i="11"/>
  <c r="BL118" i="11"/>
  <c r="BK118" i="11"/>
  <c r="BJ118" i="11"/>
  <c r="BI118" i="11"/>
  <c r="BH118" i="11"/>
  <c r="BG118" i="11"/>
  <c r="BF118" i="11"/>
  <c r="BE118" i="11"/>
  <c r="BD118" i="11"/>
  <c r="BC118" i="11"/>
  <c r="BB118" i="11"/>
  <c r="BA118" i="11"/>
  <c r="AZ118" i="11"/>
  <c r="AY118" i="11"/>
  <c r="AX118" i="11"/>
  <c r="AW118" i="11"/>
  <c r="AU118" i="11"/>
  <c r="AT118" i="11"/>
  <c r="AS118" i="11"/>
  <c r="AR118" i="11"/>
  <c r="AQ118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E118" i="11"/>
  <c r="B118" i="11"/>
  <c r="A118" i="11"/>
  <c r="GL171" i="11"/>
  <c r="GK172" i="11"/>
  <c r="GJ172" i="11"/>
  <c r="GI172" i="11"/>
  <c r="GH172" i="11"/>
  <c r="GG172" i="11"/>
  <c r="GF172" i="11"/>
  <c r="GE172" i="11"/>
  <c r="GD172" i="11"/>
  <c r="GC172" i="11"/>
  <c r="GB172" i="11"/>
  <c r="GA172" i="11"/>
  <c r="FZ172" i="11"/>
  <c r="FY172" i="11"/>
  <c r="FX172" i="11"/>
  <c r="FW172" i="11"/>
  <c r="FV172" i="11"/>
  <c r="FU172" i="11"/>
  <c r="FT172" i="11"/>
  <c r="FS172" i="11"/>
  <c r="FR172" i="11"/>
  <c r="FQ172" i="11"/>
  <c r="FP172" i="11"/>
  <c r="FO172" i="11"/>
  <c r="FN172" i="11"/>
  <c r="FM172" i="11"/>
  <c r="FL172" i="11"/>
  <c r="FK172" i="11"/>
  <c r="FJ172" i="11"/>
  <c r="FI172" i="11"/>
  <c r="FH172" i="11"/>
  <c r="FG172" i="11"/>
  <c r="FF172" i="11"/>
  <c r="FE172" i="11"/>
  <c r="FD172" i="11"/>
  <c r="FC172" i="11"/>
  <c r="FB172" i="11"/>
  <c r="FA172" i="11"/>
  <c r="EZ172" i="11"/>
  <c r="EX172" i="11"/>
  <c r="EV172" i="11"/>
  <c r="EU172" i="11"/>
  <c r="ET172" i="11"/>
  <c r="ES172" i="11"/>
  <c r="ER172" i="11"/>
  <c r="EQ172" i="11"/>
  <c r="EP172" i="11"/>
  <c r="EO172" i="11"/>
  <c r="EN172" i="11"/>
  <c r="EM172" i="11"/>
  <c r="EL172" i="11"/>
  <c r="EK172" i="11"/>
  <c r="DX172" i="11"/>
  <c r="DT172" i="11"/>
  <c r="DP172" i="11"/>
  <c r="DC172" i="11"/>
  <c r="CY172" i="11"/>
  <c r="CU172" i="11"/>
  <c r="CT172" i="11"/>
  <c r="CS172" i="11"/>
  <c r="CR172" i="11"/>
  <c r="CQ172" i="11"/>
  <c r="CP172" i="11"/>
  <c r="CO172" i="11"/>
  <c r="CN172" i="11"/>
  <c r="CM172" i="11"/>
  <c r="CL172" i="11"/>
  <c r="CK172" i="11"/>
  <c r="CJ172" i="11"/>
  <c r="CI172" i="11"/>
  <c r="CH172" i="11"/>
  <c r="CG172" i="11"/>
  <c r="CF172" i="11"/>
  <c r="CE172" i="11"/>
  <c r="CD172" i="11"/>
  <c r="CC172" i="11"/>
  <c r="CB172" i="11"/>
  <c r="CA172" i="11"/>
  <c r="BZ172" i="11"/>
  <c r="BY172" i="11"/>
  <c r="BX172" i="11"/>
  <c r="BW172" i="11"/>
  <c r="BV172" i="11"/>
  <c r="BU172" i="11"/>
  <c r="BT172" i="11"/>
  <c r="BS172" i="11"/>
  <c r="BR172" i="11"/>
  <c r="BQ172" i="11"/>
  <c r="BP172" i="11"/>
  <c r="BO172" i="11"/>
  <c r="BN172" i="11"/>
  <c r="BM172" i="11"/>
  <c r="BL172" i="11"/>
  <c r="BK172" i="11"/>
  <c r="BJ172" i="11"/>
  <c r="BI172" i="11"/>
  <c r="BH172" i="11"/>
  <c r="BG172" i="11"/>
  <c r="BF172" i="11"/>
  <c r="BE172" i="11"/>
  <c r="BD172" i="11"/>
  <c r="BC172" i="11"/>
  <c r="BB172" i="11"/>
  <c r="BA172" i="11"/>
  <c r="AZ172" i="11"/>
  <c r="AY172" i="11"/>
  <c r="AX172" i="11"/>
  <c r="AW172" i="11"/>
  <c r="AV172" i="11"/>
  <c r="AU172" i="11"/>
  <c r="AT172" i="11"/>
  <c r="AS172" i="11"/>
  <c r="AR172" i="11"/>
  <c r="AQ172" i="11"/>
  <c r="AP172" i="11"/>
  <c r="AO172" i="11"/>
  <c r="AN172" i="11"/>
  <c r="AM172" i="11"/>
  <c r="AL172" i="11"/>
  <c r="AK172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E172" i="11"/>
  <c r="CI136" i="11"/>
  <c r="CM136" i="11"/>
  <c r="GC136" i="11"/>
  <c r="FU136" i="11"/>
  <c r="GL135" i="11"/>
  <c r="FQ136" i="11"/>
  <c r="FL136" i="11"/>
  <c r="EY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M136" i="11"/>
  <c r="AZ136" i="11"/>
  <c r="BM136" i="11"/>
  <c r="BW136" i="11"/>
  <c r="CU136" i="11"/>
  <c r="DY136" i="11"/>
  <c r="FR136" i="11"/>
  <c r="FS136" i="11"/>
  <c r="FV136" i="11"/>
  <c r="FW136" i="11"/>
  <c r="FX136" i="11"/>
  <c r="FY136" i="11"/>
  <c r="FZ136" i="11"/>
  <c r="GA136" i="11"/>
  <c r="GD136" i="11"/>
  <c r="GE136" i="11"/>
  <c r="GF136" i="11"/>
  <c r="GG136" i="11"/>
  <c r="GH136" i="11"/>
  <c r="GI136" i="11"/>
  <c r="GJ136" i="11"/>
  <c r="GK136" i="11"/>
  <c r="G136" i="11"/>
  <c r="C136" i="11"/>
  <c r="B136" i="11"/>
  <c r="A136" i="11"/>
  <c r="GL19" i="11"/>
  <c r="FC126" i="11"/>
  <c r="GK126" i="11"/>
  <c r="GJ126" i="11"/>
  <c r="GI126" i="11"/>
  <c r="GE126" i="11"/>
  <c r="GD126" i="11"/>
  <c r="GC126" i="11"/>
  <c r="GB126" i="11"/>
  <c r="GA126" i="11"/>
  <c r="FZ126" i="11"/>
  <c r="FY126" i="11"/>
  <c r="FX126" i="11"/>
  <c r="FW126" i="11"/>
  <c r="FV126" i="11"/>
  <c r="FU126" i="11"/>
  <c r="FT126" i="11"/>
  <c r="FS126" i="11"/>
  <c r="FR126" i="11"/>
  <c r="FQ126" i="11"/>
  <c r="FP126" i="11"/>
  <c r="FO126" i="11"/>
  <c r="FN126" i="11"/>
  <c r="FM126" i="11"/>
  <c r="FL126" i="11"/>
  <c r="FK126" i="11"/>
  <c r="FJ126" i="11"/>
  <c r="FI126" i="11"/>
  <c r="FH126" i="11"/>
  <c r="FG126" i="11"/>
  <c r="FF126" i="11"/>
  <c r="FE126" i="11"/>
  <c r="FD126" i="11"/>
  <c r="FB126" i="11"/>
  <c r="FA126" i="11"/>
  <c r="EZ126" i="11"/>
  <c r="EY126" i="11"/>
  <c r="EX126" i="11"/>
  <c r="EV126" i="11"/>
  <c r="EU126" i="11"/>
  <c r="ET126" i="11"/>
  <c r="ES126" i="11"/>
  <c r="ER126" i="11"/>
  <c r="EQ126" i="11"/>
  <c r="EP126" i="11"/>
  <c r="EO126" i="11"/>
  <c r="EN126" i="11"/>
  <c r="EM126" i="11"/>
  <c r="EL126" i="11"/>
  <c r="EK126" i="11"/>
  <c r="EJ126" i="11"/>
  <c r="EI126" i="11"/>
  <c r="EH126" i="11"/>
  <c r="EG126" i="11"/>
  <c r="EE126" i="11"/>
  <c r="ED126" i="11"/>
  <c r="EC126" i="11"/>
  <c r="EB126" i="11"/>
  <c r="EA126" i="11"/>
  <c r="DZ126" i="11"/>
  <c r="DY126" i="11"/>
  <c r="DX126" i="11"/>
  <c r="DW126" i="11"/>
  <c r="DV126" i="11"/>
  <c r="DU126" i="11"/>
  <c r="DR126" i="11"/>
  <c r="DK126" i="11"/>
  <c r="DF126" i="11"/>
  <c r="DD126" i="11"/>
  <c r="DB126" i="11"/>
  <c r="CW126" i="11"/>
  <c r="CV126" i="11"/>
  <c r="CU126" i="11"/>
  <c r="CT126" i="11"/>
  <c r="CR126" i="11"/>
  <c r="CQ126" i="11"/>
  <c r="CP126" i="11"/>
  <c r="CO126" i="11"/>
  <c r="CN126" i="11"/>
  <c r="CM126" i="11"/>
  <c r="CL126" i="11"/>
  <c r="CK126" i="11"/>
  <c r="CJ126" i="11"/>
  <c r="CI126" i="11"/>
  <c r="CH126" i="11"/>
  <c r="CG126" i="11"/>
  <c r="CF126" i="11"/>
  <c r="CE126" i="11"/>
  <c r="CD126" i="11"/>
  <c r="CC126" i="11"/>
  <c r="CB126" i="11"/>
  <c r="CA126" i="11"/>
  <c r="BZ126" i="11"/>
  <c r="BY126" i="11"/>
  <c r="BX126" i="11"/>
  <c r="BW126" i="11"/>
  <c r="BV126" i="11"/>
  <c r="BU126" i="11"/>
  <c r="BT126" i="11"/>
  <c r="BS126" i="11"/>
  <c r="BR126" i="11"/>
  <c r="BQ126" i="11"/>
  <c r="BP126" i="11"/>
  <c r="BO126" i="11"/>
  <c r="BN126" i="11"/>
  <c r="BM126" i="11"/>
  <c r="BL126" i="11"/>
  <c r="BK126" i="11"/>
  <c r="BJ126" i="11"/>
  <c r="BI126" i="11"/>
  <c r="BH126" i="11"/>
  <c r="BG126" i="11"/>
  <c r="BF126" i="11"/>
  <c r="BE126" i="11"/>
  <c r="BD126" i="11"/>
  <c r="BC126" i="11"/>
  <c r="BB126" i="11"/>
  <c r="BA126" i="11"/>
  <c r="AZ126" i="11"/>
  <c r="AY126" i="11"/>
  <c r="AX126" i="11"/>
  <c r="AW126" i="11"/>
  <c r="AV126" i="11"/>
  <c r="AU126" i="11"/>
  <c r="AT126" i="11"/>
  <c r="AS126" i="11"/>
  <c r="AR126" i="11"/>
  <c r="AQ126" i="11"/>
  <c r="AP126" i="11"/>
  <c r="AO126" i="11"/>
  <c r="AN126" i="11"/>
  <c r="AM126" i="11"/>
  <c r="AL126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GL146" i="11" l="1"/>
  <c r="C147" i="11"/>
  <c r="C148" i="11" s="1"/>
  <c r="C145" i="11"/>
  <c r="C146" i="11" s="1"/>
  <c r="GL148" i="11"/>
  <c r="GL100" i="11"/>
  <c r="GL98" i="11"/>
  <c r="GL96" i="11"/>
  <c r="GL94" i="11"/>
  <c r="GL118" i="11"/>
  <c r="GL172" i="11"/>
  <c r="GL136" i="11"/>
  <c r="GL125" i="11"/>
  <c r="GL65" i="11"/>
  <c r="GL55" i="11"/>
  <c r="E66" i="11"/>
  <c r="D66" i="11"/>
  <c r="B66" i="11"/>
  <c r="A66" i="11"/>
  <c r="E56" i="11"/>
  <c r="D56" i="11"/>
  <c r="GL73" i="11"/>
  <c r="C74" i="11"/>
  <c r="B74" i="11"/>
  <c r="A74" i="11"/>
  <c r="G198" i="11"/>
  <c r="G132" i="11"/>
  <c r="GL197" i="11"/>
  <c r="GL131" i="11"/>
  <c r="FO192" i="11"/>
  <c r="GL109" i="11"/>
  <c r="GK110" i="11"/>
  <c r="GJ110" i="11"/>
  <c r="GI110" i="11"/>
  <c r="GH110" i="11"/>
  <c r="GG110" i="11"/>
  <c r="GF110" i="11"/>
  <c r="GE110" i="11"/>
  <c r="GD110" i="11"/>
  <c r="GC110" i="11"/>
  <c r="GB110" i="11"/>
  <c r="GA110" i="11"/>
  <c r="FZ110" i="11"/>
  <c r="FY110" i="11"/>
  <c r="FX110" i="11"/>
  <c r="FW110" i="11"/>
  <c r="FV110" i="11"/>
  <c r="FU110" i="11"/>
  <c r="FT110" i="11"/>
  <c r="FS110" i="11"/>
  <c r="FR110" i="11"/>
  <c r="FQ110" i="11"/>
  <c r="FP110" i="11"/>
  <c r="FO110" i="11"/>
  <c r="FN110" i="11"/>
  <c r="FM110" i="11"/>
  <c r="FL110" i="11"/>
  <c r="FK110" i="11"/>
  <c r="FJ110" i="11"/>
  <c r="FI110" i="11"/>
  <c r="FH110" i="11"/>
  <c r="FG110" i="11"/>
  <c r="FF110" i="11"/>
  <c r="FE110" i="11"/>
  <c r="FD110" i="11"/>
  <c r="FC110" i="11"/>
  <c r="FB110" i="11"/>
  <c r="FA110" i="11"/>
  <c r="EZ110" i="11"/>
  <c r="EY110" i="11"/>
  <c r="EX110" i="11"/>
  <c r="EV110" i="11"/>
  <c r="EU110" i="11"/>
  <c r="ET110" i="11"/>
  <c r="ES110" i="11"/>
  <c r="ER110" i="11"/>
  <c r="EQ110" i="11"/>
  <c r="EP110" i="11"/>
  <c r="EO110" i="11"/>
  <c r="EN110" i="11"/>
  <c r="EM110" i="11"/>
  <c r="EL110" i="11"/>
  <c r="EK110" i="11"/>
  <c r="EJ110" i="11"/>
  <c r="EI110" i="11"/>
  <c r="EH110" i="11"/>
  <c r="EG110" i="11"/>
  <c r="EF110" i="11"/>
  <c r="EE110" i="11"/>
  <c r="ED110" i="11"/>
  <c r="EC110" i="11"/>
  <c r="EB110" i="11"/>
  <c r="EA110" i="11"/>
  <c r="DZ110" i="11"/>
  <c r="DY110" i="11"/>
  <c r="DX110" i="11"/>
  <c r="DW110" i="11"/>
  <c r="DV110" i="11"/>
  <c r="DU110" i="11"/>
  <c r="DT110" i="11"/>
  <c r="DS110" i="11"/>
  <c r="DR110" i="11"/>
  <c r="DQ110" i="11"/>
  <c r="DP110" i="11"/>
  <c r="DO110" i="11"/>
  <c r="DN110" i="11"/>
  <c r="DM110" i="11"/>
  <c r="DL110" i="11"/>
  <c r="DK110" i="11"/>
  <c r="DJ110" i="11"/>
  <c r="DI110" i="11"/>
  <c r="DH110" i="11"/>
  <c r="DG110" i="11"/>
  <c r="DF110" i="11"/>
  <c r="DE110" i="11"/>
  <c r="DD110" i="11"/>
  <c r="DC110" i="11"/>
  <c r="DB110" i="11"/>
  <c r="DA110" i="11"/>
  <c r="CZ110" i="11"/>
  <c r="CY110" i="11"/>
  <c r="CX110" i="11"/>
  <c r="CW110" i="11"/>
  <c r="CV110" i="11"/>
  <c r="CU110" i="11"/>
  <c r="CT110" i="11"/>
  <c r="CS110" i="11"/>
  <c r="CR110" i="11"/>
  <c r="CQ110" i="11"/>
  <c r="CP110" i="11"/>
  <c r="CO110" i="11"/>
  <c r="CN110" i="11"/>
  <c r="CM110" i="11"/>
  <c r="CL110" i="11"/>
  <c r="CK110" i="11"/>
  <c r="CJ110" i="11"/>
  <c r="CI110" i="11"/>
  <c r="CH110" i="11"/>
  <c r="CG110" i="11"/>
  <c r="CF110" i="11"/>
  <c r="CE110" i="11"/>
  <c r="CD110" i="11"/>
  <c r="CC110" i="11"/>
  <c r="CB110" i="11"/>
  <c r="CA110" i="11"/>
  <c r="BZ110" i="11"/>
  <c r="BY110" i="11"/>
  <c r="BX110" i="11"/>
  <c r="BW110" i="11"/>
  <c r="BV110" i="11"/>
  <c r="BU110" i="11"/>
  <c r="BT110" i="11"/>
  <c r="BS110" i="11"/>
  <c r="BR110" i="11"/>
  <c r="BQ110" i="11"/>
  <c r="BP110" i="11"/>
  <c r="BO110" i="11"/>
  <c r="BN110" i="11"/>
  <c r="BM110" i="11"/>
  <c r="BL110" i="11"/>
  <c r="BK110" i="11"/>
  <c r="BJ110" i="11"/>
  <c r="BI110" i="11"/>
  <c r="BH110" i="11"/>
  <c r="BG110" i="11"/>
  <c r="BF110" i="11"/>
  <c r="BE110" i="11"/>
  <c r="BD110" i="11"/>
  <c r="BC110" i="11"/>
  <c r="BB110" i="11"/>
  <c r="BA110" i="11"/>
  <c r="AZ110" i="11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GL133" i="11"/>
  <c r="GK134" i="11"/>
  <c r="GJ134" i="11"/>
  <c r="GI134" i="11"/>
  <c r="GH134" i="11"/>
  <c r="GG134" i="11"/>
  <c r="GF134" i="11"/>
  <c r="GE134" i="11"/>
  <c r="GD134" i="11"/>
  <c r="FV134" i="11"/>
  <c r="FU134" i="11"/>
  <c r="FT134" i="11"/>
  <c r="FS134" i="11"/>
  <c r="FR134" i="11"/>
  <c r="FQ134" i="11"/>
  <c r="FP134" i="11"/>
  <c r="FO134" i="11"/>
  <c r="FN134" i="11"/>
  <c r="FM134" i="11"/>
  <c r="FL134" i="11"/>
  <c r="FK134" i="11"/>
  <c r="FJ134" i="11"/>
  <c r="FI134" i="11"/>
  <c r="FH134" i="11"/>
  <c r="FG134" i="11"/>
  <c r="FF134" i="11"/>
  <c r="FE134" i="11"/>
  <c r="FD134" i="11"/>
  <c r="FC134" i="11"/>
  <c r="FB134" i="11"/>
  <c r="FA134" i="11"/>
  <c r="EZ134" i="11"/>
  <c r="EY134" i="11"/>
  <c r="EX134" i="11"/>
  <c r="EV134" i="11"/>
  <c r="EU134" i="11"/>
  <c r="ET134" i="11"/>
  <c r="ES134" i="11"/>
  <c r="ER134" i="11"/>
  <c r="EQ134" i="11"/>
  <c r="EP134" i="11"/>
  <c r="EO134" i="11"/>
  <c r="EN134" i="11"/>
  <c r="EM134" i="11"/>
  <c r="EL134" i="11"/>
  <c r="EK134" i="11"/>
  <c r="EJ134" i="11"/>
  <c r="EI134" i="11"/>
  <c r="EH134" i="11"/>
  <c r="EG134" i="11"/>
  <c r="EF134" i="11"/>
  <c r="EE134" i="11"/>
  <c r="ED134" i="11"/>
  <c r="EC134" i="11"/>
  <c r="EB134" i="11"/>
  <c r="EA134" i="11"/>
  <c r="DZ134" i="11"/>
  <c r="DY134" i="11"/>
  <c r="DX134" i="11"/>
  <c r="DW134" i="11"/>
  <c r="DV134" i="11"/>
  <c r="DU134" i="11"/>
  <c r="DT134" i="11"/>
  <c r="DS134" i="11"/>
  <c r="DR134" i="11"/>
  <c r="DQ134" i="11"/>
  <c r="DP134" i="11"/>
  <c r="DO134" i="11"/>
  <c r="DN134" i="11"/>
  <c r="DM134" i="11"/>
  <c r="DL134" i="11"/>
  <c r="DK134" i="11"/>
  <c r="DJ134" i="11"/>
  <c r="DI134" i="11"/>
  <c r="DH134" i="11"/>
  <c r="DG134" i="11"/>
  <c r="DF134" i="11"/>
  <c r="DE134" i="11"/>
  <c r="DD134" i="11"/>
  <c r="DC134" i="11"/>
  <c r="DB134" i="11"/>
  <c r="DA134" i="11"/>
  <c r="CZ134" i="11"/>
  <c r="CY134" i="11"/>
  <c r="CX134" i="11"/>
  <c r="CW134" i="11"/>
  <c r="CV134" i="11"/>
  <c r="CU134" i="11"/>
  <c r="CT134" i="11"/>
  <c r="CS134" i="11"/>
  <c r="CR134" i="11"/>
  <c r="CQ134" i="11"/>
  <c r="CP134" i="11"/>
  <c r="CO134" i="11"/>
  <c r="CN134" i="11"/>
  <c r="CM134" i="11"/>
  <c r="CL134" i="11"/>
  <c r="CK134" i="11"/>
  <c r="CJ134" i="11"/>
  <c r="CI134" i="11"/>
  <c r="CH134" i="11"/>
  <c r="CG134" i="11"/>
  <c r="CF134" i="11"/>
  <c r="CE134" i="11"/>
  <c r="CD134" i="11"/>
  <c r="CC134" i="11"/>
  <c r="CB134" i="11"/>
  <c r="CA134" i="11"/>
  <c r="BZ134" i="11"/>
  <c r="BY134" i="11"/>
  <c r="BX134" i="11"/>
  <c r="BW134" i="11"/>
  <c r="BV134" i="11"/>
  <c r="BU134" i="11"/>
  <c r="BT134" i="11"/>
  <c r="BS134" i="11"/>
  <c r="BR134" i="11"/>
  <c r="BQ134" i="11"/>
  <c r="BP134" i="11"/>
  <c r="BO134" i="11"/>
  <c r="BN134" i="11"/>
  <c r="BM134" i="11"/>
  <c r="BL134" i="11"/>
  <c r="BK134" i="11"/>
  <c r="BJ134" i="11"/>
  <c r="BI134" i="11"/>
  <c r="BH134" i="11"/>
  <c r="BG134" i="11"/>
  <c r="BF134" i="11"/>
  <c r="BE134" i="11"/>
  <c r="BD134" i="11"/>
  <c r="BC134" i="11"/>
  <c r="BB134" i="11"/>
  <c r="BA134" i="11"/>
  <c r="AZ134" i="11"/>
  <c r="AY134" i="11"/>
  <c r="AX134" i="11"/>
  <c r="AW134" i="11"/>
  <c r="AV134" i="11"/>
  <c r="AU134" i="11"/>
  <c r="AT134" i="11"/>
  <c r="AS134" i="11"/>
  <c r="AR134" i="11"/>
  <c r="AQ134" i="11"/>
  <c r="AP134" i="11"/>
  <c r="AO134" i="11"/>
  <c r="AN134" i="11"/>
  <c r="AM134" i="11"/>
  <c r="AL134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GJ66" i="1"/>
  <c r="GJ67" i="1"/>
  <c r="GK128" i="11"/>
  <c r="GH128" i="11"/>
  <c r="GG128" i="11"/>
  <c r="GC128" i="11"/>
  <c r="FT128" i="11"/>
  <c r="FS128" i="11"/>
  <c r="FR128" i="11"/>
  <c r="FQ128" i="11"/>
  <c r="FP128" i="11"/>
  <c r="FO128" i="11"/>
  <c r="FN128" i="11"/>
  <c r="FM128" i="11"/>
  <c r="FL128" i="11"/>
  <c r="FK128" i="11"/>
  <c r="FJ128" i="11"/>
  <c r="FI128" i="11"/>
  <c r="FH128" i="11"/>
  <c r="FG128" i="11"/>
  <c r="FF128" i="11"/>
  <c r="FE128" i="11"/>
  <c r="FD128" i="11"/>
  <c r="FC128" i="11"/>
  <c r="FB128" i="11"/>
  <c r="FA128" i="11"/>
  <c r="EZ128" i="11"/>
  <c r="EY128" i="11"/>
  <c r="EX128" i="11"/>
  <c r="EV128" i="11"/>
  <c r="EU128" i="11"/>
  <c r="ET128" i="11"/>
  <c r="ES128" i="11"/>
  <c r="ER128" i="11"/>
  <c r="EQ128" i="11"/>
  <c r="EP128" i="11"/>
  <c r="EO128" i="11"/>
  <c r="EN128" i="11"/>
  <c r="EM128" i="11"/>
  <c r="EL128" i="11"/>
  <c r="EK128" i="11"/>
  <c r="EJ128" i="11"/>
  <c r="EI128" i="11"/>
  <c r="EH128" i="11"/>
  <c r="EG128" i="11"/>
  <c r="EF128" i="11"/>
  <c r="EE128" i="11"/>
  <c r="ED128" i="11"/>
  <c r="EC128" i="11"/>
  <c r="EB128" i="11"/>
  <c r="EA128" i="11"/>
  <c r="DZ128" i="11"/>
  <c r="DY128" i="11"/>
  <c r="DX128" i="11"/>
  <c r="DW128" i="11"/>
  <c r="DV128" i="11"/>
  <c r="DU128" i="11"/>
  <c r="DT128" i="11"/>
  <c r="DS128" i="11"/>
  <c r="DR128" i="11"/>
  <c r="DQ128" i="11"/>
  <c r="DP128" i="11"/>
  <c r="DO128" i="11"/>
  <c r="DN128" i="11"/>
  <c r="DM128" i="11"/>
  <c r="DL128" i="11"/>
  <c r="DK128" i="11"/>
  <c r="DJ128" i="11"/>
  <c r="DI128" i="11"/>
  <c r="DH128" i="11"/>
  <c r="DG128" i="11"/>
  <c r="DF128" i="11"/>
  <c r="DE128" i="11"/>
  <c r="DD128" i="11"/>
  <c r="DC128" i="11"/>
  <c r="DB128" i="11"/>
  <c r="DA128" i="11"/>
  <c r="CZ128" i="11"/>
  <c r="CY128" i="11"/>
  <c r="CX128" i="11"/>
  <c r="CW128" i="11"/>
  <c r="CV128" i="11"/>
  <c r="CU128" i="11"/>
  <c r="CT128" i="11"/>
  <c r="CS128" i="11"/>
  <c r="CR128" i="11"/>
  <c r="CQ128" i="11"/>
  <c r="CP128" i="11"/>
  <c r="CO128" i="11"/>
  <c r="CN128" i="11"/>
  <c r="CM128" i="11"/>
  <c r="CL128" i="11"/>
  <c r="CK128" i="11"/>
  <c r="CJ128" i="11"/>
  <c r="CI128" i="11"/>
  <c r="CH128" i="11"/>
  <c r="CG128" i="11"/>
  <c r="CF128" i="11"/>
  <c r="CE128" i="11"/>
  <c r="CD128" i="11"/>
  <c r="CC128" i="11"/>
  <c r="CB128" i="11"/>
  <c r="CA128" i="11"/>
  <c r="BZ128" i="11"/>
  <c r="BY128" i="11"/>
  <c r="BX128" i="11"/>
  <c r="BW128" i="11"/>
  <c r="BV128" i="11"/>
  <c r="BU128" i="11"/>
  <c r="BT128" i="11"/>
  <c r="BS128" i="11"/>
  <c r="BR128" i="11"/>
  <c r="BQ128" i="11"/>
  <c r="BP128" i="11"/>
  <c r="BO128" i="11"/>
  <c r="BN128" i="11"/>
  <c r="BM128" i="11"/>
  <c r="BL128" i="11"/>
  <c r="BK128" i="11"/>
  <c r="BJ128" i="11"/>
  <c r="BI128" i="11"/>
  <c r="BH128" i="11"/>
  <c r="BG128" i="11"/>
  <c r="BF128" i="11"/>
  <c r="BE128" i="11"/>
  <c r="BD128" i="11"/>
  <c r="BC128" i="11"/>
  <c r="BB128" i="11"/>
  <c r="BA128" i="11"/>
  <c r="AZ128" i="11"/>
  <c r="AY128" i="11"/>
  <c r="AX128" i="11"/>
  <c r="AW128" i="11"/>
  <c r="AV128" i="11"/>
  <c r="AU128" i="11"/>
  <c r="AT128" i="11"/>
  <c r="AS128" i="11"/>
  <c r="AR128" i="11"/>
  <c r="AQ128" i="11"/>
  <c r="AP128" i="11"/>
  <c r="AO128" i="11"/>
  <c r="AN128" i="11"/>
  <c r="AM128" i="11"/>
  <c r="AL128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E128" i="11"/>
  <c r="C128" i="11"/>
  <c r="GL127" i="11"/>
  <c r="G168" i="11"/>
  <c r="GL126" i="11" l="1"/>
  <c r="GL56" i="11"/>
  <c r="GL66" i="11"/>
  <c r="GL74" i="11"/>
  <c r="GL110" i="11"/>
  <c r="GL134" i="11"/>
  <c r="GL128" i="11"/>
  <c r="GL11" i="11"/>
  <c r="GK12" i="11"/>
  <c r="GJ12" i="11"/>
  <c r="GI12" i="11"/>
  <c r="GH12" i="11"/>
  <c r="GG12" i="11"/>
  <c r="GF12" i="11"/>
  <c r="GE12" i="11"/>
  <c r="GD12" i="11"/>
  <c r="GC12" i="11"/>
  <c r="EY12" i="11"/>
  <c r="EP12" i="11"/>
  <c r="DY12" i="11"/>
  <c r="CU12" i="11"/>
  <c r="CM12" i="11"/>
  <c r="CL12" i="11"/>
  <c r="CK12" i="11"/>
  <c r="CJ12" i="11"/>
  <c r="CI12" i="11"/>
  <c r="BW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V12" i="11"/>
  <c r="AM12" i="11"/>
  <c r="AC12" i="11"/>
  <c r="U12" i="11"/>
  <c r="L12" i="11"/>
  <c r="G12" i="11"/>
  <c r="GK10" i="11"/>
  <c r="GJ10" i="11"/>
  <c r="GI10" i="11"/>
  <c r="GH10" i="11"/>
  <c r="GG10" i="11"/>
  <c r="GF10" i="11"/>
  <c r="GE10" i="11"/>
  <c r="GD10" i="11"/>
  <c r="GC10" i="11"/>
  <c r="FZ10" i="11"/>
  <c r="FT10" i="11"/>
  <c r="EY10" i="11"/>
  <c r="EP10" i="11"/>
  <c r="DY10" i="11"/>
  <c r="CU10" i="11"/>
  <c r="CM10" i="11"/>
  <c r="CL10" i="11"/>
  <c r="CK10" i="11"/>
  <c r="CJ10" i="11"/>
  <c r="CI10" i="11"/>
  <c r="BW10" i="11"/>
  <c r="BM10" i="11"/>
  <c r="BL10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V10" i="11"/>
  <c r="AM10" i="11"/>
  <c r="AC10" i="11"/>
  <c r="U10" i="11"/>
  <c r="L10" i="11"/>
  <c r="G10" i="11"/>
  <c r="D10" i="11"/>
  <c r="GJ15" i="1"/>
  <c r="GJ16" i="1"/>
  <c r="GL12" i="11" l="1"/>
  <c r="CT154" i="11"/>
  <c r="CS154" i="11"/>
  <c r="CR154" i="11"/>
  <c r="CQ154" i="11"/>
  <c r="CP154" i="11"/>
  <c r="CO154" i="11"/>
  <c r="CN154" i="11"/>
  <c r="CM154" i="11"/>
  <c r="CI154" i="11"/>
  <c r="CH154" i="11"/>
  <c r="AW154" i="11"/>
  <c r="FO154" i="11"/>
  <c r="FN154" i="11"/>
  <c r="FM154" i="11"/>
  <c r="FL154" i="11"/>
  <c r="FK154" i="11"/>
  <c r="FJ154" i="11"/>
  <c r="FI154" i="11"/>
  <c r="FH154" i="11"/>
  <c r="FG154" i="11"/>
  <c r="FF154" i="11"/>
  <c r="FE154" i="11"/>
  <c r="FD154" i="11"/>
  <c r="FC154" i="11"/>
  <c r="FB154" i="11"/>
  <c r="FA154" i="11"/>
  <c r="EZ154" i="11"/>
  <c r="EY154" i="11"/>
  <c r="FR106" i="11"/>
  <c r="EY216" i="11"/>
  <c r="FT216" i="11"/>
  <c r="FS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V216" i="11"/>
  <c r="AZ216" i="11"/>
  <c r="BA216" i="11"/>
  <c r="BB216" i="11"/>
  <c r="BC216" i="11"/>
  <c r="BD216" i="11"/>
  <c r="BE216" i="11"/>
  <c r="BF216" i="11"/>
  <c r="BG216" i="11"/>
  <c r="BH216" i="11"/>
  <c r="BI216" i="11"/>
  <c r="BJ216" i="11"/>
  <c r="BK216" i="11"/>
  <c r="FR216" i="11"/>
  <c r="FU216" i="11"/>
  <c r="FV216" i="11"/>
  <c r="FW216" i="11"/>
  <c r="FX216" i="11"/>
  <c r="GA216" i="11"/>
  <c r="GB216" i="11"/>
  <c r="GE216" i="11"/>
  <c r="GF216" i="11"/>
  <c r="GG216" i="11"/>
  <c r="GH216" i="11"/>
  <c r="GI216" i="11"/>
  <c r="GJ216" i="11"/>
  <c r="GK216" i="11"/>
  <c r="G216" i="11"/>
  <c r="L82" i="11"/>
  <c r="U82" i="11"/>
  <c r="AM82" i="11"/>
  <c r="AV82" i="11"/>
  <c r="AZ82" i="11"/>
  <c r="FW82" i="11"/>
  <c r="FZ82" i="11"/>
  <c r="GA82" i="11"/>
  <c r="GB82" i="11"/>
  <c r="GE82" i="11"/>
  <c r="G82" i="11"/>
  <c r="GL81" i="11"/>
  <c r="D82" i="11"/>
  <c r="E82" i="11"/>
  <c r="GJ89" i="1"/>
  <c r="GJ54" i="1"/>
  <c r="GK168" i="11"/>
  <c r="GJ168" i="11"/>
  <c r="GI168" i="11"/>
  <c r="GH168" i="11"/>
  <c r="GG168" i="11"/>
  <c r="GE168" i="11"/>
  <c r="GD168" i="11"/>
  <c r="GB168" i="11"/>
  <c r="GA168" i="11"/>
  <c r="FZ168" i="11"/>
  <c r="FY168" i="11"/>
  <c r="FX168" i="11"/>
  <c r="FW168" i="11"/>
  <c r="FV168" i="11"/>
  <c r="FU168" i="11"/>
  <c r="FT168" i="11"/>
  <c r="FS168" i="11"/>
  <c r="FR168" i="11"/>
  <c r="FQ168" i="11"/>
  <c r="FP168" i="11"/>
  <c r="FO168" i="11"/>
  <c r="FN168" i="11"/>
  <c r="FM168" i="11"/>
  <c r="FL168" i="11"/>
  <c r="FK168" i="11"/>
  <c r="FJ168" i="11"/>
  <c r="FI168" i="11"/>
  <c r="FH168" i="11"/>
  <c r="FG168" i="11"/>
  <c r="FF168" i="11"/>
  <c r="FE168" i="11"/>
  <c r="FD168" i="11"/>
  <c r="FC168" i="11"/>
  <c r="FB168" i="11"/>
  <c r="FA168" i="11"/>
  <c r="EZ168" i="11"/>
  <c r="EY168" i="11"/>
  <c r="EX168" i="11"/>
  <c r="EV168" i="11"/>
  <c r="EU168" i="11"/>
  <c r="ET168" i="11"/>
  <c r="ES168" i="11"/>
  <c r="ER168" i="11"/>
  <c r="EQ168" i="11"/>
  <c r="EP168" i="11"/>
  <c r="EO168" i="11"/>
  <c r="EN168" i="11"/>
  <c r="EM168" i="11"/>
  <c r="EL168" i="11"/>
  <c r="EK168" i="11"/>
  <c r="EJ168" i="11"/>
  <c r="EI168" i="11"/>
  <c r="EH168" i="11"/>
  <c r="EG168" i="11"/>
  <c r="EF168" i="11"/>
  <c r="EE168" i="11"/>
  <c r="ED168" i="11"/>
  <c r="EC168" i="11"/>
  <c r="EB168" i="11"/>
  <c r="EA168" i="11"/>
  <c r="DZ168" i="11"/>
  <c r="DY168" i="11"/>
  <c r="DX168" i="11"/>
  <c r="DW168" i="11"/>
  <c r="DV168" i="11"/>
  <c r="DU168" i="11"/>
  <c r="CW168" i="11"/>
  <c r="CV168" i="11"/>
  <c r="CU168" i="11"/>
  <c r="CT168" i="11"/>
  <c r="CS168" i="11"/>
  <c r="CR168" i="11"/>
  <c r="CQ168" i="11"/>
  <c r="CP168" i="11"/>
  <c r="CO168" i="11"/>
  <c r="CN168" i="11"/>
  <c r="CM168" i="11"/>
  <c r="CL168" i="11"/>
  <c r="CK168" i="11"/>
  <c r="CJ168" i="11"/>
  <c r="CI168" i="11"/>
  <c r="CH168" i="11"/>
  <c r="CG168" i="11"/>
  <c r="CF168" i="11"/>
  <c r="CE168" i="11"/>
  <c r="CD168" i="11"/>
  <c r="CC168" i="11"/>
  <c r="CB168" i="11"/>
  <c r="CA168" i="11"/>
  <c r="BZ168" i="11"/>
  <c r="BY168" i="11"/>
  <c r="BX168" i="11"/>
  <c r="BW168" i="11"/>
  <c r="BV168" i="11"/>
  <c r="BU168" i="11"/>
  <c r="BT168" i="11"/>
  <c r="BS168" i="11"/>
  <c r="BR168" i="11"/>
  <c r="BQ168" i="11"/>
  <c r="BP168" i="11"/>
  <c r="BO168" i="11"/>
  <c r="BN168" i="11"/>
  <c r="BM168" i="11"/>
  <c r="BL168" i="11"/>
  <c r="BK168" i="11"/>
  <c r="BJ168" i="11"/>
  <c r="BI168" i="11"/>
  <c r="BH168" i="11"/>
  <c r="BG168" i="11"/>
  <c r="BF168" i="11"/>
  <c r="BE168" i="11"/>
  <c r="BD168" i="11"/>
  <c r="BC168" i="11"/>
  <c r="BB168" i="11"/>
  <c r="BA168" i="11"/>
  <c r="AZ168" i="11"/>
  <c r="AY168" i="11"/>
  <c r="AX168" i="11"/>
  <c r="AW168" i="11"/>
  <c r="AV168" i="11"/>
  <c r="AU168" i="11"/>
  <c r="AT168" i="11"/>
  <c r="AS168" i="11"/>
  <c r="AR168" i="11"/>
  <c r="AQ168" i="11"/>
  <c r="AP168" i="11"/>
  <c r="AO168" i="11"/>
  <c r="AN168" i="11"/>
  <c r="AM168" i="11"/>
  <c r="AL168" i="11"/>
  <c r="AK168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L167" i="11"/>
  <c r="GL169" i="11"/>
  <c r="GK170" i="11"/>
  <c r="GJ170" i="11"/>
  <c r="GI170" i="11"/>
  <c r="GH170" i="11"/>
  <c r="GG170" i="11"/>
  <c r="GE170" i="11"/>
  <c r="GD170" i="11"/>
  <c r="GB170" i="11"/>
  <c r="GA170" i="11"/>
  <c r="FZ170" i="11"/>
  <c r="FY170" i="11"/>
  <c r="FX170" i="11"/>
  <c r="FW170" i="11"/>
  <c r="FV170" i="11"/>
  <c r="FU170" i="11"/>
  <c r="FT170" i="11"/>
  <c r="FS170" i="11"/>
  <c r="FR170" i="11"/>
  <c r="FQ170" i="11"/>
  <c r="FP170" i="11"/>
  <c r="FO170" i="11"/>
  <c r="FN170" i="11"/>
  <c r="FM170" i="11"/>
  <c r="FL170" i="11"/>
  <c r="FK170" i="11"/>
  <c r="FJ170" i="11"/>
  <c r="FI170" i="11"/>
  <c r="FH170" i="11"/>
  <c r="FG170" i="11"/>
  <c r="FF170" i="11"/>
  <c r="FE170" i="11"/>
  <c r="FD170" i="11"/>
  <c r="FC170" i="11"/>
  <c r="FB170" i="11"/>
  <c r="FA170" i="11"/>
  <c r="EZ170" i="11"/>
  <c r="EY170" i="11"/>
  <c r="EX170" i="11"/>
  <c r="EV170" i="11"/>
  <c r="EU170" i="11"/>
  <c r="ET170" i="11"/>
  <c r="ES170" i="11"/>
  <c r="ER170" i="11"/>
  <c r="EQ170" i="11"/>
  <c r="EP170" i="11"/>
  <c r="EO170" i="11"/>
  <c r="EN170" i="11"/>
  <c r="EM170" i="11"/>
  <c r="EL170" i="11"/>
  <c r="EK170" i="11"/>
  <c r="EJ170" i="11"/>
  <c r="EI170" i="11"/>
  <c r="EH170" i="11"/>
  <c r="EG170" i="11"/>
  <c r="EF170" i="11"/>
  <c r="EE170" i="11"/>
  <c r="ED170" i="11"/>
  <c r="EC170" i="11"/>
  <c r="EB170" i="11"/>
  <c r="EA170" i="11"/>
  <c r="DZ170" i="11"/>
  <c r="DY170" i="11"/>
  <c r="DX170" i="11"/>
  <c r="DW170" i="11"/>
  <c r="DV170" i="11"/>
  <c r="DU170" i="11"/>
  <c r="CW170" i="11"/>
  <c r="CV170" i="11"/>
  <c r="CU170" i="11"/>
  <c r="CT170" i="11"/>
  <c r="CS170" i="11"/>
  <c r="CR170" i="11"/>
  <c r="CQ170" i="11"/>
  <c r="CP170" i="11"/>
  <c r="CO170" i="11"/>
  <c r="CN170" i="11"/>
  <c r="CM170" i="11"/>
  <c r="CL170" i="11"/>
  <c r="CK170" i="11"/>
  <c r="CJ170" i="11"/>
  <c r="CI170" i="11"/>
  <c r="CH170" i="11"/>
  <c r="CG170" i="11"/>
  <c r="CF170" i="11"/>
  <c r="CE170" i="11"/>
  <c r="CD170" i="11"/>
  <c r="CC170" i="11"/>
  <c r="CB170" i="11"/>
  <c r="CA170" i="11"/>
  <c r="BZ170" i="11"/>
  <c r="BY170" i="11"/>
  <c r="BX170" i="11"/>
  <c r="BW170" i="11"/>
  <c r="BV170" i="11"/>
  <c r="BU170" i="11"/>
  <c r="BT170" i="11"/>
  <c r="BS170" i="11"/>
  <c r="BR170" i="11"/>
  <c r="BQ170" i="11"/>
  <c r="BP170" i="11"/>
  <c r="BO170" i="11"/>
  <c r="BN170" i="11"/>
  <c r="BM170" i="11"/>
  <c r="BL170" i="11"/>
  <c r="BK170" i="11"/>
  <c r="BJ170" i="11"/>
  <c r="BI170" i="11"/>
  <c r="BH170" i="11"/>
  <c r="BG170" i="11"/>
  <c r="BF170" i="11"/>
  <c r="BE170" i="11"/>
  <c r="BD170" i="11"/>
  <c r="BC170" i="11"/>
  <c r="BB170" i="11"/>
  <c r="BA170" i="11"/>
  <c r="AZ170" i="11"/>
  <c r="AY170" i="11"/>
  <c r="AX170" i="11"/>
  <c r="AW170" i="11"/>
  <c r="AV170" i="11"/>
  <c r="AU170" i="11"/>
  <c r="AT170" i="11"/>
  <c r="AS170" i="11"/>
  <c r="AR170" i="11"/>
  <c r="AQ170" i="11"/>
  <c r="AP170" i="11"/>
  <c r="AO170" i="11"/>
  <c r="AN170" i="11"/>
  <c r="AM170" i="11"/>
  <c r="AL170" i="11"/>
  <c r="AK170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GL141" i="11"/>
  <c r="GG141" i="11"/>
  <c r="GF141" i="11"/>
  <c r="GL83" i="11"/>
  <c r="GK232" i="11"/>
  <c r="GJ232" i="11"/>
  <c r="GI232" i="11"/>
  <c r="GH232" i="11"/>
  <c r="GG232" i="11"/>
  <c r="GF232" i="11"/>
  <c r="GE232" i="11"/>
  <c r="GD232" i="11"/>
  <c r="GC232" i="11"/>
  <c r="GB232" i="11"/>
  <c r="GA232" i="11"/>
  <c r="FZ232" i="11"/>
  <c r="FY232" i="11"/>
  <c r="FX232" i="11"/>
  <c r="FW232" i="11"/>
  <c r="FV232" i="11"/>
  <c r="FU232" i="11"/>
  <c r="FT232" i="11"/>
  <c r="FS232" i="11"/>
  <c r="FR232" i="11"/>
  <c r="FQ232" i="11"/>
  <c r="FP232" i="11"/>
  <c r="FO232" i="11"/>
  <c r="FN232" i="11"/>
  <c r="FM232" i="11"/>
  <c r="FL232" i="11"/>
  <c r="FK232" i="11"/>
  <c r="FJ232" i="11"/>
  <c r="FI232" i="11"/>
  <c r="FH232" i="11"/>
  <c r="FG232" i="11"/>
  <c r="FF232" i="11"/>
  <c r="FE232" i="11"/>
  <c r="FD232" i="11"/>
  <c r="FC232" i="11"/>
  <c r="FB232" i="11"/>
  <c r="FA232" i="11"/>
  <c r="EZ232" i="11"/>
  <c r="EY232" i="11"/>
  <c r="EX232" i="11"/>
  <c r="EV232" i="11"/>
  <c r="EU232" i="11"/>
  <c r="ET232" i="11"/>
  <c r="ES232" i="11"/>
  <c r="ER232" i="11"/>
  <c r="EQ232" i="11"/>
  <c r="EP232" i="11"/>
  <c r="EO232" i="11"/>
  <c r="EN232" i="11"/>
  <c r="EM232" i="11"/>
  <c r="EL232" i="11"/>
  <c r="EK232" i="11"/>
  <c r="EJ232" i="11"/>
  <c r="EI232" i="11"/>
  <c r="EH232" i="11"/>
  <c r="EG232" i="11"/>
  <c r="EF232" i="11"/>
  <c r="EE232" i="11"/>
  <c r="ED232" i="11"/>
  <c r="EC232" i="11"/>
  <c r="EB232" i="11"/>
  <c r="EA232" i="11"/>
  <c r="DZ232" i="11"/>
  <c r="DY232" i="11"/>
  <c r="DX232" i="11"/>
  <c r="DW232" i="11"/>
  <c r="DV232" i="11"/>
  <c r="DU232" i="11"/>
  <c r="CW232" i="11"/>
  <c r="CV232" i="11"/>
  <c r="CU232" i="11"/>
  <c r="CT232" i="11"/>
  <c r="CS232" i="11"/>
  <c r="CR232" i="11"/>
  <c r="CQ232" i="11"/>
  <c r="CP232" i="11"/>
  <c r="CO232" i="11"/>
  <c r="CN232" i="11"/>
  <c r="CM232" i="11"/>
  <c r="CL232" i="11"/>
  <c r="CK232" i="11"/>
  <c r="CJ232" i="11"/>
  <c r="CI232" i="11"/>
  <c r="CH232" i="11"/>
  <c r="CG232" i="11"/>
  <c r="CF232" i="11"/>
  <c r="CE232" i="11"/>
  <c r="CD232" i="11"/>
  <c r="CC232" i="11"/>
  <c r="CB232" i="11"/>
  <c r="CA232" i="11"/>
  <c r="BZ232" i="11"/>
  <c r="BY232" i="11"/>
  <c r="BX232" i="11"/>
  <c r="BW232" i="11"/>
  <c r="BT232" i="11"/>
  <c r="BS232" i="11"/>
  <c r="BR232" i="11"/>
  <c r="BQ232" i="11"/>
  <c r="BP232" i="11"/>
  <c r="BO232" i="11"/>
  <c r="BN232" i="11"/>
  <c r="BM232" i="11"/>
  <c r="BL232" i="11"/>
  <c r="BK232" i="11"/>
  <c r="BJ232" i="11"/>
  <c r="BI232" i="11"/>
  <c r="BH232" i="11"/>
  <c r="BG232" i="11"/>
  <c r="BF232" i="11"/>
  <c r="BE232" i="11"/>
  <c r="BD232" i="11"/>
  <c r="BC232" i="11"/>
  <c r="BB232" i="11"/>
  <c r="BA232" i="11"/>
  <c r="AZ232" i="11"/>
  <c r="AY232" i="11"/>
  <c r="AX232" i="11"/>
  <c r="AW232" i="11"/>
  <c r="AV232" i="11"/>
  <c r="AU232" i="11"/>
  <c r="AT232" i="11"/>
  <c r="AS232" i="11"/>
  <c r="AR232" i="11"/>
  <c r="AQ232" i="11"/>
  <c r="AP232" i="11"/>
  <c r="AO232" i="11"/>
  <c r="AN232" i="11"/>
  <c r="AM232" i="11"/>
  <c r="AL232" i="11"/>
  <c r="AK232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E232" i="11"/>
  <c r="D232" i="11"/>
  <c r="C232" i="11"/>
  <c r="B232" i="11"/>
  <c r="GL231" i="11"/>
  <c r="GK230" i="11"/>
  <c r="GJ230" i="11"/>
  <c r="GI230" i="11"/>
  <c r="GH230" i="11"/>
  <c r="GG230" i="11"/>
  <c r="GF230" i="11"/>
  <c r="GE230" i="11"/>
  <c r="GD230" i="11"/>
  <c r="GC230" i="11"/>
  <c r="GB230" i="11"/>
  <c r="GA230" i="11"/>
  <c r="FZ230" i="11"/>
  <c r="FY230" i="11"/>
  <c r="FX230" i="11"/>
  <c r="FW230" i="11"/>
  <c r="FV230" i="11"/>
  <c r="FU230" i="11"/>
  <c r="FT230" i="11"/>
  <c r="FS230" i="11"/>
  <c r="FR230" i="11"/>
  <c r="FQ230" i="11"/>
  <c r="FP230" i="11"/>
  <c r="FO230" i="11"/>
  <c r="FN230" i="11"/>
  <c r="FM230" i="11"/>
  <c r="FL230" i="11"/>
  <c r="FK230" i="11"/>
  <c r="FJ230" i="11"/>
  <c r="FI230" i="11"/>
  <c r="FH230" i="11"/>
  <c r="FG230" i="11"/>
  <c r="FF230" i="11"/>
  <c r="FE230" i="11"/>
  <c r="FD230" i="11"/>
  <c r="FC230" i="11"/>
  <c r="FB230" i="11"/>
  <c r="FA230" i="11"/>
  <c r="EZ230" i="11"/>
  <c r="EY230" i="11"/>
  <c r="EX230" i="11"/>
  <c r="EV230" i="11"/>
  <c r="EU230" i="11"/>
  <c r="ET230" i="11"/>
  <c r="ES230" i="11"/>
  <c r="ER230" i="11"/>
  <c r="EQ230" i="11"/>
  <c r="EP230" i="11"/>
  <c r="EO230" i="11"/>
  <c r="EN230" i="11"/>
  <c r="EM230" i="11"/>
  <c r="EL230" i="11"/>
  <c r="EK230" i="11"/>
  <c r="EJ230" i="11"/>
  <c r="EI230" i="11"/>
  <c r="EH230" i="11"/>
  <c r="EG230" i="11"/>
  <c r="EF230" i="11"/>
  <c r="EE230" i="11"/>
  <c r="ED230" i="11"/>
  <c r="EC230" i="11"/>
  <c r="EB230" i="11"/>
  <c r="EA230" i="11"/>
  <c r="DZ230" i="11"/>
  <c r="DY230" i="11"/>
  <c r="DX230" i="11"/>
  <c r="DW230" i="11"/>
  <c r="DV230" i="11"/>
  <c r="DU230" i="11"/>
  <c r="CW230" i="11"/>
  <c r="CV230" i="11"/>
  <c r="CU230" i="11"/>
  <c r="CT230" i="11"/>
  <c r="CS230" i="11"/>
  <c r="CR230" i="11"/>
  <c r="CQ230" i="11"/>
  <c r="CP230" i="11"/>
  <c r="CO230" i="11"/>
  <c r="CN230" i="11"/>
  <c r="CM230" i="11"/>
  <c r="CL230" i="11"/>
  <c r="CK230" i="11"/>
  <c r="CJ230" i="11"/>
  <c r="CI230" i="11"/>
  <c r="CH230" i="11"/>
  <c r="CG230" i="11"/>
  <c r="CF230" i="11"/>
  <c r="CE230" i="11"/>
  <c r="CD230" i="11"/>
  <c r="CC230" i="11"/>
  <c r="CB230" i="11"/>
  <c r="CA230" i="11"/>
  <c r="BZ230" i="11"/>
  <c r="BY230" i="11"/>
  <c r="BX230" i="11"/>
  <c r="BW230" i="11"/>
  <c r="BV230" i="11"/>
  <c r="BT230" i="11"/>
  <c r="BR230" i="11"/>
  <c r="BQ230" i="11"/>
  <c r="BP230" i="11"/>
  <c r="BO230" i="11"/>
  <c r="BM230" i="11"/>
  <c r="BL230" i="11"/>
  <c r="BK230" i="11"/>
  <c r="BJ230" i="11"/>
  <c r="BI230" i="11"/>
  <c r="BH230" i="11"/>
  <c r="BG230" i="11"/>
  <c r="BF230" i="11"/>
  <c r="BE230" i="11"/>
  <c r="BD230" i="11"/>
  <c r="BC230" i="11"/>
  <c r="BB230" i="11"/>
  <c r="BA230" i="11"/>
  <c r="AZ230" i="11"/>
  <c r="AY230" i="11"/>
  <c r="AX230" i="11"/>
  <c r="AW230" i="11"/>
  <c r="AV230" i="11"/>
  <c r="AU230" i="11"/>
  <c r="AT230" i="11"/>
  <c r="AS230" i="11"/>
  <c r="AR230" i="11"/>
  <c r="AQ230" i="11"/>
  <c r="AP230" i="11"/>
  <c r="AO230" i="11"/>
  <c r="AN230" i="11"/>
  <c r="AM230" i="11"/>
  <c r="AL230" i="11"/>
  <c r="AK230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E230" i="11"/>
  <c r="D230" i="11"/>
  <c r="B230" i="11"/>
  <c r="GL229" i="11"/>
  <c r="D228" i="11"/>
  <c r="GK228" i="11"/>
  <c r="GJ228" i="11"/>
  <c r="GI228" i="11"/>
  <c r="GH228" i="11"/>
  <c r="GG228" i="11"/>
  <c r="GF228" i="11"/>
  <c r="GE228" i="11"/>
  <c r="GD228" i="11"/>
  <c r="GC228" i="11"/>
  <c r="GB228" i="11"/>
  <c r="GA228" i="11"/>
  <c r="FZ228" i="11"/>
  <c r="FY228" i="11"/>
  <c r="FX228" i="11"/>
  <c r="FW228" i="11"/>
  <c r="FV228" i="11"/>
  <c r="FU228" i="11"/>
  <c r="FT228" i="11"/>
  <c r="FS228" i="11"/>
  <c r="FR228" i="11"/>
  <c r="FQ228" i="11"/>
  <c r="FP228" i="11"/>
  <c r="FO228" i="11"/>
  <c r="FN228" i="11"/>
  <c r="FM228" i="11"/>
  <c r="FL228" i="11"/>
  <c r="FK228" i="11"/>
  <c r="FJ228" i="11"/>
  <c r="FI228" i="11"/>
  <c r="FH228" i="11"/>
  <c r="FG228" i="11"/>
  <c r="FF228" i="11"/>
  <c r="FE228" i="11"/>
  <c r="FD228" i="11"/>
  <c r="FC228" i="11"/>
  <c r="FB228" i="11"/>
  <c r="FA228" i="11"/>
  <c r="EZ228" i="11"/>
  <c r="EY228" i="11"/>
  <c r="EX228" i="11"/>
  <c r="EV228" i="11"/>
  <c r="EU228" i="11"/>
  <c r="ET228" i="11"/>
  <c r="ES228" i="11"/>
  <c r="ER228" i="11"/>
  <c r="EQ228" i="11"/>
  <c r="EP228" i="11"/>
  <c r="EO228" i="11"/>
  <c r="EN228" i="11"/>
  <c r="EM228" i="11"/>
  <c r="EL228" i="11"/>
  <c r="EK228" i="11"/>
  <c r="EJ228" i="11"/>
  <c r="EI228" i="11"/>
  <c r="EH228" i="11"/>
  <c r="EG228" i="11"/>
  <c r="EF228" i="11"/>
  <c r="EE228" i="11"/>
  <c r="ED228" i="11"/>
  <c r="EC228" i="11"/>
  <c r="EB228" i="11"/>
  <c r="EA228" i="11"/>
  <c r="DZ228" i="11"/>
  <c r="DY228" i="11"/>
  <c r="DX228" i="11"/>
  <c r="DW228" i="11"/>
  <c r="DV228" i="11"/>
  <c r="DU228" i="11"/>
  <c r="CW228" i="11"/>
  <c r="CV228" i="11"/>
  <c r="CU228" i="11"/>
  <c r="CT228" i="11"/>
  <c r="CS228" i="11"/>
  <c r="CR228" i="11"/>
  <c r="CQ228" i="11"/>
  <c r="CP228" i="11"/>
  <c r="CO228" i="11"/>
  <c r="CN228" i="11"/>
  <c r="CM228" i="11"/>
  <c r="CL228" i="11"/>
  <c r="CK228" i="11"/>
  <c r="CJ228" i="11"/>
  <c r="CI228" i="11"/>
  <c r="CH228" i="11"/>
  <c r="CG228" i="11"/>
  <c r="CF228" i="11"/>
  <c r="CE228" i="11"/>
  <c r="CD228" i="11"/>
  <c r="CC228" i="11"/>
  <c r="CB228" i="11"/>
  <c r="CA228" i="11"/>
  <c r="BZ228" i="11"/>
  <c r="BY228" i="11"/>
  <c r="BX228" i="11"/>
  <c r="BW228" i="11"/>
  <c r="BV228" i="11"/>
  <c r="BT228" i="11"/>
  <c r="BS228" i="11"/>
  <c r="BR228" i="11"/>
  <c r="BQ228" i="11"/>
  <c r="BP228" i="11"/>
  <c r="BO228" i="11"/>
  <c r="BN228" i="11"/>
  <c r="BM228" i="11"/>
  <c r="BL228" i="11"/>
  <c r="BK228" i="11"/>
  <c r="BJ228" i="11"/>
  <c r="BI228" i="11"/>
  <c r="BH228" i="11"/>
  <c r="BG228" i="11"/>
  <c r="BF228" i="11"/>
  <c r="BE228" i="11"/>
  <c r="BD228" i="11"/>
  <c r="BC228" i="11"/>
  <c r="BB228" i="11"/>
  <c r="BA228" i="11"/>
  <c r="AZ228" i="11"/>
  <c r="AY228" i="11"/>
  <c r="AX228" i="11"/>
  <c r="AW228" i="11"/>
  <c r="AV228" i="11"/>
  <c r="AU228" i="11"/>
  <c r="AT228" i="11"/>
  <c r="AS228" i="11"/>
  <c r="AR228" i="11"/>
  <c r="AQ228" i="11"/>
  <c r="AP228" i="11"/>
  <c r="AO228" i="11"/>
  <c r="AN228" i="11"/>
  <c r="AM228" i="11"/>
  <c r="AL228" i="11"/>
  <c r="AK228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E228" i="11"/>
  <c r="C228" i="11"/>
  <c r="B228" i="11"/>
  <c r="GL227" i="11"/>
  <c r="GK130" i="11"/>
  <c r="GJ130" i="11"/>
  <c r="GI130" i="11"/>
  <c r="GH130" i="11"/>
  <c r="GG130" i="11"/>
  <c r="GF130" i="11"/>
  <c r="GE130" i="11"/>
  <c r="GD130" i="11"/>
  <c r="GB130" i="11"/>
  <c r="GA130" i="11"/>
  <c r="FZ130" i="11"/>
  <c r="FY130" i="11"/>
  <c r="FV130" i="11"/>
  <c r="FU130" i="11"/>
  <c r="FT130" i="11"/>
  <c r="FS130" i="11"/>
  <c r="FR130" i="11"/>
  <c r="FQ130" i="11"/>
  <c r="FP130" i="11"/>
  <c r="FO130" i="11"/>
  <c r="FN130" i="11"/>
  <c r="FM130" i="11"/>
  <c r="FL130" i="11"/>
  <c r="FK130" i="11"/>
  <c r="FJ130" i="11"/>
  <c r="FI130" i="11"/>
  <c r="FH130" i="11"/>
  <c r="FG130" i="11"/>
  <c r="FF130" i="11"/>
  <c r="FE130" i="11"/>
  <c r="FD130" i="11"/>
  <c r="FC130" i="11"/>
  <c r="FB130" i="11"/>
  <c r="FA130" i="11"/>
  <c r="EZ130" i="11"/>
  <c r="EY130" i="11"/>
  <c r="EX130" i="11"/>
  <c r="EV130" i="11"/>
  <c r="EU130" i="11"/>
  <c r="ET130" i="11"/>
  <c r="ES130" i="11"/>
  <c r="ER130" i="11"/>
  <c r="EQ130" i="11"/>
  <c r="EP130" i="11"/>
  <c r="EN130" i="11"/>
  <c r="EM130" i="11"/>
  <c r="EL130" i="11"/>
  <c r="EK130" i="11"/>
  <c r="EJ130" i="11"/>
  <c r="EI130" i="11"/>
  <c r="EH130" i="11"/>
  <c r="EG130" i="11"/>
  <c r="EE130" i="11"/>
  <c r="ED130" i="11"/>
  <c r="EC130" i="11"/>
  <c r="EB130" i="11"/>
  <c r="EA130" i="11"/>
  <c r="DZ130" i="11"/>
  <c r="DY130" i="11"/>
  <c r="DX130" i="11"/>
  <c r="DW130" i="11"/>
  <c r="DB130" i="11"/>
  <c r="CW130" i="11"/>
  <c r="CV130" i="11"/>
  <c r="CT130" i="11"/>
  <c r="CS130" i="11"/>
  <c r="CR130" i="11"/>
  <c r="CQ130" i="11"/>
  <c r="CP130" i="11"/>
  <c r="CO130" i="11"/>
  <c r="CN130" i="11"/>
  <c r="CM130" i="11"/>
  <c r="CK130" i="11"/>
  <c r="CJ130" i="11"/>
  <c r="CI130" i="11"/>
  <c r="CH130" i="11"/>
  <c r="CG130" i="11"/>
  <c r="CF130" i="11"/>
  <c r="CE130" i="11"/>
  <c r="CD130" i="11"/>
  <c r="CC130" i="11"/>
  <c r="CB130" i="11"/>
  <c r="CA130" i="11"/>
  <c r="BZ130" i="11"/>
  <c r="BY130" i="11"/>
  <c r="BX130" i="11"/>
  <c r="BW130" i="11"/>
  <c r="BV130" i="11"/>
  <c r="BU130" i="11"/>
  <c r="BT130" i="11"/>
  <c r="BS130" i="11"/>
  <c r="BR130" i="11"/>
  <c r="BQ130" i="11"/>
  <c r="BP130" i="11"/>
  <c r="BO130" i="11"/>
  <c r="BN130" i="11"/>
  <c r="BM130" i="11"/>
  <c r="BL130" i="11"/>
  <c r="BK130" i="11"/>
  <c r="BJ130" i="11"/>
  <c r="BI130" i="11"/>
  <c r="BH130" i="11"/>
  <c r="BG130" i="11"/>
  <c r="BF130" i="11"/>
  <c r="BE130" i="11"/>
  <c r="BD130" i="11"/>
  <c r="BC130" i="11"/>
  <c r="BB130" i="11"/>
  <c r="BA130" i="11"/>
  <c r="AZ130" i="11"/>
  <c r="AY130" i="11"/>
  <c r="AX130" i="11"/>
  <c r="AW130" i="11"/>
  <c r="AV130" i="11"/>
  <c r="AU130" i="11"/>
  <c r="AT130" i="11"/>
  <c r="AS130" i="11"/>
  <c r="AR130" i="11"/>
  <c r="AQ130" i="11"/>
  <c r="AP130" i="11"/>
  <c r="AO130" i="11"/>
  <c r="AM130" i="11"/>
  <c r="AK130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GL82" i="11" l="1"/>
  <c r="GL170" i="11"/>
  <c r="GL168" i="11"/>
  <c r="GL142" i="11"/>
  <c r="GL84" i="11"/>
  <c r="GL230" i="11"/>
  <c r="GL232" i="11"/>
  <c r="GL228" i="11"/>
  <c r="GL61" i="11"/>
  <c r="G68" i="11" l="1"/>
  <c r="GL67" i="11"/>
  <c r="GL69" i="11" l="1"/>
  <c r="EX70" i="11"/>
  <c r="EV70" i="11"/>
  <c r="EU70" i="11"/>
  <c r="ET70" i="11"/>
  <c r="ES70" i="11"/>
  <c r="ER70" i="11"/>
  <c r="EQ70" i="11"/>
  <c r="EP70" i="11"/>
  <c r="GK70" i="11"/>
  <c r="GJ70" i="11"/>
  <c r="GI70" i="11"/>
  <c r="GH70" i="11"/>
  <c r="GG70" i="11"/>
  <c r="GF70" i="11"/>
  <c r="GD70" i="11"/>
  <c r="GC70" i="11"/>
  <c r="GB70" i="11"/>
  <c r="GA70" i="11"/>
  <c r="FZ70" i="11"/>
  <c r="FX70" i="11"/>
  <c r="FW70" i="11"/>
  <c r="FV70" i="11"/>
  <c r="FU70" i="11"/>
  <c r="FT70" i="11"/>
  <c r="FS70" i="11"/>
  <c r="FR70" i="11"/>
  <c r="FQ70" i="11"/>
  <c r="FL70" i="11"/>
  <c r="EY70" i="11"/>
  <c r="DY70" i="11"/>
  <c r="CU70" i="11"/>
  <c r="CM70" i="11"/>
  <c r="CI70" i="11"/>
  <c r="BW70" i="11"/>
  <c r="BM70" i="11"/>
  <c r="AZ70" i="11"/>
  <c r="AV70" i="11"/>
  <c r="AM70" i="11"/>
  <c r="AC70" i="11"/>
  <c r="U70" i="11"/>
  <c r="L70" i="11"/>
  <c r="GL70" i="11" l="1"/>
  <c r="CS174" i="11" l="1"/>
  <c r="CR174" i="11"/>
  <c r="CQ174" i="11"/>
  <c r="CP174" i="11"/>
  <c r="CO174" i="11"/>
  <c r="CN174" i="11"/>
  <c r="CM174" i="11"/>
  <c r="CL174" i="11"/>
  <c r="CK174" i="11"/>
  <c r="CJ174" i="11"/>
  <c r="CI174" i="11"/>
  <c r="GL129" i="11"/>
  <c r="GJ44" i="1"/>
  <c r="GL201" i="11"/>
  <c r="GJ9" i="1"/>
  <c r="GL137" i="11" l="1"/>
  <c r="GL130" i="11"/>
  <c r="H158" i="11" l="1"/>
  <c r="G158" i="11"/>
  <c r="GK226" i="11"/>
  <c r="GJ226" i="11"/>
  <c r="GI226" i="11"/>
  <c r="GH226" i="11"/>
  <c r="GG226" i="11"/>
  <c r="GF226" i="11"/>
  <c r="GE226" i="11"/>
  <c r="GD226" i="11"/>
  <c r="GC226" i="11"/>
  <c r="GB226" i="11"/>
  <c r="GA226" i="11"/>
  <c r="FZ226" i="11"/>
  <c r="FY226" i="11"/>
  <c r="FX226" i="11"/>
  <c r="FW226" i="11"/>
  <c r="FV226" i="11"/>
  <c r="FU226" i="11"/>
  <c r="FT226" i="11"/>
  <c r="FS226" i="11"/>
  <c r="FR226" i="11"/>
  <c r="FQ226" i="11"/>
  <c r="FP226" i="11"/>
  <c r="FO226" i="11"/>
  <c r="FN226" i="11"/>
  <c r="FM226" i="11"/>
  <c r="FL226" i="11"/>
  <c r="FK226" i="11"/>
  <c r="FJ226" i="11"/>
  <c r="FI226" i="11"/>
  <c r="FH226" i="11"/>
  <c r="FG226" i="11"/>
  <c r="FF226" i="11"/>
  <c r="FE226" i="11"/>
  <c r="FD226" i="11"/>
  <c r="FC226" i="11"/>
  <c r="FB226" i="11"/>
  <c r="FA226" i="11"/>
  <c r="EZ226" i="11"/>
  <c r="EY226" i="11"/>
  <c r="EX226" i="11"/>
  <c r="EV226" i="11"/>
  <c r="EU226" i="11"/>
  <c r="ET226" i="11"/>
  <c r="ES226" i="11"/>
  <c r="ER226" i="11"/>
  <c r="EQ226" i="11"/>
  <c r="EP226" i="11"/>
  <c r="EO226" i="11"/>
  <c r="EN226" i="11"/>
  <c r="EM226" i="11"/>
  <c r="EL226" i="11"/>
  <c r="EK226" i="11"/>
  <c r="EJ226" i="11"/>
  <c r="EI226" i="11"/>
  <c r="EH226" i="11"/>
  <c r="EG226" i="11"/>
  <c r="EF226" i="11"/>
  <c r="EE226" i="11"/>
  <c r="ED226" i="11"/>
  <c r="EC226" i="11"/>
  <c r="EB226" i="11"/>
  <c r="EA226" i="11"/>
  <c r="DZ226" i="11"/>
  <c r="DY226" i="11"/>
  <c r="DX226" i="11"/>
  <c r="DW226" i="11"/>
  <c r="DV226" i="11"/>
  <c r="DU226" i="11"/>
  <c r="CW226" i="11"/>
  <c r="CV226" i="11"/>
  <c r="CU226" i="11"/>
  <c r="CT226" i="11"/>
  <c r="CS226" i="11"/>
  <c r="CR226" i="11"/>
  <c r="CQ226" i="11"/>
  <c r="CP226" i="11"/>
  <c r="CO226" i="11"/>
  <c r="CN226" i="11"/>
  <c r="CM226" i="11"/>
  <c r="CL226" i="11"/>
  <c r="CK226" i="11"/>
  <c r="CJ226" i="11"/>
  <c r="CI226" i="11"/>
  <c r="CH226" i="11"/>
  <c r="CG226" i="11"/>
  <c r="CF226" i="11"/>
  <c r="CE226" i="11"/>
  <c r="CD226" i="11"/>
  <c r="CC226" i="11"/>
  <c r="CB226" i="11"/>
  <c r="CA226" i="11"/>
  <c r="BZ226" i="11"/>
  <c r="BY226" i="11"/>
  <c r="BX226" i="11"/>
  <c r="BW226" i="11"/>
  <c r="BV226" i="11"/>
  <c r="BU226" i="11"/>
  <c r="BT226" i="11"/>
  <c r="BS226" i="11"/>
  <c r="BR226" i="11"/>
  <c r="BQ226" i="11"/>
  <c r="BP226" i="11"/>
  <c r="BO226" i="11"/>
  <c r="BN226" i="11"/>
  <c r="BM226" i="11"/>
  <c r="BL226" i="11"/>
  <c r="BK226" i="11"/>
  <c r="BJ226" i="11"/>
  <c r="BI226" i="11"/>
  <c r="BH226" i="11"/>
  <c r="BG226" i="11"/>
  <c r="BF226" i="11"/>
  <c r="BE226" i="11"/>
  <c r="BD226" i="11"/>
  <c r="BC226" i="11"/>
  <c r="BB226" i="11"/>
  <c r="BA226" i="11"/>
  <c r="AZ226" i="11"/>
  <c r="AY226" i="11"/>
  <c r="AX226" i="11"/>
  <c r="AW226" i="11"/>
  <c r="AV226" i="11"/>
  <c r="AU226" i="11"/>
  <c r="AT226" i="11"/>
  <c r="AS226" i="11"/>
  <c r="AR226" i="11"/>
  <c r="AQ226" i="11"/>
  <c r="AP226" i="11"/>
  <c r="AO226" i="11"/>
  <c r="AN226" i="11"/>
  <c r="AM226" i="11"/>
  <c r="AL226" i="11"/>
  <c r="AK226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E226" i="11"/>
  <c r="C226" i="11"/>
  <c r="B226" i="11"/>
  <c r="A226" i="11"/>
  <c r="GL225" i="11"/>
  <c r="GL181" i="11"/>
  <c r="GK224" i="11"/>
  <c r="GJ224" i="11"/>
  <c r="GI224" i="11"/>
  <c r="GH224" i="11"/>
  <c r="GG224" i="11"/>
  <c r="GF224" i="11"/>
  <c r="GE224" i="11"/>
  <c r="GD224" i="11"/>
  <c r="GC224" i="11"/>
  <c r="GB224" i="11"/>
  <c r="GA224" i="11"/>
  <c r="FZ224" i="11"/>
  <c r="FY224" i="11"/>
  <c r="FX224" i="11"/>
  <c r="FW224" i="11"/>
  <c r="FV224" i="11"/>
  <c r="FU224" i="11"/>
  <c r="FT224" i="11"/>
  <c r="FS224" i="11"/>
  <c r="FR224" i="11"/>
  <c r="FQ224" i="11"/>
  <c r="FP224" i="11"/>
  <c r="FO224" i="11"/>
  <c r="FN224" i="11"/>
  <c r="FM224" i="11"/>
  <c r="FL224" i="11"/>
  <c r="FK224" i="11"/>
  <c r="FJ224" i="11"/>
  <c r="FI224" i="11"/>
  <c r="FH224" i="11"/>
  <c r="FG224" i="11"/>
  <c r="FF224" i="11"/>
  <c r="FE224" i="11"/>
  <c r="FD224" i="11"/>
  <c r="FC224" i="11"/>
  <c r="FB224" i="11"/>
  <c r="FA224" i="11"/>
  <c r="EZ224" i="11"/>
  <c r="EY224" i="11"/>
  <c r="EX224" i="11"/>
  <c r="EV224" i="11"/>
  <c r="EU224" i="11"/>
  <c r="ET224" i="11"/>
  <c r="ES224" i="11"/>
  <c r="ER224" i="11"/>
  <c r="EQ224" i="11"/>
  <c r="EP224" i="11"/>
  <c r="EO224" i="11"/>
  <c r="EN224" i="11"/>
  <c r="EM224" i="11"/>
  <c r="EL224" i="11"/>
  <c r="EK224" i="11"/>
  <c r="EJ224" i="11"/>
  <c r="EI224" i="11"/>
  <c r="EH224" i="11"/>
  <c r="EG224" i="11"/>
  <c r="EF224" i="11"/>
  <c r="EE224" i="11"/>
  <c r="ED224" i="11"/>
  <c r="EC224" i="11"/>
  <c r="EB224" i="11"/>
  <c r="EA224" i="11"/>
  <c r="DZ224" i="11"/>
  <c r="DY224" i="11"/>
  <c r="DX224" i="11"/>
  <c r="DW224" i="11"/>
  <c r="DV224" i="11"/>
  <c r="DU224" i="11"/>
  <c r="CW224" i="11"/>
  <c r="CV224" i="11"/>
  <c r="CU224" i="11"/>
  <c r="CT224" i="11"/>
  <c r="CS224" i="11"/>
  <c r="CR224" i="11"/>
  <c r="CQ224" i="11"/>
  <c r="CP224" i="11"/>
  <c r="CO224" i="11"/>
  <c r="CN224" i="11"/>
  <c r="CM224" i="11"/>
  <c r="CL224" i="11"/>
  <c r="CK224" i="11"/>
  <c r="CJ224" i="11"/>
  <c r="CI224" i="11"/>
  <c r="CH224" i="11"/>
  <c r="CG224" i="11"/>
  <c r="CF224" i="11"/>
  <c r="CE224" i="11"/>
  <c r="CD224" i="11"/>
  <c r="CC224" i="11"/>
  <c r="CB224" i="11"/>
  <c r="CA224" i="11"/>
  <c r="BZ224" i="11"/>
  <c r="BY224" i="11"/>
  <c r="BX224" i="11"/>
  <c r="BW224" i="11"/>
  <c r="BV224" i="11"/>
  <c r="BU224" i="11"/>
  <c r="BT224" i="11"/>
  <c r="BS224" i="11"/>
  <c r="BR224" i="11"/>
  <c r="BQ224" i="11"/>
  <c r="BP224" i="11"/>
  <c r="BO224" i="11"/>
  <c r="BN224" i="11"/>
  <c r="BM224" i="11"/>
  <c r="BL224" i="11"/>
  <c r="BK224" i="11"/>
  <c r="BJ224" i="11"/>
  <c r="BI224" i="11"/>
  <c r="BH224" i="11"/>
  <c r="BG224" i="11"/>
  <c r="BF224" i="11"/>
  <c r="BE224" i="11"/>
  <c r="BD224" i="11"/>
  <c r="BC224" i="11"/>
  <c r="BB224" i="11"/>
  <c r="BA224" i="11"/>
  <c r="AZ224" i="11"/>
  <c r="AY224" i="11"/>
  <c r="AX224" i="11"/>
  <c r="AW224" i="11"/>
  <c r="AV224" i="11"/>
  <c r="AU224" i="11"/>
  <c r="AT224" i="11"/>
  <c r="AS224" i="11"/>
  <c r="AR224" i="11"/>
  <c r="AQ224" i="11"/>
  <c r="AP224" i="11"/>
  <c r="AO224" i="11"/>
  <c r="AN224" i="11"/>
  <c r="AM224" i="11"/>
  <c r="AL224" i="11"/>
  <c r="AK224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E224" i="11"/>
  <c r="C224" i="11"/>
  <c r="B224" i="11"/>
  <c r="A224" i="11"/>
  <c r="GL223" i="11"/>
  <c r="GL15" i="11"/>
  <c r="GL143" i="11"/>
  <c r="G50" i="11"/>
  <c r="GJ43" i="1"/>
  <c r="GL182" i="11" l="1"/>
  <c r="GL226" i="11"/>
  <c r="GL224" i="11"/>
  <c r="GL144" i="11"/>
  <c r="GK222" i="11"/>
  <c r="GJ222" i="11"/>
  <c r="GI222" i="11"/>
  <c r="GH222" i="11"/>
  <c r="GG222" i="11"/>
  <c r="GF222" i="11"/>
  <c r="GE222" i="11"/>
  <c r="GD222" i="11"/>
  <c r="GC222" i="11"/>
  <c r="GB222" i="11"/>
  <c r="GA222" i="11"/>
  <c r="FZ222" i="11"/>
  <c r="FY222" i="11"/>
  <c r="FX222" i="11"/>
  <c r="FW222" i="11"/>
  <c r="FV222" i="11"/>
  <c r="FU222" i="11"/>
  <c r="FT222" i="11"/>
  <c r="FS222" i="11"/>
  <c r="FR222" i="11"/>
  <c r="FQ222" i="11"/>
  <c r="FP222" i="11"/>
  <c r="FO222" i="11"/>
  <c r="FN222" i="11"/>
  <c r="FM222" i="11"/>
  <c r="FL222" i="11"/>
  <c r="FK222" i="11"/>
  <c r="FJ222" i="11"/>
  <c r="FI222" i="11"/>
  <c r="FH222" i="11"/>
  <c r="FG222" i="11"/>
  <c r="FF222" i="11"/>
  <c r="FE222" i="11"/>
  <c r="FD222" i="11"/>
  <c r="FC222" i="11"/>
  <c r="FB222" i="11"/>
  <c r="FA222" i="11"/>
  <c r="EZ222" i="11"/>
  <c r="EY222" i="11"/>
  <c r="EX222" i="11"/>
  <c r="EV222" i="11"/>
  <c r="EU222" i="11"/>
  <c r="ET222" i="11"/>
  <c r="ES222" i="11"/>
  <c r="ER222" i="11"/>
  <c r="EQ222" i="11"/>
  <c r="EP222" i="11"/>
  <c r="EO222" i="11"/>
  <c r="EN222" i="11"/>
  <c r="EM222" i="11"/>
  <c r="EL222" i="11"/>
  <c r="EK222" i="11"/>
  <c r="EJ222" i="11"/>
  <c r="EI222" i="11"/>
  <c r="EH222" i="11"/>
  <c r="EG222" i="11"/>
  <c r="EF222" i="11"/>
  <c r="EE222" i="11"/>
  <c r="ED222" i="11"/>
  <c r="EC222" i="11"/>
  <c r="EB222" i="11"/>
  <c r="EA222" i="11"/>
  <c r="DZ222" i="11"/>
  <c r="DY222" i="11"/>
  <c r="DX222" i="11"/>
  <c r="DW222" i="11"/>
  <c r="DV222" i="11"/>
  <c r="DU222" i="11"/>
  <c r="CW222" i="11"/>
  <c r="CV222" i="11"/>
  <c r="CU222" i="11"/>
  <c r="CT222" i="11"/>
  <c r="CS222" i="11"/>
  <c r="CR222" i="11"/>
  <c r="CQ222" i="11"/>
  <c r="CP222" i="11"/>
  <c r="CO222" i="11"/>
  <c r="CN222" i="11"/>
  <c r="CM222" i="11"/>
  <c r="CL222" i="11"/>
  <c r="CK222" i="11"/>
  <c r="CJ222" i="11"/>
  <c r="CI222" i="11"/>
  <c r="CH222" i="11"/>
  <c r="CG222" i="11"/>
  <c r="CF222" i="11"/>
  <c r="CE222" i="11"/>
  <c r="CD222" i="11"/>
  <c r="CC222" i="11"/>
  <c r="CB222" i="11"/>
  <c r="CA222" i="11"/>
  <c r="BZ222" i="11"/>
  <c r="BY222" i="11"/>
  <c r="BX222" i="11"/>
  <c r="BW222" i="11"/>
  <c r="BV222" i="11"/>
  <c r="BU222" i="11"/>
  <c r="BT222" i="11"/>
  <c r="BS222" i="11"/>
  <c r="BR222" i="11"/>
  <c r="BQ222" i="11"/>
  <c r="BP222" i="11"/>
  <c r="BO222" i="11"/>
  <c r="BN222" i="11"/>
  <c r="BM222" i="11"/>
  <c r="BL222" i="11"/>
  <c r="BK222" i="11"/>
  <c r="BJ222" i="11"/>
  <c r="BI222" i="11"/>
  <c r="BH222" i="11"/>
  <c r="BG222" i="11"/>
  <c r="BF222" i="11"/>
  <c r="BE222" i="11"/>
  <c r="BD222" i="11"/>
  <c r="BC222" i="11"/>
  <c r="BB222" i="11"/>
  <c r="BA222" i="11"/>
  <c r="AZ222" i="11"/>
  <c r="AY222" i="11"/>
  <c r="AX222" i="11"/>
  <c r="AW222" i="11"/>
  <c r="AV222" i="11"/>
  <c r="AU222" i="11"/>
  <c r="AT222" i="11"/>
  <c r="AS222" i="11"/>
  <c r="AR222" i="11"/>
  <c r="AQ222" i="11"/>
  <c r="AP222" i="11"/>
  <c r="AO222" i="11"/>
  <c r="AN222" i="11"/>
  <c r="AM222" i="11"/>
  <c r="AL222" i="11"/>
  <c r="AK222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G222" i="11"/>
  <c r="E222" i="11"/>
  <c r="D222" i="11"/>
  <c r="C222" i="11"/>
  <c r="B222" i="11"/>
  <c r="A222" i="11"/>
  <c r="GL221" i="11"/>
  <c r="GK220" i="11"/>
  <c r="GJ220" i="11"/>
  <c r="GI220" i="11"/>
  <c r="GH220" i="11"/>
  <c r="GG220" i="11"/>
  <c r="GF220" i="11"/>
  <c r="GE220" i="11"/>
  <c r="GD220" i="11"/>
  <c r="GC220" i="11"/>
  <c r="GB220" i="11"/>
  <c r="GA220" i="11"/>
  <c r="FZ220" i="11"/>
  <c r="FY220" i="11"/>
  <c r="FX220" i="11"/>
  <c r="FW220" i="11"/>
  <c r="FV220" i="11"/>
  <c r="FU220" i="11"/>
  <c r="FT220" i="11"/>
  <c r="FS220" i="11"/>
  <c r="FR220" i="11"/>
  <c r="FQ220" i="11"/>
  <c r="FP220" i="11"/>
  <c r="FO220" i="11"/>
  <c r="FN220" i="11"/>
  <c r="FM220" i="11"/>
  <c r="FL220" i="11"/>
  <c r="FK220" i="11"/>
  <c r="FJ220" i="11"/>
  <c r="FI220" i="11"/>
  <c r="FH220" i="11"/>
  <c r="FG220" i="11"/>
  <c r="FF220" i="11"/>
  <c r="FE220" i="11"/>
  <c r="FD220" i="11"/>
  <c r="FC220" i="11"/>
  <c r="FB220" i="11"/>
  <c r="FA220" i="11"/>
  <c r="EZ220" i="11"/>
  <c r="EY220" i="11"/>
  <c r="EX220" i="11"/>
  <c r="EV220" i="11"/>
  <c r="EU220" i="11"/>
  <c r="ET220" i="11"/>
  <c r="ES220" i="11"/>
  <c r="ER220" i="11"/>
  <c r="EQ220" i="11"/>
  <c r="EP220" i="11"/>
  <c r="EO220" i="11"/>
  <c r="EN220" i="11"/>
  <c r="EM220" i="11"/>
  <c r="EL220" i="11"/>
  <c r="EK220" i="11"/>
  <c r="EJ220" i="11"/>
  <c r="EI220" i="11"/>
  <c r="EH220" i="11"/>
  <c r="EG220" i="11"/>
  <c r="EF220" i="11"/>
  <c r="EE220" i="11"/>
  <c r="ED220" i="11"/>
  <c r="EC220" i="11"/>
  <c r="EB220" i="11"/>
  <c r="EA220" i="11"/>
  <c r="DZ220" i="11"/>
  <c r="DY220" i="11"/>
  <c r="DX220" i="11"/>
  <c r="DW220" i="11"/>
  <c r="DV220" i="11"/>
  <c r="DU220" i="11"/>
  <c r="CW220" i="11"/>
  <c r="CV220" i="11"/>
  <c r="CU220" i="11"/>
  <c r="CT220" i="11"/>
  <c r="CS220" i="11"/>
  <c r="CR220" i="11"/>
  <c r="CQ220" i="11"/>
  <c r="CP220" i="11"/>
  <c r="CO220" i="11"/>
  <c r="CN220" i="11"/>
  <c r="CM220" i="11"/>
  <c r="CL220" i="11"/>
  <c r="CK220" i="11"/>
  <c r="CJ220" i="11"/>
  <c r="CI220" i="11"/>
  <c r="CH220" i="11"/>
  <c r="CG220" i="11"/>
  <c r="CF220" i="11"/>
  <c r="CE220" i="11"/>
  <c r="CD220" i="11"/>
  <c r="CC220" i="11"/>
  <c r="CB220" i="11"/>
  <c r="CA220" i="11"/>
  <c r="BZ220" i="11"/>
  <c r="BY220" i="11"/>
  <c r="BX220" i="11"/>
  <c r="BW220" i="11"/>
  <c r="BV220" i="11"/>
  <c r="BU220" i="11"/>
  <c r="BT220" i="11"/>
  <c r="BS220" i="11"/>
  <c r="BR220" i="11"/>
  <c r="BQ220" i="11"/>
  <c r="BP220" i="11"/>
  <c r="BO220" i="11"/>
  <c r="BN220" i="11"/>
  <c r="BM220" i="11"/>
  <c r="BL220" i="11"/>
  <c r="BK220" i="11"/>
  <c r="BJ220" i="11"/>
  <c r="BI220" i="11"/>
  <c r="BH220" i="11"/>
  <c r="BG220" i="11"/>
  <c r="BF220" i="11"/>
  <c r="BE220" i="11"/>
  <c r="BD220" i="11"/>
  <c r="BC220" i="11"/>
  <c r="BB220" i="11"/>
  <c r="BA220" i="11"/>
  <c r="AZ220" i="11"/>
  <c r="AY220" i="11"/>
  <c r="AX220" i="11"/>
  <c r="AW220" i="11"/>
  <c r="AV220" i="11"/>
  <c r="AU220" i="11"/>
  <c r="AT220" i="11"/>
  <c r="AS220" i="11"/>
  <c r="AR220" i="11"/>
  <c r="AQ220" i="11"/>
  <c r="AP220" i="11"/>
  <c r="AO220" i="11"/>
  <c r="AN220" i="11"/>
  <c r="AM220" i="11"/>
  <c r="AL220" i="11"/>
  <c r="AK220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E220" i="11"/>
  <c r="D220" i="11"/>
  <c r="C220" i="11"/>
  <c r="B220" i="11"/>
  <c r="A220" i="11"/>
  <c r="GL219" i="11"/>
  <c r="GL173" i="11"/>
  <c r="GK174" i="11"/>
  <c r="GJ174" i="11"/>
  <c r="GI174" i="11"/>
  <c r="GH174" i="11"/>
  <c r="GG174" i="11"/>
  <c r="GF174" i="11"/>
  <c r="GE174" i="11"/>
  <c r="GD174" i="11"/>
  <c r="GC174" i="11"/>
  <c r="GB174" i="11"/>
  <c r="GA174" i="11"/>
  <c r="FZ174" i="11"/>
  <c r="FY174" i="11"/>
  <c r="FX174" i="11"/>
  <c r="FW174" i="11"/>
  <c r="FV174" i="11"/>
  <c r="FU174" i="11"/>
  <c r="FT174" i="11"/>
  <c r="FS174" i="11"/>
  <c r="FR174" i="11"/>
  <c r="FQ174" i="11"/>
  <c r="FP174" i="11"/>
  <c r="FO174" i="11"/>
  <c r="FN174" i="11"/>
  <c r="FM174" i="11"/>
  <c r="FL174" i="11"/>
  <c r="FK174" i="11"/>
  <c r="FJ174" i="11"/>
  <c r="FI174" i="11"/>
  <c r="FH174" i="11"/>
  <c r="FG174" i="11"/>
  <c r="FF174" i="11"/>
  <c r="FE174" i="11"/>
  <c r="FD174" i="11"/>
  <c r="FC174" i="11"/>
  <c r="FB174" i="11"/>
  <c r="FA174" i="11"/>
  <c r="EZ174" i="11"/>
  <c r="EY174" i="11"/>
  <c r="EX174" i="11"/>
  <c r="EV174" i="11"/>
  <c r="EU174" i="11"/>
  <c r="ET174" i="11"/>
  <c r="ES174" i="11"/>
  <c r="ER174" i="11"/>
  <c r="EQ174" i="11"/>
  <c r="EP174" i="11"/>
  <c r="EO174" i="11"/>
  <c r="EN174" i="11"/>
  <c r="EM174" i="11"/>
  <c r="EL174" i="11"/>
  <c r="EK174" i="11"/>
  <c r="DX174" i="11"/>
  <c r="DT174" i="11"/>
  <c r="DP174" i="11"/>
  <c r="DC174" i="11"/>
  <c r="CY174" i="11"/>
  <c r="CU174" i="11"/>
  <c r="CT174" i="11"/>
  <c r="CH174" i="11"/>
  <c r="CG174" i="11"/>
  <c r="CF174" i="11"/>
  <c r="CE174" i="11"/>
  <c r="CD174" i="11"/>
  <c r="CC174" i="11"/>
  <c r="CB174" i="11"/>
  <c r="CA174" i="11"/>
  <c r="BZ174" i="11"/>
  <c r="BY174" i="11"/>
  <c r="BX174" i="11"/>
  <c r="BW174" i="11"/>
  <c r="BV174" i="11"/>
  <c r="BU174" i="11"/>
  <c r="BT174" i="11"/>
  <c r="BS174" i="11"/>
  <c r="BR174" i="11"/>
  <c r="BQ174" i="11"/>
  <c r="BP174" i="11"/>
  <c r="BO174" i="11"/>
  <c r="BN174" i="11"/>
  <c r="BM174" i="11"/>
  <c r="BL174" i="11"/>
  <c r="BK174" i="11"/>
  <c r="BJ174" i="11"/>
  <c r="BI174" i="11"/>
  <c r="BH174" i="11"/>
  <c r="BG174" i="11"/>
  <c r="BF174" i="11"/>
  <c r="BE174" i="11"/>
  <c r="BD174" i="11"/>
  <c r="BC174" i="11"/>
  <c r="BB174" i="11"/>
  <c r="BA174" i="11"/>
  <c r="AZ174" i="11"/>
  <c r="AY174" i="11"/>
  <c r="AX174" i="11"/>
  <c r="AW174" i="11"/>
  <c r="AV174" i="11"/>
  <c r="AU174" i="11"/>
  <c r="AT174" i="11"/>
  <c r="AS174" i="11"/>
  <c r="AR174" i="11"/>
  <c r="AQ174" i="11"/>
  <c r="AP174" i="11"/>
  <c r="AO174" i="11"/>
  <c r="AN174" i="11"/>
  <c r="AM174" i="11"/>
  <c r="AL174" i="11"/>
  <c r="AK174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GL153" i="11"/>
  <c r="GK154" i="11"/>
  <c r="GJ154" i="11"/>
  <c r="GI154" i="11"/>
  <c r="GH154" i="11"/>
  <c r="GG154" i="11"/>
  <c r="GF154" i="11"/>
  <c r="GE154" i="11"/>
  <c r="GD154" i="11"/>
  <c r="GC154" i="11"/>
  <c r="GB154" i="11"/>
  <c r="GA154" i="11"/>
  <c r="FZ154" i="11"/>
  <c r="FY154" i="11"/>
  <c r="FX154" i="11"/>
  <c r="FW154" i="11"/>
  <c r="FV154" i="11"/>
  <c r="FU154" i="11"/>
  <c r="FT154" i="11"/>
  <c r="FS154" i="11"/>
  <c r="FR154" i="11"/>
  <c r="FQ154" i="11"/>
  <c r="EX154" i="11"/>
  <c r="EV154" i="11"/>
  <c r="EU154" i="11"/>
  <c r="ET154" i="11"/>
  <c r="ES154" i="11"/>
  <c r="ER154" i="11"/>
  <c r="EQ154" i="11"/>
  <c r="EP154" i="11"/>
  <c r="EO154" i="11"/>
  <c r="EN154" i="11"/>
  <c r="EM154" i="11"/>
  <c r="EL154" i="11"/>
  <c r="EK154" i="11"/>
  <c r="EJ154" i="11"/>
  <c r="EI154" i="11"/>
  <c r="EH154" i="11"/>
  <c r="EG154" i="11"/>
  <c r="EF154" i="11"/>
  <c r="EE154" i="11"/>
  <c r="ED154" i="11"/>
  <c r="EC154" i="11"/>
  <c r="EB154" i="11"/>
  <c r="EA154" i="11"/>
  <c r="DZ154" i="11"/>
  <c r="DY154" i="11"/>
  <c r="DU154" i="11"/>
  <c r="DP154" i="11"/>
  <c r="DK154" i="11"/>
  <c r="DF154" i="11"/>
  <c r="DA154" i="11"/>
  <c r="CV154" i="11"/>
  <c r="CG154" i="11"/>
  <c r="CF154" i="11"/>
  <c r="CE154" i="11"/>
  <c r="CD154" i="11"/>
  <c r="CC154" i="11"/>
  <c r="CB154" i="11"/>
  <c r="CA154" i="11"/>
  <c r="BZ154" i="11"/>
  <c r="BY154" i="11"/>
  <c r="BX154" i="11"/>
  <c r="BW154" i="11"/>
  <c r="BV154" i="11"/>
  <c r="BU154" i="11"/>
  <c r="BT154" i="11"/>
  <c r="BS154" i="11"/>
  <c r="BR154" i="11"/>
  <c r="BQ154" i="11"/>
  <c r="BP154" i="11"/>
  <c r="BO154" i="11"/>
  <c r="BN154" i="11"/>
  <c r="BM154" i="11"/>
  <c r="BL154" i="11"/>
  <c r="BK154" i="11"/>
  <c r="BJ154" i="11"/>
  <c r="BI154" i="11"/>
  <c r="BH154" i="11"/>
  <c r="BG154" i="11"/>
  <c r="BF154" i="11"/>
  <c r="BE154" i="11"/>
  <c r="BD154" i="11"/>
  <c r="BC154" i="11"/>
  <c r="BB154" i="11"/>
  <c r="BA154" i="11"/>
  <c r="AZ154" i="11"/>
  <c r="AY154" i="11"/>
  <c r="AX154" i="11"/>
  <c r="AV154" i="11"/>
  <c r="AU154" i="11"/>
  <c r="AT154" i="11"/>
  <c r="AS154" i="11"/>
  <c r="AR154" i="11"/>
  <c r="AQ154" i="11"/>
  <c r="AP154" i="11"/>
  <c r="AO154" i="11"/>
  <c r="AN154" i="11"/>
  <c r="AM154" i="11"/>
  <c r="AL154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GL195" i="11"/>
  <c r="GL154" i="11" l="1"/>
  <c r="GL138" i="11"/>
  <c r="GL220" i="11"/>
  <c r="GL222" i="11"/>
  <c r="GL174" i="11"/>
  <c r="GL196" i="11"/>
  <c r="GL183" i="11"/>
  <c r="GL157" i="11"/>
  <c r="GL155" i="11"/>
  <c r="DY132" i="11"/>
  <c r="DX132" i="11"/>
  <c r="DW132" i="11"/>
  <c r="DT114" i="11"/>
  <c r="DS114" i="11"/>
  <c r="DR114" i="11"/>
  <c r="DQ114" i="11"/>
  <c r="DP114" i="11"/>
  <c r="DO114" i="11"/>
  <c r="DN114" i="11"/>
  <c r="DM114" i="11"/>
  <c r="DL114" i="11"/>
  <c r="DK114" i="11"/>
  <c r="DJ114" i="11"/>
  <c r="DI114" i="11"/>
  <c r="DH114" i="11"/>
  <c r="DG114" i="11"/>
  <c r="DF114" i="11"/>
  <c r="DE114" i="11"/>
  <c r="DD114" i="11"/>
  <c r="DC114" i="11"/>
  <c r="DB114" i="11"/>
  <c r="DA114" i="11"/>
  <c r="CZ114" i="11"/>
  <c r="CY114" i="11"/>
  <c r="CX114" i="11"/>
  <c r="DX112" i="11"/>
  <c r="DW112" i="11"/>
  <c r="DV112" i="11"/>
  <c r="DU112" i="11"/>
  <c r="DT112" i="11"/>
  <c r="DS112" i="11"/>
  <c r="DR112" i="11"/>
  <c r="DQ112" i="11"/>
  <c r="DP112" i="11"/>
  <c r="DO112" i="11"/>
  <c r="DN112" i="11"/>
  <c r="DM112" i="11"/>
  <c r="DL112" i="11"/>
  <c r="DK112" i="11"/>
  <c r="DJ112" i="11"/>
  <c r="DI112" i="11"/>
  <c r="DH112" i="11"/>
  <c r="DG112" i="11"/>
  <c r="DF112" i="11"/>
  <c r="DE112" i="11"/>
  <c r="DD112" i="11"/>
  <c r="DC112" i="11"/>
  <c r="DB112" i="11"/>
  <c r="DA112" i="11"/>
  <c r="CZ112" i="11"/>
  <c r="CY112" i="11"/>
  <c r="CX112" i="11"/>
  <c r="DX106" i="11"/>
  <c r="DW106" i="11"/>
  <c r="DV106" i="11"/>
  <c r="DU106" i="11"/>
  <c r="DT106" i="11"/>
  <c r="DS106" i="11"/>
  <c r="DR106" i="11"/>
  <c r="DQ106" i="11"/>
  <c r="DP106" i="11"/>
  <c r="DO106" i="11"/>
  <c r="DN106" i="11"/>
  <c r="DM106" i="11"/>
  <c r="DL106" i="11"/>
  <c r="DK106" i="11"/>
  <c r="DJ106" i="11"/>
  <c r="DI106" i="11"/>
  <c r="DH106" i="11"/>
  <c r="DG106" i="11"/>
  <c r="DF106" i="11"/>
  <c r="DE106" i="11"/>
  <c r="DD106" i="11"/>
  <c r="DC106" i="11"/>
  <c r="DB106" i="11"/>
  <c r="DA106" i="11"/>
  <c r="CZ106" i="11"/>
  <c r="CY106" i="11"/>
  <c r="CX106" i="11"/>
  <c r="DX102" i="11"/>
  <c r="DW102" i="11"/>
  <c r="DV102" i="11"/>
  <c r="DU102" i="11"/>
  <c r="DT102" i="11"/>
  <c r="DS102" i="11"/>
  <c r="DR102" i="11"/>
  <c r="DQ102" i="11"/>
  <c r="DP102" i="11"/>
  <c r="DO102" i="11"/>
  <c r="DN102" i="11"/>
  <c r="DM102" i="11"/>
  <c r="DL102" i="11"/>
  <c r="DK102" i="11"/>
  <c r="DJ102" i="11"/>
  <c r="DI102" i="11"/>
  <c r="DH102" i="11"/>
  <c r="DG102" i="11"/>
  <c r="DF102" i="11"/>
  <c r="DE102" i="11"/>
  <c r="DD102" i="11"/>
  <c r="DC102" i="11"/>
  <c r="DB102" i="11"/>
  <c r="DA102" i="11"/>
  <c r="CZ102" i="11"/>
  <c r="CY102" i="11"/>
  <c r="CX102" i="11"/>
  <c r="DX92" i="11"/>
  <c r="DW92" i="11"/>
  <c r="DV92" i="11"/>
  <c r="DU92" i="11"/>
  <c r="DT92" i="11"/>
  <c r="DS92" i="11"/>
  <c r="DR92" i="11"/>
  <c r="DQ92" i="11"/>
  <c r="DP92" i="11"/>
  <c r="DO92" i="11"/>
  <c r="DN92" i="11"/>
  <c r="DM92" i="11"/>
  <c r="DL92" i="11"/>
  <c r="DK92" i="11"/>
  <c r="DJ92" i="11"/>
  <c r="DI92" i="11"/>
  <c r="DH92" i="11"/>
  <c r="DG92" i="11"/>
  <c r="DF92" i="11"/>
  <c r="DE92" i="11"/>
  <c r="DD92" i="11"/>
  <c r="DC92" i="11"/>
  <c r="DB92" i="11"/>
  <c r="DA92" i="11"/>
  <c r="CZ92" i="11"/>
  <c r="CY92" i="11"/>
  <c r="CX92" i="11"/>
  <c r="DX90" i="11"/>
  <c r="DW90" i="11"/>
  <c r="DV90" i="11"/>
  <c r="DU90" i="11"/>
  <c r="DT90" i="11"/>
  <c r="DS90" i="11"/>
  <c r="DR90" i="11"/>
  <c r="DQ90" i="11"/>
  <c r="DP90" i="11"/>
  <c r="DO90" i="11"/>
  <c r="DN90" i="11"/>
  <c r="DM90" i="11"/>
  <c r="DL90" i="11"/>
  <c r="DK90" i="11"/>
  <c r="DJ90" i="11"/>
  <c r="DI90" i="11"/>
  <c r="DH90" i="11"/>
  <c r="DG90" i="11"/>
  <c r="DF90" i="11"/>
  <c r="DE90" i="11"/>
  <c r="DD90" i="11"/>
  <c r="DC90" i="11"/>
  <c r="DB90" i="11"/>
  <c r="DA90" i="11"/>
  <c r="CZ90" i="11"/>
  <c r="CY90" i="11"/>
  <c r="CX90" i="11"/>
  <c r="DX52" i="11"/>
  <c r="DW52" i="11"/>
  <c r="DV52" i="11"/>
  <c r="DU52" i="11"/>
  <c r="DT52" i="11"/>
  <c r="DS52" i="11"/>
  <c r="DR52" i="11"/>
  <c r="DQ52" i="11"/>
  <c r="DP52" i="11"/>
  <c r="DO52" i="11"/>
  <c r="DN52" i="11"/>
  <c r="DM52" i="11"/>
  <c r="DL52" i="11"/>
  <c r="DK52" i="11"/>
  <c r="DJ52" i="11"/>
  <c r="DI52" i="11"/>
  <c r="DH52" i="11"/>
  <c r="DG52" i="11"/>
  <c r="DF52" i="11"/>
  <c r="DE52" i="11"/>
  <c r="DD52" i="11"/>
  <c r="DC52" i="11"/>
  <c r="DB52" i="11"/>
  <c r="DA52" i="11"/>
  <c r="CZ52" i="11"/>
  <c r="CY52" i="11"/>
  <c r="CX52" i="11"/>
  <c r="DX50" i="11"/>
  <c r="DW50" i="11"/>
  <c r="DV50" i="11"/>
  <c r="DU50" i="11"/>
  <c r="DT50" i="11"/>
  <c r="DS50" i="11"/>
  <c r="DR50" i="11"/>
  <c r="DQ50" i="11"/>
  <c r="DP50" i="11"/>
  <c r="DO50" i="11"/>
  <c r="DN50" i="11"/>
  <c r="DM50" i="11"/>
  <c r="DL50" i="11"/>
  <c r="DK50" i="11"/>
  <c r="DJ50" i="11"/>
  <c r="DI50" i="11"/>
  <c r="DH50" i="11"/>
  <c r="DG50" i="11"/>
  <c r="DF50" i="11"/>
  <c r="DE50" i="11"/>
  <c r="DD50" i="11"/>
  <c r="DC50" i="11"/>
  <c r="DB50" i="11"/>
  <c r="DA50" i="11"/>
  <c r="CZ50" i="11"/>
  <c r="CY50" i="11"/>
  <c r="CX50" i="11"/>
  <c r="DX48" i="11"/>
  <c r="DW48" i="11"/>
  <c r="DV48" i="11"/>
  <c r="DU48" i="11"/>
  <c r="DT48" i="11"/>
  <c r="DS48" i="11"/>
  <c r="DR48" i="11"/>
  <c r="DQ48" i="11"/>
  <c r="DP48" i="11"/>
  <c r="DO48" i="11"/>
  <c r="DN48" i="11"/>
  <c r="DM48" i="11"/>
  <c r="DL48" i="11"/>
  <c r="DK48" i="11"/>
  <c r="DJ48" i="11"/>
  <c r="DI48" i="11"/>
  <c r="DH48" i="11"/>
  <c r="DG48" i="11"/>
  <c r="DF48" i="11"/>
  <c r="DE48" i="11"/>
  <c r="DD48" i="11"/>
  <c r="DC48" i="11"/>
  <c r="DB48" i="11"/>
  <c r="DA48" i="11"/>
  <c r="CZ48" i="11"/>
  <c r="CY48" i="11"/>
  <c r="CX48" i="11"/>
  <c r="DX46" i="11"/>
  <c r="DW46" i="11"/>
  <c r="DV46" i="11"/>
  <c r="DU46" i="11"/>
  <c r="DT46" i="11"/>
  <c r="DS46" i="11"/>
  <c r="DR46" i="11"/>
  <c r="DQ46" i="11"/>
  <c r="DP46" i="11"/>
  <c r="DO46" i="11"/>
  <c r="DN46" i="11"/>
  <c r="DM46" i="11"/>
  <c r="DL46" i="11"/>
  <c r="DK46" i="11"/>
  <c r="DJ46" i="11"/>
  <c r="DI46" i="11"/>
  <c r="DH46" i="11"/>
  <c r="DG46" i="11"/>
  <c r="DF46" i="11"/>
  <c r="DE46" i="11"/>
  <c r="DD46" i="11"/>
  <c r="DC46" i="11"/>
  <c r="DB46" i="11"/>
  <c r="DA46" i="11"/>
  <c r="CZ46" i="11"/>
  <c r="CY46" i="11"/>
  <c r="CX46" i="11"/>
  <c r="DX44" i="11"/>
  <c r="DW44" i="11"/>
  <c r="DV44" i="11"/>
  <c r="DU44" i="11"/>
  <c r="DT44" i="11"/>
  <c r="DS44" i="11"/>
  <c r="DR44" i="11"/>
  <c r="DQ44" i="11"/>
  <c r="DP44" i="11"/>
  <c r="DO44" i="11"/>
  <c r="DN44" i="11"/>
  <c r="DM44" i="11"/>
  <c r="DL44" i="11"/>
  <c r="DK44" i="11"/>
  <c r="DJ44" i="11"/>
  <c r="DI44" i="11"/>
  <c r="DH44" i="11"/>
  <c r="DG44" i="11"/>
  <c r="DF44" i="11"/>
  <c r="DE44" i="11"/>
  <c r="DD44" i="11"/>
  <c r="DC44" i="11"/>
  <c r="DB44" i="11"/>
  <c r="DA44" i="11"/>
  <c r="CZ44" i="11"/>
  <c r="CY44" i="11"/>
  <c r="CX44" i="11"/>
  <c r="DX42" i="11"/>
  <c r="DW42" i="11"/>
  <c r="DV42" i="11"/>
  <c r="DU42" i="11"/>
  <c r="DT42" i="11"/>
  <c r="DS42" i="11"/>
  <c r="DR42" i="11"/>
  <c r="DQ42" i="11"/>
  <c r="DP42" i="11"/>
  <c r="DO42" i="11"/>
  <c r="DN42" i="11"/>
  <c r="DM42" i="11"/>
  <c r="DL42" i="11"/>
  <c r="DK42" i="11"/>
  <c r="DJ42" i="11"/>
  <c r="DI42" i="11"/>
  <c r="DH42" i="11"/>
  <c r="DG42" i="11"/>
  <c r="DF42" i="11"/>
  <c r="DE42" i="11"/>
  <c r="DD42" i="11"/>
  <c r="DC42" i="11"/>
  <c r="DB42" i="11"/>
  <c r="DA42" i="11"/>
  <c r="CZ42" i="11"/>
  <c r="CY42" i="11"/>
  <c r="CX42" i="11"/>
  <c r="DX38" i="11"/>
  <c r="DW38" i="11"/>
  <c r="DV38" i="11"/>
  <c r="DU38" i="11"/>
  <c r="DT38" i="11"/>
  <c r="DS38" i="11"/>
  <c r="DR38" i="11"/>
  <c r="DQ38" i="11"/>
  <c r="DP38" i="11"/>
  <c r="DO38" i="11"/>
  <c r="DN38" i="11"/>
  <c r="DM38" i="11"/>
  <c r="DL38" i="11"/>
  <c r="DK38" i="11"/>
  <c r="DJ38" i="11"/>
  <c r="DI38" i="11"/>
  <c r="DH38" i="11"/>
  <c r="DG38" i="11"/>
  <c r="DF38" i="11"/>
  <c r="DE38" i="11"/>
  <c r="DD38" i="11"/>
  <c r="DC38" i="11"/>
  <c r="DB38" i="11"/>
  <c r="DA38" i="11"/>
  <c r="CZ38" i="11"/>
  <c r="CY38" i="11"/>
  <c r="CX38" i="11"/>
  <c r="DX18" i="11"/>
  <c r="DW18" i="11"/>
  <c r="DV18" i="11"/>
  <c r="DU18" i="11"/>
  <c r="DT18" i="11"/>
  <c r="DS18" i="11"/>
  <c r="DR18" i="11"/>
  <c r="DQ18" i="11"/>
  <c r="DP18" i="11"/>
  <c r="DO18" i="11"/>
  <c r="DN18" i="11"/>
  <c r="DM18" i="11"/>
  <c r="DL18" i="11"/>
  <c r="DK18" i="11"/>
  <c r="DJ18" i="11"/>
  <c r="DI18" i="11"/>
  <c r="DH18" i="11"/>
  <c r="DG18" i="11"/>
  <c r="DF18" i="11"/>
  <c r="DE18" i="11"/>
  <c r="DD18" i="11"/>
  <c r="DC18" i="11"/>
  <c r="DB18" i="11"/>
  <c r="DA18" i="11"/>
  <c r="CZ18" i="11"/>
  <c r="CY18" i="11"/>
  <c r="CX18" i="11"/>
  <c r="GK162" i="11"/>
  <c r="GJ162" i="11"/>
  <c r="GI162" i="11"/>
  <c r="GH162" i="11"/>
  <c r="GG162" i="11"/>
  <c r="GF162" i="11"/>
  <c r="GE162" i="11"/>
  <c r="GD162" i="11"/>
  <c r="GC162" i="11"/>
  <c r="GB162" i="11"/>
  <c r="GA162" i="11"/>
  <c r="FZ162" i="11"/>
  <c r="FY162" i="11"/>
  <c r="FX162" i="11"/>
  <c r="FW162" i="11"/>
  <c r="FV162" i="11"/>
  <c r="FU162" i="11"/>
  <c r="FT162" i="11"/>
  <c r="FS162" i="11"/>
  <c r="FR162" i="11"/>
  <c r="FQ162" i="11"/>
  <c r="FL162" i="11"/>
  <c r="EY162" i="11"/>
  <c r="DY162" i="11"/>
  <c r="CU162" i="11"/>
  <c r="CM162" i="11"/>
  <c r="BW162" i="11"/>
  <c r="AZ162" i="11"/>
  <c r="AM162" i="11"/>
  <c r="U162" i="11"/>
  <c r="G162" i="11"/>
  <c r="DX194" i="11"/>
  <c r="DW194" i="11"/>
  <c r="DV194" i="11"/>
  <c r="DU194" i="11"/>
  <c r="DT194" i="11"/>
  <c r="DS194" i="11"/>
  <c r="DR194" i="11"/>
  <c r="DQ194" i="11"/>
  <c r="DP194" i="11"/>
  <c r="DO194" i="11"/>
  <c r="DN194" i="11"/>
  <c r="DM194" i="11"/>
  <c r="DL194" i="11"/>
  <c r="DK194" i="11"/>
  <c r="DJ194" i="11"/>
  <c r="DI194" i="11"/>
  <c r="DH194" i="11"/>
  <c r="DG194" i="11"/>
  <c r="DF194" i="11"/>
  <c r="DE194" i="11"/>
  <c r="DD194" i="11"/>
  <c r="DC194" i="11"/>
  <c r="DB194" i="11"/>
  <c r="DA194" i="11"/>
  <c r="CZ194" i="11"/>
  <c r="CY194" i="11"/>
  <c r="CX194" i="11"/>
  <c r="CW194" i="11"/>
  <c r="CV194" i="11"/>
  <c r="CU194" i="11"/>
  <c r="DX192" i="11"/>
  <c r="DW192" i="11"/>
  <c r="DV192" i="11"/>
  <c r="DU192" i="11"/>
  <c r="DT192" i="11"/>
  <c r="DS192" i="11"/>
  <c r="DR192" i="11"/>
  <c r="DQ192" i="11"/>
  <c r="DP192" i="11"/>
  <c r="DO192" i="11"/>
  <c r="DN192" i="11"/>
  <c r="DM192" i="11"/>
  <c r="DL192" i="11"/>
  <c r="DK192" i="11"/>
  <c r="DJ192" i="11"/>
  <c r="DI192" i="11"/>
  <c r="DH192" i="11"/>
  <c r="DG192" i="11"/>
  <c r="DF192" i="11"/>
  <c r="DE192" i="11"/>
  <c r="DD192" i="11"/>
  <c r="DC192" i="11"/>
  <c r="DB192" i="11"/>
  <c r="DA192" i="11"/>
  <c r="CZ192" i="11"/>
  <c r="CY192" i="11"/>
  <c r="CX192" i="11"/>
  <c r="CW192" i="11"/>
  <c r="CV192" i="11"/>
  <c r="CU192" i="11"/>
  <c r="CT194" i="11"/>
  <c r="CT192" i="11"/>
  <c r="DX24" i="11"/>
  <c r="DW24" i="11"/>
  <c r="DV24" i="11"/>
  <c r="DU24" i="11"/>
  <c r="DT24" i="11"/>
  <c r="DS24" i="11"/>
  <c r="DR24" i="11"/>
  <c r="DQ24" i="11"/>
  <c r="DP24" i="11"/>
  <c r="DO24" i="11"/>
  <c r="DN24" i="11"/>
  <c r="DM24" i="11"/>
  <c r="DL24" i="11"/>
  <c r="DK24" i="11"/>
  <c r="DJ24" i="11"/>
  <c r="DI24" i="11"/>
  <c r="DH24" i="11"/>
  <c r="DG24" i="11"/>
  <c r="DF24" i="11"/>
  <c r="DE24" i="11"/>
  <c r="DD24" i="11"/>
  <c r="DC24" i="11"/>
  <c r="DB24" i="11"/>
  <c r="DA24" i="11"/>
  <c r="CZ24" i="11"/>
  <c r="CY24" i="11"/>
  <c r="CX24" i="11"/>
  <c r="CW24" i="11"/>
  <c r="CV24" i="11"/>
  <c r="CU24" i="11"/>
  <c r="DX22" i="11"/>
  <c r="DW22" i="11"/>
  <c r="DV22" i="11"/>
  <c r="DU22" i="11"/>
  <c r="DT22" i="11"/>
  <c r="DS22" i="11"/>
  <c r="DR22" i="11"/>
  <c r="DQ22" i="11"/>
  <c r="DP22" i="11"/>
  <c r="DO22" i="11"/>
  <c r="DN22" i="11"/>
  <c r="DM22" i="11"/>
  <c r="DL22" i="11"/>
  <c r="DK22" i="11"/>
  <c r="DJ22" i="11"/>
  <c r="DI22" i="11"/>
  <c r="DH22" i="11"/>
  <c r="DG22" i="11"/>
  <c r="DF22" i="11"/>
  <c r="DE22" i="11"/>
  <c r="DD22" i="11"/>
  <c r="DC22" i="11"/>
  <c r="DB22" i="11"/>
  <c r="DA22" i="11"/>
  <c r="CZ22" i="11"/>
  <c r="CY22" i="11"/>
  <c r="CX22" i="11"/>
  <c r="CW22" i="11"/>
  <c r="CV22" i="11"/>
  <c r="CU22" i="11"/>
  <c r="CT14" i="11"/>
  <c r="GK194" i="11"/>
  <c r="GJ194" i="11"/>
  <c r="GI194" i="11"/>
  <c r="GH194" i="11"/>
  <c r="GG194" i="11"/>
  <c r="GF194" i="11"/>
  <c r="GE194" i="11"/>
  <c r="GD194" i="11"/>
  <c r="GC194" i="11"/>
  <c r="GB194" i="11"/>
  <c r="GA194" i="11"/>
  <c r="FY194" i="11"/>
  <c r="FX194" i="11"/>
  <c r="FW194" i="11"/>
  <c r="FV194" i="11"/>
  <c r="FU194" i="11"/>
  <c r="FT194" i="11"/>
  <c r="FS194" i="11"/>
  <c r="FR194" i="11"/>
  <c r="FQ194" i="11"/>
  <c r="FP194" i="11"/>
  <c r="FO194" i="11"/>
  <c r="FN194" i="11"/>
  <c r="FM194" i="11"/>
  <c r="FL194" i="11"/>
  <c r="FK194" i="11"/>
  <c r="FJ194" i="11"/>
  <c r="FI194" i="11"/>
  <c r="FH194" i="11"/>
  <c r="FG194" i="11"/>
  <c r="FF194" i="11"/>
  <c r="FE194" i="11"/>
  <c r="FD194" i="11"/>
  <c r="FC194" i="11"/>
  <c r="FB194" i="11"/>
  <c r="FA194" i="11"/>
  <c r="EZ194" i="11"/>
  <c r="EY194" i="11"/>
  <c r="EX194" i="11"/>
  <c r="EV194" i="11"/>
  <c r="EU194" i="11"/>
  <c r="ET194" i="11"/>
  <c r="ES194" i="11"/>
  <c r="ER194" i="11"/>
  <c r="EQ194" i="11"/>
  <c r="EP194" i="11"/>
  <c r="EO194" i="11"/>
  <c r="EN194" i="11"/>
  <c r="EM194" i="11"/>
  <c r="EL194" i="11"/>
  <c r="EK194" i="11"/>
  <c r="EJ194" i="11"/>
  <c r="EI194" i="11"/>
  <c r="EH194" i="11"/>
  <c r="EG194" i="11"/>
  <c r="EF194" i="11"/>
  <c r="EE194" i="11"/>
  <c r="ED194" i="11"/>
  <c r="EC194" i="11"/>
  <c r="EB194" i="11"/>
  <c r="EA194" i="11"/>
  <c r="DZ194" i="11"/>
  <c r="DY194" i="11"/>
  <c r="CS194" i="11"/>
  <c r="CR194" i="11"/>
  <c r="CQ194" i="11"/>
  <c r="CP194" i="11"/>
  <c r="CO194" i="11"/>
  <c r="CN194" i="11"/>
  <c r="CM194" i="11"/>
  <c r="CL194" i="11"/>
  <c r="CK194" i="11"/>
  <c r="CJ194" i="11"/>
  <c r="CI194" i="11"/>
  <c r="CH194" i="11"/>
  <c r="CG194" i="11"/>
  <c r="CF194" i="11"/>
  <c r="CE194" i="11"/>
  <c r="CD194" i="11"/>
  <c r="CC194" i="11"/>
  <c r="CB194" i="11"/>
  <c r="CA194" i="11"/>
  <c r="BZ194" i="11"/>
  <c r="BY194" i="11"/>
  <c r="BX194" i="11"/>
  <c r="BW194" i="11"/>
  <c r="BV194" i="11"/>
  <c r="BU194" i="11"/>
  <c r="BT194" i="11"/>
  <c r="BS194" i="11"/>
  <c r="BR194" i="11"/>
  <c r="BQ194" i="11"/>
  <c r="BP194" i="11"/>
  <c r="BO194" i="11"/>
  <c r="BN194" i="11"/>
  <c r="BM194" i="11"/>
  <c r="BL194" i="11"/>
  <c r="BK194" i="11"/>
  <c r="BJ194" i="11"/>
  <c r="BI194" i="11"/>
  <c r="BH194" i="11"/>
  <c r="BG194" i="11"/>
  <c r="BF194" i="11"/>
  <c r="BE194" i="11"/>
  <c r="BD194" i="11"/>
  <c r="BC194" i="11"/>
  <c r="BB194" i="11"/>
  <c r="BA194" i="11"/>
  <c r="AZ194" i="11"/>
  <c r="AY194" i="11"/>
  <c r="AX194" i="11"/>
  <c r="AW194" i="11"/>
  <c r="AV194" i="11"/>
  <c r="AU194" i="11"/>
  <c r="AT194" i="11"/>
  <c r="AS194" i="11"/>
  <c r="AR194" i="11"/>
  <c r="AQ194" i="11"/>
  <c r="AP194" i="11"/>
  <c r="AO194" i="11"/>
  <c r="AN194" i="11"/>
  <c r="AM194" i="11"/>
  <c r="AK194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E194" i="11"/>
  <c r="D194" i="11"/>
  <c r="B194" i="11"/>
  <c r="A194" i="11"/>
  <c r="GL193" i="11"/>
  <c r="GK192" i="11"/>
  <c r="GJ192" i="11"/>
  <c r="GI192" i="11"/>
  <c r="GH192" i="11"/>
  <c r="GG192" i="11"/>
  <c r="GF192" i="11"/>
  <c r="GE192" i="11"/>
  <c r="GD192" i="11"/>
  <c r="GC192" i="11"/>
  <c r="GB192" i="11"/>
  <c r="GA192" i="11"/>
  <c r="FZ192" i="11"/>
  <c r="FY192" i="11"/>
  <c r="FX192" i="11"/>
  <c r="FW192" i="11"/>
  <c r="FV192" i="11"/>
  <c r="FU192" i="11"/>
  <c r="FT192" i="11"/>
  <c r="FS192" i="11"/>
  <c r="FR192" i="11"/>
  <c r="FQ192" i="11"/>
  <c r="FP192" i="11"/>
  <c r="FN192" i="11"/>
  <c r="FM192" i="11"/>
  <c r="FL192" i="11"/>
  <c r="FK192" i="11"/>
  <c r="FJ192" i="11"/>
  <c r="FI192" i="11"/>
  <c r="FH192" i="11"/>
  <c r="FG192" i="11"/>
  <c r="FF192" i="11"/>
  <c r="FE192" i="11"/>
  <c r="FD192" i="11"/>
  <c r="FC192" i="11"/>
  <c r="FB192" i="11"/>
  <c r="FA192" i="11"/>
  <c r="EZ192" i="11"/>
  <c r="EY192" i="11"/>
  <c r="EX192" i="11"/>
  <c r="EV192" i="11"/>
  <c r="EU192" i="11"/>
  <c r="ET192" i="11"/>
  <c r="ES192" i="11"/>
  <c r="ER192" i="11"/>
  <c r="EQ192" i="11"/>
  <c r="EP192" i="11"/>
  <c r="EO192" i="11"/>
  <c r="EN192" i="11"/>
  <c r="EM192" i="11"/>
  <c r="EL192" i="11"/>
  <c r="EK192" i="11"/>
  <c r="EJ192" i="11"/>
  <c r="EI192" i="11"/>
  <c r="EH192" i="11"/>
  <c r="EG192" i="11"/>
  <c r="EF192" i="11"/>
  <c r="EE192" i="11"/>
  <c r="ED192" i="11"/>
  <c r="EC192" i="11"/>
  <c r="EB192" i="11"/>
  <c r="EA192" i="11"/>
  <c r="DZ192" i="11"/>
  <c r="DY192" i="11"/>
  <c r="CS192" i="11"/>
  <c r="CR192" i="11"/>
  <c r="CQ192" i="11"/>
  <c r="CP192" i="11"/>
  <c r="CO192" i="11"/>
  <c r="CN192" i="11"/>
  <c r="CM192" i="11"/>
  <c r="CL192" i="11"/>
  <c r="CK192" i="11"/>
  <c r="CJ192" i="11"/>
  <c r="CI192" i="11"/>
  <c r="CH192" i="11"/>
  <c r="CG192" i="11"/>
  <c r="CF192" i="11"/>
  <c r="CE192" i="11"/>
  <c r="CD192" i="11"/>
  <c r="CC192" i="11"/>
  <c r="CB192" i="11"/>
  <c r="CA192" i="11"/>
  <c r="BZ192" i="11"/>
  <c r="BY192" i="11"/>
  <c r="BX192" i="11"/>
  <c r="BW192" i="11"/>
  <c r="BV192" i="11"/>
  <c r="BU192" i="11"/>
  <c r="BT192" i="11"/>
  <c r="BS192" i="11"/>
  <c r="BR192" i="11"/>
  <c r="BQ192" i="11"/>
  <c r="BP192" i="11"/>
  <c r="BO192" i="11"/>
  <c r="BN192" i="11"/>
  <c r="BM192" i="11"/>
  <c r="BL192" i="11"/>
  <c r="BK192" i="11"/>
  <c r="BJ192" i="11"/>
  <c r="BI192" i="11"/>
  <c r="BH192" i="11"/>
  <c r="BG192" i="11"/>
  <c r="BF192" i="11"/>
  <c r="BE192" i="11"/>
  <c r="BD192" i="11"/>
  <c r="BC192" i="11"/>
  <c r="BB192" i="11"/>
  <c r="BA192" i="11"/>
  <c r="AZ192" i="11"/>
  <c r="AY192" i="11"/>
  <c r="AX192" i="11"/>
  <c r="AW192" i="11"/>
  <c r="AV192" i="11"/>
  <c r="AU192" i="11"/>
  <c r="AT192" i="11"/>
  <c r="AS192" i="11"/>
  <c r="AR192" i="11"/>
  <c r="AQ192" i="11"/>
  <c r="AP192" i="11"/>
  <c r="AO192" i="11"/>
  <c r="AN192" i="11"/>
  <c r="AM192" i="11"/>
  <c r="AK192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E192" i="11"/>
  <c r="D192" i="11"/>
  <c r="B192" i="11"/>
  <c r="A192" i="11"/>
  <c r="GL191" i="11"/>
  <c r="AG198" i="11"/>
  <c r="AN198" i="11"/>
  <c r="CJ198" i="11"/>
  <c r="AG132" i="11"/>
  <c r="BT132" i="11"/>
  <c r="CJ132" i="11"/>
  <c r="FL132" i="11"/>
  <c r="FG132" i="11"/>
  <c r="GL111" i="11"/>
  <c r="D216" i="11"/>
  <c r="C216" i="11"/>
  <c r="B216" i="11"/>
  <c r="A216" i="11"/>
  <c r="GL215" i="11"/>
  <c r="I112" i="11"/>
  <c r="H112" i="11"/>
  <c r="G112" i="11"/>
  <c r="L112" i="11"/>
  <c r="K112" i="11"/>
  <c r="J112" i="11"/>
  <c r="C176" i="11"/>
  <c r="GJ28" i="1"/>
  <c r="GJ84" i="1"/>
  <c r="CI198" i="11"/>
  <c r="BZ132" i="11"/>
  <c r="BZ198" i="11"/>
  <c r="GL91" i="11"/>
  <c r="A92" i="11"/>
  <c r="B92" i="11"/>
  <c r="D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J92" i="11"/>
  <c r="AK92" i="11"/>
  <c r="AL92" i="11"/>
  <c r="AM92" i="11"/>
  <c r="AN92" i="11"/>
  <c r="AO92" i="11"/>
  <c r="AP92" i="11"/>
  <c r="AQ92" i="11"/>
  <c r="AR92" i="11"/>
  <c r="AS92" i="11"/>
  <c r="AT92" i="11"/>
  <c r="AU92" i="11"/>
  <c r="AV92" i="11"/>
  <c r="AW92" i="11"/>
  <c r="AX92" i="11"/>
  <c r="AY92" i="11"/>
  <c r="AZ92" i="11"/>
  <c r="BA92" i="11"/>
  <c r="BB92" i="11"/>
  <c r="BC92" i="11"/>
  <c r="BD92" i="11"/>
  <c r="BE92" i="11"/>
  <c r="BF92" i="11"/>
  <c r="BG92" i="11"/>
  <c r="BH92" i="11"/>
  <c r="BI92" i="11"/>
  <c r="BJ92" i="11"/>
  <c r="BK92" i="11"/>
  <c r="BL92" i="11"/>
  <c r="BM92" i="11"/>
  <c r="BN92" i="11"/>
  <c r="BO92" i="11"/>
  <c r="BP92" i="11"/>
  <c r="BQ92" i="11"/>
  <c r="BR92" i="11"/>
  <c r="BS92" i="11"/>
  <c r="BT92" i="11"/>
  <c r="BW92" i="11"/>
  <c r="BX92" i="11"/>
  <c r="BY92" i="11"/>
  <c r="BZ92" i="11"/>
  <c r="CA92" i="11"/>
  <c r="CB92" i="11"/>
  <c r="CC92" i="11"/>
  <c r="CD92" i="11"/>
  <c r="CE92" i="11"/>
  <c r="CF92" i="11"/>
  <c r="CG92" i="11"/>
  <c r="CH92" i="11"/>
  <c r="CI92" i="11"/>
  <c r="CJ92" i="11"/>
  <c r="CK92" i="11"/>
  <c r="CL92" i="11"/>
  <c r="CM92" i="11"/>
  <c r="CN92" i="11"/>
  <c r="CO92" i="11"/>
  <c r="CP92" i="11"/>
  <c r="CQ92" i="11"/>
  <c r="CR92" i="11"/>
  <c r="CS92" i="11"/>
  <c r="CT92" i="11"/>
  <c r="CU92" i="11"/>
  <c r="CV92" i="11"/>
  <c r="CW92" i="11"/>
  <c r="DY92" i="11"/>
  <c r="DZ92" i="11"/>
  <c r="EA92" i="11"/>
  <c r="EB92" i="11"/>
  <c r="EC92" i="11"/>
  <c r="ED92" i="11"/>
  <c r="EE92" i="11"/>
  <c r="EF92" i="11"/>
  <c r="EG92" i="11"/>
  <c r="EH92" i="11"/>
  <c r="EI92" i="11"/>
  <c r="EJ92" i="11"/>
  <c r="EK92" i="11"/>
  <c r="EL92" i="11"/>
  <c r="EM92" i="11"/>
  <c r="EN92" i="11"/>
  <c r="EO92" i="11"/>
  <c r="EP92" i="11"/>
  <c r="EQ92" i="11"/>
  <c r="ER92" i="11"/>
  <c r="ES92" i="11"/>
  <c r="ET92" i="11"/>
  <c r="EU92" i="11"/>
  <c r="EV92" i="11"/>
  <c r="EX92" i="11"/>
  <c r="EY92" i="11"/>
  <c r="EZ92" i="11"/>
  <c r="FA92" i="11"/>
  <c r="FB92" i="11"/>
  <c r="FC92" i="11"/>
  <c r="FD92" i="11"/>
  <c r="FE92" i="11"/>
  <c r="FF92" i="11"/>
  <c r="FG92" i="11"/>
  <c r="FH92" i="11"/>
  <c r="FI92" i="11"/>
  <c r="FJ92" i="11"/>
  <c r="FK92" i="11"/>
  <c r="FL92" i="11"/>
  <c r="FM92" i="11"/>
  <c r="FN92" i="11"/>
  <c r="FO92" i="11"/>
  <c r="FP92" i="11"/>
  <c r="FQ92" i="11"/>
  <c r="FR92" i="11"/>
  <c r="FS92" i="11"/>
  <c r="FT92" i="11"/>
  <c r="FU92" i="11"/>
  <c r="FV92" i="11"/>
  <c r="FW92" i="11"/>
  <c r="FX92" i="11"/>
  <c r="FY92" i="11"/>
  <c r="FZ92" i="11"/>
  <c r="GA92" i="11"/>
  <c r="GB92" i="11"/>
  <c r="GC92" i="11"/>
  <c r="GD92" i="11"/>
  <c r="GE92" i="11"/>
  <c r="GF92" i="11"/>
  <c r="GG92" i="11"/>
  <c r="GH92" i="11"/>
  <c r="GI92" i="11"/>
  <c r="GJ92" i="11"/>
  <c r="GK92" i="11"/>
  <c r="GK210" i="11"/>
  <c r="GJ210" i="11"/>
  <c r="GI210" i="11"/>
  <c r="GH210" i="11"/>
  <c r="GG210" i="11"/>
  <c r="GE210" i="11"/>
  <c r="GD210" i="11"/>
  <c r="GB210" i="11"/>
  <c r="GA210" i="11"/>
  <c r="FZ210" i="11"/>
  <c r="FY210" i="11"/>
  <c r="FX210" i="11"/>
  <c r="FW210" i="11"/>
  <c r="FV210" i="11"/>
  <c r="FU210" i="11"/>
  <c r="FT210" i="11"/>
  <c r="FS210" i="11"/>
  <c r="FR210" i="11"/>
  <c r="FQ210" i="11"/>
  <c r="FP210" i="11"/>
  <c r="FO210" i="11"/>
  <c r="FN210" i="11"/>
  <c r="FM210" i="11"/>
  <c r="FL210" i="11"/>
  <c r="FK210" i="11"/>
  <c r="FJ210" i="11"/>
  <c r="FI210" i="11"/>
  <c r="FH210" i="11"/>
  <c r="FG210" i="11"/>
  <c r="FF210" i="11"/>
  <c r="FE210" i="11"/>
  <c r="FD210" i="11"/>
  <c r="FC210" i="11"/>
  <c r="FB210" i="11"/>
  <c r="FA210" i="11"/>
  <c r="EZ210" i="11"/>
  <c r="EX210" i="11"/>
  <c r="EV210" i="11"/>
  <c r="EU210" i="11"/>
  <c r="ET210" i="11"/>
  <c r="ES210" i="11"/>
  <c r="ER210" i="11"/>
  <c r="EQ210" i="11"/>
  <c r="EP210" i="11"/>
  <c r="EO210" i="11"/>
  <c r="EN210" i="11"/>
  <c r="EM210" i="11"/>
  <c r="EL210" i="11"/>
  <c r="EK210" i="11"/>
  <c r="EJ210" i="11"/>
  <c r="EI210" i="11"/>
  <c r="EH210" i="11"/>
  <c r="EG210" i="11"/>
  <c r="EF210" i="11"/>
  <c r="EE210" i="11"/>
  <c r="ED210" i="11"/>
  <c r="EC210" i="11"/>
  <c r="EB210" i="11"/>
  <c r="EA210" i="11"/>
  <c r="DZ210" i="11"/>
  <c r="DY210" i="11"/>
  <c r="DX210" i="11"/>
  <c r="DW210" i="11"/>
  <c r="DV210" i="11"/>
  <c r="DU210" i="11"/>
  <c r="CW210" i="11"/>
  <c r="CV210" i="11"/>
  <c r="CU210" i="11"/>
  <c r="CT210" i="11"/>
  <c r="CS210" i="11"/>
  <c r="CR210" i="11"/>
  <c r="CQ210" i="11"/>
  <c r="CP210" i="11"/>
  <c r="CO210" i="11"/>
  <c r="CN210" i="11"/>
  <c r="CM210" i="11"/>
  <c r="CL210" i="11"/>
  <c r="CK210" i="11"/>
  <c r="CJ210" i="11"/>
  <c r="CI210" i="11"/>
  <c r="CH210" i="11"/>
  <c r="CG210" i="11"/>
  <c r="CF210" i="11"/>
  <c r="CE210" i="11"/>
  <c r="CD210" i="11"/>
  <c r="CC210" i="11"/>
  <c r="CB210" i="11"/>
  <c r="CA210" i="11"/>
  <c r="BZ210" i="11"/>
  <c r="BY210" i="11"/>
  <c r="BX210" i="11"/>
  <c r="BW210" i="11"/>
  <c r="BV210" i="11"/>
  <c r="BU210" i="11"/>
  <c r="BT210" i="11"/>
  <c r="BS210" i="11"/>
  <c r="BR210" i="11"/>
  <c r="BQ210" i="11"/>
  <c r="BP210" i="11"/>
  <c r="BO210" i="11"/>
  <c r="BN210" i="11"/>
  <c r="BM210" i="11"/>
  <c r="BL210" i="11"/>
  <c r="BK210" i="11"/>
  <c r="BJ210" i="11"/>
  <c r="BI210" i="11"/>
  <c r="BH210" i="11"/>
  <c r="BG210" i="11"/>
  <c r="BF210" i="11"/>
  <c r="BE210" i="11"/>
  <c r="BD210" i="11"/>
  <c r="BC210" i="11"/>
  <c r="BB210" i="11"/>
  <c r="BA210" i="11"/>
  <c r="AZ210" i="11"/>
  <c r="AY210" i="11"/>
  <c r="AX210" i="11"/>
  <c r="AW210" i="11"/>
  <c r="AV210" i="11"/>
  <c r="AU210" i="11"/>
  <c r="AT210" i="11"/>
  <c r="AS210" i="11"/>
  <c r="AR210" i="11"/>
  <c r="AQ210" i="11"/>
  <c r="AP210" i="11"/>
  <c r="AO210" i="11"/>
  <c r="AN210" i="11"/>
  <c r="AM210" i="11"/>
  <c r="AL210" i="11"/>
  <c r="AK210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C210" i="11"/>
  <c r="B210" i="11"/>
  <c r="A210" i="11"/>
  <c r="GL209" i="11"/>
  <c r="A90" i="11"/>
  <c r="B90" i="11"/>
  <c r="C90" i="11"/>
  <c r="D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J90" i="11"/>
  <c r="AK90" i="11"/>
  <c r="AL90" i="11"/>
  <c r="AM90" i="11"/>
  <c r="AN90" i="11"/>
  <c r="AO90" i="11"/>
  <c r="AP90" i="11"/>
  <c r="AQ90" i="11"/>
  <c r="AR90" i="11"/>
  <c r="AS90" i="11"/>
  <c r="AT90" i="11"/>
  <c r="AU90" i="11"/>
  <c r="AV90" i="11"/>
  <c r="AW90" i="11"/>
  <c r="AX90" i="11"/>
  <c r="AY90" i="11"/>
  <c r="AZ90" i="11"/>
  <c r="BA90" i="11"/>
  <c r="BB90" i="11"/>
  <c r="BC90" i="11"/>
  <c r="BD90" i="11"/>
  <c r="BE90" i="11"/>
  <c r="BF90" i="11"/>
  <c r="BG90" i="11"/>
  <c r="BH90" i="11"/>
  <c r="BI90" i="11"/>
  <c r="BJ90" i="11"/>
  <c r="BK90" i="11"/>
  <c r="BL90" i="11"/>
  <c r="BM90" i="11"/>
  <c r="BN90" i="11"/>
  <c r="BO90" i="11"/>
  <c r="BP90" i="11"/>
  <c r="BQ90" i="11"/>
  <c r="BR90" i="11"/>
  <c r="BT90" i="11"/>
  <c r="BU90" i="11"/>
  <c r="BV90" i="11"/>
  <c r="BW90" i="11"/>
  <c r="BX90" i="11"/>
  <c r="BY90" i="11"/>
  <c r="BZ90" i="11"/>
  <c r="CA90" i="11"/>
  <c r="CB90" i="11"/>
  <c r="CC90" i="11"/>
  <c r="CD90" i="11"/>
  <c r="CE90" i="11"/>
  <c r="CF90" i="11"/>
  <c r="CG90" i="11"/>
  <c r="CH90" i="11"/>
  <c r="CI90" i="11"/>
  <c r="CJ90" i="11"/>
  <c r="CK90" i="11"/>
  <c r="CL90" i="11"/>
  <c r="CM90" i="11"/>
  <c r="CN90" i="11"/>
  <c r="CO90" i="11"/>
  <c r="CP90" i="11"/>
  <c r="CQ90" i="11"/>
  <c r="CR90" i="11"/>
  <c r="CS90" i="11"/>
  <c r="CT90" i="11"/>
  <c r="CU90" i="11"/>
  <c r="CV90" i="11"/>
  <c r="CW90" i="11"/>
  <c r="DY90" i="11"/>
  <c r="DZ90" i="11"/>
  <c r="EA90" i="11"/>
  <c r="EB90" i="11"/>
  <c r="EC90" i="11"/>
  <c r="ED90" i="11"/>
  <c r="EE90" i="11"/>
  <c r="EF90" i="11"/>
  <c r="EG90" i="11"/>
  <c r="EH90" i="11"/>
  <c r="EI90" i="11"/>
  <c r="EJ90" i="11"/>
  <c r="EK90" i="11"/>
  <c r="EL90" i="11"/>
  <c r="EM90" i="11"/>
  <c r="EN90" i="11"/>
  <c r="EO90" i="11"/>
  <c r="EP90" i="11"/>
  <c r="EQ90" i="11"/>
  <c r="ER90" i="11"/>
  <c r="ES90" i="11"/>
  <c r="ET90" i="11"/>
  <c r="EU90" i="11"/>
  <c r="EV90" i="11"/>
  <c r="EX90" i="11"/>
  <c r="EY90" i="11"/>
  <c r="EZ90" i="11"/>
  <c r="FA90" i="11"/>
  <c r="FB90" i="11"/>
  <c r="FC90" i="11"/>
  <c r="FD90" i="11"/>
  <c r="FE90" i="11"/>
  <c r="FF90" i="11"/>
  <c r="FG90" i="11"/>
  <c r="FH90" i="11"/>
  <c r="FI90" i="11"/>
  <c r="FJ90" i="11"/>
  <c r="FK90" i="11"/>
  <c r="FL90" i="11"/>
  <c r="FM90" i="11"/>
  <c r="FN90" i="11"/>
  <c r="FO90" i="11"/>
  <c r="FP90" i="11"/>
  <c r="FQ90" i="11"/>
  <c r="FR90" i="11"/>
  <c r="FS90" i="11"/>
  <c r="FT90" i="11"/>
  <c r="FU90" i="11"/>
  <c r="FV90" i="11"/>
  <c r="FW90" i="11"/>
  <c r="FX90" i="11"/>
  <c r="FY90" i="11"/>
  <c r="FZ90" i="11"/>
  <c r="GA90" i="11"/>
  <c r="GB90" i="11"/>
  <c r="GC90" i="11"/>
  <c r="GD90" i="11"/>
  <c r="GE90" i="11"/>
  <c r="GF90" i="11"/>
  <c r="GG90" i="11"/>
  <c r="GH90" i="11"/>
  <c r="GI90" i="11"/>
  <c r="GJ90" i="11"/>
  <c r="GK90" i="11"/>
  <c r="GJ47" i="1"/>
  <c r="A200" i="11"/>
  <c r="B200" i="11"/>
  <c r="C200" i="11"/>
  <c r="D200" i="11"/>
  <c r="GL189" i="11"/>
  <c r="D186" i="11"/>
  <c r="D190" i="11"/>
  <c r="GK218" i="11"/>
  <c r="GJ218" i="11"/>
  <c r="GI218" i="11"/>
  <c r="GH218" i="11"/>
  <c r="GG218" i="11"/>
  <c r="GF218" i="11"/>
  <c r="GE218" i="11"/>
  <c r="GD218" i="11"/>
  <c r="GC218" i="11"/>
  <c r="GB218" i="11"/>
  <c r="GA218" i="11"/>
  <c r="FZ218" i="11"/>
  <c r="FY218" i="11"/>
  <c r="FX218" i="11"/>
  <c r="FW218" i="11"/>
  <c r="FV218" i="11"/>
  <c r="FU218" i="11"/>
  <c r="FT218" i="11"/>
  <c r="FS218" i="11"/>
  <c r="FR218" i="11"/>
  <c r="FQ218" i="11"/>
  <c r="FP218" i="11"/>
  <c r="FO218" i="11"/>
  <c r="FN218" i="11"/>
  <c r="FM218" i="11"/>
  <c r="FL218" i="11"/>
  <c r="FK218" i="11"/>
  <c r="FJ218" i="11"/>
  <c r="FI218" i="11"/>
  <c r="FH218" i="11"/>
  <c r="FG218" i="11"/>
  <c r="FF218" i="11"/>
  <c r="FE218" i="11"/>
  <c r="FD218" i="11"/>
  <c r="FC218" i="11"/>
  <c r="FB218" i="11"/>
  <c r="FA218" i="11"/>
  <c r="EZ218" i="11"/>
  <c r="EY218" i="11"/>
  <c r="EX218" i="11"/>
  <c r="EV218" i="11"/>
  <c r="EU218" i="11"/>
  <c r="ET218" i="11"/>
  <c r="ES218" i="11"/>
  <c r="ER218" i="11"/>
  <c r="EQ218" i="11"/>
  <c r="EP218" i="11"/>
  <c r="EO218" i="11"/>
  <c r="EN218" i="11"/>
  <c r="EM218" i="11"/>
  <c r="EL218" i="11"/>
  <c r="EK218" i="11"/>
  <c r="EJ218" i="11"/>
  <c r="EI218" i="11"/>
  <c r="EH218" i="11"/>
  <c r="EG218" i="11"/>
  <c r="EF218" i="11"/>
  <c r="EE218" i="11"/>
  <c r="ED218" i="11"/>
  <c r="EC218" i="11"/>
  <c r="EB218" i="11"/>
  <c r="EA218" i="11"/>
  <c r="DZ218" i="11"/>
  <c r="DY218" i="11"/>
  <c r="DX218" i="11"/>
  <c r="DW218" i="11"/>
  <c r="DV218" i="11"/>
  <c r="DU218" i="11"/>
  <c r="CW218" i="11"/>
  <c r="CV218" i="11"/>
  <c r="CU218" i="11"/>
  <c r="CT218" i="11"/>
  <c r="CS218" i="11"/>
  <c r="CR218" i="11"/>
  <c r="CQ218" i="11"/>
  <c r="CP218" i="11"/>
  <c r="CO218" i="11"/>
  <c r="CN218" i="11"/>
  <c r="CM218" i="11"/>
  <c r="CL218" i="11"/>
  <c r="CK218" i="11"/>
  <c r="CJ218" i="11"/>
  <c r="CI218" i="11"/>
  <c r="CH218" i="11"/>
  <c r="CG218" i="11"/>
  <c r="CF218" i="11"/>
  <c r="CE218" i="11"/>
  <c r="CD218" i="11"/>
  <c r="CC218" i="11"/>
  <c r="CB218" i="11"/>
  <c r="CA218" i="11"/>
  <c r="BZ218" i="11"/>
  <c r="BY218" i="11"/>
  <c r="BX218" i="11"/>
  <c r="BW218" i="11"/>
  <c r="BV218" i="11"/>
  <c r="BU218" i="11"/>
  <c r="BT218" i="11"/>
  <c r="BS218" i="11"/>
  <c r="BR218" i="11"/>
  <c r="BQ218" i="11"/>
  <c r="BP218" i="11"/>
  <c r="BO218" i="11"/>
  <c r="BN218" i="11"/>
  <c r="BM218" i="11"/>
  <c r="BL218" i="11"/>
  <c r="BK218" i="11"/>
  <c r="BJ218" i="11"/>
  <c r="BI218" i="11"/>
  <c r="BH218" i="11"/>
  <c r="BG218" i="11"/>
  <c r="BF218" i="11"/>
  <c r="BE218" i="11"/>
  <c r="BD218" i="11"/>
  <c r="BC218" i="11"/>
  <c r="BB218" i="11"/>
  <c r="BA218" i="11"/>
  <c r="AZ218" i="11"/>
  <c r="AY218" i="11"/>
  <c r="AX218" i="11"/>
  <c r="AW218" i="11"/>
  <c r="AV218" i="11"/>
  <c r="AU218" i="11"/>
  <c r="AT218" i="11"/>
  <c r="AS218" i="11"/>
  <c r="AR218" i="11"/>
  <c r="AQ218" i="11"/>
  <c r="AP218" i="11"/>
  <c r="AO218" i="11"/>
  <c r="AN218" i="11"/>
  <c r="AM218" i="11"/>
  <c r="AL218" i="11"/>
  <c r="AK218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E218" i="11"/>
  <c r="D218" i="11"/>
  <c r="B218" i="11"/>
  <c r="A218" i="11"/>
  <c r="GL217" i="11"/>
  <c r="GJ59" i="1"/>
  <c r="EX52" i="11"/>
  <c r="CI52" i="11"/>
  <c r="CE52" i="11"/>
  <c r="CF52" i="11"/>
  <c r="CG52" i="11"/>
  <c r="CH52" i="11"/>
  <c r="CK52" i="11"/>
  <c r="CJ52" i="11"/>
  <c r="CL52" i="11"/>
  <c r="AU50" i="11"/>
  <c r="CP52" i="11"/>
  <c r="GJ36" i="1"/>
  <c r="GJ86" i="1"/>
  <c r="GK52" i="11"/>
  <c r="GJ52" i="11"/>
  <c r="GI52" i="11"/>
  <c r="GH52" i="11"/>
  <c r="GG52" i="11"/>
  <c r="GF52" i="11"/>
  <c r="GE52" i="11"/>
  <c r="GD52" i="11"/>
  <c r="GC52" i="11"/>
  <c r="GB52" i="11"/>
  <c r="GA52" i="11"/>
  <c r="FZ52" i="11"/>
  <c r="FY52" i="11"/>
  <c r="FX52" i="11"/>
  <c r="FW52" i="11"/>
  <c r="FV52" i="11"/>
  <c r="FU52" i="11"/>
  <c r="FT52" i="11"/>
  <c r="FS52" i="11"/>
  <c r="FR52" i="11"/>
  <c r="FQ52" i="11"/>
  <c r="FP52" i="11"/>
  <c r="FO52" i="11"/>
  <c r="FN52" i="11"/>
  <c r="FM52" i="11"/>
  <c r="FL52" i="11"/>
  <c r="FK52" i="11"/>
  <c r="FJ52" i="11"/>
  <c r="FI52" i="11"/>
  <c r="FH52" i="11"/>
  <c r="FG52" i="11"/>
  <c r="FF52" i="11"/>
  <c r="FE52" i="11"/>
  <c r="FD52" i="11"/>
  <c r="FC52" i="11"/>
  <c r="FB52" i="11"/>
  <c r="FA52" i="11"/>
  <c r="EZ52" i="11"/>
  <c r="EY52" i="11"/>
  <c r="EV52" i="11"/>
  <c r="EU52" i="11"/>
  <c r="ET52" i="11"/>
  <c r="ES52" i="11"/>
  <c r="ER52" i="11"/>
  <c r="EQ52" i="11"/>
  <c r="EP52" i="11"/>
  <c r="EO52" i="11"/>
  <c r="EN52" i="11"/>
  <c r="EM52" i="11"/>
  <c r="EL52" i="11"/>
  <c r="EK52" i="11"/>
  <c r="EJ52" i="11"/>
  <c r="EI52" i="11"/>
  <c r="EH52" i="11"/>
  <c r="EG52" i="11"/>
  <c r="EF52" i="11"/>
  <c r="EE52" i="11"/>
  <c r="ED52" i="11"/>
  <c r="EC52" i="11"/>
  <c r="EB52" i="11"/>
  <c r="EA52" i="11"/>
  <c r="DZ52" i="11"/>
  <c r="DY52" i="11"/>
  <c r="CW52" i="11"/>
  <c r="CV52" i="11"/>
  <c r="CU52" i="11"/>
  <c r="CT52" i="11"/>
  <c r="CR52" i="11"/>
  <c r="CQ52" i="11"/>
  <c r="CO52" i="11"/>
  <c r="CN52" i="11"/>
  <c r="CM52" i="11"/>
  <c r="CD52" i="11"/>
  <c r="CC52" i="11"/>
  <c r="CB52" i="11"/>
  <c r="CA52" i="11"/>
  <c r="BZ52" i="11"/>
  <c r="BY52" i="11"/>
  <c r="BX52" i="11"/>
  <c r="BW52" i="11"/>
  <c r="BV52" i="11"/>
  <c r="BU52" i="11"/>
  <c r="BT52" i="11"/>
  <c r="BS52" i="11"/>
  <c r="BR52" i="11"/>
  <c r="BQ52" i="11"/>
  <c r="BP52" i="11"/>
  <c r="BO52" i="11"/>
  <c r="BN52" i="11"/>
  <c r="BM52" i="11"/>
  <c r="BL52" i="11"/>
  <c r="BK52" i="11"/>
  <c r="BJ52" i="11"/>
  <c r="BI52" i="11"/>
  <c r="BH52" i="11"/>
  <c r="BG52" i="11"/>
  <c r="BF52" i="11"/>
  <c r="BE52" i="11"/>
  <c r="BD52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E52" i="11"/>
  <c r="D52" i="11"/>
  <c r="C52" i="11"/>
  <c r="B52" i="11"/>
  <c r="A52" i="11"/>
  <c r="GL51" i="11"/>
  <c r="GK208" i="11"/>
  <c r="GJ208" i="11"/>
  <c r="GI208" i="11"/>
  <c r="GH208" i="11"/>
  <c r="GG208" i="11"/>
  <c r="GF208" i="11"/>
  <c r="GE208" i="11"/>
  <c r="GD208" i="11"/>
  <c r="GC208" i="11"/>
  <c r="GB208" i="11"/>
  <c r="FZ208" i="11"/>
  <c r="FY208" i="11"/>
  <c r="FX208" i="11"/>
  <c r="FW208" i="11"/>
  <c r="FV208" i="11"/>
  <c r="FU208" i="11"/>
  <c r="FT208" i="11"/>
  <c r="FR208" i="11"/>
  <c r="FQ208" i="11"/>
  <c r="EJ208" i="11"/>
  <c r="EI208" i="11"/>
  <c r="EH208" i="11"/>
  <c r="EG208" i="11"/>
  <c r="EF208" i="11"/>
  <c r="EE208" i="11"/>
  <c r="ED208" i="11"/>
  <c r="EC208" i="11"/>
  <c r="EB208" i="11"/>
  <c r="EA208" i="11"/>
  <c r="DZ208" i="11"/>
  <c r="DY208" i="11"/>
  <c r="DX208" i="11"/>
  <c r="DW208" i="11"/>
  <c r="DV208" i="11"/>
  <c r="DU208" i="11"/>
  <c r="CW208" i="11"/>
  <c r="CV208" i="11"/>
  <c r="CU208" i="11"/>
  <c r="EX208" i="11"/>
  <c r="EV208" i="11"/>
  <c r="EU208" i="11"/>
  <c r="ET208" i="11"/>
  <c r="ES208" i="11"/>
  <c r="ER208" i="11"/>
  <c r="EQ208" i="11"/>
  <c r="EP208" i="11"/>
  <c r="EO208" i="11"/>
  <c r="EN208" i="11"/>
  <c r="EM208" i="11"/>
  <c r="EL208" i="11"/>
  <c r="EK208" i="11"/>
  <c r="CT208" i="11"/>
  <c r="CS208" i="11"/>
  <c r="CR208" i="11"/>
  <c r="CQ208" i="11"/>
  <c r="CP208" i="11"/>
  <c r="CO208" i="11"/>
  <c r="CN208" i="11"/>
  <c r="CM208" i="11"/>
  <c r="CL208" i="11"/>
  <c r="CK208" i="11"/>
  <c r="CJ208" i="11"/>
  <c r="CI208" i="11"/>
  <c r="CG208" i="11"/>
  <c r="CH208" i="11"/>
  <c r="BV208" i="11"/>
  <c r="BU208" i="11"/>
  <c r="BT208" i="11"/>
  <c r="BS208" i="11"/>
  <c r="BR208" i="11"/>
  <c r="BQ208" i="11"/>
  <c r="BP208" i="11"/>
  <c r="BO208" i="11"/>
  <c r="BN208" i="11"/>
  <c r="BM208" i="11"/>
  <c r="BL208" i="11"/>
  <c r="BK208" i="11"/>
  <c r="BJ208" i="11"/>
  <c r="BI208" i="11"/>
  <c r="BH208" i="11"/>
  <c r="BG208" i="11"/>
  <c r="BF208" i="11"/>
  <c r="BE208" i="11"/>
  <c r="BD208" i="11"/>
  <c r="BC208" i="11"/>
  <c r="AZ208" i="11"/>
  <c r="AY208" i="11"/>
  <c r="AX208" i="11"/>
  <c r="AW208" i="11"/>
  <c r="AV208" i="11"/>
  <c r="AJ208" i="11"/>
  <c r="AK208" i="11"/>
  <c r="AL208" i="11"/>
  <c r="AH208" i="11"/>
  <c r="AG208" i="11"/>
  <c r="AF208" i="11"/>
  <c r="AE208" i="11"/>
  <c r="CF208" i="11"/>
  <c r="CE208" i="11"/>
  <c r="CD208" i="11"/>
  <c r="CC208" i="11"/>
  <c r="CB208" i="11"/>
  <c r="CA208" i="11"/>
  <c r="BZ208" i="11"/>
  <c r="BY208" i="11"/>
  <c r="BX208" i="11"/>
  <c r="BW208" i="11"/>
  <c r="BB208" i="11"/>
  <c r="BA208" i="11"/>
  <c r="AU208" i="11"/>
  <c r="AT208" i="11"/>
  <c r="AS208" i="11"/>
  <c r="AR208" i="11"/>
  <c r="AQ208" i="11"/>
  <c r="AP208" i="11"/>
  <c r="AO208" i="11"/>
  <c r="AN208" i="11"/>
  <c r="AM208" i="11"/>
  <c r="AI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GJ72" i="1"/>
  <c r="GJ42" i="1"/>
  <c r="GK204" i="11"/>
  <c r="GJ204" i="11"/>
  <c r="GI204" i="11"/>
  <c r="GH204" i="11"/>
  <c r="GG204" i="11"/>
  <c r="GF204" i="11"/>
  <c r="GE204" i="11"/>
  <c r="GD204" i="11"/>
  <c r="GC204" i="11"/>
  <c r="GB204" i="11"/>
  <c r="GA204" i="11"/>
  <c r="FZ204" i="11"/>
  <c r="FY204" i="11"/>
  <c r="FX204" i="11"/>
  <c r="FW204" i="11"/>
  <c r="FV204" i="11"/>
  <c r="FU204" i="11"/>
  <c r="FT204" i="11"/>
  <c r="FR204" i="11"/>
  <c r="FQ204" i="11"/>
  <c r="FL204" i="11"/>
  <c r="EY204" i="11"/>
  <c r="DY204" i="11"/>
  <c r="CU204" i="11"/>
  <c r="CI204" i="11"/>
  <c r="BW204" i="11"/>
  <c r="BM204" i="11"/>
  <c r="AZ204" i="11"/>
  <c r="AM204" i="11"/>
  <c r="AC204" i="11"/>
  <c r="L204" i="11"/>
  <c r="K204" i="11"/>
  <c r="J204" i="11"/>
  <c r="I204" i="11"/>
  <c r="H204" i="11"/>
  <c r="G204" i="11"/>
  <c r="E208" i="11"/>
  <c r="D208" i="11"/>
  <c r="B208" i="11"/>
  <c r="A208" i="11"/>
  <c r="GL207" i="11"/>
  <c r="E204" i="11"/>
  <c r="D204" i="11"/>
  <c r="B204" i="11"/>
  <c r="A204" i="11"/>
  <c r="GL203" i="11"/>
  <c r="E200" i="11"/>
  <c r="GL199" i="11"/>
  <c r="GK198" i="11"/>
  <c r="GJ198" i="11"/>
  <c r="GI198" i="11"/>
  <c r="GH198" i="11"/>
  <c r="GG198" i="11"/>
  <c r="GF198" i="11"/>
  <c r="GE198" i="11"/>
  <c r="GD198" i="11"/>
  <c r="GC198" i="11"/>
  <c r="GB198" i="11"/>
  <c r="GA198" i="11"/>
  <c r="FZ198" i="11"/>
  <c r="FY198" i="11"/>
  <c r="FX198" i="11"/>
  <c r="FW198" i="11"/>
  <c r="FV198" i="11"/>
  <c r="FU198" i="11"/>
  <c r="FT198" i="11"/>
  <c r="FS198" i="11"/>
  <c r="FR198" i="11"/>
  <c r="FP198" i="11"/>
  <c r="FO198" i="11"/>
  <c r="FN198" i="11"/>
  <c r="FM198" i="11"/>
  <c r="FK198" i="11"/>
  <c r="FJ198" i="11"/>
  <c r="FI198" i="11"/>
  <c r="FH198" i="11"/>
  <c r="FF198" i="11"/>
  <c r="FE198" i="11"/>
  <c r="FD198" i="11"/>
  <c r="FC198" i="11"/>
  <c r="FB198" i="11"/>
  <c r="FA198" i="11"/>
  <c r="EZ198" i="11"/>
  <c r="EY198" i="11"/>
  <c r="EX198" i="11"/>
  <c r="EV198" i="11"/>
  <c r="EU198" i="11"/>
  <c r="ET198" i="11"/>
  <c r="ES198" i="11"/>
  <c r="ER198" i="11"/>
  <c r="EQ198" i="11"/>
  <c r="EP198" i="11"/>
  <c r="EN198" i="11"/>
  <c r="EM198" i="11"/>
  <c r="EL198" i="11"/>
  <c r="EK198" i="11"/>
  <c r="EJ198" i="11"/>
  <c r="EI198" i="11"/>
  <c r="EH198" i="11"/>
  <c r="EG198" i="11"/>
  <c r="EE198" i="11"/>
  <c r="ED198" i="11"/>
  <c r="EC198" i="11"/>
  <c r="EB198" i="11"/>
  <c r="EA198" i="11"/>
  <c r="DZ198" i="11"/>
  <c r="DY198" i="11"/>
  <c r="DX198" i="11"/>
  <c r="DW198" i="11"/>
  <c r="DV198" i="11"/>
  <c r="DU198" i="11"/>
  <c r="CU198" i="11"/>
  <c r="CT198" i="11"/>
  <c r="CS198" i="11"/>
  <c r="CR198" i="11"/>
  <c r="CQ198" i="11"/>
  <c r="CP198" i="11"/>
  <c r="CO198" i="11"/>
  <c r="CN198" i="11"/>
  <c r="CM198" i="11"/>
  <c r="CL198" i="11"/>
  <c r="CK198" i="11"/>
  <c r="CH198" i="11"/>
  <c r="CG198" i="11"/>
  <c r="CF198" i="11"/>
  <c r="CE198" i="11"/>
  <c r="CD198" i="11"/>
  <c r="CC198" i="11"/>
  <c r="CB198" i="11"/>
  <c r="CA198" i="11"/>
  <c r="BY198" i="11"/>
  <c r="BX198" i="11"/>
  <c r="BW198" i="11"/>
  <c r="BV198" i="11"/>
  <c r="BU198" i="11"/>
  <c r="BT198" i="11"/>
  <c r="BS198" i="11"/>
  <c r="BR198" i="11"/>
  <c r="BQ198" i="11"/>
  <c r="BP198" i="11"/>
  <c r="BO198" i="11"/>
  <c r="BN198" i="11"/>
  <c r="BM198" i="11"/>
  <c r="BL198" i="11"/>
  <c r="BK198" i="11"/>
  <c r="BJ198" i="11"/>
  <c r="BI198" i="11"/>
  <c r="BH198" i="11"/>
  <c r="BG198" i="11"/>
  <c r="BF198" i="11"/>
  <c r="BE198" i="11"/>
  <c r="BD198" i="11"/>
  <c r="BC198" i="11"/>
  <c r="BB198" i="11"/>
  <c r="BA198" i="11"/>
  <c r="AZ198" i="11"/>
  <c r="AY198" i="11"/>
  <c r="AX198" i="11"/>
  <c r="AW198" i="11"/>
  <c r="AV198" i="11"/>
  <c r="AU198" i="11"/>
  <c r="AT198" i="11"/>
  <c r="AS198" i="11"/>
  <c r="AR198" i="11"/>
  <c r="AQ198" i="11"/>
  <c r="AP198" i="11"/>
  <c r="AO198" i="11"/>
  <c r="AM198" i="11"/>
  <c r="AL198" i="11"/>
  <c r="AK198" i="11"/>
  <c r="AJ198" i="11"/>
  <c r="AI198" i="11"/>
  <c r="AH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E198" i="11"/>
  <c r="D198" i="11"/>
  <c r="C198" i="11"/>
  <c r="B198" i="11"/>
  <c r="A198" i="11"/>
  <c r="GL185" i="11"/>
  <c r="GK176" i="11"/>
  <c r="GJ176" i="11"/>
  <c r="GI176" i="11"/>
  <c r="GH176" i="11"/>
  <c r="GG176" i="11"/>
  <c r="GF176" i="11"/>
  <c r="GE176" i="11"/>
  <c r="GD176" i="11"/>
  <c r="GC176" i="11"/>
  <c r="GB176" i="11"/>
  <c r="GA176" i="11"/>
  <c r="FZ176" i="11"/>
  <c r="FY176" i="11"/>
  <c r="FX176" i="11"/>
  <c r="FW176" i="11"/>
  <c r="FV176" i="11"/>
  <c r="FU176" i="11"/>
  <c r="FT176" i="11"/>
  <c r="FS176" i="11"/>
  <c r="FR176" i="11"/>
  <c r="FQ176" i="11"/>
  <c r="FP176" i="11"/>
  <c r="FO176" i="11"/>
  <c r="FN176" i="11"/>
  <c r="FM176" i="11"/>
  <c r="FL176" i="11"/>
  <c r="FK176" i="11"/>
  <c r="FJ176" i="11"/>
  <c r="FI176" i="11"/>
  <c r="FH176" i="11"/>
  <c r="FG176" i="11"/>
  <c r="FF176" i="11"/>
  <c r="FE176" i="11"/>
  <c r="FD176" i="11"/>
  <c r="FC176" i="11"/>
  <c r="FB176" i="11"/>
  <c r="FA176" i="11"/>
  <c r="EZ176" i="11"/>
  <c r="EY176" i="11"/>
  <c r="EX176" i="11"/>
  <c r="EV176" i="11"/>
  <c r="EU176" i="11"/>
  <c r="ET176" i="11"/>
  <c r="ES176" i="11"/>
  <c r="ER176" i="11"/>
  <c r="EQ176" i="11"/>
  <c r="EP176" i="11"/>
  <c r="EO176" i="11"/>
  <c r="EN176" i="11"/>
  <c r="EM176" i="11"/>
  <c r="EL176" i="11"/>
  <c r="EK176" i="11"/>
  <c r="EJ176" i="11"/>
  <c r="EI176" i="11"/>
  <c r="EH176" i="11"/>
  <c r="EG176" i="11"/>
  <c r="EF176" i="11"/>
  <c r="EE176" i="11"/>
  <c r="ED176" i="11"/>
  <c r="EC176" i="11"/>
  <c r="EB176" i="11"/>
  <c r="EA176" i="11"/>
  <c r="DZ176" i="11"/>
  <c r="DY176" i="11"/>
  <c r="DX176" i="11"/>
  <c r="DW176" i="11"/>
  <c r="DV176" i="11"/>
  <c r="CW176" i="11"/>
  <c r="CV176" i="11"/>
  <c r="CU176" i="11"/>
  <c r="CT176" i="11"/>
  <c r="CS176" i="11"/>
  <c r="CR176" i="11"/>
  <c r="CQ176" i="11"/>
  <c r="CP176" i="11"/>
  <c r="CO176" i="11"/>
  <c r="CN176" i="11"/>
  <c r="CM176" i="11"/>
  <c r="CL176" i="11"/>
  <c r="CK176" i="11"/>
  <c r="CJ176" i="11"/>
  <c r="CI176" i="11"/>
  <c r="CH176" i="11"/>
  <c r="CG176" i="11"/>
  <c r="CF176" i="11"/>
  <c r="CE176" i="11"/>
  <c r="CD176" i="11"/>
  <c r="CC176" i="11"/>
  <c r="CB176" i="11"/>
  <c r="CA176" i="11"/>
  <c r="BZ176" i="11"/>
  <c r="BY176" i="11"/>
  <c r="BX176" i="11"/>
  <c r="BW176" i="11"/>
  <c r="BV176" i="11"/>
  <c r="BU176" i="11"/>
  <c r="BT176" i="11"/>
  <c r="BS176" i="11"/>
  <c r="BR176" i="11"/>
  <c r="BQ176" i="11"/>
  <c r="BP176" i="11"/>
  <c r="BO176" i="11"/>
  <c r="BN176" i="11"/>
  <c r="BM176" i="11"/>
  <c r="BL176" i="11"/>
  <c r="BK176" i="11"/>
  <c r="BJ176" i="11"/>
  <c r="BI176" i="11"/>
  <c r="BH176" i="11"/>
  <c r="BG176" i="11"/>
  <c r="BF176" i="11"/>
  <c r="BE176" i="11"/>
  <c r="BD176" i="11"/>
  <c r="BC176" i="11"/>
  <c r="BB176" i="11"/>
  <c r="BA176" i="11"/>
  <c r="AZ176" i="11"/>
  <c r="AY176" i="11"/>
  <c r="AX176" i="11"/>
  <c r="AW176" i="11"/>
  <c r="AV176" i="11"/>
  <c r="AU176" i="11"/>
  <c r="AT176" i="11"/>
  <c r="AS176" i="11"/>
  <c r="AR176" i="11"/>
  <c r="AQ176" i="11"/>
  <c r="AP176" i="11"/>
  <c r="AO176" i="11"/>
  <c r="AN176" i="11"/>
  <c r="AM176" i="11"/>
  <c r="AL176" i="11"/>
  <c r="AK176" i="11"/>
  <c r="AJ176" i="11"/>
  <c r="AI176" i="11"/>
  <c r="AH176" i="11"/>
  <c r="AG176" i="11"/>
  <c r="AF176" i="11"/>
  <c r="AE176" i="11"/>
  <c r="AD176" i="11"/>
  <c r="AC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E176" i="11"/>
  <c r="D176" i="11"/>
  <c r="B176" i="11"/>
  <c r="A176" i="11"/>
  <c r="GL175" i="11"/>
  <c r="AQ46" i="11"/>
  <c r="CR46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M158" i="11"/>
  <c r="AV158" i="11"/>
  <c r="AZ158" i="11"/>
  <c r="BA158" i="11"/>
  <c r="BB158" i="11"/>
  <c r="BC158" i="11"/>
  <c r="BD158" i="11"/>
  <c r="BE158" i="11"/>
  <c r="BF158" i="11"/>
  <c r="BG158" i="11"/>
  <c r="BH158" i="11"/>
  <c r="BI158" i="11"/>
  <c r="BJ158" i="11"/>
  <c r="BK158" i="11"/>
  <c r="BL158" i="11"/>
  <c r="BM158" i="11"/>
  <c r="BN158" i="11"/>
  <c r="BO158" i="11"/>
  <c r="BP158" i="11"/>
  <c r="BQ158" i="11"/>
  <c r="BR158" i="11"/>
  <c r="BS158" i="11"/>
  <c r="BT158" i="11"/>
  <c r="BU158" i="11"/>
  <c r="BV158" i="11"/>
  <c r="BW158" i="11"/>
  <c r="BX158" i="11"/>
  <c r="BY158" i="11"/>
  <c r="BZ158" i="11"/>
  <c r="CA158" i="11"/>
  <c r="CB158" i="11"/>
  <c r="CC158" i="11"/>
  <c r="CD158" i="11"/>
  <c r="CE158" i="11"/>
  <c r="CF158" i="11"/>
  <c r="CG158" i="11"/>
  <c r="CH158" i="11"/>
  <c r="CI158" i="11"/>
  <c r="CM158" i="11"/>
  <c r="DY158" i="11"/>
  <c r="EY158" i="11"/>
  <c r="FL158" i="11"/>
  <c r="FM158" i="11"/>
  <c r="FN158" i="11"/>
  <c r="FO158" i="11"/>
  <c r="FP158" i="11"/>
  <c r="FQ158" i="11"/>
  <c r="FR158" i="11"/>
  <c r="FS158" i="11"/>
  <c r="FT158" i="11"/>
  <c r="FU158" i="11"/>
  <c r="FV158" i="11"/>
  <c r="FW158" i="11"/>
  <c r="FX158" i="11"/>
  <c r="FY158" i="11"/>
  <c r="FZ158" i="11"/>
  <c r="GA158" i="11"/>
  <c r="GB158" i="11"/>
  <c r="GC158" i="11"/>
  <c r="GD158" i="11"/>
  <c r="GE158" i="11"/>
  <c r="GF158" i="11"/>
  <c r="GG158" i="11"/>
  <c r="GH158" i="11"/>
  <c r="GI158" i="11"/>
  <c r="GJ158" i="11"/>
  <c r="GK158" i="11"/>
  <c r="GJ30" i="1"/>
  <c r="GJ33" i="1"/>
  <c r="GK166" i="11"/>
  <c r="GJ166" i="11"/>
  <c r="GI166" i="11"/>
  <c r="GH166" i="11"/>
  <c r="GG166" i="11"/>
  <c r="GF166" i="11"/>
  <c r="GE166" i="11"/>
  <c r="GD166" i="11"/>
  <c r="GC166" i="11"/>
  <c r="GB166" i="11"/>
  <c r="GA166" i="11"/>
  <c r="FZ166" i="11"/>
  <c r="FY166" i="11"/>
  <c r="FX166" i="11"/>
  <c r="FW166" i="11"/>
  <c r="FV166" i="11"/>
  <c r="FU166" i="11"/>
  <c r="FT166" i="11"/>
  <c r="FS166" i="11"/>
  <c r="FR166" i="11"/>
  <c r="FQ166" i="11"/>
  <c r="FP166" i="11"/>
  <c r="FO166" i="11"/>
  <c r="FN166" i="11"/>
  <c r="FM166" i="11"/>
  <c r="FL166" i="11"/>
  <c r="FK166" i="11"/>
  <c r="FJ166" i="11"/>
  <c r="FI166" i="11"/>
  <c r="FH166" i="11"/>
  <c r="FG166" i="11"/>
  <c r="FF166" i="11"/>
  <c r="FE166" i="11"/>
  <c r="FD166" i="11"/>
  <c r="FC166" i="11"/>
  <c r="FB166" i="11"/>
  <c r="FA166" i="11"/>
  <c r="EZ166" i="11"/>
  <c r="EY166" i="11"/>
  <c r="EX166" i="11"/>
  <c r="EV166" i="11"/>
  <c r="EU166" i="11"/>
  <c r="ET166" i="11"/>
  <c r="ES166" i="11"/>
  <c r="ER166" i="11"/>
  <c r="EQ166" i="11"/>
  <c r="EP166" i="11"/>
  <c r="EO166" i="11"/>
  <c r="EN166" i="11"/>
  <c r="EM166" i="11"/>
  <c r="EL166" i="11"/>
  <c r="EK166" i="11"/>
  <c r="EJ166" i="11"/>
  <c r="EI166" i="11"/>
  <c r="EH166" i="11"/>
  <c r="EG166" i="11"/>
  <c r="EF166" i="11"/>
  <c r="EE166" i="11"/>
  <c r="ED166" i="11"/>
  <c r="EC166" i="11"/>
  <c r="EB166" i="11"/>
  <c r="EA166" i="11"/>
  <c r="DZ166" i="11"/>
  <c r="DY166" i="11"/>
  <c r="DX166" i="11"/>
  <c r="DW166" i="11"/>
  <c r="DV166" i="11"/>
  <c r="DU166" i="11"/>
  <c r="CW166" i="11"/>
  <c r="CV166" i="11"/>
  <c r="CU166" i="11"/>
  <c r="CT166" i="11"/>
  <c r="CS166" i="11"/>
  <c r="CR166" i="11"/>
  <c r="CQ166" i="11"/>
  <c r="CP166" i="11"/>
  <c r="CO166" i="11"/>
  <c r="CN166" i="11"/>
  <c r="CM166" i="11"/>
  <c r="CL166" i="11"/>
  <c r="CK166" i="11"/>
  <c r="CJ166" i="11"/>
  <c r="CI166" i="11"/>
  <c r="CH166" i="11"/>
  <c r="CG166" i="11"/>
  <c r="CF166" i="11"/>
  <c r="CE166" i="11"/>
  <c r="CD166" i="11"/>
  <c r="CC166" i="11"/>
  <c r="CB166" i="11"/>
  <c r="CA166" i="11"/>
  <c r="BZ166" i="11"/>
  <c r="BY166" i="11"/>
  <c r="BX166" i="11"/>
  <c r="BW166" i="11"/>
  <c r="BV166" i="11"/>
  <c r="BU166" i="11"/>
  <c r="BT166" i="11"/>
  <c r="BS166" i="11"/>
  <c r="BR166" i="11"/>
  <c r="BQ166" i="11"/>
  <c r="BP166" i="11"/>
  <c r="BO166" i="11"/>
  <c r="BN166" i="11"/>
  <c r="BM166" i="11"/>
  <c r="BL166" i="11"/>
  <c r="BK166" i="11"/>
  <c r="BJ166" i="11"/>
  <c r="BI166" i="11"/>
  <c r="BH166" i="11"/>
  <c r="BG166" i="11"/>
  <c r="BF166" i="11"/>
  <c r="BE166" i="11"/>
  <c r="BD166" i="11"/>
  <c r="BC166" i="11"/>
  <c r="BB166" i="11"/>
  <c r="BA166" i="11"/>
  <c r="AZ166" i="11"/>
  <c r="AY166" i="11"/>
  <c r="AX166" i="11"/>
  <c r="AW166" i="11"/>
  <c r="AV166" i="11"/>
  <c r="AU166" i="11"/>
  <c r="AT166" i="11"/>
  <c r="AS166" i="11"/>
  <c r="AR166" i="11"/>
  <c r="AQ166" i="11"/>
  <c r="AP166" i="11"/>
  <c r="AO166" i="11"/>
  <c r="AN166" i="11"/>
  <c r="AM166" i="11"/>
  <c r="AL166" i="11"/>
  <c r="AK166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E166" i="11"/>
  <c r="D166" i="11"/>
  <c r="C166" i="11"/>
  <c r="B166" i="11"/>
  <c r="A166" i="11"/>
  <c r="GL165" i="11"/>
  <c r="GK164" i="11"/>
  <c r="GJ164" i="11"/>
  <c r="GI164" i="11"/>
  <c r="GH164" i="11"/>
  <c r="GG164" i="11"/>
  <c r="GF164" i="11"/>
  <c r="GE164" i="11"/>
  <c r="GD164" i="11"/>
  <c r="GC164" i="11"/>
  <c r="GB164" i="11"/>
  <c r="GA164" i="11"/>
  <c r="FZ164" i="11"/>
  <c r="FY164" i="11"/>
  <c r="FX164" i="11"/>
  <c r="FW164" i="11"/>
  <c r="FV164" i="11"/>
  <c r="FU164" i="11"/>
  <c r="FT164" i="11"/>
  <c r="FS164" i="11"/>
  <c r="FR164" i="11"/>
  <c r="FQ164" i="11"/>
  <c r="FP164" i="11"/>
  <c r="FO164" i="11"/>
  <c r="FN164" i="11"/>
  <c r="FM164" i="11"/>
  <c r="FL164" i="11"/>
  <c r="FK164" i="11"/>
  <c r="FJ164" i="11"/>
  <c r="FI164" i="11"/>
  <c r="FH164" i="11"/>
  <c r="FG164" i="11"/>
  <c r="FF164" i="11"/>
  <c r="FE164" i="11"/>
  <c r="FD164" i="11"/>
  <c r="FC164" i="11"/>
  <c r="FB164" i="11"/>
  <c r="FA164" i="11"/>
  <c r="EZ164" i="11"/>
  <c r="EY164" i="11"/>
  <c r="EX164" i="11"/>
  <c r="EV164" i="11"/>
  <c r="EU164" i="11"/>
  <c r="ET164" i="11"/>
  <c r="ES164" i="11"/>
  <c r="ER164" i="11"/>
  <c r="EQ164" i="11"/>
  <c r="EP164" i="11"/>
  <c r="EO164" i="11"/>
  <c r="EN164" i="11"/>
  <c r="EM164" i="11"/>
  <c r="EL164" i="11"/>
  <c r="EK164" i="11"/>
  <c r="EJ164" i="11"/>
  <c r="EI164" i="11"/>
  <c r="EH164" i="11"/>
  <c r="EG164" i="11"/>
  <c r="EF164" i="11"/>
  <c r="EE164" i="11"/>
  <c r="ED164" i="11"/>
  <c r="EC164" i="11"/>
  <c r="EB164" i="11"/>
  <c r="EA164" i="11"/>
  <c r="DZ164" i="11"/>
  <c r="DY164" i="11"/>
  <c r="DX164" i="11"/>
  <c r="DW164" i="11"/>
  <c r="DV164" i="11"/>
  <c r="DU164" i="11"/>
  <c r="CW164" i="11"/>
  <c r="CV164" i="11"/>
  <c r="CU164" i="11"/>
  <c r="CT164" i="11"/>
  <c r="CS164" i="11"/>
  <c r="CR164" i="11"/>
  <c r="CQ164" i="11"/>
  <c r="CP164" i="11"/>
  <c r="CO164" i="11"/>
  <c r="CN164" i="11"/>
  <c r="CM164" i="11"/>
  <c r="CL164" i="11"/>
  <c r="CK164" i="11"/>
  <c r="CJ164" i="11"/>
  <c r="CI164" i="11"/>
  <c r="CH164" i="11"/>
  <c r="CG164" i="11"/>
  <c r="CF164" i="11"/>
  <c r="CE164" i="11"/>
  <c r="CD164" i="11"/>
  <c r="CC164" i="11"/>
  <c r="CB164" i="11"/>
  <c r="CA164" i="11"/>
  <c r="BZ164" i="11"/>
  <c r="BY164" i="11"/>
  <c r="BX164" i="11"/>
  <c r="BW164" i="11"/>
  <c r="BV164" i="11"/>
  <c r="BU164" i="11"/>
  <c r="BT164" i="11"/>
  <c r="BS164" i="11"/>
  <c r="BR164" i="11"/>
  <c r="BQ164" i="11"/>
  <c r="BP164" i="11"/>
  <c r="BO164" i="11"/>
  <c r="BN164" i="11"/>
  <c r="BM164" i="11"/>
  <c r="BL164" i="11"/>
  <c r="BK164" i="11"/>
  <c r="BJ164" i="11"/>
  <c r="BI164" i="11"/>
  <c r="BH164" i="11"/>
  <c r="BG164" i="11"/>
  <c r="BF164" i="11"/>
  <c r="BE164" i="11"/>
  <c r="BD164" i="11"/>
  <c r="BC164" i="11"/>
  <c r="BB164" i="11"/>
  <c r="BA164" i="11"/>
  <c r="AZ164" i="11"/>
  <c r="AY164" i="11"/>
  <c r="AX164" i="11"/>
  <c r="AW164" i="11"/>
  <c r="AV164" i="11"/>
  <c r="AU164" i="11"/>
  <c r="AT164" i="11"/>
  <c r="AS164" i="11"/>
  <c r="AR164" i="11"/>
  <c r="AQ164" i="11"/>
  <c r="AP164" i="11"/>
  <c r="AO164" i="11"/>
  <c r="AN164" i="11"/>
  <c r="AM164" i="11"/>
  <c r="AL164" i="11"/>
  <c r="AK164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E164" i="11"/>
  <c r="D164" i="11"/>
  <c r="C164" i="11"/>
  <c r="B164" i="11"/>
  <c r="A164" i="11"/>
  <c r="GL163" i="11"/>
  <c r="E162" i="11"/>
  <c r="D162" i="11"/>
  <c r="B162" i="11"/>
  <c r="A162" i="11"/>
  <c r="GL161" i="11"/>
  <c r="GL159" i="11"/>
  <c r="E160" i="11"/>
  <c r="D160" i="11"/>
  <c r="C160" i="11"/>
  <c r="D158" i="11"/>
  <c r="B158" i="11"/>
  <c r="A158" i="11"/>
  <c r="GK156" i="11"/>
  <c r="GJ156" i="11"/>
  <c r="GI156" i="11"/>
  <c r="GH156" i="11"/>
  <c r="GG156" i="11"/>
  <c r="GF156" i="11"/>
  <c r="GE156" i="11"/>
  <c r="GD156" i="11"/>
  <c r="GC156" i="11"/>
  <c r="GB156" i="11"/>
  <c r="GA156" i="11"/>
  <c r="FZ156" i="11"/>
  <c r="FY156" i="11"/>
  <c r="FX156" i="11"/>
  <c r="FW156" i="11"/>
  <c r="FV156" i="11"/>
  <c r="FU156" i="11"/>
  <c r="FT156" i="11"/>
  <c r="FS156" i="11"/>
  <c r="FR156" i="11"/>
  <c r="FQ156" i="11"/>
  <c r="FL156" i="11"/>
  <c r="EY156" i="11"/>
  <c r="DY156" i="11"/>
  <c r="CM156" i="11"/>
  <c r="CI156" i="11"/>
  <c r="BW156" i="11"/>
  <c r="BM156" i="11"/>
  <c r="AZ156" i="11"/>
  <c r="AY156" i="11"/>
  <c r="AV156" i="11"/>
  <c r="AU156" i="11"/>
  <c r="AT156" i="11"/>
  <c r="AS156" i="11"/>
  <c r="AR156" i="11"/>
  <c r="AQ156" i="11"/>
  <c r="AP156" i="11"/>
  <c r="AO156" i="11"/>
  <c r="AN156" i="11"/>
  <c r="AM156" i="11"/>
  <c r="AL156" i="11"/>
  <c r="AK156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E156" i="11"/>
  <c r="D156" i="11"/>
  <c r="C156" i="11"/>
  <c r="B156" i="11"/>
  <c r="GB157" i="11" s="1"/>
  <c r="A156" i="11"/>
  <c r="EE132" i="11"/>
  <c r="ED132" i="11"/>
  <c r="EC132" i="11"/>
  <c r="EB132" i="11"/>
  <c r="EA132" i="11"/>
  <c r="DZ132" i="11"/>
  <c r="AF132" i="11"/>
  <c r="AE132" i="11"/>
  <c r="G152" i="11"/>
  <c r="E152" i="11"/>
  <c r="D152" i="11"/>
  <c r="C152" i="11"/>
  <c r="B152" i="11"/>
  <c r="A152" i="11"/>
  <c r="GL151" i="11"/>
  <c r="E150" i="11"/>
  <c r="D150" i="11"/>
  <c r="B150" i="11"/>
  <c r="A150" i="11"/>
  <c r="GL149" i="11"/>
  <c r="D140" i="11"/>
  <c r="E140" i="11"/>
  <c r="C140" i="11"/>
  <c r="GL139" i="11"/>
  <c r="GJ62" i="1"/>
  <c r="GJ63" i="1"/>
  <c r="GK132" i="11"/>
  <c r="GJ132" i="11"/>
  <c r="GI132" i="11"/>
  <c r="GH132" i="11"/>
  <c r="GG132" i="11"/>
  <c r="GF132" i="11"/>
  <c r="GE132" i="11"/>
  <c r="GD132" i="11"/>
  <c r="GC132" i="11"/>
  <c r="GB132" i="11"/>
  <c r="GA132" i="11"/>
  <c r="FZ132" i="11"/>
  <c r="FY132" i="11"/>
  <c r="FX132" i="11"/>
  <c r="FW132" i="11"/>
  <c r="FV132" i="11"/>
  <c r="FU132" i="11"/>
  <c r="FT132" i="11"/>
  <c r="FS132" i="11"/>
  <c r="FR132" i="11"/>
  <c r="FQ132" i="11"/>
  <c r="FP132" i="11"/>
  <c r="FO132" i="11"/>
  <c r="FN132" i="11"/>
  <c r="FM132" i="11"/>
  <c r="FK132" i="11"/>
  <c r="FJ132" i="11"/>
  <c r="FI132" i="11"/>
  <c r="FH132" i="11"/>
  <c r="FF132" i="11"/>
  <c r="FE132" i="11"/>
  <c r="FD132" i="11"/>
  <c r="FC132" i="11"/>
  <c r="FB132" i="11"/>
  <c r="FA132" i="11"/>
  <c r="EZ132" i="11"/>
  <c r="EY132" i="11"/>
  <c r="EX132" i="11"/>
  <c r="EV132" i="11"/>
  <c r="EU132" i="11"/>
  <c r="ET132" i="11"/>
  <c r="ES132" i="11"/>
  <c r="ER132" i="11"/>
  <c r="EQ132" i="11"/>
  <c r="EP132" i="11"/>
  <c r="CU132" i="11"/>
  <c r="CT132" i="11"/>
  <c r="CS132" i="11"/>
  <c r="CR132" i="11"/>
  <c r="CQ132" i="11"/>
  <c r="CP132" i="11"/>
  <c r="CO132" i="11"/>
  <c r="CN132" i="11"/>
  <c r="CM132" i="11"/>
  <c r="CL132" i="11"/>
  <c r="CK132" i="11"/>
  <c r="CI132" i="11"/>
  <c r="CH132" i="11"/>
  <c r="CG132" i="11"/>
  <c r="CF132" i="11"/>
  <c r="CE132" i="11"/>
  <c r="CD132" i="11"/>
  <c r="CC132" i="11"/>
  <c r="CB132" i="11"/>
  <c r="CA132" i="11"/>
  <c r="BY132" i="11"/>
  <c r="BX132" i="11"/>
  <c r="BW132" i="11"/>
  <c r="BV132" i="11"/>
  <c r="BU132" i="11"/>
  <c r="BS132" i="11"/>
  <c r="BR132" i="11"/>
  <c r="BQ132" i="11"/>
  <c r="BP132" i="11"/>
  <c r="BO132" i="11"/>
  <c r="BN132" i="11"/>
  <c r="BM132" i="11"/>
  <c r="BL132" i="11"/>
  <c r="BK132" i="11"/>
  <c r="BJ132" i="11"/>
  <c r="BI132" i="11"/>
  <c r="BH132" i="11"/>
  <c r="BG132" i="11"/>
  <c r="BF132" i="11"/>
  <c r="BE132" i="11"/>
  <c r="BD132" i="11"/>
  <c r="BC132" i="11"/>
  <c r="BB132" i="11"/>
  <c r="BA132" i="11"/>
  <c r="AZ132" i="11"/>
  <c r="AY132" i="11"/>
  <c r="AX132" i="11"/>
  <c r="AW132" i="11"/>
  <c r="AV132" i="11"/>
  <c r="AU132" i="11"/>
  <c r="AT132" i="11"/>
  <c r="AS132" i="11"/>
  <c r="AR132" i="11"/>
  <c r="AQ132" i="11"/>
  <c r="AP132" i="11"/>
  <c r="AO132" i="11"/>
  <c r="AM132" i="11"/>
  <c r="AL132" i="11"/>
  <c r="AK132" i="11"/>
  <c r="AJ132" i="11"/>
  <c r="AI132" i="11"/>
  <c r="AH132" i="11"/>
  <c r="AD132" i="11"/>
  <c r="AC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E132" i="11"/>
  <c r="D132" i="11"/>
  <c r="B132" i="11"/>
  <c r="A132" i="11"/>
  <c r="GL119" i="11"/>
  <c r="GL21" i="11"/>
  <c r="CM24" i="11"/>
  <c r="CM22" i="11"/>
  <c r="CM14" i="11"/>
  <c r="CQ24" i="11"/>
  <c r="CP24" i="11"/>
  <c r="CO24" i="11"/>
  <c r="CQ22" i="11"/>
  <c r="CP22" i="11"/>
  <c r="CO22" i="11"/>
  <c r="CQ14" i="11"/>
  <c r="CP14" i="11"/>
  <c r="CO14" i="11"/>
  <c r="GL17" i="11"/>
  <c r="AL46" i="11"/>
  <c r="GL87" i="11"/>
  <c r="E120" i="11"/>
  <c r="D120" i="11"/>
  <c r="C120" i="11"/>
  <c r="B120" i="11"/>
  <c r="A120" i="11"/>
  <c r="GL71" i="11"/>
  <c r="GL63" i="11"/>
  <c r="GL57" i="11"/>
  <c r="AL106" i="11"/>
  <c r="AL102" i="11"/>
  <c r="AL48" i="11"/>
  <c r="AL44" i="11"/>
  <c r="AL42" i="11"/>
  <c r="AL38" i="11"/>
  <c r="AS22" i="11"/>
  <c r="AN18" i="11"/>
  <c r="AO18" i="11"/>
  <c r="AP18" i="11"/>
  <c r="AQ18" i="11"/>
  <c r="AR18" i="11"/>
  <c r="AS18" i="11"/>
  <c r="AT18" i="11"/>
  <c r="AU18" i="11"/>
  <c r="AV18" i="11"/>
  <c r="AW18" i="11"/>
  <c r="AX18" i="11"/>
  <c r="AS24" i="11"/>
  <c r="D114" i="11"/>
  <c r="B114" i="11"/>
  <c r="A114" i="11"/>
  <c r="D112" i="11"/>
  <c r="A112" i="11"/>
  <c r="C112" i="11"/>
  <c r="D106" i="11"/>
  <c r="C106" i="11"/>
  <c r="B106" i="11"/>
  <c r="A106" i="11"/>
  <c r="D102" i="11"/>
  <c r="B102" i="11"/>
  <c r="A102" i="11"/>
  <c r="D88" i="11"/>
  <c r="C88" i="11"/>
  <c r="B88" i="11"/>
  <c r="A88" i="11"/>
  <c r="GL85" i="11"/>
  <c r="GL86" i="11" s="1"/>
  <c r="C82" i="11"/>
  <c r="D72" i="11"/>
  <c r="C72" i="11"/>
  <c r="B72" i="11"/>
  <c r="A72" i="11"/>
  <c r="C68" i="11"/>
  <c r="D64" i="11"/>
  <c r="C65" i="11"/>
  <c r="C66" i="11" s="1"/>
  <c r="D58" i="11"/>
  <c r="D50" i="11"/>
  <c r="C50" i="11"/>
  <c r="B50" i="11"/>
  <c r="A50" i="11"/>
  <c r="D48" i="11"/>
  <c r="B48" i="11"/>
  <c r="A48" i="11"/>
  <c r="D46" i="11"/>
  <c r="B46" i="11"/>
  <c r="A46" i="11"/>
  <c r="D44" i="11"/>
  <c r="B44" i="11"/>
  <c r="A44" i="11"/>
  <c r="D42" i="11"/>
  <c r="B42" i="11"/>
  <c r="A42" i="11"/>
  <c r="D38" i="11"/>
  <c r="B38" i="11"/>
  <c r="A38" i="11"/>
  <c r="D36" i="11"/>
  <c r="C36" i="11"/>
  <c r="B36" i="11"/>
  <c r="A36" i="11"/>
  <c r="D34" i="11"/>
  <c r="C34" i="11"/>
  <c r="B34" i="11"/>
  <c r="A34" i="11"/>
  <c r="D32" i="11"/>
  <c r="C32" i="11"/>
  <c r="B32" i="11"/>
  <c r="A32" i="11"/>
  <c r="D28" i="11"/>
  <c r="B28" i="11"/>
  <c r="A28" i="11"/>
  <c r="D24" i="11"/>
  <c r="B24" i="11"/>
  <c r="A24" i="11"/>
  <c r="D22" i="11"/>
  <c r="B22" i="11"/>
  <c r="A22" i="11"/>
  <c r="D18" i="11"/>
  <c r="B18" i="11"/>
  <c r="B19" i="11" s="1"/>
  <c r="EW20" i="11" s="1"/>
  <c r="A18" i="11"/>
  <c r="A19" i="11" s="1"/>
  <c r="A20" i="11" s="1"/>
  <c r="D14" i="11"/>
  <c r="B14" i="11"/>
  <c r="B15" i="11" s="1"/>
  <c r="EW16" i="11" s="1"/>
  <c r="A14" i="11"/>
  <c r="AL50" i="11"/>
  <c r="I24" i="11"/>
  <c r="GK106" i="11"/>
  <c r="GJ106" i="11"/>
  <c r="GI106" i="11"/>
  <c r="GH106" i="11"/>
  <c r="GG106" i="11"/>
  <c r="GF106" i="11"/>
  <c r="GE106" i="11"/>
  <c r="GD106" i="11"/>
  <c r="GC106" i="11"/>
  <c r="GB106" i="11"/>
  <c r="GA106" i="11"/>
  <c r="FZ106" i="11"/>
  <c r="FY106" i="11"/>
  <c r="FX106" i="11"/>
  <c r="FW106" i="11"/>
  <c r="FV106" i="11"/>
  <c r="FU106" i="11"/>
  <c r="FT106" i="11"/>
  <c r="FS106" i="11"/>
  <c r="FQ106" i="11"/>
  <c r="FP106" i="11"/>
  <c r="FO106" i="11"/>
  <c r="FN106" i="11"/>
  <c r="FM106" i="11"/>
  <c r="FL106" i="11"/>
  <c r="FK106" i="11"/>
  <c r="FJ106" i="11"/>
  <c r="FI106" i="11"/>
  <c r="FH106" i="11"/>
  <c r="FG106" i="11"/>
  <c r="FF106" i="11"/>
  <c r="FE106" i="11"/>
  <c r="FD106" i="11"/>
  <c r="FC106" i="11"/>
  <c r="FB106" i="11"/>
  <c r="FA106" i="11"/>
  <c r="EZ106" i="11"/>
  <c r="EY106" i="11"/>
  <c r="EX106" i="11"/>
  <c r="EV106" i="11"/>
  <c r="EU106" i="11"/>
  <c r="ET106" i="11"/>
  <c r="ES106" i="11"/>
  <c r="ER106" i="11"/>
  <c r="EQ106" i="11"/>
  <c r="EP106" i="11"/>
  <c r="EO106" i="11"/>
  <c r="EN106" i="11"/>
  <c r="EM106" i="11"/>
  <c r="EL106" i="11"/>
  <c r="EK106" i="11"/>
  <c r="EJ106" i="11"/>
  <c r="EI106" i="11"/>
  <c r="EH106" i="11"/>
  <c r="EG106" i="11"/>
  <c r="EF106" i="11"/>
  <c r="EE106" i="11"/>
  <c r="ED106" i="11"/>
  <c r="EC106" i="11"/>
  <c r="EB106" i="11"/>
  <c r="EA106" i="11"/>
  <c r="DZ106" i="11"/>
  <c r="DY106" i="11"/>
  <c r="CW106" i="11"/>
  <c r="CV106" i="11"/>
  <c r="CU106" i="11"/>
  <c r="CT106" i="11"/>
  <c r="CS106" i="11"/>
  <c r="CR106" i="11"/>
  <c r="CQ106" i="11"/>
  <c r="CP106" i="11"/>
  <c r="CO106" i="11"/>
  <c r="CN106" i="11"/>
  <c r="CM106" i="11"/>
  <c r="CL106" i="11"/>
  <c r="CK106" i="11"/>
  <c r="CJ106" i="11"/>
  <c r="CI106" i="11"/>
  <c r="CH106" i="11"/>
  <c r="CG106" i="11"/>
  <c r="CF106" i="11"/>
  <c r="CE106" i="11"/>
  <c r="CD106" i="11"/>
  <c r="CC106" i="11"/>
  <c r="CB106" i="11"/>
  <c r="CA106" i="11"/>
  <c r="BZ106" i="11"/>
  <c r="BY106" i="11"/>
  <c r="BX106" i="11"/>
  <c r="BW106" i="11"/>
  <c r="BV106" i="11"/>
  <c r="BU106" i="11"/>
  <c r="BT106" i="11"/>
  <c r="BS106" i="11"/>
  <c r="BR106" i="11"/>
  <c r="BQ106" i="11"/>
  <c r="BP106" i="11"/>
  <c r="BO106" i="11"/>
  <c r="BN106" i="11"/>
  <c r="BM106" i="11"/>
  <c r="BL106" i="11"/>
  <c r="BK106" i="11"/>
  <c r="BJ106" i="11"/>
  <c r="BI106" i="11"/>
  <c r="BH106" i="11"/>
  <c r="BG106" i="11"/>
  <c r="BF106" i="11"/>
  <c r="BE106" i="11"/>
  <c r="BD106" i="11"/>
  <c r="BC106" i="11"/>
  <c r="BB106" i="11"/>
  <c r="BA106" i="11"/>
  <c r="AZ106" i="11"/>
  <c r="AY106" i="11"/>
  <c r="AX106" i="11"/>
  <c r="AW106" i="11"/>
  <c r="AV106" i="11"/>
  <c r="AU106" i="11"/>
  <c r="AT106" i="11"/>
  <c r="AS106" i="11"/>
  <c r="AR106" i="11"/>
  <c r="AQ106" i="11"/>
  <c r="AP106" i="11"/>
  <c r="AO106" i="11"/>
  <c r="AN106" i="11"/>
  <c r="AM106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GK102" i="11"/>
  <c r="GJ102" i="11"/>
  <c r="GI102" i="11"/>
  <c r="GH102" i="11"/>
  <c r="GG102" i="11"/>
  <c r="GF102" i="11"/>
  <c r="GE102" i="11"/>
  <c r="GD102" i="11"/>
  <c r="GC102" i="11"/>
  <c r="GB102" i="11"/>
  <c r="GA102" i="11"/>
  <c r="FZ102" i="11"/>
  <c r="FY102" i="11"/>
  <c r="FX102" i="11"/>
  <c r="FW102" i="11"/>
  <c r="FV102" i="11"/>
  <c r="FU102" i="11"/>
  <c r="FT102" i="11"/>
  <c r="FS102" i="11"/>
  <c r="FR102" i="11"/>
  <c r="FQ102" i="11"/>
  <c r="FP102" i="11"/>
  <c r="FO102" i="11"/>
  <c r="FN102" i="11"/>
  <c r="FM102" i="11"/>
  <c r="FL102" i="11"/>
  <c r="FK102" i="11"/>
  <c r="FJ102" i="11"/>
  <c r="FI102" i="11"/>
  <c r="FH102" i="11"/>
  <c r="FG102" i="11"/>
  <c r="FF102" i="11"/>
  <c r="FE102" i="11"/>
  <c r="FD102" i="11"/>
  <c r="FC102" i="11"/>
  <c r="FB102" i="11"/>
  <c r="FA102" i="11"/>
  <c r="EZ102" i="11"/>
  <c r="EY102" i="11"/>
  <c r="EX102" i="11"/>
  <c r="EV102" i="11"/>
  <c r="EU102" i="11"/>
  <c r="ET102" i="11"/>
  <c r="ES102" i="11"/>
  <c r="ER102" i="11"/>
  <c r="EQ102" i="11"/>
  <c r="EP102" i="11"/>
  <c r="EO102" i="11"/>
  <c r="EN102" i="11"/>
  <c r="EM102" i="11"/>
  <c r="EL102" i="11"/>
  <c r="EK102" i="11"/>
  <c r="EJ102" i="11"/>
  <c r="EI102" i="11"/>
  <c r="EH102" i="11"/>
  <c r="EG102" i="11"/>
  <c r="EF102" i="11"/>
  <c r="EE102" i="11"/>
  <c r="ED102" i="11"/>
  <c r="EC102" i="11"/>
  <c r="EB102" i="11"/>
  <c r="EA102" i="11"/>
  <c r="DZ102" i="11"/>
  <c r="DY102" i="11"/>
  <c r="CW102" i="11"/>
  <c r="CV102" i="11"/>
  <c r="CU102" i="11"/>
  <c r="CT102" i="11"/>
  <c r="CS102" i="11"/>
  <c r="CR102" i="11"/>
  <c r="CQ102" i="11"/>
  <c r="CP102" i="11"/>
  <c r="CO102" i="11"/>
  <c r="CN102" i="11"/>
  <c r="CM102" i="11"/>
  <c r="CL102" i="11"/>
  <c r="CK102" i="11"/>
  <c r="CJ102" i="11"/>
  <c r="CI102" i="11"/>
  <c r="CH102" i="11"/>
  <c r="CG102" i="11"/>
  <c r="CF102" i="11"/>
  <c r="CE102" i="11"/>
  <c r="CD102" i="11"/>
  <c r="CC102" i="11"/>
  <c r="CB102" i="11"/>
  <c r="CA102" i="11"/>
  <c r="BZ102" i="11"/>
  <c r="BY102" i="11"/>
  <c r="BX102" i="11"/>
  <c r="BW102" i="11"/>
  <c r="BV102" i="11"/>
  <c r="BU102" i="11"/>
  <c r="BT102" i="11"/>
  <c r="BS102" i="11"/>
  <c r="BR102" i="11"/>
  <c r="BQ102" i="11"/>
  <c r="BP102" i="11"/>
  <c r="BO102" i="11"/>
  <c r="BN102" i="11"/>
  <c r="BM102" i="11"/>
  <c r="BL102" i="11"/>
  <c r="BK102" i="11"/>
  <c r="BJ102" i="11"/>
  <c r="BI102" i="11"/>
  <c r="BH102" i="11"/>
  <c r="BG102" i="11"/>
  <c r="BF102" i="11"/>
  <c r="BE102" i="11"/>
  <c r="BD102" i="11"/>
  <c r="BC102" i="11"/>
  <c r="BB102" i="11"/>
  <c r="BA102" i="11"/>
  <c r="AZ102" i="11"/>
  <c r="AY102" i="11"/>
  <c r="AX102" i="11"/>
  <c r="AW102" i="11"/>
  <c r="AV102" i="11"/>
  <c r="AU102" i="11"/>
  <c r="AT102" i="11"/>
  <c r="AS102" i="11"/>
  <c r="AR102" i="11"/>
  <c r="AQ102" i="11"/>
  <c r="AP102" i="11"/>
  <c r="AO102" i="11"/>
  <c r="AN102" i="11"/>
  <c r="AM102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GL105" i="11"/>
  <c r="GL101" i="11"/>
  <c r="I14" i="11"/>
  <c r="GL113" i="11"/>
  <c r="GL49" i="11"/>
  <c r="GL47" i="11"/>
  <c r="GL45" i="11"/>
  <c r="GL43" i="11"/>
  <c r="GL41" i="11"/>
  <c r="GL37" i="11"/>
  <c r="GL35" i="11"/>
  <c r="GL27" i="11"/>
  <c r="GL23" i="11"/>
  <c r="GL13" i="11"/>
  <c r="GJ14" i="1"/>
  <c r="GJ53" i="1"/>
  <c r="GJ51" i="1"/>
  <c r="GJ46" i="1"/>
  <c r="GK114" i="11"/>
  <c r="GJ114" i="11"/>
  <c r="GI114" i="11"/>
  <c r="GH114" i="11"/>
  <c r="GG114" i="11"/>
  <c r="GF114" i="11"/>
  <c r="GE114" i="11"/>
  <c r="GD114" i="11"/>
  <c r="GC114" i="11"/>
  <c r="GB114" i="11"/>
  <c r="GA114" i="11"/>
  <c r="FZ114" i="11"/>
  <c r="FY114" i="11"/>
  <c r="FX114" i="11"/>
  <c r="FW114" i="11"/>
  <c r="FV114" i="11"/>
  <c r="FU114" i="11"/>
  <c r="FT114" i="11"/>
  <c r="FS114" i="11"/>
  <c r="FR114" i="11"/>
  <c r="FQ114" i="11"/>
  <c r="FP114" i="11"/>
  <c r="FO114" i="11"/>
  <c r="FN114" i="11"/>
  <c r="FM114" i="11"/>
  <c r="FL114" i="11"/>
  <c r="FK114" i="11"/>
  <c r="FJ114" i="11"/>
  <c r="FI114" i="11"/>
  <c r="FH114" i="11"/>
  <c r="FG114" i="11"/>
  <c r="FF114" i="11"/>
  <c r="FE114" i="11"/>
  <c r="FD114" i="11"/>
  <c r="FC114" i="11"/>
  <c r="FB114" i="11"/>
  <c r="FA114" i="11"/>
  <c r="EZ114" i="11"/>
  <c r="EY114" i="11"/>
  <c r="EX114" i="11"/>
  <c r="EV114" i="11"/>
  <c r="EU114" i="11"/>
  <c r="ET114" i="11"/>
  <c r="ES114" i="11"/>
  <c r="ER114" i="11"/>
  <c r="EQ114" i="11"/>
  <c r="EP114" i="11"/>
  <c r="EO114" i="11"/>
  <c r="EN114" i="11"/>
  <c r="EM114" i="11"/>
  <c r="EL114" i="11"/>
  <c r="EK114" i="11"/>
  <c r="EJ114" i="11"/>
  <c r="EI114" i="11"/>
  <c r="EH114" i="11"/>
  <c r="EG114" i="11"/>
  <c r="EF114" i="11"/>
  <c r="EE114" i="11"/>
  <c r="ED114" i="11"/>
  <c r="EC114" i="11"/>
  <c r="EB114" i="11"/>
  <c r="EA114" i="11"/>
  <c r="DZ114" i="11"/>
  <c r="DY114" i="11"/>
  <c r="DX114" i="11"/>
  <c r="DW114" i="11"/>
  <c r="DV114" i="11"/>
  <c r="DU114" i="11"/>
  <c r="CW114" i="11"/>
  <c r="CV114" i="11"/>
  <c r="CU114" i="11"/>
  <c r="CL114" i="11"/>
  <c r="CK114" i="11"/>
  <c r="CJ114" i="11"/>
  <c r="CI114" i="11"/>
  <c r="CH114" i="11"/>
  <c r="CG114" i="11"/>
  <c r="CF114" i="11"/>
  <c r="CE114" i="11"/>
  <c r="CD114" i="11"/>
  <c r="CC114" i="11"/>
  <c r="CB114" i="11"/>
  <c r="CA114" i="11"/>
  <c r="BZ114" i="11"/>
  <c r="BY114" i="11"/>
  <c r="BX114" i="11"/>
  <c r="BW114" i="11"/>
  <c r="BV114" i="11"/>
  <c r="BU114" i="11"/>
  <c r="BT114" i="11"/>
  <c r="BS114" i="11"/>
  <c r="BR114" i="11"/>
  <c r="BQ114" i="11"/>
  <c r="BP114" i="11"/>
  <c r="BO114" i="11"/>
  <c r="BN114" i="11"/>
  <c r="BM114" i="11"/>
  <c r="BL114" i="11"/>
  <c r="BK114" i="11"/>
  <c r="BJ114" i="11"/>
  <c r="BI114" i="11"/>
  <c r="BH114" i="11"/>
  <c r="BG114" i="11"/>
  <c r="BF114" i="11"/>
  <c r="BE114" i="11"/>
  <c r="BD114" i="11"/>
  <c r="BC114" i="11"/>
  <c r="BB114" i="11"/>
  <c r="BA114" i="11"/>
  <c r="AZ114" i="11"/>
  <c r="AY114" i="11"/>
  <c r="AR114" i="11"/>
  <c r="AN114" i="11"/>
  <c r="AM114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E114" i="11"/>
  <c r="GJ49" i="1"/>
  <c r="GJ12" i="1"/>
  <c r="GJ18" i="1"/>
  <c r="GJ17" i="1"/>
  <c r="GJ19" i="1"/>
  <c r="GJ41" i="1"/>
  <c r="GK50" i="11"/>
  <c r="GJ50" i="11"/>
  <c r="GI50" i="11"/>
  <c r="GH50" i="11"/>
  <c r="GG50" i="11"/>
  <c r="GF50" i="11"/>
  <c r="GE50" i="11"/>
  <c r="GD50" i="11"/>
  <c r="GC50" i="11"/>
  <c r="GB50" i="11"/>
  <c r="GA50" i="11"/>
  <c r="FZ50" i="11"/>
  <c r="FY50" i="11"/>
  <c r="FX50" i="11"/>
  <c r="FW50" i="11"/>
  <c r="FV50" i="11"/>
  <c r="FU50" i="11"/>
  <c r="FT50" i="11"/>
  <c r="FS50" i="11"/>
  <c r="FR50" i="11"/>
  <c r="FQ50" i="11"/>
  <c r="FP50" i="11"/>
  <c r="FO50" i="11"/>
  <c r="FN50" i="11"/>
  <c r="FM50" i="11"/>
  <c r="FL50" i="11"/>
  <c r="FK50" i="11"/>
  <c r="FJ50" i="11"/>
  <c r="FI50" i="11"/>
  <c r="FH50" i="11"/>
  <c r="FG50" i="11"/>
  <c r="FF50" i="11"/>
  <c r="FE50" i="11"/>
  <c r="FD50" i="11"/>
  <c r="FC50" i="11"/>
  <c r="FB50" i="11"/>
  <c r="FA50" i="11"/>
  <c r="EZ50" i="11"/>
  <c r="EY50" i="11"/>
  <c r="EX50" i="11"/>
  <c r="EV50" i="11"/>
  <c r="EU50" i="11"/>
  <c r="ET50" i="11"/>
  <c r="ES50" i="11"/>
  <c r="ER50" i="11"/>
  <c r="EQ50" i="11"/>
  <c r="EP50" i="11"/>
  <c r="EO50" i="11"/>
  <c r="EN50" i="11"/>
  <c r="EM50" i="11"/>
  <c r="EL50" i="11"/>
  <c r="EK50" i="11"/>
  <c r="EJ50" i="11"/>
  <c r="EI50" i="11"/>
  <c r="EH50" i="11"/>
  <c r="EG50" i="11"/>
  <c r="EF50" i="11"/>
  <c r="EE50" i="11"/>
  <c r="ED50" i="11"/>
  <c r="EC50" i="11"/>
  <c r="EB50" i="11"/>
  <c r="EA50" i="11"/>
  <c r="DZ50" i="11"/>
  <c r="DY50" i="11"/>
  <c r="CW50" i="11"/>
  <c r="CV50" i="11"/>
  <c r="CU50" i="11"/>
  <c r="CT50" i="11"/>
  <c r="CS50" i="11"/>
  <c r="CR50" i="11"/>
  <c r="CQ50" i="11"/>
  <c r="CP50" i="11"/>
  <c r="CO50" i="11"/>
  <c r="CN50" i="11"/>
  <c r="CM50" i="11"/>
  <c r="CL50" i="11"/>
  <c r="CK50" i="11"/>
  <c r="CJ50" i="11"/>
  <c r="CI50" i="11"/>
  <c r="CH50" i="11"/>
  <c r="CG50" i="11"/>
  <c r="CF50" i="11"/>
  <c r="CE50" i="11"/>
  <c r="CD50" i="11"/>
  <c r="CC50" i="11"/>
  <c r="CB50" i="11"/>
  <c r="CA50" i="11"/>
  <c r="BZ50" i="11"/>
  <c r="BY50" i="11"/>
  <c r="BX50" i="11"/>
  <c r="BW50" i="11"/>
  <c r="BV50" i="11"/>
  <c r="BU50" i="11"/>
  <c r="BT50" i="11"/>
  <c r="BS50" i="11"/>
  <c r="BR50" i="11"/>
  <c r="BQ50" i="11"/>
  <c r="BP50" i="11"/>
  <c r="BO50" i="11"/>
  <c r="BN50" i="11"/>
  <c r="BM50" i="11"/>
  <c r="BL50" i="11"/>
  <c r="BK50" i="11"/>
  <c r="BJ50" i="11"/>
  <c r="BI50" i="11"/>
  <c r="BH50" i="11"/>
  <c r="BG50" i="11"/>
  <c r="BF50" i="11"/>
  <c r="BE50" i="11"/>
  <c r="BD50" i="11"/>
  <c r="BC50" i="11"/>
  <c r="BB50" i="11"/>
  <c r="BA50" i="11"/>
  <c r="AZ50" i="11"/>
  <c r="AY50" i="11"/>
  <c r="AX50" i="11"/>
  <c r="AW50" i="11"/>
  <c r="AV50" i="11"/>
  <c r="AT50" i="11"/>
  <c r="AS50" i="11"/>
  <c r="AR50" i="11"/>
  <c r="AQ50" i="11"/>
  <c r="AP50" i="11"/>
  <c r="AO50" i="11"/>
  <c r="AN50" i="11"/>
  <c r="AM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E50" i="11"/>
  <c r="GK48" i="11"/>
  <c r="GJ48" i="11"/>
  <c r="GI48" i="11"/>
  <c r="GH48" i="11"/>
  <c r="GG48" i="11"/>
  <c r="GF48" i="11"/>
  <c r="GE48" i="11"/>
  <c r="GD48" i="11"/>
  <c r="GC48" i="11"/>
  <c r="GB48" i="11"/>
  <c r="GA48" i="11"/>
  <c r="FZ48" i="11"/>
  <c r="FY48" i="11"/>
  <c r="FX48" i="11"/>
  <c r="FW48" i="11"/>
  <c r="FV48" i="11"/>
  <c r="FU48" i="11"/>
  <c r="FT48" i="11"/>
  <c r="FS48" i="11"/>
  <c r="FR48" i="11"/>
  <c r="FQ48" i="11"/>
  <c r="FP48" i="11"/>
  <c r="FO48" i="11"/>
  <c r="FN48" i="11"/>
  <c r="FM48" i="11"/>
  <c r="FL48" i="11"/>
  <c r="FK48" i="11"/>
  <c r="FJ48" i="11"/>
  <c r="FI48" i="11"/>
  <c r="FH48" i="11"/>
  <c r="FG48" i="11"/>
  <c r="FF48" i="11"/>
  <c r="FE48" i="11"/>
  <c r="FD48" i="11"/>
  <c r="FC48" i="11"/>
  <c r="FB48" i="11"/>
  <c r="FA48" i="11"/>
  <c r="EZ48" i="11"/>
  <c r="EY48" i="11"/>
  <c r="EX48" i="11"/>
  <c r="EV48" i="11"/>
  <c r="EU48" i="11"/>
  <c r="ET48" i="11"/>
  <c r="ES48" i="11"/>
  <c r="ER48" i="11"/>
  <c r="EQ48" i="11"/>
  <c r="EP48" i="11"/>
  <c r="EO48" i="11"/>
  <c r="EN48" i="11"/>
  <c r="EM48" i="11"/>
  <c r="EL48" i="11"/>
  <c r="EK48" i="11"/>
  <c r="EJ48" i="11"/>
  <c r="EI48" i="11"/>
  <c r="EH48" i="11"/>
  <c r="EG48" i="11"/>
  <c r="EF48" i="11"/>
  <c r="EE48" i="11"/>
  <c r="ED48" i="11"/>
  <c r="EC48" i="11"/>
  <c r="EB48" i="11"/>
  <c r="EA48" i="11"/>
  <c r="DZ48" i="11"/>
  <c r="DY48" i="11"/>
  <c r="CW48" i="11"/>
  <c r="CV48" i="11"/>
  <c r="CU48" i="11"/>
  <c r="CT48" i="11"/>
  <c r="CS48" i="11"/>
  <c r="CR48" i="11"/>
  <c r="CQ48" i="11"/>
  <c r="CP48" i="11"/>
  <c r="CO48" i="11"/>
  <c r="CN48" i="11"/>
  <c r="CM48" i="11"/>
  <c r="CL48" i="11"/>
  <c r="CK48" i="11"/>
  <c r="CJ48" i="11"/>
  <c r="CI48" i="11"/>
  <c r="CH48" i="11"/>
  <c r="CG48" i="11"/>
  <c r="CF48" i="11"/>
  <c r="CE48" i="11"/>
  <c r="CD48" i="11"/>
  <c r="CC48" i="11"/>
  <c r="CB48" i="11"/>
  <c r="CA48" i="11"/>
  <c r="BZ48" i="11"/>
  <c r="BY48" i="11"/>
  <c r="BX48" i="11"/>
  <c r="BW48" i="11"/>
  <c r="BV48" i="11"/>
  <c r="BU48" i="11"/>
  <c r="BT48" i="11"/>
  <c r="BS48" i="11"/>
  <c r="BR48" i="11"/>
  <c r="BQ48" i="11"/>
  <c r="BP48" i="11"/>
  <c r="BO48" i="11"/>
  <c r="BN48" i="11"/>
  <c r="BM48" i="11"/>
  <c r="BL48" i="11"/>
  <c r="BK48" i="11"/>
  <c r="BJ48" i="11"/>
  <c r="BI48" i="11"/>
  <c r="BH48" i="11"/>
  <c r="BG48" i="11"/>
  <c r="BF48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E48" i="11"/>
  <c r="E34" i="11"/>
  <c r="GJ31" i="1"/>
  <c r="BE44" i="11"/>
  <c r="BE42" i="11"/>
  <c r="BE46" i="11"/>
  <c r="BE38" i="11"/>
  <c r="GJ70" i="1"/>
  <c r="E36" i="11"/>
  <c r="GJ38" i="1"/>
  <c r="GJ34" i="1"/>
  <c r="GJ79" i="1"/>
  <c r="GJ55" i="1"/>
  <c r="GK212" i="11" s="1"/>
  <c r="GJ81" i="1"/>
  <c r="BL24" i="11"/>
  <c r="BK24" i="11"/>
  <c r="BJ24" i="11"/>
  <c r="BI24" i="11"/>
  <c r="BH24" i="11"/>
  <c r="BG24" i="11"/>
  <c r="BF24" i="11"/>
  <c r="BL22" i="11"/>
  <c r="BK22" i="11"/>
  <c r="BJ22" i="11"/>
  <c r="BI22" i="11"/>
  <c r="BH22" i="11"/>
  <c r="BG22" i="11"/>
  <c r="BF22" i="11"/>
  <c r="BL18" i="11"/>
  <c r="BK18" i="11"/>
  <c r="BJ18" i="11"/>
  <c r="BI18" i="11"/>
  <c r="BH18" i="11"/>
  <c r="BG18" i="11"/>
  <c r="BF18" i="11"/>
  <c r="BL14" i="11"/>
  <c r="BK14" i="11"/>
  <c r="BJ14" i="11"/>
  <c r="BI14" i="11"/>
  <c r="BH14" i="11"/>
  <c r="BG14" i="11"/>
  <c r="BF14" i="11"/>
  <c r="BG38" i="11"/>
  <c r="BH38" i="11"/>
  <c r="BI38" i="11"/>
  <c r="BJ38" i="11"/>
  <c r="BK38" i="11"/>
  <c r="BL38" i="11"/>
  <c r="BG42" i="11"/>
  <c r="BH42" i="11"/>
  <c r="BI42" i="11"/>
  <c r="BJ42" i="11"/>
  <c r="BK42" i="11"/>
  <c r="BG44" i="11"/>
  <c r="BH44" i="11"/>
  <c r="BI44" i="11"/>
  <c r="BJ44" i="11"/>
  <c r="BK44" i="11"/>
  <c r="BL44" i="11"/>
  <c r="BG46" i="11"/>
  <c r="BH46" i="11"/>
  <c r="BI46" i="11"/>
  <c r="BJ46" i="11"/>
  <c r="BK46" i="11"/>
  <c r="BL46" i="11"/>
  <c r="BF46" i="11"/>
  <c r="BF44" i="11"/>
  <c r="BF42" i="11"/>
  <c r="BF38" i="11"/>
  <c r="BM32" i="11"/>
  <c r="BM38" i="11"/>
  <c r="BM42" i="11"/>
  <c r="BM44" i="11"/>
  <c r="BM46" i="11"/>
  <c r="BE24" i="11"/>
  <c r="BE22" i="11"/>
  <c r="BE18" i="11"/>
  <c r="BE14" i="11"/>
  <c r="CS14" i="11"/>
  <c r="CS18" i="11"/>
  <c r="CS22" i="11"/>
  <c r="CS24" i="11"/>
  <c r="CS38" i="11"/>
  <c r="CS42" i="11"/>
  <c r="CS44" i="11"/>
  <c r="CS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J46" i="11"/>
  <c r="AK46" i="11"/>
  <c r="AM46" i="11"/>
  <c r="AN46" i="11"/>
  <c r="AO46" i="11"/>
  <c r="AP46" i="11"/>
  <c r="AR46" i="11"/>
  <c r="AS46" i="11"/>
  <c r="AT46" i="11"/>
  <c r="AU46" i="11"/>
  <c r="AV46" i="11"/>
  <c r="AW46" i="11"/>
  <c r="AX46" i="11"/>
  <c r="AY46" i="11"/>
  <c r="AZ46" i="11"/>
  <c r="BA46" i="11"/>
  <c r="BB46" i="11"/>
  <c r="BC46" i="11"/>
  <c r="BD46" i="11"/>
  <c r="BN46" i="11"/>
  <c r="BO46" i="11"/>
  <c r="BP46" i="11"/>
  <c r="BQ46" i="11"/>
  <c r="BR46" i="11"/>
  <c r="BS46" i="11"/>
  <c r="BT46" i="11"/>
  <c r="BU46" i="11"/>
  <c r="BV46" i="11"/>
  <c r="BW46" i="11"/>
  <c r="BX46" i="11"/>
  <c r="BY46" i="11"/>
  <c r="BZ46" i="11"/>
  <c r="CA46" i="11"/>
  <c r="CB46" i="11"/>
  <c r="CC46" i="11"/>
  <c r="CD46" i="11"/>
  <c r="CE46" i="11"/>
  <c r="CF46" i="11"/>
  <c r="CG46" i="11"/>
  <c r="CH46" i="11"/>
  <c r="CI46" i="11"/>
  <c r="CJ46" i="11"/>
  <c r="CK46" i="11"/>
  <c r="CL46" i="11"/>
  <c r="CM46" i="11"/>
  <c r="CN46" i="11"/>
  <c r="CO46" i="11"/>
  <c r="CP46" i="11"/>
  <c r="CQ46" i="11"/>
  <c r="CT46" i="11"/>
  <c r="CU46" i="11"/>
  <c r="CV46" i="11"/>
  <c r="CW46" i="11"/>
  <c r="DY46" i="11"/>
  <c r="DZ46" i="11"/>
  <c r="EA46" i="11"/>
  <c r="EB46" i="11"/>
  <c r="EC46" i="11"/>
  <c r="ED46" i="11"/>
  <c r="EE46" i="11"/>
  <c r="EF46" i="11"/>
  <c r="EG46" i="11"/>
  <c r="EH46" i="11"/>
  <c r="EI46" i="11"/>
  <c r="EJ46" i="11"/>
  <c r="EK46" i="11"/>
  <c r="EL46" i="11"/>
  <c r="EM46" i="11"/>
  <c r="EN46" i="11"/>
  <c r="EO46" i="11"/>
  <c r="EP46" i="11"/>
  <c r="EQ46" i="11"/>
  <c r="ER46" i="11"/>
  <c r="ES46" i="11"/>
  <c r="ET46" i="11"/>
  <c r="EU46" i="11"/>
  <c r="EV46" i="11"/>
  <c r="EX46" i="11"/>
  <c r="EY46" i="11"/>
  <c r="EZ46" i="11"/>
  <c r="FA46" i="11"/>
  <c r="FB46" i="11"/>
  <c r="FC46" i="11"/>
  <c r="FD46" i="11"/>
  <c r="FE46" i="11"/>
  <c r="FF46" i="11"/>
  <c r="FG46" i="11"/>
  <c r="FH46" i="11"/>
  <c r="FI46" i="11"/>
  <c r="FJ46" i="11"/>
  <c r="FK46" i="11"/>
  <c r="FL46" i="11"/>
  <c r="FM46" i="11"/>
  <c r="FN46" i="11"/>
  <c r="FO46" i="11"/>
  <c r="FP46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M44" i="11"/>
  <c r="AN44" i="1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BA44" i="11"/>
  <c r="BB44" i="11"/>
  <c r="BC44" i="11"/>
  <c r="BD44" i="11"/>
  <c r="BN44" i="11"/>
  <c r="BO44" i="11"/>
  <c r="BP44" i="11"/>
  <c r="BQ44" i="11"/>
  <c r="BR44" i="11"/>
  <c r="BS44" i="11"/>
  <c r="BT44" i="11"/>
  <c r="BU44" i="11"/>
  <c r="BV44" i="11"/>
  <c r="BW44" i="11"/>
  <c r="BX44" i="11"/>
  <c r="BY44" i="11"/>
  <c r="BZ44" i="11"/>
  <c r="CA44" i="11"/>
  <c r="CB44" i="11"/>
  <c r="CC44" i="11"/>
  <c r="CD44" i="11"/>
  <c r="CE44" i="11"/>
  <c r="CF44" i="11"/>
  <c r="CG44" i="11"/>
  <c r="CH44" i="11"/>
  <c r="CI44" i="11"/>
  <c r="CJ44" i="11"/>
  <c r="CK44" i="11"/>
  <c r="CL44" i="11"/>
  <c r="CM44" i="11"/>
  <c r="CN44" i="11"/>
  <c r="CO44" i="11"/>
  <c r="CP44" i="11"/>
  <c r="CQ44" i="11"/>
  <c r="CR44" i="11"/>
  <c r="CT44" i="11"/>
  <c r="CU44" i="11"/>
  <c r="CV44" i="11"/>
  <c r="CW44" i="11"/>
  <c r="DY44" i="11"/>
  <c r="DZ44" i="11"/>
  <c r="EA44" i="11"/>
  <c r="EB44" i="11"/>
  <c r="EC44" i="11"/>
  <c r="ED44" i="11"/>
  <c r="EE44" i="11"/>
  <c r="EF44" i="11"/>
  <c r="EG44" i="11"/>
  <c r="EH44" i="11"/>
  <c r="EI44" i="11"/>
  <c r="EJ44" i="11"/>
  <c r="EK44" i="11"/>
  <c r="EL44" i="11"/>
  <c r="EM44" i="11"/>
  <c r="EN44" i="11"/>
  <c r="EO44" i="11"/>
  <c r="EP44" i="11"/>
  <c r="EQ44" i="11"/>
  <c r="ER44" i="11"/>
  <c r="ES44" i="11"/>
  <c r="ET44" i="11"/>
  <c r="EU44" i="11"/>
  <c r="EV44" i="11"/>
  <c r="EX44" i="11"/>
  <c r="EY44" i="11"/>
  <c r="EZ44" i="11"/>
  <c r="FA44" i="11"/>
  <c r="FB44" i="11"/>
  <c r="FC44" i="11"/>
  <c r="FD44" i="11"/>
  <c r="FE44" i="11"/>
  <c r="FF44" i="11"/>
  <c r="FG44" i="11"/>
  <c r="FH44" i="11"/>
  <c r="FI44" i="11"/>
  <c r="FJ44" i="11"/>
  <c r="FK44" i="11"/>
  <c r="FL44" i="11"/>
  <c r="FM44" i="11"/>
  <c r="FN44" i="11"/>
  <c r="FO44" i="11"/>
  <c r="FP44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C42" i="11"/>
  <c r="AD42" i="11"/>
  <c r="AE42" i="11"/>
  <c r="AF42" i="11"/>
  <c r="AG42" i="11"/>
  <c r="AH42" i="11"/>
  <c r="AI42" i="11"/>
  <c r="AJ42" i="11"/>
  <c r="AK42" i="11"/>
  <c r="AM42" i="11"/>
  <c r="AN42" i="11"/>
  <c r="AO42" i="11"/>
  <c r="AP42" i="11"/>
  <c r="AQ42" i="11"/>
  <c r="AR42" i="11"/>
  <c r="AS42" i="11"/>
  <c r="AT42" i="11"/>
  <c r="AU42" i="11"/>
  <c r="AV42" i="11"/>
  <c r="AW42" i="11"/>
  <c r="AX42" i="11"/>
  <c r="AY42" i="11"/>
  <c r="AZ42" i="11"/>
  <c r="BA42" i="11"/>
  <c r="BB42" i="11"/>
  <c r="BC42" i="11"/>
  <c r="BD42" i="11"/>
  <c r="BN42" i="11"/>
  <c r="BO42" i="11"/>
  <c r="BP42" i="11"/>
  <c r="BQ42" i="11"/>
  <c r="BR42" i="11"/>
  <c r="BS42" i="11"/>
  <c r="BT42" i="11"/>
  <c r="BU42" i="11"/>
  <c r="BV42" i="11"/>
  <c r="BW42" i="11"/>
  <c r="BX42" i="11"/>
  <c r="BY42" i="11"/>
  <c r="BZ42" i="11"/>
  <c r="CA42" i="11"/>
  <c r="CB42" i="11"/>
  <c r="CC42" i="11"/>
  <c r="CD42" i="11"/>
  <c r="CE42" i="11"/>
  <c r="CF42" i="11"/>
  <c r="CG42" i="11"/>
  <c r="CH42" i="11"/>
  <c r="CI42" i="11"/>
  <c r="CJ42" i="11"/>
  <c r="CK42" i="11"/>
  <c r="CM42" i="11"/>
  <c r="CN42" i="11"/>
  <c r="CO42" i="11"/>
  <c r="CP42" i="11"/>
  <c r="CQ42" i="11"/>
  <c r="CR42" i="11"/>
  <c r="CT42" i="11"/>
  <c r="CU42" i="11"/>
  <c r="CV42" i="11"/>
  <c r="CW42" i="11"/>
  <c r="DY42" i="11"/>
  <c r="DZ42" i="11"/>
  <c r="EA42" i="11"/>
  <c r="EB42" i="11"/>
  <c r="EC42" i="11"/>
  <c r="ED42" i="11"/>
  <c r="EE42" i="11"/>
  <c r="EF42" i="11"/>
  <c r="EG42" i="11"/>
  <c r="EH42" i="11"/>
  <c r="EI42" i="11"/>
  <c r="EJ42" i="11"/>
  <c r="EK42" i="11"/>
  <c r="EL42" i="11"/>
  <c r="EM42" i="11"/>
  <c r="EN42" i="11"/>
  <c r="EO42" i="11"/>
  <c r="EP42" i="11"/>
  <c r="EQ42" i="11"/>
  <c r="ER42" i="11"/>
  <c r="ES42" i="11"/>
  <c r="ET42" i="11"/>
  <c r="EU42" i="11"/>
  <c r="EV42" i="11"/>
  <c r="EX42" i="11"/>
  <c r="EY42" i="11"/>
  <c r="EZ42" i="11"/>
  <c r="FA42" i="11"/>
  <c r="FB42" i="11"/>
  <c r="FC42" i="11"/>
  <c r="FD42" i="11"/>
  <c r="FE42" i="11"/>
  <c r="FF42" i="11"/>
  <c r="FG42" i="11"/>
  <c r="FH42" i="11"/>
  <c r="FI42" i="11"/>
  <c r="FJ42" i="11"/>
  <c r="FK42" i="11"/>
  <c r="FL42" i="11"/>
  <c r="FM42" i="11"/>
  <c r="FN42" i="11"/>
  <c r="FO42" i="11"/>
  <c r="FP42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AM38" i="11"/>
  <c r="AN38" i="11"/>
  <c r="AO38" i="11"/>
  <c r="AP38" i="11"/>
  <c r="AQ38" i="11"/>
  <c r="AR38" i="11"/>
  <c r="AS38" i="11"/>
  <c r="AT38" i="11"/>
  <c r="AU38" i="11"/>
  <c r="AV38" i="11"/>
  <c r="AW38" i="11"/>
  <c r="AX38" i="11"/>
  <c r="AY38" i="11"/>
  <c r="AZ38" i="11"/>
  <c r="BA38" i="11"/>
  <c r="BB38" i="11"/>
  <c r="BC38" i="11"/>
  <c r="BD38" i="11"/>
  <c r="BN38" i="11"/>
  <c r="BO38" i="11"/>
  <c r="BP38" i="11"/>
  <c r="BQ38" i="11"/>
  <c r="BR38" i="11"/>
  <c r="BS38" i="11"/>
  <c r="BT38" i="11"/>
  <c r="BU38" i="11"/>
  <c r="BV38" i="11"/>
  <c r="BW38" i="11"/>
  <c r="BX38" i="11"/>
  <c r="BY38" i="11"/>
  <c r="BZ38" i="11"/>
  <c r="CA38" i="11"/>
  <c r="CB38" i="11"/>
  <c r="CC38" i="11"/>
  <c r="CD38" i="11"/>
  <c r="CE38" i="11"/>
  <c r="CF38" i="11"/>
  <c r="CG38" i="11"/>
  <c r="CH38" i="11"/>
  <c r="CI38" i="11"/>
  <c r="CJ38" i="11"/>
  <c r="CK38" i="11"/>
  <c r="CL38" i="11"/>
  <c r="CM38" i="11"/>
  <c r="CN38" i="11"/>
  <c r="CO38" i="11"/>
  <c r="CP38" i="11"/>
  <c r="CQ38" i="11"/>
  <c r="CR38" i="11"/>
  <c r="CT38" i="11"/>
  <c r="CU38" i="11"/>
  <c r="CV38" i="11"/>
  <c r="CW38" i="11"/>
  <c r="DY38" i="11"/>
  <c r="DZ38" i="11"/>
  <c r="EA38" i="11"/>
  <c r="EB38" i="11"/>
  <c r="EC38" i="11"/>
  <c r="ED38" i="11"/>
  <c r="EE38" i="11"/>
  <c r="EF38" i="11"/>
  <c r="EG38" i="11"/>
  <c r="EH38" i="11"/>
  <c r="EI38" i="11"/>
  <c r="EJ38" i="11"/>
  <c r="EK38" i="11"/>
  <c r="EL38" i="11"/>
  <c r="EM38" i="11"/>
  <c r="EN38" i="11"/>
  <c r="EO38" i="11"/>
  <c r="EP38" i="11"/>
  <c r="EQ38" i="11"/>
  <c r="ER38" i="11"/>
  <c r="ES38" i="11"/>
  <c r="ET38" i="11"/>
  <c r="EU38" i="11"/>
  <c r="EV38" i="11"/>
  <c r="EX38" i="11"/>
  <c r="EY38" i="11"/>
  <c r="EZ38" i="11"/>
  <c r="FA38" i="11"/>
  <c r="FB38" i="11"/>
  <c r="FC38" i="11"/>
  <c r="FD38" i="11"/>
  <c r="FE38" i="11"/>
  <c r="FF38" i="11"/>
  <c r="FG38" i="11"/>
  <c r="FH38" i="11"/>
  <c r="FI38" i="11"/>
  <c r="FJ38" i="11"/>
  <c r="FK38" i="11"/>
  <c r="FL38" i="11"/>
  <c r="FM38" i="11"/>
  <c r="FN38" i="11"/>
  <c r="FO38" i="11"/>
  <c r="FP38" i="11"/>
  <c r="G32" i="11"/>
  <c r="U32" i="11"/>
  <c r="AC32" i="11"/>
  <c r="AM32" i="11"/>
  <c r="AV32" i="11"/>
  <c r="AZ32" i="11"/>
  <c r="CI32" i="11"/>
  <c r="CM32" i="11"/>
  <c r="CU32" i="11"/>
  <c r="DY32" i="11"/>
  <c r="EY32" i="11"/>
  <c r="FL32" i="11"/>
  <c r="G28" i="11"/>
  <c r="AC28" i="11"/>
  <c r="AM28" i="11"/>
  <c r="AV28" i="11"/>
  <c r="AZ28" i="11"/>
  <c r="BM28" i="11"/>
  <c r="BW28" i="11"/>
  <c r="CI28" i="11"/>
  <c r="CM28" i="11"/>
  <c r="CU28" i="11"/>
  <c r="DY28" i="11"/>
  <c r="EP28" i="11"/>
  <c r="EY28" i="11"/>
  <c r="FL28" i="11"/>
  <c r="G24" i="11"/>
  <c r="H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M24" i="11"/>
  <c r="AN24" i="11"/>
  <c r="AO24" i="11"/>
  <c r="AP24" i="11"/>
  <c r="AQ24" i="11"/>
  <c r="AR24" i="11"/>
  <c r="AT24" i="11"/>
  <c r="AU24" i="11"/>
  <c r="AV24" i="11"/>
  <c r="AW24" i="11"/>
  <c r="AX24" i="11"/>
  <c r="AY24" i="11"/>
  <c r="AZ24" i="11"/>
  <c r="BA24" i="11"/>
  <c r="BB24" i="11"/>
  <c r="BC24" i="11"/>
  <c r="BD24" i="11"/>
  <c r="BM24" i="11"/>
  <c r="BN24" i="11"/>
  <c r="BO24" i="11"/>
  <c r="BP24" i="11"/>
  <c r="BQ24" i="11"/>
  <c r="BR24" i="11"/>
  <c r="BS24" i="11"/>
  <c r="BT24" i="11"/>
  <c r="BU24" i="11"/>
  <c r="BV24" i="11"/>
  <c r="BW24" i="11"/>
  <c r="BX24" i="11"/>
  <c r="BY24" i="11"/>
  <c r="BZ24" i="11"/>
  <c r="CA24" i="11"/>
  <c r="CB24" i="11"/>
  <c r="CC24" i="11"/>
  <c r="CD24" i="11"/>
  <c r="CE24" i="11"/>
  <c r="CF24" i="11"/>
  <c r="CG24" i="11"/>
  <c r="CH24" i="11"/>
  <c r="CI24" i="11"/>
  <c r="CJ24" i="11"/>
  <c r="CK24" i="11"/>
  <c r="CL24" i="11"/>
  <c r="CN24" i="11"/>
  <c r="CR24" i="11"/>
  <c r="CT24" i="11"/>
  <c r="DY24" i="11"/>
  <c r="DZ24" i="11"/>
  <c r="EA24" i="11"/>
  <c r="EB24" i="11"/>
  <c r="EC24" i="11"/>
  <c r="ED24" i="11"/>
  <c r="EE24" i="11"/>
  <c r="EF24" i="11"/>
  <c r="EG24" i="11"/>
  <c r="EH24" i="11"/>
  <c r="EI24" i="11"/>
  <c r="EJ24" i="11"/>
  <c r="EK24" i="11"/>
  <c r="EL24" i="11"/>
  <c r="EM24" i="11"/>
  <c r="EN24" i="11"/>
  <c r="EO24" i="11"/>
  <c r="EP24" i="11"/>
  <c r="EQ24" i="11"/>
  <c r="ER24" i="11"/>
  <c r="ES24" i="11"/>
  <c r="ET24" i="11"/>
  <c r="EU24" i="11"/>
  <c r="EV24" i="11"/>
  <c r="EX24" i="11"/>
  <c r="EY24" i="11"/>
  <c r="EZ24" i="11"/>
  <c r="FA24" i="11"/>
  <c r="FB24" i="11"/>
  <c r="FC24" i="11"/>
  <c r="FD24" i="11"/>
  <c r="FE24" i="11"/>
  <c r="FF24" i="11"/>
  <c r="FG24" i="11"/>
  <c r="FH24" i="11"/>
  <c r="FI24" i="11"/>
  <c r="FJ24" i="11"/>
  <c r="FK24" i="11"/>
  <c r="FL24" i="11"/>
  <c r="FM24" i="11"/>
  <c r="FN24" i="11"/>
  <c r="FO24" i="11"/>
  <c r="FP24" i="11"/>
  <c r="H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M14" i="11"/>
  <c r="AN14" i="11"/>
  <c r="AR14" i="11"/>
  <c r="AY14" i="11"/>
  <c r="AZ14" i="11"/>
  <c r="BA14" i="11"/>
  <c r="BB14" i="11"/>
  <c r="BC14" i="11"/>
  <c r="BD14" i="11"/>
  <c r="BM14" i="11"/>
  <c r="BN14" i="11"/>
  <c r="BO14" i="11"/>
  <c r="BP14" i="11"/>
  <c r="BQ14" i="11"/>
  <c r="BR14" i="11"/>
  <c r="BS14" i="11"/>
  <c r="BT14" i="11"/>
  <c r="BU14" i="11"/>
  <c r="BV14" i="11"/>
  <c r="BW14" i="11"/>
  <c r="BX14" i="11"/>
  <c r="BY14" i="11"/>
  <c r="BZ14" i="11"/>
  <c r="CA14" i="11"/>
  <c r="CB14" i="11"/>
  <c r="CC14" i="11"/>
  <c r="CD14" i="11"/>
  <c r="CE14" i="11"/>
  <c r="CF14" i="11"/>
  <c r="CG14" i="11"/>
  <c r="CH14" i="11"/>
  <c r="CI14" i="11"/>
  <c r="CJ14" i="11"/>
  <c r="CK14" i="11"/>
  <c r="CL14" i="11"/>
  <c r="CN14" i="11"/>
  <c r="CR14" i="11"/>
  <c r="DY14" i="11"/>
  <c r="EY14" i="11"/>
  <c r="FL14" i="11"/>
  <c r="FP14" i="11"/>
  <c r="CG18" i="11"/>
  <c r="CG22" i="11"/>
  <c r="J18" i="11"/>
  <c r="H18" i="11"/>
  <c r="I18" i="11"/>
  <c r="Z18" i="11"/>
  <c r="AA18" i="11"/>
  <c r="Z22" i="11"/>
  <c r="AA22" i="11"/>
  <c r="GJ58" i="1"/>
  <c r="GJ57" i="1"/>
  <c r="E106" i="11"/>
  <c r="E102" i="11"/>
  <c r="E88" i="11"/>
  <c r="GK42" i="11"/>
  <c r="GJ42" i="11"/>
  <c r="GI42" i="11"/>
  <c r="GH42" i="11"/>
  <c r="GG42" i="11"/>
  <c r="GF42" i="11"/>
  <c r="GE42" i="11"/>
  <c r="GD42" i="11"/>
  <c r="GC42" i="11"/>
  <c r="GB42" i="11"/>
  <c r="GA42" i="11"/>
  <c r="FZ42" i="11"/>
  <c r="FY42" i="11"/>
  <c r="FX42" i="11"/>
  <c r="FW42" i="11"/>
  <c r="FV42" i="11"/>
  <c r="FU42" i="11"/>
  <c r="FT42" i="11"/>
  <c r="FS42" i="11"/>
  <c r="FR42" i="11"/>
  <c r="FQ42" i="11"/>
  <c r="E42" i="11"/>
  <c r="E14" i="11"/>
  <c r="E18" i="11"/>
  <c r="E22" i="11"/>
  <c r="E24" i="11"/>
  <c r="E28" i="11"/>
  <c r="E32" i="11"/>
  <c r="E38" i="11"/>
  <c r="E44" i="11"/>
  <c r="E46" i="11"/>
  <c r="E58" i="11"/>
  <c r="E72" i="11"/>
  <c r="GJ10" i="1"/>
  <c r="BV18" i="11"/>
  <c r="BV22" i="11"/>
  <c r="DY18" i="11"/>
  <c r="DZ18" i="11"/>
  <c r="EA18" i="11"/>
  <c r="EB18" i="11"/>
  <c r="EC18" i="11"/>
  <c r="ED18" i="11"/>
  <c r="EE18" i="11"/>
  <c r="EF18" i="11"/>
  <c r="EG18" i="11"/>
  <c r="EH18" i="11"/>
  <c r="EI18" i="11"/>
  <c r="EJ18" i="11"/>
  <c r="EK18" i="11"/>
  <c r="EL18" i="11"/>
  <c r="EM18" i="11"/>
  <c r="EN18" i="11"/>
  <c r="EO18" i="11"/>
  <c r="EP18" i="11"/>
  <c r="EQ18" i="11"/>
  <c r="ER18" i="11"/>
  <c r="ES18" i="11"/>
  <c r="ET18" i="11"/>
  <c r="EU18" i="11"/>
  <c r="EV18" i="11"/>
  <c r="EX18" i="11"/>
  <c r="DY22" i="11"/>
  <c r="DZ22" i="11"/>
  <c r="EA22" i="11"/>
  <c r="EB22" i="11"/>
  <c r="EC22" i="11"/>
  <c r="ED22" i="11"/>
  <c r="EE22" i="11"/>
  <c r="EF22" i="11"/>
  <c r="EG22" i="11"/>
  <c r="EH22" i="11"/>
  <c r="EI22" i="11"/>
  <c r="EJ22" i="11"/>
  <c r="EK22" i="11"/>
  <c r="EL22" i="11"/>
  <c r="EM22" i="11"/>
  <c r="EN22" i="11"/>
  <c r="EO22" i="11"/>
  <c r="EP22" i="11"/>
  <c r="EQ22" i="11"/>
  <c r="ER22" i="11"/>
  <c r="ES22" i="11"/>
  <c r="ET22" i="11"/>
  <c r="EU22" i="11"/>
  <c r="EV22" i="11"/>
  <c r="EX22" i="11"/>
  <c r="FG18" i="11"/>
  <c r="FG22" i="11"/>
  <c r="FD18" i="11"/>
  <c r="FE18" i="11"/>
  <c r="FF18" i="11"/>
  <c r="FD22" i="11"/>
  <c r="FE22" i="11"/>
  <c r="FF22" i="11"/>
  <c r="CT18" i="11"/>
  <c r="CT22" i="11"/>
  <c r="K18" i="11"/>
  <c r="S22" i="11"/>
  <c r="S18" i="11"/>
  <c r="GJ11" i="1"/>
  <c r="GJ60" i="1"/>
  <c r="FP22" i="11"/>
  <c r="FO22" i="11"/>
  <c r="FN22" i="11"/>
  <c r="FM22" i="11"/>
  <c r="FL22" i="11"/>
  <c r="FK22" i="11"/>
  <c r="FJ22" i="11"/>
  <c r="FP18" i="11"/>
  <c r="FO18" i="11"/>
  <c r="FN18" i="11"/>
  <c r="FM18" i="11"/>
  <c r="FL18" i="11"/>
  <c r="FK18" i="11"/>
  <c r="FJ18" i="11"/>
  <c r="FI22" i="11"/>
  <c r="FH22" i="11"/>
  <c r="FC22" i="11"/>
  <c r="FB22" i="11"/>
  <c r="FA22" i="11"/>
  <c r="EZ22" i="11"/>
  <c r="EY22" i="11"/>
  <c r="CR22" i="11"/>
  <c r="CN22" i="11"/>
  <c r="CL22" i="11"/>
  <c r="CK22" i="11"/>
  <c r="CJ22" i="11"/>
  <c r="CI22" i="11"/>
  <c r="CH22" i="11"/>
  <c r="CF22" i="11"/>
  <c r="CE22" i="11"/>
  <c r="CD22" i="11"/>
  <c r="CC22" i="11"/>
  <c r="CB22" i="11"/>
  <c r="CA22" i="11"/>
  <c r="BZ22" i="11"/>
  <c r="BY22" i="11"/>
  <c r="BX22" i="11"/>
  <c r="BW22" i="11"/>
  <c r="BU22" i="11"/>
  <c r="BT22" i="11"/>
  <c r="BS22" i="11"/>
  <c r="BR22" i="11"/>
  <c r="BQ22" i="11"/>
  <c r="BP22" i="11"/>
  <c r="BO22" i="11"/>
  <c r="BN22" i="11"/>
  <c r="BM22" i="11"/>
  <c r="BD22" i="11"/>
  <c r="BC22" i="11"/>
  <c r="BB22" i="11"/>
  <c r="BA22" i="11"/>
  <c r="AZ22" i="11"/>
  <c r="AY22" i="11"/>
  <c r="AX22" i="11"/>
  <c r="AW22" i="11"/>
  <c r="AV22" i="11"/>
  <c r="AU22" i="11"/>
  <c r="AT22" i="11"/>
  <c r="AR22" i="11"/>
  <c r="AQ22" i="11"/>
  <c r="AP22" i="11"/>
  <c r="AO22" i="11"/>
  <c r="AN22" i="11"/>
  <c r="AM22" i="11"/>
  <c r="AK22" i="11"/>
  <c r="AJ22" i="11"/>
  <c r="AI22" i="11"/>
  <c r="AH22" i="11"/>
  <c r="AG22" i="11"/>
  <c r="AF22" i="11"/>
  <c r="AE22" i="11"/>
  <c r="AD22" i="11"/>
  <c r="AC22" i="11"/>
  <c r="AB22" i="11"/>
  <c r="Y22" i="11"/>
  <c r="X22" i="11"/>
  <c r="W22" i="11"/>
  <c r="V22" i="11"/>
  <c r="U22" i="11"/>
  <c r="T22" i="11"/>
  <c r="R22" i="11"/>
  <c r="Q22" i="11"/>
  <c r="P22" i="11"/>
  <c r="O22" i="11"/>
  <c r="N22" i="11"/>
  <c r="M22" i="11"/>
  <c r="L22" i="11"/>
  <c r="FI18" i="11"/>
  <c r="FH18" i="11"/>
  <c r="FC18" i="11"/>
  <c r="FB18" i="11"/>
  <c r="FA18" i="11"/>
  <c r="EZ18" i="11"/>
  <c r="EY18" i="11"/>
  <c r="CW18" i="11"/>
  <c r="CV18" i="11"/>
  <c r="CU18" i="11"/>
  <c r="CR18" i="11"/>
  <c r="CQ18" i="11"/>
  <c r="CP18" i="11"/>
  <c r="CO18" i="11"/>
  <c r="CN18" i="11"/>
  <c r="CL18" i="11"/>
  <c r="CK18" i="11"/>
  <c r="CJ18" i="11"/>
  <c r="CI18" i="11"/>
  <c r="CH18" i="11"/>
  <c r="CF18" i="11"/>
  <c r="CE18" i="11"/>
  <c r="CD18" i="11"/>
  <c r="CC18" i="11"/>
  <c r="CB18" i="11"/>
  <c r="CA18" i="11"/>
  <c r="BZ18" i="11"/>
  <c r="BY18" i="11"/>
  <c r="BX18" i="11"/>
  <c r="BW18" i="11"/>
  <c r="BU18" i="11"/>
  <c r="BT18" i="11"/>
  <c r="BS18" i="11"/>
  <c r="BR18" i="11"/>
  <c r="BQ18" i="11"/>
  <c r="BP18" i="11"/>
  <c r="BO18" i="11"/>
  <c r="BN18" i="11"/>
  <c r="BM18" i="11"/>
  <c r="BD18" i="11"/>
  <c r="BC18" i="11"/>
  <c r="BB18" i="11"/>
  <c r="BA18" i="11"/>
  <c r="AZ18" i="11"/>
  <c r="AY18" i="11"/>
  <c r="AM18" i="11"/>
  <c r="AK18" i="11"/>
  <c r="AJ18" i="11"/>
  <c r="AI18" i="11"/>
  <c r="AH18" i="11"/>
  <c r="AG18" i="11"/>
  <c r="AF18" i="11"/>
  <c r="AE18" i="11"/>
  <c r="AD18" i="11"/>
  <c r="AC18" i="11"/>
  <c r="AB18" i="11"/>
  <c r="Y18" i="11"/>
  <c r="X18" i="11"/>
  <c r="W18" i="11"/>
  <c r="V18" i="11"/>
  <c r="U18" i="11"/>
  <c r="T18" i="11"/>
  <c r="R18" i="11"/>
  <c r="Q18" i="11"/>
  <c r="P18" i="11"/>
  <c r="O18" i="11"/>
  <c r="N18" i="11"/>
  <c r="M18" i="11"/>
  <c r="L18" i="11"/>
  <c r="G18" i="11"/>
  <c r="GJ35" i="1"/>
  <c r="GK46" i="11"/>
  <c r="GJ46" i="11"/>
  <c r="GI46" i="11"/>
  <c r="GH46" i="11"/>
  <c r="GG46" i="11"/>
  <c r="GF46" i="11"/>
  <c r="GE46" i="11"/>
  <c r="GD46" i="11"/>
  <c r="GC46" i="11"/>
  <c r="GB46" i="11"/>
  <c r="GA46" i="11"/>
  <c r="FZ46" i="11"/>
  <c r="FY46" i="11"/>
  <c r="FX46" i="11"/>
  <c r="FW46" i="11"/>
  <c r="FV46" i="11"/>
  <c r="FU46" i="11"/>
  <c r="FT46" i="11"/>
  <c r="FS46" i="11"/>
  <c r="FR46" i="11"/>
  <c r="FQ46" i="11"/>
  <c r="GK44" i="11"/>
  <c r="GJ44" i="11"/>
  <c r="GI44" i="11"/>
  <c r="GH44" i="11"/>
  <c r="GG44" i="11"/>
  <c r="GF44" i="11"/>
  <c r="GE44" i="11"/>
  <c r="GD44" i="11"/>
  <c r="GC44" i="11"/>
  <c r="GB44" i="11"/>
  <c r="GA44" i="11"/>
  <c r="FZ44" i="11"/>
  <c r="FY44" i="11"/>
  <c r="FX44" i="11"/>
  <c r="FW44" i="11"/>
  <c r="FV44" i="11"/>
  <c r="FU44" i="11"/>
  <c r="FT44" i="11"/>
  <c r="FS44" i="11"/>
  <c r="FR44" i="11"/>
  <c r="FQ44" i="11"/>
  <c r="GK38" i="11"/>
  <c r="GJ38" i="11"/>
  <c r="GI38" i="11"/>
  <c r="GH38" i="11"/>
  <c r="GG38" i="11"/>
  <c r="GF38" i="11"/>
  <c r="GE38" i="11"/>
  <c r="GD38" i="11"/>
  <c r="GC38" i="11"/>
  <c r="GB38" i="11"/>
  <c r="GA38" i="11"/>
  <c r="FZ38" i="11"/>
  <c r="FY38" i="11"/>
  <c r="FX38" i="11"/>
  <c r="FW38" i="11"/>
  <c r="FV38" i="11"/>
  <c r="FU38" i="11"/>
  <c r="FT38" i="11"/>
  <c r="FS38" i="11"/>
  <c r="FR38" i="11"/>
  <c r="FQ38" i="11"/>
  <c r="GK32" i="11"/>
  <c r="GJ32" i="11"/>
  <c r="GI32" i="11"/>
  <c r="GH32" i="11"/>
  <c r="GG32" i="11"/>
  <c r="GF32" i="11"/>
  <c r="GE32" i="11"/>
  <c r="GD32" i="11"/>
  <c r="GC32" i="11"/>
  <c r="GB32" i="11"/>
  <c r="GA32" i="11"/>
  <c r="FZ32" i="11"/>
  <c r="FY32" i="11"/>
  <c r="FX32" i="11"/>
  <c r="FW32" i="11"/>
  <c r="FV32" i="11"/>
  <c r="FU32" i="11"/>
  <c r="FT32" i="11"/>
  <c r="FS32" i="11"/>
  <c r="FR32" i="11"/>
  <c r="FQ32" i="11"/>
  <c r="GK28" i="11"/>
  <c r="GJ28" i="11"/>
  <c r="GI28" i="11"/>
  <c r="GH28" i="11"/>
  <c r="GG28" i="11"/>
  <c r="GF28" i="11"/>
  <c r="GE28" i="11"/>
  <c r="GD28" i="11"/>
  <c r="GC28" i="11"/>
  <c r="GB28" i="11"/>
  <c r="GA28" i="11"/>
  <c r="FY28" i="11"/>
  <c r="FX28" i="11"/>
  <c r="FW28" i="11"/>
  <c r="FV28" i="11"/>
  <c r="FT28" i="11"/>
  <c r="FQ28" i="11"/>
  <c r="GK24" i="11"/>
  <c r="GJ24" i="11"/>
  <c r="GI24" i="11"/>
  <c r="GH24" i="11"/>
  <c r="GG24" i="11"/>
  <c r="GF24" i="11"/>
  <c r="GE24" i="11"/>
  <c r="GD24" i="11"/>
  <c r="GC24" i="11"/>
  <c r="GB24" i="11"/>
  <c r="GA24" i="11"/>
  <c r="FZ24" i="11"/>
  <c r="FY24" i="11"/>
  <c r="FW24" i="11"/>
  <c r="FV24" i="11"/>
  <c r="FU24" i="11"/>
  <c r="FT24" i="11"/>
  <c r="FS24" i="11"/>
  <c r="FR24" i="11"/>
  <c r="FQ24" i="11"/>
  <c r="GK22" i="11"/>
  <c r="GJ22" i="11"/>
  <c r="GI22" i="11"/>
  <c r="GH22" i="11"/>
  <c r="GG22" i="11"/>
  <c r="GF22" i="11"/>
  <c r="GE22" i="11"/>
  <c r="GD22" i="11"/>
  <c r="GC22" i="11"/>
  <c r="GB22" i="11"/>
  <c r="GA22" i="11"/>
  <c r="FZ22" i="11"/>
  <c r="FX14" i="11"/>
  <c r="FW22" i="11"/>
  <c r="FV22" i="11"/>
  <c r="FU22" i="11"/>
  <c r="FT22" i="11"/>
  <c r="FS22" i="11"/>
  <c r="FR22" i="11"/>
  <c r="FQ22" i="11"/>
  <c r="GK18" i="11"/>
  <c r="GJ18" i="11"/>
  <c r="GI18" i="11"/>
  <c r="GH18" i="11"/>
  <c r="GG18" i="11"/>
  <c r="GF18" i="11"/>
  <c r="GE18" i="11"/>
  <c r="GD18" i="11"/>
  <c r="GC18" i="11"/>
  <c r="GB18" i="11"/>
  <c r="GA18" i="11"/>
  <c r="FZ18" i="11"/>
  <c r="FY18" i="11"/>
  <c r="FX18" i="11"/>
  <c r="FW18" i="11"/>
  <c r="FV18" i="11"/>
  <c r="FU18" i="11"/>
  <c r="FT18" i="11"/>
  <c r="FS18" i="11"/>
  <c r="FR18" i="11"/>
  <c r="FQ18" i="11"/>
  <c r="GK14" i="11"/>
  <c r="GJ14" i="11"/>
  <c r="GI14" i="11"/>
  <c r="GH14" i="11"/>
  <c r="GG14" i="11"/>
  <c r="GF14" i="11"/>
  <c r="GE14" i="11"/>
  <c r="GD14" i="11"/>
  <c r="GC14" i="11"/>
  <c r="GB14" i="11"/>
  <c r="GA14" i="11"/>
  <c r="FY14" i="11"/>
  <c r="FW14" i="11"/>
  <c r="FV14" i="11"/>
  <c r="FQ14" i="11"/>
  <c r="AP6" i="11"/>
  <c r="AY2" i="11"/>
  <c r="GJ78" i="1"/>
  <c r="GJ77" i="1"/>
  <c r="GJ76" i="1"/>
  <c r="GJ75" i="1"/>
  <c r="GJ74" i="1"/>
  <c r="GJ73" i="1"/>
  <c r="GJ90" i="1"/>
  <c r="GJ82" i="1"/>
  <c r="GJ88" i="1"/>
  <c r="GJ80" i="1"/>
  <c r="GJ29" i="1"/>
  <c r="GJ26" i="1"/>
  <c r="GJ27" i="1"/>
  <c r="GJ25" i="1"/>
  <c r="GJ24" i="1"/>
  <c r="GJ22" i="1"/>
  <c r="GJ21" i="1"/>
  <c r="GJ20" i="1"/>
  <c r="GJ45" i="1"/>
  <c r="GJ52" i="1"/>
  <c r="GJ50" i="1"/>
  <c r="GJ48" i="1"/>
  <c r="GJ68" i="1"/>
  <c r="GJ69" i="1"/>
  <c r="GJ65" i="1"/>
  <c r="GJ61" i="1"/>
  <c r="GK214" i="11" s="1"/>
  <c r="GJ71" i="1"/>
  <c r="GJ56" i="1"/>
  <c r="GJ37" i="1"/>
  <c r="GJ39" i="1"/>
  <c r="GJ40" i="1"/>
  <c r="GJ13" i="1"/>
  <c r="AM6" i="1"/>
  <c r="AV2" i="1"/>
  <c r="EA112" i="11"/>
  <c r="CF112" i="11"/>
  <c r="FO112" i="11"/>
  <c r="FT112" i="11"/>
  <c r="CA112" i="11"/>
  <c r="BZ112" i="11"/>
  <c r="FR112" i="11"/>
  <c r="Z112" i="11"/>
  <c r="CV112" i="11"/>
  <c r="AO112" i="11"/>
  <c r="FJ112" i="11"/>
  <c r="AD112" i="11"/>
  <c r="FI112" i="11"/>
  <c r="GD112" i="11"/>
  <c r="FL112" i="11"/>
  <c r="AB112" i="11"/>
  <c r="FB112" i="11"/>
  <c r="GE112" i="11"/>
  <c r="CD112" i="11"/>
  <c r="FN112" i="11"/>
  <c r="BQ112" i="11"/>
  <c r="AQ112" i="11"/>
  <c r="BX112" i="11"/>
  <c r="BK112" i="11"/>
  <c r="BA112" i="11"/>
  <c r="FZ112" i="11"/>
  <c r="FX112" i="11"/>
  <c r="BS112" i="11"/>
  <c r="FK112" i="11"/>
  <c r="BV112" i="11"/>
  <c r="BI112" i="11"/>
  <c r="AP112" i="11"/>
  <c r="GB112" i="11"/>
  <c r="T112" i="11"/>
  <c r="FM112" i="11"/>
  <c r="EK112" i="11"/>
  <c r="CH112" i="11"/>
  <c r="B112" i="11"/>
  <c r="GJ112" i="11"/>
  <c r="GC112" i="11"/>
  <c r="FF112" i="11"/>
  <c r="R112" i="11"/>
  <c r="FE112" i="11"/>
  <c r="CJ112" i="11"/>
  <c r="BO112" i="11"/>
  <c r="BM112" i="11"/>
  <c r="EF112" i="11"/>
  <c r="U112" i="11"/>
  <c r="GF112" i="11"/>
  <c r="AL112" i="11"/>
  <c r="CN112" i="11"/>
  <c r="AW112" i="11"/>
  <c r="AS112" i="11"/>
  <c r="AA112" i="11"/>
  <c r="FD112" i="11"/>
  <c r="FV112" i="11"/>
  <c r="EV112" i="11"/>
  <c r="GH112" i="11"/>
  <c r="BF112" i="11"/>
  <c r="GG112" i="11"/>
  <c r="EX112" i="11"/>
  <c r="BU112" i="11"/>
  <c r="ER112" i="11"/>
  <c r="Q112" i="11"/>
  <c r="Y112" i="11"/>
  <c r="AE112" i="11"/>
  <c r="CI112" i="11"/>
  <c r="CK112" i="11"/>
  <c r="FA112" i="11"/>
  <c r="AV112" i="11"/>
  <c r="BB112" i="11"/>
  <c r="FQ112" i="11"/>
  <c r="EP112" i="11"/>
  <c r="EY112" i="11"/>
  <c r="BJ112" i="11"/>
  <c r="EG112" i="11"/>
  <c r="EI112" i="11"/>
  <c r="EJ112" i="11"/>
  <c r="EC112" i="11"/>
  <c r="BH112" i="11"/>
  <c r="V112" i="11"/>
  <c r="W112" i="11"/>
  <c r="X112" i="11"/>
  <c r="AG112" i="11"/>
  <c r="CS112" i="11"/>
  <c r="AX112" i="11"/>
  <c r="BD112" i="11"/>
  <c r="ES112" i="11"/>
  <c r="AK112" i="11"/>
  <c r="GA112" i="11"/>
  <c r="CG112" i="11"/>
  <c r="AT112" i="11"/>
  <c r="GK112" i="11"/>
  <c r="EO112" i="11"/>
  <c r="AN112" i="11"/>
  <c r="AZ112" i="11"/>
  <c r="EU112" i="11"/>
  <c r="GI112" i="11"/>
  <c r="ED112" i="11"/>
  <c r="FG112" i="11"/>
  <c r="CQ112" i="11"/>
  <c r="EE112" i="11"/>
  <c r="ET112" i="11"/>
  <c r="CB112" i="11"/>
  <c r="AJ112" i="11"/>
  <c r="S112" i="11"/>
  <c r="AH112" i="11"/>
  <c r="FU112" i="11"/>
  <c r="BW112" i="11"/>
  <c r="AI112" i="11"/>
  <c r="EH112" i="11"/>
  <c r="BC112" i="11"/>
  <c r="EM112" i="11"/>
  <c r="AR112" i="11"/>
  <c r="CT112" i="11"/>
  <c r="CR112" i="11"/>
  <c r="FC112" i="11"/>
  <c r="CE112" i="11"/>
  <c r="FH112" i="11"/>
  <c r="AM112" i="11"/>
  <c r="CO112" i="11"/>
  <c r="M112" i="11"/>
  <c r="BN112" i="11"/>
  <c r="P112" i="11"/>
  <c r="BE112" i="11"/>
  <c r="AY112" i="11"/>
  <c r="AF112" i="11"/>
  <c r="N112" i="11"/>
  <c r="BP112" i="11"/>
  <c r="CU112" i="11"/>
  <c r="EB112" i="11"/>
  <c r="EQ112" i="11"/>
  <c r="DY112" i="11"/>
  <c r="BR112" i="11"/>
  <c r="BL112" i="11"/>
  <c r="DZ112" i="11"/>
  <c r="FY112" i="11"/>
  <c r="CC112" i="11"/>
  <c r="EN112" i="11"/>
  <c r="FS112" i="11"/>
  <c r="CM112" i="11"/>
  <c r="FP112" i="11"/>
  <c r="AU112" i="11"/>
  <c r="CW112" i="11"/>
  <c r="AC112" i="11"/>
  <c r="CL112" i="11"/>
  <c r="BT112" i="11"/>
  <c r="CP112" i="11"/>
  <c r="EL112" i="11"/>
  <c r="BG112" i="11"/>
  <c r="EZ112" i="11"/>
  <c r="FW112" i="11"/>
  <c r="O112" i="11"/>
  <c r="BY112" i="11"/>
  <c r="GL32" i="11" l="1"/>
  <c r="GL90" i="11"/>
  <c r="DX16" i="11"/>
  <c r="DH16" i="11"/>
  <c r="DR16" i="11"/>
  <c r="DQ16" i="11"/>
  <c r="DP16" i="11"/>
  <c r="CY16" i="11"/>
  <c r="DM16" i="11"/>
  <c r="DW16" i="11"/>
  <c r="DG16" i="11"/>
  <c r="DT16" i="11"/>
  <c r="DS16" i="11"/>
  <c r="DB16" i="11"/>
  <c r="DA16" i="11"/>
  <c r="CZ16" i="11"/>
  <c r="DO16" i="11"/>
  <c r="DN16" i="11"/>
  <c r="DI16" i="11"/>
  <c r="DV16" i="11"/>
  <c r="DF16" i="11"/>
  <c r="DD16" i="11"/>
  <c r="DK16" i="11"/>
  <c r="DJ16" i="11"/>
  <c r="DU16" i="11"/>
  <c r="DE16" i="11"/>
  <c r="DC16" i="11"/>
  <c r="DL16" i="11"/>
  <c r="AC16" i="11"/>
  <c r="L16" i="11"/>
  <c r="T16" i="11"/>
  <c r="AB16" i="11"/>
  <c r="AM16" i="11"/>
  <c r="CS16" i="11"/>
  <c r="DY16" i="11"/>
  <c r="EG16" i="11"/>
  <c r="EO16" i="11"/>
  <c r="EX16" i="11"/>
  <c r="FF16" i="11"/>
  <c r="FN16" i="11"/>
  <c r="AL16" i="11"/>
  <c r="M16" i="11"/>
  <c r="U16" i="11"/>
  <c r="AD16" i="11"/>
  <c r="AN16" i="11"/>
  <c r="CT16" i="11"/>
  <c r="DZ16" i="11"/>
  <c r="EH16" i="11"/>
  <c r="EP16" i="11"/>
  <c r="EY16" i="11"/>
  <c r="FG16" i="11"/>
  <c r="FO16" i="11"/>
  <c r="AK16" i="11"/>
  <c r="N16" i="11"/>
  <c r="V16" i="11"/>
  <c r="AE16" i="11"/>
  <c r="AO16" i="11"/>
  <c r="CU16" i="11"/>
  <c r="EA16" i="11"/>
  <c r="EI16" i="11"/>
  <c r="EQ16" i="11"/>
  <c r="EZ16" i="11"/>
  <c r="FH16" i="11"/>
  <c r="FP16" i="11"/>
  <c r="G16" i="11"/>
  <c r="O16" i="11"/>
  <c r="W16" i="11"/>
  <c r="AF16" i="11"/>
  <c r="CN16" i="11"/>
  <c r="CV16" i="11"/>
  <c r="EB16" i="11"/>
  <c r="EJ16" i="11"/>
  <c r="ER16" i="11"/>
  <c r="FA16" i="11"/>
  <c r="FI16" i="11"/>
  <c r="CM16" i="11"/>
  <c r="H16" i="11"/>
  <c r="P16" i="11"/>
  <c r="X16" i="11"/>
  <c r="AG16" i="11"/>
  <c r="CO16" i="11"/>
  <c r="CW16" i="11"/>
  <c r="EC16" i="11"/>
  <c r="EK16" i="11"/>
  <c r="ES16" i="11"/>
  <c r="FB16" i="11"/>
  <c r="FJ16" i="11"/>
  <c r="I16" i="11"/>
  <c r="Q16" i="11"/>
  <c r="Y16" i="11"/>
  <c r="AH16" i="11"/>
  <c r="CP16" i="11"/>
  <c r="CX16" i="11"/>
  <c r="ED16" i="11"/>
  <c r="EL16" i="11"/>
  <c r="ET16" i="11"/>
  <c r="FC16" i="11"/>
  <c r="FK16" i="11"/>
  <c r="J16" i="11"/>
  <c r="R16" i="11"/>
  <c r="Z16" i="11"/>
  <c r="AI16" i="11"/>
  <c r="CQ16" i="11"/>
  <c r="EE16" i="11"/>
  <c r="EM16" i="11"/>
  <c r="EU16" i="11"/>
  <c r="FD16" i="11"/>
  <c r="FL16" i="11"/>
  <c r="S16" i="11"/>
  <c r="AA16" i="11"/>
  <c r="AJ16" i="11"/>
  <c r="CR16" i="11"/>
  <c r="EF16" i="11"/>
  <c r="EN16" i="11"/>
  <c r="EV16" i="11"/>
  <c r="FE16" i="11"/>
  <c r="FM16" i="11"/>
  <c r="K16" i="11"/>
  <c r="CS20" i="11"/>
  <c r="CR20" i="11"/>
  <c r="CQ20" i="11"/>
  <c r="CP20" i="11"/>
  <c r="CT20" i="11"/>
  <c r="CO20" i="11"/>
  <c r="CN20" i="11"/>
  <c r="CM20" i="11"/>
  <c r="AL20" i="11"/>
  <c r="GF20" i="11"/>
  <c r="FZ20" i="11"/>
  <c r="FT20" i="11"/>
  <c r="FN20" i="11"/>
  <c r="FH20" i="11"/>
  <c r="FB20" i="11"/>
  <c r="EU20" i="11"/>
  <c r="EO20" i="11"/>
  <c r="EI20" i="11"/>
  <c r="EC20" i="11"/>
  <c r="DW20" i="11"/>
  <c r="DQ20" i="11"/>
  <c r="DK20" i="11"/>
  <c r="DE20" i="11"/>
  <c r="CY20" i="11"/>
  <c r="CG20" i="11"/>
  <c r="CA20" i="11"/>
  <c r="BU20" i="11"/>
  <c r="BO20" i="11"/>
  <c r="BI20" i="11"/>
  <c r="BC20" i="11"/>
  <c r="AW20" i="11"/>
  <c r="AQ20" i="11"/>
  <c r="AJ20" i="11"/>
  <c r="AD20" i="11"/>
  <c r="X20" i="11"/>
  <c r="R20" i="11"/>
  <c r="L20" i="11"/>
  <c r="GK20" i="11"/>
  <c r="GE20" i="11"/>
  <c r="FY20" i="11"/>
  <c r="FS20" i="11"/>
  <c r="FM20" i="11"/>
  <c r="FG20" i="11"/>
  <c r="FA20" i="11"/>
  <c r="ET20" i="11"/>
  <c r="EN20" i="11"/>
  <c r="EH20" i="11"/>
  <c r="EB20" i="11"/>
  <c r="DV20" i="11"/>
  <c r="DP20" i="11"/>
  <c r="DJ20" i="11"/>
  <c r="DD20" i="11"/>
  <c r="CX20" i="11"/>
  <c r="CL20" i="11"/>
  <c r="CF20" i="11"/>
  <c r="BZ20" i="11"/>
  <c r="BT20" i="11"/>
  <c r="BN20" i="11"/>
  <c r="BH20" i="11"/>
  <c r="BB20" i="11"/>
  <c r="AV20" i="11"/>
  <c r="AP20" i="11"/>
  <c r="AI20" i="11"/>
  <c r="AC20" i="11"/>
  <c r="W20" i="11"/>
  <c r="Q20" i="11"/>
  <c r="K20" i="11"/>
  <c r="GJ20" i="11"/>
  <c r="GD20" i="11"/>
  <c r="FX20" i="11"/>
  <c r="FR20" i="11"/>
  <c r="FL20" i="11"/>
  <c r="FF20" i="11"/>
  <c r="EZ20" i="11"/>
  <c r="ES20" i="11"/>
  <c r="EM20" i="11"/>
  <c r="EG20" i="11"/>
  <c r="EA20" i="11"/>
  <c r="DU20" i="11"/>
  <c r="DO20" i="11"/>
  <c r="DI20" i="11"/>
  <c r="DC20" i="11"/>
  <c r="CW20" i="11"/>
  <c r="CK20" i="11"/>
  <c r="CE20" i="11"/>
  <c r="BY20" i="11"/>
  <c r="BS20" i="11"/>
  <c r="BM20" i="11"/>
  <c r="BG20" i="11"/>
  <c r="BA20" i="11"/>
  <c r="AU20" i="11"/>
  <c r="AO20" i="11"/>
  <c r="AH20" i="11"/>
  <c r="AB20" i="11"/>
  <c r="V20" i="11"/>
  <c r="P20" i="11"/>
  <c r="J20" i="11"/>
  <c r="B20" i="11"/>
  <c r="GI20" i="11"/>
  <c r="GC20" i="11"/>
  <c r="FW20" i="11"/>
  <c r="FQ20" i="11"/>
  <c r="FK20" i="11"/>
  <c r="FE20" i="11"/>
  <c r="EY20" i="11"/>
  <c r="ER20" i="11"/>
  <c r="EL20" i="11"/>
  <c r="EF20" i="11"/>
  <c r="DZ20" i="11"/>
  <c r="DT20" i="11"/>
  <c r="DN20" i="11"/>
  <c r="DH20" i="11"/>
  <c r="DB20" i="11"/>
  <c r="CV20" i="11"/>
  <c r="CJ20" i="11"/>
  <c r="CD20" i="11"/>
  <c r="BX20" i="11"/>
  <c r="BR20" i="11"/>
  <c r="BL20" i="11"/>
  <c r="BF20" i="11"/>
  <c r="AZ20" i="11"/>
  <c r="AT20" i="11"/>
  <c r="AN20" i="11"/>
  <c r="AG20" i="11"/>
  <c r="AA20" i="11"/>
  <c r="U20" i="11"/>
  <c r="O20" i="11"/>
  <c r="I20" i="11"/>
  <c r="GH20" i="11"/>
  <c r="GB20" i="11"/>
  <c r="FV20" i="11"/>
  <c r="FP20" i="11"/>
  <c r="FJ20" i="11"/>
  <c r="FD20" i="11"/>
  <c r="EX20" i="11"/>
  <c r="EQ20" i="11"/>
  <c r="EK20" i="11"/>
  <c r="EE20" i="11"/>
  <c r="DY20" i="11"/>
  <c r="DS20" i="11"/>
  <c r="DM20" i="11"/>
  <c r="DG20" i="11"/>
  <c r="DA20" i="11"/>
  <c r="CU20" i="11"/>
  <c r="CI20" i="11"/>
  <c r="CC20" i="11"/>
  <c r="BW20" i="11"/>
  <c r="BQ20" i="11"/>
  <c r="BK20" i="11"/>
  <c r="BE20" i="11"/>
  <c r="AY20" i="11"/>
  <c r="AS20" i="11"/>
  <c r="AM20" i="11"/>
  <c r="AF20" i="11"/>
  <c r="Z20" i="11"/>
  <c r="T20" i="11"/>
  <c r="N20" i="11"/>
  <c r="H20" i="11"/>
  <c r="GG20" i="11"/>
  <c r="GA20" i="11"/>
  <c r="FU20" i="11"/>
  <c r="FO20" i="11"/>
  <c r="FI20" i="11"/>
  <c r="FC20" i="11"/>
  <c r="EV20" i="11"/>
  <c r="EP20" i="11"/>
  <c r="EJ20" i="11"/>
  <c r="ED20" i="11"/>
  <c r="DX20" i="11"/>
  <c r="DR20" i="11"/>
  <c r="DL20" i="11"/>
  <c r="DF20" i="11"/>
  <c r="CZ20" i="11"/>
  <c r="CH20" i="11"/>
  <c r="CB20" i="11"/>
  <c r="BV20" i="11"/>
  <c r="BP20" i="11"/>
  <c r="BJ20" i="11"/>
  <c r="BD20" i="11"/>
  <c r="AX20" i="11"/>
  <c r="AR20" i="11"/>
  <c r="AK20" i="11"/>
  <c r="AE20" i="11"/>
  <c r="Y20" i="11"/>
  <c r="S20" i="11"/>
  <c r="M20" i="11"/>
  <c r="G20" i="11"/>
  <c r="GL198" i="11"/>
  <c r="GL132" i="11"/>
  <c r="AT16" i="11"/>
  <c r="AP16" i="11"/>
  <c r="AW16" i="11"/>
  <c r="AU16" i="11"/>
  <c r="AX16" i="11"/>
  <c r="AS16" i="11"/>
  <c r="AV16" i="11"/>
  <c r="AQ16" i="11"/>
  <c r="GL202" i="11"/>
  <c r="GK16" i="11"/>
  <c r="GE16" i="11"/>
  <c r="FY16" i="11"/>
  <c r="FS16" i="11"/>
  <c r="CL16" i="11"/>
  <c r="CF16" i="11"/>
  <c r="BZ16" i="11"/>
  <c r="BT16" i="11"/>
  <c r="BN16" i="11"/>
  <c r="BH16" i="11"/>
  <c r="BB16" i="11"/>
  <c r="GJ16" i="11"/>
  <c r="GD16" i="11"/>
  <c r="FX16" i="11"/>
  <c r="FR16" i="11"/>
  <c r="CK16" i="11"/>
  <c r="CE16" i="11"/>
  <c r="BY16" i="11"/>
  <c r="BS16" i="11"/>
  <c r="BM16" i="11"/>
  <c r="BG16" i="11"/>
  <c r="BA16" i="11"/>
  <c r="GI16" i="11"/>
  <c r="GC16" i="11"/>
  <c r="FW16" i="11"/>
  <c r="FQ16" i="11"/>
  <c r="CJ16" i="11"/>
  <c r="CD16" i="11"/>
  <c r="BX16" i="11"/>
  <c r="BR16" i="11"/>
  <c r="BL16" i="11"/>
  <c r="BF16" i="11"/>
  <c r="AZ16" i="11"/>
  <c r="GH16" i="11"/>
  <c r="GB16" i="11"/>
  <c r="FV16" i="11"/>
  <c r="CI16" i="11"/>
  <c r="CC16" i="11"/>
  <c r="BW16" i="11"/>
  <c r="BQ16" i="11"/>
  <c r="BK16" i="11"/>
  <c r="BE16" i="11"/>
  <c r="AY16" i="11"/>
  <c r="GG16" i="11"/>
  <c r="GA16" i="11"/>
  <c r="FU16" i="11"/>
  <c r="CH16" i="11"/>
  <c r="CB16" i="11"/>
  <c r="BV16" i="11"/>
  <c r="BP16" i="11"/>
  <c r="BJ16" i="11"/>
  <c r="BD16" i="11"/>
  <c r="AR16" i="11"/>
  <c r="GF16" i="11"/>
  <c r="FZ16" i="11"/>
  <c r="FT16" i="11"/>
  <c r="CG16" i="11"/>
  <c r="CA16" i="11"/>
  <c r="BU16" i="11"/>
  <c r="BO16" i="11"/>
  <c r="BI16" i="11"/>
  <c r="BC16" i="11"/>
  <c r="B16" i="11"/>
  <c r="GL184" i="11"/>
  <c r="GL28" i="11"/>
  <c r="GL194" i="11"/>
  <c r="GL14" i="11"/>
  <c r="GL192" i="11"/>
  <c r="GL216" i="11"/>
  <c r="GL190" i="11"/>
  <c r="GL186" i="11"/>
  <c r="GL218" i="11"/>
  <c r="GL210" i="11"/>
  <c r="GL200" i="11"/>
  <c r="GL92" i="11"/>
  <c r="GL176" i="11"/>
  <c r="GL204" i="11"/>
  <c r="GL208" i="11"/>
  <c r="GL52" i="11"/>
  <c r="GL162" i="11"/>
  <c r="GL164" i="11"/>
  <c r="GL158" i="11"/>
  <c r="GL160" i="11"/>
  <c r="GL166" i="11"/>
  <c r="GL156" i="11"/>
  <c r="GL18" i="11"/>
  <c r="GL22" i="11"/>
  <c r="GL48" i="11"/>
  <c r="GL50" i="11"/>
  <c r="GL102" i="11"/>
  <c r="GL106" i="11"/>
  <c r="GL120" i="11"/>
  <c r="GL140" i="11"/>
  <c r="GL150" i="11"/>
  <c r="GL152" i="11"/>
  <c r="GL24" i="11"/>
  <c r="GL72" i="11"/>
  <c r="GL36" i="11"/>
  <c r="GL58" i="11"/>
  <c r="GL114" i="11"/>
  <c r="GL44" i="11"/>
  <c r="GL46" i="11"/>
  <c r="GL64" i="11"/>
  <c r="GL38" i="11"/>
  <c r="GL42" i="11"/>
  <c r="GL88" i="11"/>
  <c r="GL112" i="11"/>
  <c r="GL20" i="11" l="1"/>
  <c r="GL9" i="11"/>
  <c r="GL10" i="11" s="1"/>
  <c r="GL68" i="11"/>
  <c r="GL16" i="11"/>
  <c r="GL62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Mariola Gorska</author>
  </authors>
  <commentList>
    <comment ref="DS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Konsequente und dynamische Handlungen</t>
        </r>
      </text>
    </comment>
    <comment ref="DT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Fläxibilität in die Handlungen</t>
        </r>
      </text>
    </comment>
    <comment ref="DU4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Komunikativität</t>
        </r>
      </text>
    </comment>
    <comment ref="DV4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Motivierung und Aufbau der Angagierung von Team</t>
        </r>
      </text>
    </comment>
    <comment ref="DY8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Konsequente und dynamische Handlungen</t>
        </r>
      </text>
    </comment>
    <comment ref="DZ8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Fläxibilität in die Handlungen</t>
        </r>
      </text>
    </comment>
    <comment ref="EA8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Komunikativität</t>
        </r>
      </text>
    </comment>
    <comment ref="EB8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Motivierung und Aufbau der Angagierung von Team</t>
        </r>
      </text>
    </comment>
    <comment ref="EL11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Konsequente und dynamische Handlungen</t>
        </r>
      </text>
    </comment>
    <comment ref="EM11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Fläxibilität in die Handlungen</t>
        </r>
      </text>
    </comment>
    <comment ref="EN11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Komunikativität</t>
        </r>
      </text>
    </comment>
    <comment ref="EO11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Motivierung und Aufbau der Angagierung von Team</t>
        </r>
      </text>
    </comment>
    <comment ref="EY15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Konsequente und dynamische Handlungen</t>
        </r>
      </text>
    </comment>
    <comment ref="EZ15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Fläxibilität in die Handlungen</t>
        </r>
      </text>
    </comment>
    <comment ref="FA15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Komunikativität</t>
        </r>
      </text>
    </comment>
    <comment ref="FB15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Motivierung und Aufbau der Angagierung von Team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Mariola Gorska</author>
    <author>tc={F7C363CF-D69C-4D51-BDCA-F969C1AE833C}</author>
    <author>tc={1873BDA8-E549-48DF-A83D-C959023A3D59}</author>
    <author>tc={47F366C9-7251-4225-BC82-F5F58FE7D653}</author>
  </authors>
  <commentList>
    <comment ref="FK8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Konsequente und dynamische Handlungen</t>
        </r>
      </text>
    </comment>
    <comment ref="FL8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Fläxibilität in die Handlungen</t>
        </r>
      </text>
    </comment>
    <comment ref="FM8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Komunikativität</t>
        </r>
      </text>
    </comment>
    <comment ref="FN8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Motivierung und Aufbau der Angagierung von Team</t>
        </r>
      </text>
    </comment>
    <comment ref="A32" authorId="1" shapeId="0" xr:uid="{F7C363CF-D69C-4D51-BDCA-F969C1AE833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Kompetencje wyjściowe stanowiska - Samodzielny metrolog</t>
      </text>
    </comment>
    <comment ref="B32" authorId="2" shapeId="0" xr:uid="{1873BDA8-E549-48DF-A83D-C959023A3D5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Kompetencje wyjściowe stanowiska - Samodzielny metrolog</t>
      </text>
    </comment>
    <comment ref="C32" authorId="3" shapeId="0" xr:uid="{47F366C9-7251-4225-BC82-F5F58FE7D653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Kompetencje wyjściowe stanowiska - Samodzielny metrolog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Mariola Gorska</author>
  </authors>
  <commentList>
    <comment ref="FM8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Konsequente und dynamische Handlungen</t>
        </r>
      </text>
    </comment>
    <comment ref="FN8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Fläxibilität in die Handlungen</t>
        </r>
      </text>
    </comment>
    <comment ref="FO8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Komunikativität</t>
        </r>
      </text>
    </comment>
    <comment ref="FP8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Motivierung und Aufbau der Angagierung von Team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Mariola Gorska</author>
  </authors>
  <commentList>
    <comment ref="C1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Konsequente und dynamische Handlungen</t>
        </r>
      </text>
    </comment>
    <comment ref="C138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Fläxibilität in die Handlungen</t>
        </r>
      </text>
    </comment>
    <comment ref="C139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Komunikativität</t>
        </r>
      </text>
    </comment>
    <comment ref="C140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38"/>
          </rPr>
          <t>Mariola Gorska:</t>
        </r>
        <r>
          <rPr>
            <sz val="9"/>
            <color indexed="81"/>
            <rFont val="Tahoma"/>
            <family val="2"/>
            <charset val="238"/>
          </rPr>
          <t xml:space="preserve">
Motivierung und Aufbau der Angagierung von Team</t>
        </r>
      </text>
    </comment>
  </commentList>
</comments>
</file>

<file path=xl/sharedStrings.xml><?xml version="1.0" encoding="utf-8"?>
<sst xmlns="http://schemas.openxmlformats.org/spreadsheetml/2006/main" count="28725" uniqueCount="772">
  <si>
    <t>Matryca kompetencji minimalnych
dla stanowisk nieprodukcyjnych / Matrix der minimale Kompetenzen für Nicht-Produktion</t>
  </si>
  <si>
    <t>Matrix Legenda</t>
  </si>
  <si>
    <t>Data aktualizacji</t>
  </si>
  <si>
    <t xml:space="preserve"> = Brak wiedzy, doświadczenia i/lub kompetencje niewymagane (Keine Wissen, Erfahrung und / oder Kompetenzen sind nicht erforderlich)</t>
  </si>
  <si>
    <t>0 Punktów</t>
  </si>
  <si>
    <t>1 Punkt</t>
  </si>
  <si>
    <t>Punkty</t>
  </si>
  <si>
    <t xml:space="preserve"> = Nieduża wiedza i doświadczenie i/lub praca pod nadzorem (Kleine Wissen, Erfahrung und / oder Arbeit unter Aufsicht)</t>
  </si>
  <si>
    <t xml:space="preserve"> = Wystarczająca wiedza i doświadczenie, praca samodzielna (Ausreichende Kenntnisse und Erfahrung, selbstständige Arbeit)</t>
  </si>
  <si>
    <t xml:space="preserve">Całkowita ilość kroków w procesie = </t>
  </si>
  <si>
    <t xml:space="preserve"> = Bardzo dobra wiedza i doświadczenie, może szkolić innych (Sehr gute Kenntnisse und Erfahrung, können andere MA ausbilden)</t>
  </si>
  <si>
    <t>Maksymalna ilość punktów (100%) =</t>
  </si>
  <si>
    <t>UWAGA: wybrane pole oznaczamy znakiem "X" dla potwierdzenia wymagania</t>
  </si>
  <si>
    <t xml:space="preserve">  Obszary procesowe / Prozessbereiche</t>
  </si>
  <si>
    <t>BHP</t>
  </si>
  <si>
    <t>HR</t>
  </si>
  <si>
    <t>FINANSE / FINANCE</t>
  </si>
  <si>
    <t>SYSTEM / QM</t>
  </si>
  <si>
    <t>BVP</t>
  </si>
  <si>
    <t>LOGISTYKA / LOGISTIK</t>
  </si>
  <si>
    <t>PRODUKCJA / PRODUCTION</t>
  </si>
  <si>
    <t>IT</t>
  </si>
  <si>
    <t>ZAKUPY / PURCHASE</t>
  </si>
  <si>
    <t>JAKOŚĆ / QS</t>
  </si>
  <si>
    <t>LABORATORIUM</t>
  </si>
  <si>
    <t>UTRZYMANIE RUCHU / MAINTANANCE</t>
  </si>
  <si>
    <t>KOMPETENCJE DODATKOWE / ADDITIONAL COMPETENCES</t>
  </si>
  <si>
    <t>Doświadczenie
na stanowwisku (X) / Berufserfahrung</t>
  </si>
  <si>
    <t>Wykształcenie (X) / Ausbildung</t>
  </si>
  <si>
    <t>Uprawnienia (X) / Berechtigungen</t>
  </si>
  <si>
    <t>Kwalifikacje w pkt / Qualifikationen in Pkt</t>
  </si>
  <si>
    <t>Przepisy BHP / BHP Vorschriften</t>
  </si>
  <si>
    <t>Przepisy PPOŻ / Brandschutzbestimmungen</t>
  </si>
  <si>
    <t>Przepisy kodeksu pracy / Bestimmungen des Arbeitsgesetzes</t>
  </si>
  <si>
    <t>Przepisy o ub.społ. ZUS  / Sozialversicherungsvorschriften</t>
  </si>
  <si>
    <t xml:space="preserve">PRZEPISY O PDOF /persönlich Einkommensteuergesetz </t>
  </si>
  <si>
    <t>Regulamin pracy / Arbeitsordnung</t>
  </si>
  <si>
    <t>Regulamin wynagradzania / Vergütungsordnung</t>
  </si>
  <si>
    <t>System R2PŁATNIK PRO: Płace / Lohnabrechnung</t>
  </si>
  <si>
    <t>SystemR2PŁATNIK PRO: KADRY / Personaldaten</t>
  </si>
  <si>
    <t>SYSTEM R2PŁATNIK PRO: zarządzanie pracownikami / Arbeitsverwaltung</t>
  </si>
  <si>
    <t>Przepisy o podatku VAT / MwSt.- Gesetz</t>
  </si>
  <si>
    <t>System BAAN / FINANSE (FIBU)</t>
  </si>
  <si>
    <t>Systemy pomocnicze / Hilfssysteme(PR,  WORKFLOW, STOCKPROGRAM, KALK2000 etc.)</t>
  </si>
  <si>
    <t>Polityka rachunkowości / Buchführungspolitik</t>
  </si>
  <si>
    <t>Ustawa o rachunkowości / Rechnungslegungsgesetz</t>
  </si>
  <si>
    <t>System ISO 9001:2015</t>
  </si>
  <si>
    <t>System IATF 16949:2016</t>
  </si>
  <si>
    <t>System ISO 14001:2015</t>
  </si>
  <si>
    <t>System PN-N 18001:2004 / ISO 45001:2018</t>
  </si>
  <si>
    <t>Wymagania VDA 6.3 Process / Forderungen</t>
  </si>
  <si>
    <t>Wymagania VDA 6.5 Product / Forderungen</t>
  </si>
  <si>
    <t>PSB (VW Safety reprezentative)</t>
  </si>
  <si>
    <t>Auditor systemu ISO 17021:20018</t>
  </si>
  <si>
    <t>Pełnomocnik systemu / Systemvertreter</t>
  </si>
  <si>
    <t>IATF wymagnia wg. Procesu / IATF Forderungen</t>
  </si>
  <si>
    <t>Polityka Systemu Zarządzania jakością, środowiskiem i BHP / Die Politik des Managementsystems für Qualität, Umwelt und BHP</t>
  </si>
  <si>
    <t>Polityka Etyczna - Compliance</t>
  </si>
  <si>
    <t>WDRAŻANIE NOWYCH PROJEKTÓW/ CTM</t>
  </si>
  <si>
    <t>KAMIENIE MILOWE MSL/PIFF</t>
  </si>
  <si>
    <t>Engineering documentations</t>
  </si>
  <si>
    <t>CP</t>
  </si>
  <si>
    <t>FMEA</t>
  </si>
  <si>
    <t>FLOW CHART</t>
  </si>
  <si>
    <t>AIAG</t>
  </si>
  <si>
    <t>VDA</t>
  </si>
  <si>
    <t>APQP</t>
  </si>
  <si>
    <t>MSA</t>
  </si>
  <si>
    <t>SPC</t>
  </si>
  <si>
    <t>CSR (SPECYFICZNE WYMAGANIA KLIENTA)</t>
  </si>
  <si>
    <t>5S</t>
  </si>
  <si>
    <t>LEAN MANAGEMENT</t>
  </si>
  <si>
    <t>5R</t>
  </si>
  <si>
    <t>Six Sigma</t>
  </si>
  <si>
    <t>System BAAN / Distribution &amp; Supply Chain</t>
  </si>
  <si>
    <t>Gospodarka magazynowa / Lagerverwaltung</t>
  </si>
  <si>
    <t>Inwentaryzacja - organizacja i przebieg / Inventurprozess</t>
  </si>
  <si>
    <t>Organizacja dostaw / Versorgungsorganisation</t>
  </si>
  <si>
    <t>Organizacja wysyłek / Organisation von Lieferungen</t>
  </si>
  <si>
    <t>Analiza magazynowa - Program Polen.mdb / Inventuranalyse</t>
  </si>
  <si>
    <t>Planowanie produkcji / Produktionsplanung</t>
  </si>
  <si>
    <t>Obsługa maszyn Engel / Engel Maschinenbedienung</t>
  </si>
  <si>
    <t>Obsługa maszyn Novapax / Novapax Maschinenbedienung</t>
  </si>
  <si>
    <t>Obsługa maszyn KVT / KVT Maschinenbedienung</t>
  </si>
  <si>
    <t>Obsługa maszyn ASL / ASL Maschinenbedienung</t>
  </si>
  <si>
    <t>Obsługa maszyn Branson / Branson Maschinenbedienung</t>
  </si>
  <si>
    <t>Obsługa maszyn Kamtec / Kamtec Maschinenbedienung</t>
  </si>
  <si>
    <t>Obsługa maszyn Piovan / Piovan Maschinenbedienung</t>
  </si>
  <si>
    <t>Obsługa maszyn REP / REP Maschinenbedienung</t>
  </si>
  <si>
    <t>Informatyka ogólna (techniczne i systemowe) / Allgemeine IT (Technik und System)</t>
  </si>
  <si>
    <t>Systemy operacyjne (Windows, Linux) / Betriebssysteme (Windows, Linux)</t>
  </si>
  <si>
    <t>Sieci komputerowe / Computernetzwerke</t>
  </si>
  <si>
    <t>Hardware (komputery PC, drukarki biurowe i etykietowe, telefonia stacjonarna i mobilna) (PC, Drucker, Telefpne, Handys)</t>
  </si>
  <si>
    <t>Software (MS Office, MS Remote Desktop)</t>
  </si>
  <si>
    <t>Programowanie obiektowe (PHP) / Objektprogrammierung</t>
  </si>
  <si>
    <t>Scrum</t>
  </si>
  <si>
    <t>SQL (MySQL)</t>
  </si>
  <si>
    <t>Javascript</t>
  </si>
  <si>
    <t>Joomla</t>
  </si>
  <si>
    <t>Bash</t>
  </si>
  <si>
    <t>Systemy MES</t>
  </si>
  <si>
    <t>HTML / CSS</t>
  </si>
  <si>
    <t>SYSTEM PR</t>
  </si>
  <si>
    <t>System Einkauf XP / EBA</t>
  </si>
  <si>
    <t>Techniki negocjacyjne / Verhandlungstechniken</t>
  </si>
  <si>
    <t>Znajomość rynku branżowego / Kenntnis des Industrie Marktes</t>
  </si>
  <si>
    <t>RAPORTY 8D / 8D Berichten</t>
  </si>
  <si>
    <t>NARZĘDZIA JAKOŚCIOWE (5WHY, Ishikawa, etc) / QS-Werkzeuge</t>
  </si>
  <si>
    <t>PDCA</t>
  </si>
  <si>
    <t>4M / Ishikawa</t>
  </si>
  <si>
    <t>Pareto</t>
  </si>
  <si>
    <t>PPAP/PSW</t>
  </si>
  <si>
    <t>SUPPLIER MANAGEMENT</t>
  </si>
  <si>
    <t>QUALITY DOCUMANTATIONS</t>
  </si>
  <si>
    <t>Rysunek techniczny / technische Zeichnung</t>
  </si>
  <si>
    <t>Kalibracja / Kalibrierung</t>
  </si>
  <si>
    <t>Rekwalifikacja / Requalifizierung</t>
  </si>
  <si>
    <t>Mikroskop optyczny / optisches Mikroskop</t>
  </si>
  <si>
    <t>RHEOMETR - GUMA / Gummi</t>
  </si>
  <si>
    <t>CMM - Contura Zeiss</t>
  </si>
  <si>
    <t>Pisanie programów / Programme schreiben</t>
  </si>
  <si>
    <t>Testy czystości / Reinheitstests</t>
  </si>
  <si>
    <t>MSA i SPC</t>
  </si>
  <si>
    <t>Kontrola codzienna produkcji / Tägliche Produktionskontrolle</t>
  </si>
  <si>
    <t>Pneumatyka / Pneumatics</t>
  </si>
  <si>
    <t>Mechanika / Mechanik</t>
  </si>
  <si>
    <t>Elektryka / Elektrik</t>
  </si>
  <si>
    <t>Hydraulika / Hydraulik</t>
  </si>
  <si>
    <t>Podciśnienie / Unterdruck</t>
  </si>
  <si>
    <t>Automatyka / Automatik</t>
  </si>
  <si>
    <t>Obsł.progr. projektowych[AUTOCAD,SOLID itp.] / Arbeit mit Projektprogramme</t>
  </si>
  <si>
    <t>Obsługa programów CMMS / Arbeit mit CMMS</t>
  </si>
  <si>
    <t>MS Office (Excel)</t>
  </si>
  <si>
    <t>MS Office (Word)</t>
  </si>
  <si>
    <t>MS Office (Power Point)</t>
  </si>
  <si>
    <t>Język angielski / Englisch</t>
  </si>
  <si>
    <t>Język niemiecki / Deutsch</t>
  </si>
  <si>
    <t>Analityczne myślenie, podejście / Analitysches Denken, Einstellung</t>
  </si>
  <si>
    <t>Dokładność, precyzja w dzialaniu / Genauigkeit, Präzision in die Arbeit</t>
  </si>
  <si>
    <t>BRAK / Keine</t>
  </si>
  <si>
    <t>MINIMUM 1 ROK / min. 1 Jahr</t>
  </si>
  <si>
    <t>MINIMUM 2 LATA / min. 2 Jahre</t>
  </si>
  <si>
    <t>MINIMUM 3 LATA / min. 3 Jahre</t>
  </si>
  <si>
    <t>MINIMUM 4 LATA / min. 4 Jahre</t>
  </si>
  <si>
    <t>MINIMUM 5 LAT / min. 5 Jahre</t>
  </si>
  <si>
    <t>ZAWODOWE / Berufsausbildung</t>
  </si>
  <si>
    <t>ŚREDNIE OGÓLNE / Abitur allgemeine</t>
  </si>
  <si>
    <t>ŚREDNIE KIERUNKOWE / berufliches Gymnasium</t>
  </si>
  <si>
    <t>WYŻSZE OGÓLNE / Hochschule allgemeine</t>
  </si>
  <si>
    <t>WYŻSZE KIERUNKOWE / Hochschule berufliche</t>
  </si>
  <si>
    <t>PIERWSZA POMOC / Erste Hilfe</t>
  </si>
  <si>
    <t>Specjalista BHP / BHP Spezialist</t>
  </si>
  <si>
    <t>Inspektor ochrony PPOŻ / Brandschutzinspektor</t>
  </si>
  <si>
    <t>WÓZKI JEZDNIOWE / Gebelstapler</t>
  </si>
  <si>
    <t>SEP</t>
  </si>
  <si>
    <t>SEP  DOZÓR / SEP Aufsicht</t>
  </si>
  <si>
    <t>PODNOŚNIKI / Hebevorrichtung</t>
  </si>
  <si>
    <t>SUWNICE / Laufkran</t>
  </si>
  <si>
    <t>WYSOKOŚCIOWE / Höhenberechtigungen</t>
  </si>
  <si>
    <t xml:space="preserve">Stanowisko / Position </t>
  </si>
  <si>
    <t>X</t>
  </si>
  <si>
    <t>Launch &amp; process</t>
  </si>
  <si>
    <t>Maintenance Manager</t>
  </si>
  <si>
    <t>Plant Manager</t>
  </si>
  <si>
    <t>EMP Name</t>
  </si>
  <si>
    <t>Value</t>
  </si>
  <si>
    <t>Diff</t>
  </si>
  <si>
    <t>Description</t>
  </si>
  <si>
    <t>Dzial</t>
  </si>
  <si>
    <t>Spalte1</t>
  </si>
  <si>
    <t>Spalte2</t>
  </si>
  <si>
    <t>Spalte3</t>
  </si>
  <si>
    <t>Spalte4</t>
  </si>
  <si>
    <t>Spalte5</t>
  </si>
  <si>
    <t>Spalte6</t>
  </si>
  <si>
    <t>BRAK / Keine9</t>
  </si>
  <si>
    <t>n/a</t>
  </si>
  <si>
    <t>Manager</t>
  </si>
  <si>
    <t>Prod.-Q-5</t>
  </si>
  <si>
    <t>Prod.-Q-3</t>
  </si>
  <si>
    <t>Prod.-Q-4</t>
  </si>
  <si>
    <t>Utrzymanie ruchu-Maintenance</t>
  </si>
  <si>
    <t>Magazyn-Warehouse</t>
  </si>
  <si>
    <t>Logistyka-Logistic</t>
  </si>
  <si>
    <t>Prod.-Q-6</t>
  </si>
  <si>
    <t>Prod.-Q-2</t>
  </si>
  <si>
    <t>Prod.-Q-1</t>
  </si>
  <si>
    <t>Powlekanie-Plating</t>
  </si>
  <si>
    <t>Serwis form-Tooling</t>
  </si>
  <si>
    <t>Kadry-HR dep.</t>
  </si>
  <si>
    <t>BIP+Maintenance</t>
  </si>
  <si>
    <t>Dyrekcja-Management</t>
  </si>
  <si>
    <t>Pracownik Produkcji</t>
  </si>
  <si>
    <t>Inspektor jakości</t>
  </si>
  <si>
    <t>Gruplider Produkcji</t>
  </si>
  <si>
    <t>Kierownik logistyki</t>
  </si>
  <si>
    <t>Metrolog</t>
  </si>
  <si>
    <t>Teamleader Serwisu Form</t>
  </si>
  <si>
    <t>Kierownik operacyjny</t>
  </si>
  <si>
    <t>Automatyk</t>
  </si>
  <si>
    <t>Specjalista ds. zaopatrzenia</t>
  </si>
  <si>
    <t>Mechanik</t>
  </si>
  <si>
    <t>Specjalista ds. BHP i PPOŻ</t>
  </si>
  <si>
    <t>Logistyk</t>
  </si>
  <si>
    <t>Pracownik produkcji - powlekacz części metalowych</t>
  </si>
  <si>
    <t>Specjalista IT</t>
  </si>
  <si>
    <t>Ogólny Specjalista ds. Personalnych</t>
  </si>
  <si>
    <t>Konserwator form</t>
  </si>
  <si>
    <t>Młodszy specjalista ds. jakości</t>
  </si>
  <si>
    <t>Główna Księgowa</t>
  </si>
  <si>
    <t>Specjalista ds. Jakości</t>
  </si>
  <si>
    <t>Specjalista ds. usprawniania procesów</t>
  </si>
  <si>
    <t>Technik procesu</t>
  </si>
  <si>
    <t>Księgowa</t>
  </si>
  <si>
    <t>Teamleader Utrzymania Ruchu</t>
  </si>
  <si>
    <t>Inżynier procesu</t>
  </si>
  <si>
    <t>Młodszy Inspektor Jakości</t>
  </si>
  <si>
    <t>Młodszy metrolog</t>
  </si>
  <si>
    <t>Księgowa ds. rozliczeń magazynowych</t>
  </si>
  <si>
    <t>Specjalista ds. logistyki</t>
  </si>
  <si>
    <t>Koordynator Zapewnienia Jakości</t>
  </si>
  <si>
    <t>Specjalista ds. kadr i płac</t>
  </si>
  <si>
    <t>Stanowisko
Stelle</t>
  </si>
  <si>
    <t>Dział
Abteilung</t>
  </si>
  <si>
    <t>Odp.2
Verant.2</t>
  </si>
  <si>
    <t>Specjalista Systemu Produkcji BRUSS</t>
  </si>
  <si>
    <t>DD</t>
  </si>
  <si>
    <t>Management / zarządzanie</t>
  </si>
  <si>
    <t>Więcek Konrad</t>
  </si>
  <si>
    <t>KW</t>
  </si>
  <si>
    <t>JB</t>
  </si>
  <si>
    <t>Pisarek Konrad</t>
  </si>
  <si>
    <t>Konopka Przemysław</t>
  </si>
  <si>
    <t>Szpak Bartosz</t>
  </si>
  <si>
    <t>Johnen Aureliusz</t>
  </si>
  <si>
    <t>Balonis Kamil</t>
  </si>
  <si>
    <t>Jerzyk Marcin</t>
  </si>
  <si>
    <t>Balonis Paulina</t>
  </si>
  <si>
    <t>Bruderek Paweł</t>
  </si>
  <si>
    <t>Dickti Daniel</t>
  </si>
  <si>
    <t>Górska Mariola</t>
  </si>
  <si>
    <t>Szymański Krystian</t>
  </si>
  <si>
    <t>Bondar Jakub</t>
  </si>
  <si>
    <t>Żbikowska Justyna</t>
  </si>
  <si>
    <t>Marcińczyk Michał</t>
  </si>
  <si>
    <t>Koplin Dariusz</t>
  </si>
  <si>
    <t>Ścięgaj Piotr</t>
  </si>
  <si>
    <t>Czerepaniak Kamil</t>
  </si>
  <si>
    <t>Kulesza Maciej</t>
  </si>
  <si>
    <t>Tobolski Rafał</t>
  </si>
  <si>
    <t>Żukowski Adam</t>
  </si>
  <si>
    <t>Büttner Waldemar</t>
  </si>
  <si>
    <t>Elektromechanik</t>
  </si>
  <si>
    <t>Księgowość-Finance dep.</t>
  </si>
  <si>
    <t>MG</t>
  </si>
  <si>
    <t>DK</t>
  </si>
  <si>
    <t>Pietkiewicz-Dudek Monika</t>
  </si>
  <si>
    <t>Kaliszewska Dorota</t>
  </si>
  <si>
    <t>Kuciej Agnieszka</t>
  </si>
  <si>
    <t>Jakość-Quality Assurance QA</t>
  </si>
  <si>
    <t>Jakość-Quality Labor</t>
  </si>
  <si>
    <t>MS</t>
  </si>
  <si>
    <t>Dudziak Michał</t>
  </si>
  <si>
    <t>Michalska Jolanta</t>
  </si>
  <si>
    <t>Serowik Joanna</t>
  </si>
  <si>
    <t>Studziński Piotr</t>
  </si>
  <si>
    <t>Babynko Ewa</t>
  </si>
  <si>
    <t>Jakość-Quality Kontrola</t>
  </si>
  <si>
    <t>Kaczorowska-Adamiak Martyna</t>
  </si>
  <si>
    <t>Łukasik Urszula</t>
  </si>
  <si>
    <t>Narodowski Piotr</t>
  </si>
  <si>
    <t>Rzeczycka Aneta</t>
  </si>
  <si>
    <t>Produktion</t>
  </si>
  <si>
    <t>Odp1
Verant1</t>
  </si>
  <si>
    <t>Odp2
Verant2</t>
  </si>
  <si>
    <t>PrzepisyPDOP / geschäftlich Einkommensteuergesetz</t>
  </si>
  <si>
    <t>PROCESS MANAGEMENT / LAUNCH</t>
  </si>
  <si>
    <t>KOMPETENCJE MANAGERSKIE / MANAGEMENTKOMPETENZEN</t>
  </si>
  <si>
    <t>Dyspozycyjność / Verfügbarkeit</t>
  </si>
  <si>
    <t>Zaangażowanie / 
Engagement</t>
  </si>
  <si>
    <t>Planowanie strategiczne / Strategische Planung</t>
  </si>
  <si>
    <t>Konsekwentne i dynamiczne działanie</t>
  </si>
  <si>
    <t>Elastyczność w działaniu</t>
  </si>
  <si>
    <t>Komunikatywność</t>
  </si>
  <si>
    <t>Motywowanie i budowanie zaangażowania zespołu</t>
  </si>
  <si>
    <t>Doradztwo, wsparcie personalne / Personalberatung und Unterstützung</t>
  </si>
  <si>
    <t>Gospodarka substancjami niebezpiecznymi / Gefahrstoffmanagement</t>
  </si>
  <si>
    <t>Gospodarka odpadami / Abfallwirtschaft</t>
  </si>
  <si>
    <t>VDA RGA</t>
  </si>
  <si>
    <t>Obsługa systemu BABTECQ / BABTECQ System</t>
  </si>
  <si>
    <t>Zarządzanie dokumentacją jakościową / QUALITY DOCUMANTATIONS CREATION MANAGEMENT</t>
  </si>
  <si>
    <t>Kontrola wejściowa komponentów/ Eingangskontrolle</t>
  </si>
  <si>
    <t>Kontrola wyjściowa produktu / Ausgangskontrolle</t>
  </si>
  <si>
    <t>HR &amp; Finanse</t>
  </si>
  <si>
    <t>EHS</t>
  </si>
  <si>
    <t>Specjalista/inspektor BHP - uprawnienia</t>
  </si>
  <si>
    <t>Inspektor ochrony PPOŻ - uprawnienia</t>
  </si>
  <si>
    <t>Szkolenie wstępne</t>
  </si>
  <si>
    <t>Instrukcje bezpieczeństwa pożarowego</t>
  </si>
  <si>
    <t>Instrukcje stanowiskowe BHP</t>
  </si>
  <si>
    <t>Szkolenie okresowe BHP - dla osób kierujących pracownikami</t>
  </si>
  <si>
    <t>Plany operacyjno-ratownicze (ochrona środowiska i BHP) (GI7 8.2.02 001)</t>
  </si>
  <si>
    <t>Sytuacje awaryjnne - Wypadki przy pracy (WI70 8.2.01)</t>
  </si>
  <si>
    <t>Sytuacje awaryjnne - incydent środowiskowy (U.8.2.01)</t>
  </si>
  <si>
    <t>PIERWSZA POMOC i Zarządzanie apteczkami (WI70 6.1.2 004)</t>
  </si>
  <si>
    <t>Komisje BHP - współuczestnictwo pracowników (A.5.4.01)</t>
  </si>
  <si>
    <t>Gospodarka substancjami niebezpiecznymi (WI70 6.1.2 002) + MSDS na stanowisku pracy</t>
  </si>
  <si>
    <t>Aspekty środowiskowe (U.6.1.2.02EN)</t>
  </si>
  <si>
    <t>Gospodarka odpadami (WI70 6.1.2 001)</t>
  </si>
  <si>
    <t>Kontrola wejściowa / Eingangskontrolle</t>
  </si>
  <si>
    <t>Kontrola wyjściowa / Ausgangskontrolle</t>
  </si>
  <si>
    <t>Dokumentacja jakościowa / Qualitätsdokumentation</t>
  </si>
  <si>
    <t>?</t>
  </si>
  <si>
    <t>FORM SERVICE</t>
  </si>
  <si>
    <t>Szkolenie innych /Training others</t>
  </si>
  <si>
    <t>Konserwacja Rep</t>
  </si>
  <si>
    <t xml:space="preserve">Konserwacja Engel </t>
  </si>
  <si>
    <t>Konserwacja B 50</t>
  </si>
  <si>
    <t xml:space="preserve">Konserwacja EOL </t>
  </si>
  <si>
    <t>Konserwacja Branson</t>
  </si>
  <si>
    <t>Konserwacja coolery</t>
  </si>
  <si>
    <t>Konserwacja piecy</t>
  </si>
  <si>
    <t>Rys.tech.</t>
  </si>
  <si>
    <t>Elektryka</t>
  </si>
  <si>
    <t>Pneumatyka</t>
  </si>
  <si>
    <t xml:space="preserve">Hydraulika </t>
  </si>
  <si>
    <t>Podciśnienie</t>
  </si>
  <si>
    <t>Usuwanie awarii</t>
  </si>
  <si>
    <t>Obsługa robotów</t>
  </si>
  <si>
    <t>Obsługa sterowania maszyny</t>
  </si>
  <si>
    <t>Usuwanie przyczyn żródłowych</t>
  </si>
  <si>
    <t>Cmms stosowanie</t>
  </si>
  <si>
    <t>Dyspozycyjność</t>
  </si>
  <si>
    <t>Zaangażowanie</t>
  </si>
  <si>
    <t xml:space="preserve">Czyszczenie form gumowych </t>
  </si>
  <si>
    <t>Czyszczenie form plastikowych</t>
  </si>
  <si>
    <t>Wymiana form plastik</t>
  </si>
  <si>
    <t>Wymiana form guma</t>
  </si>
  <si>
    <t>Konserwacja KK</t>
  </si>
  <si>
    <t>Konserwacja form guma</t>
  </si>
  <si>
    <t>Konserwacja form plastiki</t>
  </si>
  <si>
    <t>Cmms - stosowanie</t>
  </si>
  <si>
    <t>Rysunek techniczny- czytanie</t>
  </si>
  <si>
    <t xml:space="preserve">Elektryka </t>
  </si>
  <si>
    <t>Hydraulika</t>
  </si>
  <si>
    <t>Ustalanie przyczyn żródłowych</t>
  </si>
  <si>
    <t>Konserwacja Gorącego Kanału</t>
  </si>
  <si>
    <t>ZAANGAŻOWANIE I PORZĄDEK</t>
  </si>
  <si>
    <t>SEP GR.1 Ekspoloatacja</t>
  </si>
  <si>
    <t>SEP  GR1. DOZÓR / SEP Aufsicht</t>
  </si>
  <si>
    <t>SEP GR2. Ekspoloatacja</t>
  </si>
  <si>
    <t>SEP GR3. Eksploatacja</t>
  </si>
  <si>
    <t>Maintanance</t>
  </si>
  <si>
    <t>instruktaż stanowiskowy</t>
  </si>
  <si>
    <t>Eliminacja awarii</t>
  </si>
  <si>
    <t>Zarządzanie dokumentacją produkcyjną</t>
  </si>
  <si>
    <t>Zarządzanie dokumentacją procesową / Process dokumentation management</t>
  </si>
  <si>
    <t>Znajomość procesów z obszaru / Kenntiss der prozesse in dem Bereich</t>
  </si>
  <si>
    <t>optymalizacja procesów / Prozessoptymalisierung</t>
  </si>
  <si>
    <t>Optymalizacja procesów / Prozessoptymalisierung</t>
  </si>
  <si>
    <t>Umiejętności szkoleniowe / Trainingsfähigkeiten</t>
  </si>
  <si>
    <t>planowanie produkcji (production planning)</t>
  </si>
  <si>
    <t>Obsługa SFMS (SFMS knowledge)</t>
  </si>
  <si>
    <t>Stabilizacja procesów (Process stabilization)</t>
  </si>
  <si>
    <t>Zarządzanie 5S</t>
  </si>
  <si>
    <t>konsekwentne i dynamiczne działanie</t>
  </si>
  <si>
    <t>Motywowanie do działania i budowanie zaangażowania zespołu</t>
  </si>
  <si>
    <t>Usprawnianie procesów</t>
  </si>
  <si>
    <t>Orientacja na cele</t>
  </si>
  <si>
    <t>2. propozycja - DS.</t>
  </si>
  <si>
    <t>QS &amp; Labo - MS i RP</t>
  </si>
  <si>
    <r>
      <t xml:space="preserve">Ryzyko zawodowe na stanowiskach pracy </t>
    </r>
    <r>
      <rPr>
        <strike/>
        <sz val="10"/>
        <color rgb="FFFF0000"/>
        <rFont val="Calibri Light"/>
        <family val="2"/>
        <charset val="238"/>
      </rPr>
      <t>(ORZ acc. A.6.1.2.01)</t>
    </r>
  </si>
  <si>
    <t>Ryzyko zawodowe na stanowiskach pracyv/ Berufliche Risiken an Arbeitsstellen</t>
  </si>
  <si>
    <t>Software &amp; Systems (MS Office, MS Remote Desktop)</t>
  </si>
  <si>
    <t xml:space="preserve"> = Brak kompetencji i/lub kompetencje niewymagane (Keine Wissen, Erfahrung und / oder Kompetenzen sind nicht erforderlich)</t>
  </si>
  <si>
    <t>Eliminacja awarii / Beseitigung von Ausfällen</t>
  </si>
  <si>
    <t>WDRAŻANIE NOWYCH PROJEKTÓW/ PROCEDURA CTM</t>
  </si>
  <si>
    <t>Nazwisko i imię</t>
  </si>
  <si>
    <t>Stanowisko</t>
  </si>
  <si>
    <t>Dział</t>
  </si>
  <si>
    <t>Balejko Mariusz</t>
  </si>
  <si>
    <t>Specjalista ds. zakupów</t>
  </si>
  <si>
    <t>QMS Manager</t>
  </si>
  <si>
    <t>Inżynier IT/ MES</t>
  </si>
  <si>
    <t>Starszy Groupleader Produkcji</t>
  </si>
  <si>
    <t>Personal No.</t>
  </si>
  <si>
    <t>Nr pers.</t>
  </si>
  <si>
    <t>x</t>
  </si>
  <si>
    <t>Plant Quality Manager</t>
  </si>
  <si>
    <t>Kolumna1</t>
  </si>
  <si>
    <r>
      <t xml:space="preserve">Matryca kompetencji minimalnych
dla stanowisk nieprodukcyjnych / Matrix der minimale Kompetenzen für Nicht-Produktion
</t>
    </r>
    <r>
      <rPr>
        <b/>
        <sz val="12"/>
        <color rgb="FFFF0000"/>
        <rFont val="Calibri Light"/>
        <family val="2"/>
        <charset val="238"/>
      </rPr>
      <t>Definicja: matryca minimalnych kompetencji przedstawia minimalne wymagania kompetencyjne wobec pracownika, aby pracownik ten mógł wykonywać w 100% zadania wskazane mu w Job description.</t>
    </r>
  </si>
  <si>
    <t>KOMPETENCJE MANAGERSKIE (MIĘKKIE) / MANAGEMENTKOMPETENZEN (SOFT)</t>
  </si>
  <si>
    <t>L.p.</t>
  </si>
  <si>
    <t>Obszar procesowy</t>
  </si>
  <si>
    <t>Elementy w procesie - KOMPETENCJE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</si>
  <si>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</si>
  <si>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</si>
  <si>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</si>
  <si>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</si>
  <si>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</si>
  <si>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</si>
  <si>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</si>
  <si>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</si>
  <si>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</si>
  <si>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</si>
  <si>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</si>
  <si>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</si>
  <si>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</si>
  <si>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</si>
  <si>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</si>
  <si>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</si>
  <si>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</si>
  <si>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</si>
  <si>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</si>
  <si>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</si>
  <si>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</si>
  <si>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</si>
  <si>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</si>
  <si>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</si>
  <si>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</si>
  <si>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</si>
  <si>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</si>
  <si>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</si>
  <si>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</si>
  <si>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</si>
  <si>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</si>
  <si>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</si>
  <si>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</si>
  <si>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</si>
  <si>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</si>
  <si>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</si>
  <si>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</si>
  <si>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</si>
  <si>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</si>
  <si>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</si>
  <si>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</si>
  <si>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</si>
  <si>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</si>
  <si>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</si>
  <si>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</si>
  <si>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</si>
  <si>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</si>
  <si>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</si>
  <si>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</si>
  <si>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</si>
  <si>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</si>
  <si>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</si>
  <si>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</si>
  <si>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</si>
  <si>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</si>
  <si>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</si>
  <si>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</si>
  <si>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</si>
  <si>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</si>
  <si>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</si>
  <si>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</si>
  <si>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</si>
  <si>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</si>
  <si>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</si>
  <si>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</si>
  <si>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</si>
  <si>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</si>
  <si>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</si>
  <si>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</si>
  <si>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</si>
  <si>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</si>
  <si>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</si>
  <si>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</si>
  <si>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</si>
  <si>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</si>
  <si>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</si>
  <si>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</si>
  <si>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</si>
  <si>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</si>
  <si>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</si>
  <si>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</si>
  <si>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</si>
  <si>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</si>
  <si>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</si>
  <si>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</si>
  <si>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</si>
  <si>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</si>
  <si>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</si>
  <si>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</si>
  <si>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</si>
  <si>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</si>
  <si>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</si>
  <si>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</si>
  <si>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</si>
  <si>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</si>
  <si>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</si>
  <si>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</si>
  <si>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</si>
  <si>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</si>
  <si>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</si>
  <si>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</si>
  <si>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</si>
  <si>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</si>
  <si>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</si>
  <si>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</si>
  <si>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</si>
  <si>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</si>
  <si>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</si>
  <si>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</si>
  <si>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</si>
  <si>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</si>
  <si>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</si>
  <si>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</si>
  <si>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</si>
  <si>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</si>
  <si>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</si>
  <si>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</si>
  <si>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</si>
  <si>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</si>
  <si>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</si>
  <si>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</si>
  <si>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</si>
  <si>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</si>
  <si>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</si>
  <si>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</si>
  <si>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</si>
  <si>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</si>
  <si>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</si>
  <si>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</si>
  <si>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</si>
  <si>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</si>
  <si>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</si>
  <si>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</si>
  <si>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</si>
  <si>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</si>
  <si>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</si>
  <si>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</si>
  <si>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</si>
  <si>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</si>
  <si>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Matryca kompetencji minimalnych</t>
  </si>
  <si>
    <t>przedstawia minimalne wymagania kompetencyjne wobec pracownika, aby pracownik ten mógł wykonywać w 100% zadania wskazane mu w Job description.</t>
  </si>
  <si>
    <t>Matryca kompetencji pracowników</t>
  </si>
  <si>
    <t>Poziomy ocen</t>
  </si>
  <si>
    <t>Opis ogólny oceny</t>
  </si>
  <si>
    <t>Opis szczegółowy</t>
  </si>
  <si>
    <t>dla wyznaczenia kompetencji minimalnych:</t>
  </si>
  <si>
    <t>dla wyznaczenia kompetencji pracownika:</t>
  </si>
  <si>
    <t>Ocena</t>
  </si>
  <si>
    <t>Pracownikowi na danym stanowisku nie są potrzebne kompetencje.</t>
  </si>
  <si>
    <t>Pracownik nie posiada żadnej kompetencji w danym obszarze.</t>
  </si>
  <si>
    <t>Pracownikowi na danym stanowisku potrzebne są kompetencje w zakresie podstawowym. Nie potrzebuje w swojej pracy posługiwać się kompetencją samodzielnie, ponieważ w razie konieczności ma w swoim obszarze odpowiednie wsparcie w postaci odpowiedniego specjalisty lub przełożonych.</t>
  </si>
  <si>
    <t>Pracownik posiada kompetencję w wąskim / niewielkim zakresie, nie jest w stanie wykonywać w danym obszarze zadań samodzielnie oraz ocenić ich jakość oraz nieprawidłowości  - potrzebuje wsparcia i/lub nadzoru innych współpracowników (np. specjalstów lub przełożonych). Jego wiedza nie jest na tyle wielka, aby powierzyć mu zadania do samodzielnego wykonywania.</t>
  </si>
  <si>
    <t>Pracownikowi na danym stanowisku potrzebne są kompetencje w takim zakresie, aby mógł wykonywać swoje obowiązki samodzielnie, bez codziennego wsparcia specjalistów. Dba o aktualizację swoich umiejętności, wie też skąd czerpać wiedzę z danego obszaru, celem poprawy swoich kompetencji.</t>
  </si>
  <si>
    <t>Pracownik posiada kompetencję w takim zakresie, że jest w stanie wykonywać w danym obszarze zadań samodzielnie oraz ocenić ich jakość oraz nieprawidłowości  - nie potrzebuje wsparcia i/lub nadzoru innych współpracowników (np. specjalstów lub przełożonych). Jego wiedza jest odpowiednia, aby powierzyć mu zadania do samodzielnego wykonywania.</t>
  </si>
  <si>
    <t>Pracownikowi na danym stanowisku potrzebne są kompetencjena bardzo wysokim poziomie, dzięki czemu może on wspierać innych współpracowników swoją wiedzą, umiejętnościami, daradztwem, interpretacją niejasności w danym obszarze. Jest on w stanie wyjaśnić wszelkie wątpliwości kolegom o niższym poziomie wiedzy, np. Specjalista / inspektor ds BHP - interpretacją przepisów i szkoleniami oraz kontrolą przestrzegania przepisów w zakresie BHP.</t>
  </si>
  <si>
    <t>Pracownik posiada kompetencje na poziomie oceny "2", a dodatkowo jest w stanie prowadzić w danym obszarze szkolenia, wspierać innych współpracowników  swoją wiedzą, umiejętnościami, daradztwem, interpretacją niejasności w danym obszarze. Jest on w stanie wyjaśnić wszelkie wątpliwości kolegom o niższym poziomie wiedzy.</t>
  </si>
  <si>
    <t>Systemy pomocnicze / Hilfssysteme(STOCKPROGRAM, KALK2000 etc.)</t>
  </si>
  <si>
    <t>WORKFLOW - TS-100</t>
  </si>
  <si>
    <t>WORKFLOW - SFMS</t>
  </si>
  <si>
    <r>
      <t>Kompetencje</t>
    </r>
    <r>
      <rPr>
        <sz val="9"/>
        <rFont val="Arial"/>
        <family val="2"/>
        <charset val="238"/>
      </rPr>
      <t> 
(kwalifikacje personelu)</t>
    </r>
  </si>
  <si>
    <r>
      <t>Kompetencje to zestawienie trzech głównych składowych, do których zalicza się </t>
    </r>
    <r>
      <rPr>
        <b/>
        <sz val="11"/>
        <rFont val="Calibri"/>
        <family val="2"/>
        <charset val="238"/>
        <scheme val="minor"/>
      </rPr>
      <t xml:space="preserve">wiedzę, umiejętności oraz odpowiednia postawa świadcząca o odpowiedzialności, </t>
    </r>
    <r>
      <rPr>
        <sz val="11"/>
        <rFont val="Calibri"/>
        <family val="2"/>
        <charset val="238"/>
        <scheme val="minor"/>
      </rPr>
      <t>potwierdzona w efektywnym wykonywaniu powierzonych zadań.</t>
    </r>
  </si>
  <si>
    <t>przedstawia posiadane przez pracownika kompetencje i ich poziom, a także wskazuje różnice kompetencyjne między tymi, które aktualnie posiada a tymi, które są wymagane dla jego stanowiska pracy (patrz: minimalne kompetencje).</t>
  </si>
  <si>
    <t>Systemy MES (HYDRA / SFMS)</t>
  </si>
  <si>
    <t>JŻ</t>
  </si>
  <si>
    <t>Engineering</t>
  </si>
  <si>
    <t>Inżynier produkcji</t>
  </si>
  <si>
    <t>Supplier delivery rating</t>
  </si>
  <si>
    <t>Super-G disputes</t>
  </si>
  <si>
    <t>DETC</t>
  </si>
  <si>
    <t>GPP</t>
  </si>
  <si>
    <t>OBSŁUGA PORTALI KLIENTA / Kundenportale</t>
  </si>
  <si>
    <t>MMOG (Materials Management Operations Guidelines)</t>
  </si>
  <si>
    <t>MP&amp;L (Material Planning and Logistics)</t>
  </si>
  <si>
    <t>CMMS3/eDDL (Direct Data Link)</t>
  </si>
  <si>
    <t>AIAG (Automotive Industry Action Group)</t>
  </si>
  <si>
    <t>Młodszy specjalista ds. systemów zarządzania bhp i ochrony środowiska</t>
  </si>
  <si>
    <t>Pracownik działu launch</t>
  </si>
  <si>
    <t>Business Administration &amp;Supply Chain Manager</t>
  </si>
  <si>
    <t>Engineering Manager</t>
  </si>
  <si>
    <t>Inżynier ds. form wtryskowych</t>
  </si>
  <si>
    <t>Inżynier produkcji (guma)</t>
  </si>
  <si>
    <t>Inżynier produkcji (tworzywa sztuczne)</t>
  </si>
  <si>
    <t>Launch &amp; Process Manager</t>
  </si>
  <si>
    <t>Młodszy specjalista ds. personalnych</t>
  </si>
  <si>
    <t>Młodszy specjalista w dziale Utrzymanie Ruchu</t>
  </si>
  <si>
    <t>Quality Manager</t>
  </si>
  <si>
    <t>Teamleder zespołu produkcji</t>
  </si>
  <si>
    <t>Specjalista ds. zarządzania zasobami ludzkimi</t>
  </si>
  <si>
    <t>Olewnik Hanna</t>
  </si>
  <si>
    <t>Specjalista ds. projektów i zatwierdzania dostawców</t>
  </si>
  <si>
    <t>Gromadzki Witold</t>
  </si>
  <si>
    <t>Cieśliński Arkadiusz</t>
  </si>
  <si>
    <t>Rodziewicz Natalia</t>
  </si>
  <si>
    <t>Samodzielny Metrolog</t>
  </si>
  <si>
    <t>Rokojżo Jan</t>
  </si>
  <si>
    <t>EB</t>
  </si>
  <si>
    <t>MP</t>
  </si>
  <si>
    <t>Starszy Inspektor ds. Bezpieczeństwa i higieny pracy</t>
  </si>
  <si>
    <t>Specjalista ds. Personalnych</t>
  </si>
  <si>
    <t>Koordynator QMS</t>
  </si>
  <si>
    <t>Koordynator ds. jakości klienta</t>
  </si>
  <si>
    <t>Koordynator dostawców oraz firwall</t>
  </si>
  <si>
    <t>Mechanik-konserwator</t>
  </si>
  <si>
    <t>Antosiak Adrian</t>
  </si>
  <si>
    <t>MD</t>
  </si>
  <si>
    <t>Uścinowicz Joanna</t>
  </si>
  <si>
    <t>Dyrektor Administracyjny</t>
  </si>
  <si>
    <t>Kierownik ds. finansów</t>
  </si>
  <si>
    <t>Kierownik Działu Kadr</t>
  </si>
  <si>
    <t>AC</t>
  </si>
  <si>
    <t>Specialista ds. logistyki i obsługi klienta</t>
  </si>
  <si>
    <t>Zawalich Ewelina</t>
  </si>
  <si>
    <t>Lider projektu</t>
  </si>
  <si>
    <t>Borkowski Łukasz</t>
  </si>
  <si>
    <t>JR</t>
  </si>
  <si>
    <t>Teamleader zespołu produkcji</t>
  </si>
  <si>
    <t>KK</t>
  </si>
  <si>
    <t>Kaczaniuk Łukasz</t>
  </si>
  <si>
    <t>KS</t>
  </si>
  <si>
    <t>Gnatkowska Aleksandra</t>
  </si>
  <si>
    <t>Kierownik zapewnienia jakości</t>
  </si>
  <si>
    <t>ŁK</t>
  </si>
  <si>
    <t>KO</t>
  </si>
  <si>
    <t>MT</t>
  </si>
  <si>
    <t>Kierownik Systemów Jakości</t>
  </si>
  <si>
    <t>Bieńkiewicz Edward</t>
  </si>
  <si>
    <t>Dyrektor Zakładu</t>
  </si>
  <si>
    <t>Filipkowski Zbigniew</t>
  </si>
  <si>
    <t>Specjalista ds. logistyki i obsługi klienta</t>
  </si>
  <si>
    <t>Specjalista ds. jakości</t>
  </si>
  <si>
    <t>Kodź Kornelia</t>
  </si>
  <si>
    <t>Lahodzia Ruslan</t>
  </si>
  <si>
    <t>Łatarewicz Mariusz</t>
  </si>
  <si>
    <t>Konserwator budynku</t>
  </si>
  <si>
    <t>Inspektor Jakości</t>
  </si>
  <si>
    <t>Koordynator dostawców oraz firewall</t>
  </si>
  <si>
    <t>Rowiński Damian</t>
  </si>
  <si>
    <t>PK</t>
  </si>
  <si>
    <t>Młodszy specjalista ds. zapewnienia jakości</t>
  </si>
  <si>
    <t>Niedźwiecka Klaudia</t>
  </si>
  <si>
    <t xml:space="preserve">Kazlou Yauhen </t>
  </si>
  <si>
    <t>Szmarowska Katarzyna</t>
  </si>
  <si>
    <t>Świder Sebastian</t>
  </si>
  <si>
    <t>Specjalista ds. BHP</t>
  </si>
  <si>
    <t>Banach Krystian</t>
  </si>
  <si>
    <t>Kolasa Marta</t>
  </si>
  <si>
    <t>Szymanowski Piotr</t>
  </si>
  <si>
    <t xml:space="preserve">Specjalista ds. zapewnienia jakości </t>
  </si>
  <si>
    <t>Bartosiak Klaudia</t>
  </si>
  <si>
    <t>Kuczyński Bartosz</t>
  </si>
  <si>
    <t>Stein Aleksander</t>
  </si>
  <si>
    <t>Wójcik Marcin</t>
  </si>
  <si>
    <t>Paczkowski Paweł</t>
  </si>
  <si>
    <t>Pietrzyk Iwona</t>
  </si>
  <si>
    <t>Fenyk Weronika</t>
  </si>
  <si>
    <t>Korycki Jakub</t>
  </si>
  <si>
    <t xml:space="preserve">Konserwator </t>
  </si>
  <si>
    <t>Shtyforuk Oleksandr</t>
  </si>
  <si>
    <t>Supplier Quality Assurance</t>
  </si>
  <si>
    <t>Specjalista ds. Controllingu</t>
  </si>
  <si>
    <t>Supply Chain Manager</t>
  </si>
  <si>
    <t>Kierownik Produkcji</t>
  </si>
  <si>
    <t>DR</t>
  </si>
  <si>
    <t>PR</t>
  </si>
  <si>
    <t>AK</t>
  </si>
  <si>
    <t>Kirichenko Maryna</t>
  </si>
  <si>
    <t>Specjalista ds. personalnych</t>
  </si>
  <si>
    <t>Planista Produkcji</t>
  </si>
  <si>
    <t>HR Manager</t>
  </si>
  <si>
    <t>Piotrowicz Konrad</t>
  </si>
  <si>
    <t>Specjalista ds. jakości dostawców</t>
  </si>
  <si>
    <t>Mechanik-Konserwator</t>
  </si>
  <si>
    <t>Referent ds. księgowych</t>
  </si>
  <si>
    <t>Banasiak Paweł</t>
  </si>
  <si>
    <t>Szambora Cezary</t>
  </si>
  <si>
    <t>Bawirsz Wojciech</t>
  </si>
  <si>
    <t xml:space="preserve">Inspektor Jakości </t>
  </si>
  <si>
    <t>CS</t>
  </si>
  <si>
    <t>Szydlik Marek</t>
  </si>
  <si>
    <t>Technik procesu produkcji</t>
  </si>
  <si>
    <t>Asystent ds.BHP</t>
  </si>
  <si>
    <t>Dobrenko Iwona</t>
  </si>
  <si>
    <t>Tabaka Andrzej</t>
  </si>
  <si>
    <t>Gaj Daniel</t>
  </si>
  <si>
    <t>Lis Julia</t>
  </si>
  <si>
    <t>Fijorek Mariusz</t>
  </si>
  <si>
    <t>Bogusz Adam</t>
  </si>
  <si>
    <t>Testy właściwości Rheometra mieszanki gumy</t>
  </si>
  <si>
    <t>Obsługa mikroskopu optycznego / Bedienung eines optischen Mikroskops</t>
  </si>
  <si>
    <t>Wykonywanie pomiarów optycznych - ocena wizualna / Optische Messungen durchführen – visuelle Beurteilung</t>
  </si>
  <si>
    <t>Obsługa Rheometra / Rheometra-Unterstützung</t>
  </si>
  <si>
    <t>Wykonywanie precyzyjnych pomiarów metrycznych, pomiary 3D</t>
  </si>
  <si>
    <t>Obsługa wyposażenia do testów czystości (myjka + analizator) / Betrieb von Sauberkeitsprüfgeräten (Waschmaschine + Analysegerät)</t>
  </si>
  <si>
    <t>Obsługa wysokościomierza / Unterstützung für Höhenmesser</t>
  </si>
  <si>
    <t>Pomiary wysokości materiału / Materialhöhenmessungen</t>
  </si>
  <si>
    <t>Obsługa okrągłościomierza / Unterstützung für Rundheitsmessgeräte</t>
  </si>
  <si>
    <t>Wykonywania pomiarów owalności, srednicy materiału / Messung der Ovalität und des Durchmessers des Materials</t>
  </si>
  <si>
    <t>Obsługa urządzenia do pomiarów chropowoatości powierzchni materiału</t>
  </si>
  <si>
    <t>Wykonywanie pomiarów chropowatości powierzchni materiału / Durchführung von Messungen der Materialoberflächenrauheit</t>
  </si>
  <si>
    <t>Obsługa urządzenia do pomiaru siły radialnej części - postępowanie z trzpieniami. / Funktionsweise des Geräts zur Messung der Radialkraft von Teilen – Handhabungsstifte.</t>
  </si>
  <si>
    <t>Wykonywanie pomiarów siły radialnej części / Führen Sie Radialkraftmessungen an Teilen durch</t>
  </si>
  <si>
    <t>Obsługa komory do testów wybuchwych / Betrieb einer Explosionsprüfkammer</t>
  </si>
  <si>
    <t>Wykonywanie testów wybuchowych części / Durchführung von Explosionstests an Teilen</t>
  </si>
  <si>
    <t>Obsługa urządzeń do mierzenia siły trzymania i/lub rozciągania / Betrieb von Geräten zur Messung der Halte- und/oder Dehnkraft</t>
  </si>
  <si>
    <t>Wykonywanie testów mierzenia siły trzymania i/lub rozciągania / Durchführung von Tests zur Messung der Halte- und/oder Streckkraft</t>
  </si>
  <si>
    <t>Obsługa multimetru do pomiarów środowiskowych (temperatura, wilgotność, hałas, oświetlenie, przepływ powietrza) / Betrieb eines Multimeters für Umweltmessungen (Temperatur, Luftfeuchtigkeit, Lärm, Beleuchtung, Luftstrom)</t>
  </si>
  <si>
    <t>Kontrola warunków środowiskowych pracy (temperatura, wilgotność, hałas, oświetlenie, przepływ powietrza) / Kontrolle der Arbeitsumgebungsbedingungen (Temperatur, Luftfeuchtigkeit, Lärm, Beleuchtung, Luftstrom)</t>
  </si>
  <si>
    <t>1</t>
  </si>
  <si>
    <t>Wykonywanie testów czystości / Durchführung von Reinheitstests</t>
  </si>
  <si>
    <t>Machcińska Kaja</t>
  </si>
  <si>
    <t>Krajewski Sławomir</t>
  </si>
  <si>
    <t>Banaś Marzena</t>
  </si>
  <si>
    <t>Jefimow Marek</t>
  </si>
  <si>
    <t>Wróbel Mateusz</t>
  </si>
  <si>
    <t>Asystent ds. administracyjnych</t>
  </si>
  <si>
    <t>Luma Rafał</t>
  </si>
  <si>
    <t>Zabłocki Daniel</t>
  </si>
  <si>
    <t>Semenov Oleksandr</t>
  </si>
  <si>
    <t>PP</t>
  </si>
  <si>
    <t>Raczkiewicz Wioleta</t>
  </si>
  <si>
    <t>Han Bogdan</t>
  </si>
  <si>
    <t>Kułak Michał</t>
  </si>
  <si>
    <t>Hińko Radosław</t>
  </si>
  <si>
    <t>Soja Rafał</t>
  </si>
  <si>
    <t>KOMPETENCJE MIĘKKIE / SOFT SKILLS</t>
  </si>
  <si>
    <t>KOMPETENCJE WSPÓLNE DLA WSZYSTKICH OBSZARÓW PROCESOWYCH</t>
  </si>
  <si>
    <t>DP</t>
  </si>
  <si>
    <t>Praga Dariusz</t>
  </si>
  <si>
    <t>Ekspert ds. produkcji</t>
  </si>
  <si>
    <t>AR</t>
  </si>
  <si>
    <t>Zagajewski Kacper</t>
  </si>
  <si>
    <t>Antoszewski Cezary</t>
  </si>
  <si>
    <t>Jankowska Gabriela</t>
  </si>
  <si>
    <t>Wiśniewski Tomasz</t>
  </si>
  <si>
    <t>Mierzejewski Karol</t>
  </si>
  <si>
    <t>Godowicz Radosław</t>
  </si>
  <si>
    <t>Starszy Lider Utrzymania Ruchu</t>
  </si>
  <si>
    <t>KN</t>
  </si>
  <si>
    <t>WK</t>
  </si>
  <si>
    <t>Administrator IT/MES/ERP</t>
  </si>
  <si>
    <t>Starszy Administrator IT/MES/ERP</t>
  </si>
  <si>
    <t>PSCR (VW Product Safety &amp; Conformity Representative)</t>
  </si>
  <si>
    <t>Auditor systemu ISO 17025:2018</t>
  </si>
  <si>
    <t>AM</t>
  </si>
  <si>
    <t>Kierownik Utrzymania Ruchu</t>
  </si>
  <si>
    <t>Kierownik Serwisu Form</t>
  </si>
  <si>
    <t>Zadroga Aleksandra</t>
  </si>
  <si>
    <t>Zaopatrzeniowiec w dziale Utrzymania Ruchu</t>
  </si>
  <si>
    <t>Grelewicz Michał</t>
  </si>
  <si>
    <t>Sadowska Sylwia</t>
  </si>
  <si>
    <t>Inżynier Procesu</t>
  </si>
  <si>
    <t>Poklikajew Beata</t>
  </si>
  <si>
    <t>KC</t>
  </si>
  <si>
    <t>Deptuła Mateusz</t>
  </si>
  <si>
    <t>Grunwald Marcin</t>
  </si>
  <si>
    <t>TR</t>
  </si>
  <si>
    <t>Rajkiewicz Tomasz</t>
  </si>
  <si>
    <t>Groupleader Produkcji</t>
  </si>
  <si>
    <t>Cesarek Wiktoria</t>
  </si>
  <si>
    <t>Nowak Bartłomiej</t>
  </si>
  <si>
    <t>Gołębiowski Paweł</t>
  </si>
  <si>
    <t>Ekspert ds. jakości</t>
  </si>
  <si>
    <t>Ekspert ds. Jakości</t>
  </si>
  <si>
    <t>Mariański Piotr</t>
  </si>
  <si>
    <t>Nadzór nad rozchodem części zamiennych</t>
  </si>
  <si>
    <t>Lider Laboratorium Pomiarowego</t>
  </si>
  <si>
    <t>AS</t>
  </si>
  <si>
    <t>Stalmach Andrzej</t>
  </si>
  <si>
    <t>Kilanowski Daniel</t>
  </si>
  <si>
    <t>Konserwator Form</t>
  </si>
  <si>
    <t>Vogler Dennis</t>
  </si>
  <si>
    <t>DV</t>
  </si>
  <si>
    <t>Szymański Marcin</t>
  </si>
  <si>
    <t>CC</t>
  </si>
  <si>
    <t>Siemieniako Ewa</t>
  </si>
  <si>
    <t xml:space="preserve">Ömer Faruk Canpolat </t>
  </si>
  <si>
    <t>Murach 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</si>
</sst>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u/>
      <sz val="10"/>
      <name val="Calibri Light"/>
      <family val="2"/>
      <scheme val="major"/>
    </font>
    <font>
      <sz val="10"/>
      <name val="Calibri Light"/>
      <family val="2"/>
      <scheme val="major"/>
    </font>
    <font>
      <u/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2"/>
      <name val="Calibri Light"/>
      <family val="2"/>
    </font>
    <font>
      <b/>
      <u/>
      <sz val="10"/>
      <name val="Calibri Light"/>
      <family val="2"/>
    </font>
    <font>
      <sz val="10"/>
      <name val="Calibri Light"/>
      <family val="2"/>
    </font>
    <font>
      <u/>
      <sz val="10"/>
      <name val="Calibri Light"/>
      <family val="2"/>
    </font>
    <font>
      <b/>
      <sz val="10"/>
      <name val="Calibri Light"/>
      <family val="2"/>
    </font>
    <font>
      <b/>
      <sz val="10"/>
      <color rgb="FFFF0000"/>
      <name val="Calibri Light"/>
      <family val="2"/>
    </font>
    <font>
      <b/>
      <sz val="9"/>
      <name val="Calibri Light"/>
      <family val="2"/>
    </font>
    <font>
      <b/>
      <sz val="11"/>
      <name val="Calibri Light"/>
      <family val="2"/>
    </font>
    <font>
      <sz val="10"/>
      <color theme="1"/>
      <name val="Calibri Light"/>
      <family val="2"/>
    </font>
    <font>
      <sz val="8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rgb="FFFF0000"/>
      <name val="Calibri Light"/>
      <family val="2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rgb="FFFF0000"/>
      <name val="Calibri"/>
      <family val="2"/>
      <scheme val="minor"/>
    </font>
    <font>
      <sz val="10"/>
      <color rgb="FF00B0F0"/>
      <name val="Calibri Light"/>
      <family val="2"/>
    </font>
    <font>
      <strike/>
      <sz val="10"/>
      <name val="Calibri Light"/>
      <family val="2"/>
    </font>
    <font>
      <b/>
      <sz val="10"/>
      <color rgb="FF0070C0"/>
      <name val="Calibri Light"/>
      <family val="2"/>
    </font>
    <font>
      <sz val="10"/>
      <color rgb="FF0070C0"/>
      <name val="Calibri Light"/>
      <family val="2"/>
    </font>
    <font>
      <b/>
      <sz val="11"/>
      <color rgb="FFFF0000"/>
      <name val="Calibri"/>
      <family val="2"/>
      <charset val="238"/>
      <scheme val="minor"/>
    </font>
    <font>
      <b/>
      <sz val="9"/>
      <name val="Arial"/>
      <family val="2"/>
      <charset val="238"/>
    </font>
    <font>
      <b/>
      <sz val="9"/>
      <color rgb="FF0070C0"/>
      <name val="Arial"/>
      <family val="2"/>
      <charset val="238"/>
    </font>
    <font>
      <b/>
      <sz val="9"/>
      <color rgb="FFFF0000"/>
      <name val="Arial"/>
      <family val="2"/>
      <charset val="238"/>
    </font>
    <font>
      <b/>
      <sz val="11"/>
      <color rgb="FF0070C0"/>
      <name val="Calibri"/>
      <family val="2"/>
      <charset val="238"/>
      <scheme val="minor"/>
    </font>
    <font>
      <strike/>
      <sz val="10"/>
      <color rgb="FF0070C0"/>
      <name val="Calibri Light"/>
      <family val="2"/>
    </font>
    <font>
      <strike/>
      <sz val="10"/>
      <color rgb="FFFF0000"/>
      <name val="Calibri Light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name val="Calibri Light"/>
      <family val="2"/>
      <charset val="238"/>
    </font>
    <font>
      <b/>
      <sz val="11"/>
      <name val="Calibri Light"/>
      <family val="2"/>
      <charset val="238"/>
    </font>
    <font>
      <b/>
      <sz val="12"/>
      <color rgb="FFFF0000"/>
      <name val="Calibri Light"/>
      <family val="2"/>
      <charset val="238"/>
    </font>
    <font>
      <b/>
      <sz val="10"/>
      <name val="Calibri Light"/>
      <family val="2"/>
      <charset val="238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38"/>
      <scheme val="minor"/>
    </font>
    <font>
      <sz val="9"/>
      <name val="Calibri Light"/>
      <family val="2"/>
      <charset val="238"/>
    </font>
    <font>
      <sz val="9"/>
      <name val="Calibri Light"/>
      <family val="2"/>
    </font>
    <font>
      <sz val="9"/>
      <color rgb="FFFF0000"/>
      <name val="Calibri Light"/>
      <family val="2"/>
    </font>
    <font>
      <sz val="9"/>
      <color rgb="FF00B0F0"/>
      <name val="Calibri Light"/>
      <family val="2"/>
    </font>
    <font>
      <sz val="9"/>
      <name val="Calibri Light"/>
      <family val="2"/>
      <charset val="238"/>
      <scheme val="major"/>
    </font>
    <font>
      <sz val="9"/>
      <color rgb="FFFF0000"/>
      <name val="Calibri Light"/>
      <family val="2"/>
      <scheme val="major"/>
    </font>
    <font>
      <sz val="9"/>
      <color theme="1"/>
      <name val="Calibri"/>
      <family val="2"/>
      <charset val="238"/>
      <scheme val="minor"/>
    </font>
    <font>
      <b/>
      <sz val="8"/>
      <name val="Calibri Light"/>
      <family val="2"/>
      <scheme val="major"/>
    </font>
    <font>
      <b/>
      <sz val="8"/>
      <name val="Calibri Light"/>
      <family val="2"/>
    </font>
    <font>
      <sz val="8"/>
      <name val="Calibri Light"/>
      <family val="2"/>
      <scheme val="major"/>
    </font>
    <font>
      <sz val="8"/>
      <name val="Calibri Light"/>
      <family val="2"/>
    </font>
    <font>
      <b/>
      <sz val="10"/>
      <color rgb="FFFF0000"/>
      <name val="Calibri Light"/>
      <family val="2"/>
      <charset val="238"/>
    </font>
    <font>
      <sz val="9"/>
      <name val="Arial"/>
      <family val="2"/>
      <charset val="238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sz val="10"/>
      <name val="Calibri Light"/>
      <family val="2"/>
      <charset val="238"/>
    </font>
    <font>
      <sz val="10"/>
      <color rgb="FFFF0000"/>
      <name val="Calibri Light"/>
      <family val="2"/>
      <charset val="238"/>
    </font>
    <font>
      <b/>
      <sz val="11"/>
      <color theme="1"/>
      <name val="Calibri Light"/>
      <family val="2"/>
    </font>
    <font>
      <strike/>
      <sz val="10"/>
      <name val="Calibri Light"/>
      <family val="2"/>
      <scheme val="major"/>
    </font>
    <font>
      <b/>
      <strike/>
      <sz val="10"/>
      <name val="Calibri Light"/>
      <family val="2"/>
      <scheme val="maj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color rgb="FF0070C0"/>
      <name val="Calibri Light"/>
      <family val="2"/>
      <scheme val="major"/>
    </font>
    <font>
      <sz val="10"/>
      <color rgb="FF0070C0"/>
      <name val="Calibri Light"/>
      <family val="2"/>
      <charset val="238"/>
    </font>
    <font>
      <strike/>
      <sz val="11"/>
      <color theme="1"/>
      <name val="Calibri"/>
      <family val="2"/>
      <charset val="238"/>
      <scheme val="minor"/>
    </font>
    <font>
      <strike/>
      <sz val="11"/>
      <name val="Calibri"/>
      <family val="2"/>
      <charset val="238"/>
      <scheme val="minor"/>
    </font>
    <font>
      <sz val="8"/>
      <color rgb="FF0070C0"/>
      <name val="Calibri Light"/>
      <family val="2"/>
    </font>
    <font>
      <sz val="10"/>
      <color rgb="FF000000"/>
      <name val="Calibri Light"/>
      <family val="2"/>
    </font>
    <font>
      <b/>
      <i/>
      <sz val="16"/>
      <color rgb="FF000000"/>
      <name val="Calibri"/>
      <family val="2"/>
      <charset val="238"/>
    </font>
    <font>
      <b/>
      <i/>
      <sz val="11"/>
      <color rgb="FF000000"/>
      <name val="Calibri"/>
      <family val="2"/>
      <charset val="238"/>
    </font>
    <font>
      <b/>
      <strike/>
      <sz val="11"/>
      <color theme="1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31"/>
      </patternFill>
    </fill>
    <fill>
      <patternFill patternType="solid">
        <fgColor rgb="FFFFFFFF"/>
        <bgColor rgb="FFFFFFCC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31"/>
      </patternFill>
    </fill>
    <fill>
      <patternFill patternType="solid">
        <fgColor rgb="FFFFC000"/>
        <bgColor rgb="FFFFFFCC"/>
      </patternFill>
    </fill>
    <fill>
      <patternFill patternType="solid">
        <fgColor theme="5" tint="0.39997558519241921"/>
        <bgColor rgb="FFFFFFCC"/>
      </patternFill>
    </fill>
    <fill>
      <patternFill patternType="solid">
        <fgColor theme="9" tint="0.39997558519241921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26"/>
      </patternFill>
    </fill>
    <fill>
      <patternFill patternType="solid">
        <fgColor rgb="FFE97132"/>
        <bgColor rgb="FFFFFFCC"/>
      </patternFill>
    </fill>
    <fill>
      <patternFill patternType="solid">
        <fgColor rgb="FFBFBFBF"/>
        <bgColor rgb="FFFFFFCC"/>
      </patternFill>
    </fill>
    <fill>
      <patternFill patternType="solid">
        <fgColor theme="0" tint="-0.249977111117893"/>
        <bgColor indexed="26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</borders>
  <cellStyleXfs count="10">
    <xf numFmtId="0" fontId="0" fillId="0" borderId="0"/>
    <xf numFmtId="0" fontId="55" fillId="0" borderId="0" applyNumberFormat="0" applyFill="0" applyBorder="0" applyAlignment="0" applyProtection="0"/>
    <xf numFmtId="0" fontId="56" fillId="0" borderId="0"/>
    <xf numFmtId="0" fontId="56" fillId="0" borderId="0"/>
    <xf numFmtId="9" fontId="56" fillId="0" borderId="0" applyFill="0" applyBorder="0" applyAlignment="0" applyProtection="0"/>
    <xf numFmtId="9" fontId="57" fillId="0" borderId="0" applyFont="0" applyFill="0" applyBorder="0" applyAlignment="0" applyProtection="0"/>
    <xf numFmtId="0" fontId="72" fillId="0" borderId="0"/>
    <xf numFmtId="0" fontId="54" fillId="0" borderId="0"/>
    <xf numFmtId="0" fontId="13" fillId="0" borderId="0"/>
    <xf numFmtId="0" fontId="127" fillId="0" borderId="0" applyNumberFormat="0" applyFill="0" applyBorder="0" applyAlignment="0" applyProtection="0"/>
  </cellStyleXfs>
  <cellXfs count="643">
    <xf numFmtId="0" fontId="0" fillId="0" borderId="0" xfId="0"/>
    <xf numFmtId="0" fontId="64" fillId="13" borderId="0" xfId="2" applyFont="1" applyFill="1" applyProtection="1">
      <protection locked="0"/>
    </xf>
    <xf numFmtId="0" fontId="64" fillId="13" borderId="0" xfId="2" applyFont="1" applyFill="1" applyAlignment="1" applyProtection="1">
      <alignment horizontal="center"/>
      <protection locked="0"/>
    </xf>
    <xf numFmtId="0" fontId="64" fillId="0" borderId="18" xfId="2" applyFont="1" applyBorder="1" applyAlignment="1">
      <alignment horizontal="center" textRotation="90" wrapText="1"/>
    </xf>
    <xf numFmtId="0" fontId="64" fillId="0" borderId="19" xfId="2" applyFont="1" applyBorder="1" applyAlignment="1">
      <alignment horizontal="center" textRotation="90" wrapText="1"/>
    </xf>
    <xf numFmtId="0" fontId="64" fillId="0" borderId="16" xfId="2" applyFont="1" applyBorder="1" applyAlignment="1">
      <alignment horizontal="center" textRotation="90" wrapText="1"/>
    </xf>
    <xf numFmtId="0" fontId="64" fillId="0" borderId="17" xfId="2" applyFont="1" applyBorder="1" applyAlignment="1">
      <alignment horizontal="center" textRotation="90" wrapText="1"/>
    </xf>
    <xf numFmtId="0" fontId="64" fillId="0" borderId="20" xfId="2" applyFont="1" applyBorder="1" applyAlignment="1">
      <alignment horizontal="center" textRotation="90" wrapText="1"/>
    </xf>
    <xf numFmtId="0" fontId="64" fillId="0" borderId="8" xfId="2" applyFont="1" applyBorder="1" applyAlignment="1">
      <alignment horizontal="center" textRotation="90" wrapText="1"/>
    </xf>
    <xf numFmtId="0" fontId="64" fillId="0" borderId="9" xfId="2" applyFont="1" applyBorder="1" applyAlignment="1">
      <alignment horizontal="center" textRotation="90" wrapText="1"/>
    </xf>
    <xf numFmtId="0" fontId="64" fillId="7" borderId="18" xfId="2" applyFont="1" applyFill="1" applyBorder="1" applyAlignment="1">
      <alignment horizontal="center" textRotation="90" wrapText="1"/>
    </xf>
    <xf numFmtId="0" fontId="64" fillId="7" borderId="16" xfId="2" applyFont="1" applyFill="1" applyBorder="1" applyAlignment="1">
      <alignment horizontal="center" textRotation="90" wrapText="1"/>
    </xf>
    <xf numFmtId="0" fontId="64" fillId="7" borderId="17" xfId="2" applyFont="1" applyFill="1" applyBorder="1" applyAlignment="1">
      <alignment horizontal="center" textRotation="90" wrapText="1"/>
    </xf>
    <xf numFmtId="0" fontId="64" fillId="7" borderId="8" xfId="2" applyFont="1" applyFill="1" applyBorder="1" applyAlignment="1">
      <alignment horizontal="center" textRotation="90" wrapText="1"/>
    </xf>
    <xf numFmtId="0" fontId="64" fillId="7" borderId="9" xfId="2" applyFont="1" applyFill="1" applyBorder="1" applyAlignment="1">
      <alignment horizontal="center" textRotation="90" wrapText="1"/>
    </xf>
    <xf numFmtId="0" fontId="64" fillId="7" borderId="11" xfId="2" applyFont="1" applyFill="1" applyBorder="1" applyAlignment="1">
      <alignment horizontal="center" textRotation="90" wrapText="1"/>
    </xf>
    <xf numFmtId="0" fontId="64" fillId="7" borderId="12" xfId="2" applyFont="1" applyFill="1" applyBorder="1" applyAlignment="1">
      <alignment horizontal="center" textRotation="90" wrapText="1"/>
    </xf>
    <xf numFmtId="0" fontId="64" fillId="7" borderId="10" xfId="2" applyFont="1" applyFill="1" applyBorder="1" applyAlignment="1">
      <alignment horizontal="center" textRotation="90" wrapText="1"/>
    </xf>
    <xf numFmtId="0" fontId="68" fillId="0" borderId="51" xfId="2" applyFont="1" applyBorder="1" applyAlignment="1">
      <alignment vertical="center" textRotation="90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67" fillId="8" borderId="2" xfId="2" applyFont="1" applyFill="1" applyBorder="1" applyAlignment="1">
      <alignment horizontal="center" vertical="center" wrapText="1"/>
    </xf>
    <xf numFmtId="0" fontId="67" fillId="8" borderId="2" xfId="2" applyFont="1" applyFill="1" applyBorder="1" applyAlignment="1">
      <alignment vertical="center" wrapText="1"/>
    </xf>
    <xf numFmtId="0" fontId="73" fillId="0" borderId="10" xfId="2" applyFont="1" applyBorder="1" applyAlignment="1">
      <alignment horizontal="center" textRotation="90" wrapText="1"/>
    </xf>
    <xf numFmtId="0" fontId="73" fillId="0" borderId="8" xfId="2" applyFont="1" applyBorder="1" applyAlignment="1">
      <alignment horizontal="center" textRotation="90" wrapText="1"/>
    </xf>
    <xf numFmtId="0" fontId="73" fillId="0" borderId="9" xfId="2" applyFont="1" applyBorder="1" applyAlignment="1">
      <alignment horizontal="center" textRotation="90" wrapText="1"/>
    </xf>
    <xf numFmtId="0" fontId="73" fillId="0" borderId="11" xfId="2" applyFont="1" applyBorder="1" applyAlignment="1">
      <alignment horizontal="center" textRotation="90" wrapText="1"/>
    </xf>
    <xf numFmtId="0" fontId="73" fillId="0" borderId="10" xfId="2" applyFont="1" applyBorder="1" applyAlignment="1">
      <alignment horizontal="center" textRotation="90"/>
    </xf>
    <xf numFmtId="0" fontId="73" fillId="0" borderId="19" xfId="2" applyFont="1" applyBorder="1" applyAlignment="1">
      <alignment horizontal="center" textRotation="90" wrapText="1"/>
    </xf>
    <xf numFmtId="0" fontId="76" fillId="0" borderId="0" xfId="0" applyFont="1"/>
    <xf numFmtId="0" fontId="62" fillId="0" borderId="1" xfId="2" applyFont="1" applyBorder="1"/>
    <xf numFmtId="0" fontId="62" fillId="0" borderId="2" xfId="2" applyFont="1" applyBorder="1"/>
    <xf numFmtId="0" fontId="62" fillId="0" borderId="3" xfId="2" applyFont="1" applyBorder="1"/>
    <xf numFmtId="0" fontId="66" fillId="8" borderId="3" xfId="2" applyFont="1" applyFill="1" applyBorder="1" applyAlignment="1">
      <alignment horizontal="left" vertical="center"/>
    </xf>
    <xf numFmtId="0" fontId="64" fillId="0" borderId="61" xfId="2" applyFont="1" applyBorder="1" applyAlignment="1">
      <alignment horizontal="center" textRotation="90" wrapText="1"/>
    </xf>
    <xf numFmtId="0" fontId="77" fillId="0" borderId="61" xfId="2" applyFont="1" applyBorder="1" applyAlignment="1">
      <alignment horizontal="center" textRotation="90" wrapText="1"/>
    </xf>
    <xf numFmtId="0" fontId="77" fillId="0" borderId="19" xfId="2" applyFont="1" applyBorder="1" applyAlignment="1">
      <alignment horizontal="center" textRotation="90" wrapText="1"/>
    </xf>
    <xf numFmtId="0" fontId="64" fillId="18" borderId="18" xfId="2" applyFont="1" applyFill="1" applyBorder="1" applyAlignment="1">
      <alignment horizontal="center" textRotation="90" wrapText="1"/>
    </xf>
    <xf numFmtId="0" fontId="64" fillId="18" borderId="16" xfId="2" applyFont="1" applyFill="1" applyBorder="1" applyAlignment="1">
      <alignment horizontal="center" textRotation="90" wrapText="1"/>
    </xf>
    <xf numFmtId="0" fontId="78" fillId="0" borderId="16" xfId="2" applyFont="1" applyBorder="1" applyAlignment="1">
      <alignment horizontal="center" textRotation="90" wrapText="1"/>
    </xf>
    <xf numFmtId="0" fontId="77" fillId="0" borderId="16" xfId="2" applyFont="1" applyBorder="1" applyAlignment="1">
      <alignment horizontal="center" textRotation="90" wrapText="1"/>
    </xf>
    <xf numFmtId="0" fontId="77" fillId="0" borderId="17" xfId="2" applyFont="1" applyBorder="1" applyAlignment="1">
      <alignment horizontal="center" textRotation="90" wrapText="1"/>
    </xf>
    <xf numFmtId="0" fontId="80" fillId="18" borderId="9" xfId="2" applyFont="1" applyFill="1" applyBorder="1" applyAlignment="1">
      <alignment horizontal="center" textRotation="90" wrapText="1"/>
    </xf>
    <xf numFmtId="0" fontId="64" fillId="18" borderId="8" xfId="2" applyFont="1" applyFill="1" applyBorder="1" applyAlignment="1">
      <alignment horizontal="center" textRotation="90" wrapText="1"/>
    </xf>
    <xf numFmtId="0" fontId="64" fillId="18" borderId="9" xfId="2" applyFont="1" applyFill="1" applyBorder="1" applyAlignment="1">
      <alignment horizontal="center" textRotation="90" wrapText="1"/>
    </xf>
    <xf numFmtId="0" fontId="64" fillId="19" borderId="9" xfId="2" applyFont="1" applyFill="1" applyBorder="1" applyAlignment="1">
      <alignment horizontal="center" textRotation="90" wrapText="1"/>
    </xf>
    <xf numFmtId="0" fontId="76" fillId="0" borderId="0" xfId="0" applyFont="1" applyAlignment="1">
      <alignment horizontal="center"/>
    </xf>
    <xf numFmtId="0" fontId="81" fillId="20" borderId="6" xfId="0" applyFont="1" applyFill="1" applyBorder="1" applyAlignment="1">
      <alignment horizontal="center" vertical="center" textRotation="90" wrapText="1"/>
    </xf>
    <xf numFmtId="0" fontId="83" fillId="20" borderId="6" xfId="0" applyFont="1" applyFill="1" applyBorder="1" applyAlignment="1">
      <alignment horizontal="center" vertical="center" textRotation="90" wrapText="1"/>
    </xf>
    <xf numFmtId="0" fontId="84" fillId="20" borderId="6" xfId="0" applyFont="1" applyFill="1" applyBorder="1" applyAlignment="1">
      <alignment horizontal="center" vertical="center" textRotation="90" wrapText="1"/>
    </xf>
    <xf numFmtId="0" fontId="82" fillId="20" borderId="6" xfId="0" applyFont="1" applyFill="1" applyBorder="1" applyAlignment="1">
      <alignment horizontal="center" vertical="center" textRotation="90" wrapText="1"/>
    </xf>
    <xf numFmtId="0" fontId="85" fillId="20" borderId="6" xfId="0" applyFont="1" applyFill="1" applyBorder="1" applyAlignment="1">
      <alignment horizontal="center" vertical="center" textRotation="90" wrapText="1"/>
    </xf>
    <xf numFmtId="0" fontId="73" fillId="18" borderId="9" xfId="2" applyFont="1" applyFill="1" applyBorder="1" applyAlignment="1">
      <alignment horizontal="center" textRotation="90" wrapText="1"/>
    </xf>
    <xf numFmtId="0" fontId="86" fillId="18" borderId="9" xfId="2" applyFont="1" applyFill="1" applyBorder="1" applyAlignment="1">
      <alignment horizontal="center" textRotation="90" wrapText="1"/>
    </xf>
    <xf numFmtId="0" fontId="86" fillId="18" borderId="11" xfId="2" applyFont="1" applyFill="1" applyBorder="1" applyAlignment="1">
      <alignment horizontal="center" textRotation="90" wrapText="1"/>
    </xf>
    <xf numFmtId="0" fontId="64" fillId="18" borderId="17" xfId="2" applyFont="1" applyFill="1" applyBorder="1" applyAlignment="1">
      <alignment horizontal="center" textRotation="90" wrapText="1"/>
    </xf>
    <xf numFmtId="0" fontId="54" fillId="0" borderId="0" xfId="7"/>
    <xf numFmtId="0" fontId="54" fillId="0" borderId="6" xfId="7" applyBorder="1" applyAlignment="1">
      <alignment horizontal="left" wrapText="1"/>
    </xf>
    <xf numFmtId="0" fontId="54" fillId="0" borderId="6" xfId="7" applyBorder="1" applyAlignment="1">
      <alignment horizontal="left"/>
    </xf>
    <xf numFmtId="0" fontId="54" fillId="0" borderId="6" xfId="7" applyBorder="1" applyAlignment="1">
      <alignment horizontal="center" wrapText="1"/>
    </xf>
    <xf numFmtId="0" fontId="54" fillId="0" borderId="0" xfId="7" applyAlignment="1">
      <alignment horizontal="center"/>
    </xf>
    <xf numFmtId="0" fontId="88" fillId="21" borderId="6" xfId="7" applyFont="1" applyFill="1" applyBorder="1" applyAlignment="1">
      <alignment horizontal="center" vertical="center" wrapText="1"/>
    </xf>
    <xf numFmtId="0" fontId="88" fillId="21" borderId="6" xfId="7" applyFont="1" applyFill="1" applyBorder="1" applyAlignment="1">
      <alignment horizontal="center" vertical="center"/>
    </xf>
    <xf numFmtId="0" fontId="88" fillId="0" borderId="0" xfId="7" applyFont="1" applyAlignment="1">
      <alignment horizontal="center" vertical="center"/>
    </xf>
    <xf numFmtId="0" fontId="93" fillId="0" borderId="6" xfId="0" applyFont="1" applyBorder="1" applyAlignment="1">
      <alignment vertical="center" wrapText="1"/>
    </xf>
    <xf numFmtId="0" fontId="94" fillId="0" borderId="6" xfId="0" applyFont="1" applyBorder="1" applyAlignment="1">
      <alignment horizontal="center" vertical="center" wrapText="1"/>
    </xf>
    <xf numFmtId="0" fontId="93" fillId="0" borderId="0" xfId="0" applyFont="1" applyAlignment="1">
      <alignment wrapText="1"/>
    </xf>
    <xf numFmtId="0" fontId="95" fillId="8" borderId="6" xfId="2" applyFont="1" applyFill="1" applyBorder="1" applyAlignment="1">
      <alignment vertical="center" wrapText="1"/>
    </xf>
    <xf numFmtId="0" fontId="96" fillId="0" borderId="6" xfId="2" applyFont="1" applyBorder="1" applyAlignment="1">
      <alignment horizontal="left" vertical="center" wrapText="1"/>
    </xf>
    <xf numFmtId="0" fontId="97" fillId="0" borderId="6" xfId="2" applyFont="1" applyBorder="1" applyAlignment="1">
      <alignment horizontal="left" vertical="center" wrapText="1"/>
    </xf>
    <xf numFmtId="0" fontId="98" fillId="0" borderId="6" xfId="2" applyFont="1" applyBorder="1" applyAlignment="1">
      <alignment horizontal="left" vertical="center" wrapText="1"/>
    </xf>
    <xf numFmtId="0" fontId="99" fillId="8" borderId="6" xfId="2" applyFont="1" applyFill="1" applyBorder="1" applyAlignment="1">
      <alignment vertical="center" wrapText="1"/>
    </xf>
    <xf numFmtId="0" fontId="100" fillId="0" borderId="6" xfId="2" applyFont="1" applyBorder="1" applyAlignment="1">
      <alignment horizontal="left" vertical="center" wrapText="1"/>
    </xf>
    <xf numFmtId="0" fontId="93" fillId="0" borderId="0" xfId="0" applyFont="1" applyAlignment="1">
      <alignment vertical="center" wrapText="1"/>
    </xf>
    <xf numFmtId="0" fontId="101" fillId="0" borderId="0" xfId="0" applyFont="1" applyAlignment="1">
      <alignment vertical="center" wrapText="1"/>
    </xf>
    <xf numFmtId="0" fontId="64" fillId="13" borderId="60" xfId="2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64" fillId="13" borderId="6" xfId="2" quotePrefix="1" applyFont="1" applyFill="1" applyBorder="1" applyAlignment="1">
      <alignment vertical="center" wrapText="1"/>
    </xf>
    <xf numFmtId="0" fontId="64" fillId="13" borderId="6" xfId="2" applyFont="1" applyFill="1" applyBorder="1" applyAlignment="1">
      <alignment vertical="center" wrapText="1"/>
    </xf>
    <xf numFmtId="0" fontId="88" fillId="0" borderId="64" xfId="0" applyFont="1" applyBorder="1" applyAlignment="1">
      <alignment vertical="center"/>
    </xf>
    <xf numFmtId="0" fontId="0" fillId="0" borderId="65" xfId="0" applyBorder="1" applyAlignment="1">
      <alignment vertical="center" wrapText="1"/>
    </xf>
    <xf numFmtId="0" fontId="88" fillId="0" borderId="28" xfId="0" applyFont="1" applyBorder="1" applyAlignment="1">
      <alignment vertical="center"/>
    </xf>
    <xf numFmtId="0" fontId="64" fillId="13" borderId="15" xfId="2" applyFont="1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92" fillId="4" borderId="6" xfId="2" applyFont="1" applyFill="1" applyBorder="1" applyAlignment="1">
      <alignment horizontal="center" vertical="center"/>
    </xf>
    <xf numFmtId="0" fontId="92" fillId="5" borderId="6" xfId="2" applyFont="1" applyFill="1" applyBorder="1" applyAlignment="1">
      <alignment horizontal="center" vertical="center"/>
    </xf>
    <xf numFmtId="0" fontId="92" fillId="6" borderId="15" xfId="2" applyFont="1" applyFill="1" applyBorder="1" applyAlignment="1">
      <alignment horizontal="center" vertical="center"/>
    </xf>
    <xf numFmtId="0" fontId="88" fillId="0" borderId="62" xfId="0" applyFont="1" applyBorder="1" applyAlignment="1">
      <alignment vertical="center"/>
    </xf>
    <xf numFmtId="0" fontId="92" fillId="0" borderId="60" xfId="2" applyFont="1" applyBorder="1" applyAlignment="1">
      <alignment horizontal="center" vertical="center"/>
    </xf>
    <xf numFmtId="0" fontId="0" fillId="0" borderId="60" xfId="0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88" fillId="0" borderId="15" xfId="0" applyFont="1" applyBorder="1"/>
    <xf numFmtId="0" fontId="88" fillId="0" borderId="29" xfId="0" applyFont="1" applyBorder="1"/>
    <xf numFmtId="0" fontId="93" fillId="0" borderId="0" xfId="0" applyFont="1" applyAlignment="1">
      <alignment horizontal="center" wrapText="1"/>
    </xf>
    <xf numFmtId="0" fontId="53" fillId="0" borderId="6" xfId="7" applyFont="1" applyBorder="1" applyAlignment="1">
      <alignment horizontal="center" wrapText="1"/>
    </xf>
    <xf numFmtId="0" fontId="53" fillId="0" borderId="6" xfId="7" applyFont="1" applyBorder="1" applyAlignment="1">
      <alignment horizontal="left"/>
    </xf>
    <xf numFmtId="0" fontId="52" fillId="0" borderId="6" xfId="7" applyFont="1" applyBorder="1" applyAlignment="1">
      <alignment horizontal="center" wrapText="1"/>
    </xf>
    <xf numFmtId="0" fontId="52" fillId="0" borderId="6" xfId="7" applyFont="1" applyBorder="1" applyAlignment="1">
      <alignment horizontal="left"/>
    </xf>
    <xf numFmtId="0" fontId="110" fillId="0" borderId="0" xfId="0" applyFont="1"/>
    <xf numFmtId="0" fontId="51" fillId="0" borderId="6" xfId="7" applyFont="1" applyBorder="1" applyAlignment="1">
      <alignment horizontal="center" wrapText="1"/>
    </xf>
    <xf numFmtId="0" fontId="109" fillId="0" borderId="6" xfId="7" applyFont="1" applyBorder="1" applyAlignment="1">
      <alignment horizontal="left" wrapText="1"/>
    </xf>
    <xf numFmtId="0" fontId="109" fillId="0" borderId="6" xfId="7" applyFont="1" applyBorder="1" applyAlignment="1">
      <alignment horizontal="center" wrapText="1"/>
    </xf>
    <xf numFmtId="0" fontId="50" fillId="0" borderId="6" xfId="7" applyFont="1" applyBorder="1" applyAlignment="1">
      <alignment horizontal="center" wrapText="1"/>
    </xf>
    <xf numFmtId="0" fontId="109" fillId="0" borderId="0" xfId="0" applyFont="1"/>
    <xf numFmtId="0" fontId="109" fillId="0" borderId="6" xfId="7" applyFont="1" applyBorder="1" applyAlignment="1">
      <alignment horizontal="left"/>
    </xf>
    <xf numFmtId="0" fontId="109" fillId="0" borderId="0" xfId="7" applyFont="1"/>
    <xf numFmtId="0" fontId="49" fillId="0" borderId="6" xfId="7" applyFont="1" applyBorder="1" applyAlignment="1">
      <alignment horizontal="left"/>
    </xf>
    <xf numFmtId="0" fontId="48" fillId="0" borderId="6" xfId="7" applyFont="1" applyBorder="1" applyAlignment="1">
      <alignment horizontal="left"/>
    </xf>
    <xf numFmtId="0" fontId="47" fillId="0" borderId="6" xfId="7" applyFont="1" applyBorder="1" applyAlignment="1">
      <alignment horizontal="left"/>
    </xf>
    <xf numFmtId="0" fontId="46" fillId="0" borderId="6" xfId="7" applyFont="1" applyBorder="1" applyAlignment="1">
      <alignment horizontal="center" wrapText="1"/>
    </xf>
    <xf numFmtId="0" fontId="46" fillId="0" borderId="6" xfId="7" applyFont="1" applyBorder="1" applyAlignment="1">
      <alignment horizontal="left"/>
    </xf>
    <xf numFmtId="0" fontId="45" fillId="0" borderId="6" xfId="7" applyFont="1" applyBorder="1" applyAlignment="1">
      <alignment horizontal="left"/>
    </xf>
    <xf numFmtId="0" fontId="44" fillId="0" borderId="6" xfId="7" applyFont="1" applyBorder="1" applyAlignment="1">
      <alignment horizontal="left"/>
    </xf>
    <xf numFmtId="0" fontId="44" fillId="0" borderId="6" xfId="7" applyFont="1" applyBorder="1" applyAlignment="1">
      <alignment horizontal="center" wrapText="1"/>
    </xf>
    <xf numFmtId="0" fontId="44" fillId="0" borderId="6" xfId="7" applyFont="1" applyBorder="1" applyAlignment="1">
      <alignment horizontal="left" wrapText="1"/>
    </xf>
    <xf numFmtId="0" fontId="43" fillId="0" borderId="6" xfId="7" applyFont="1" applyBorder="1" applyAlignment="1">
      <alignment horizontal="center" wrapText="1"/>
    </xf>
    <xf numFmtId="0" fontId="43" fillId="0" borderId="6" xfId="7" applyFont="1" applyBorder="1" applyAlignment="1">
      <alignment horizontal="left"/>
    </xf>
    <xf numFmtId="0" fontId="42" fillId="0" borderId="6" xfId="7" applyFont="1" applyBorder="1" applyAlignment="1">
      <alignment horizontal="center" wrapText="1"/>
    </xf>
    <xf numFmtId="0" fontId="41" fillId="0" borderId="6" xfId="7" applyFont="1" applyBorder="1" applyAlignment="1">
      <alignment horizontal="center" wrapText="1"/>
    </xf>
    <xf numFmtId="0" fontId="41" fillId="0" borderId="6" xfId="7" applyFont="1" applyBorder="1" applyAlignment="1">
      <alignment horizontal="left"/>
    </xf>
    <xf numFmtId="0" fontId="40" fillId="0" borderId="6" xfId="7" applyFont="1" applyBorder="1" applyAlignment="1">
      <alignment horizontal="center" wrapText="1"/>
    </xf>
    <xf numFmtId="0" fontId="39" fillId="0" borderId="6" xfId="7" applyFont="1" applyBorder="1" applyAlignment="1">
      <alignment horizontal="center" wrapText="1"/>
    </xf>
    <xf numFmtId="0" fontId="39" fillId="0" borderId="6" xfId="7" applyFont="1" applyBorder="1" applyAlignment="1">
      <alignment horizontal="left"/>
    </xf>
    <xf numFmtId="0" fontId="38" fillId="0" borderId="6" xfId="7" applyFont="1" applyBorder="1" applyAlignment="1">
      <alignment horizontal="left"/>
    </xf>
    <xf numFmtId="0" fontId="38" fillId="0" borderId="6" xfId="7" applyFont="1" applyBorder="1" applyAlignment="1">
      <alignment horizontal="center" wrapText="1"/>
    </xf>
    <xf numFmtId="0" fontId="37" fillId="0" borderId="6" xfId="7" applyFont="1" applyBorder="1" applyAlignment="1">
      <alignment horizontal="center" wrapText="1"/>
    </xf>
    <xf numFmtId="0" fontId="36" fillId="0" borderId="6" xfId="7" applyFont="1" applyBorder="1" applyAlignment="1">
      <alignment horizontal="center" wrapText="1"/>
    </xf>
    <xf numFmtId="0" fontId="36" fillId="0" borderId="6" xfId="7" applyFont="1" applyBorder="1" applyAlignment="1">
      <alignment horizontal="left"/>
    </xf>
    <xf numFmtId="0" fontId="61" fillId="2" borderId="1" xfId="2" applyFont="1" applyFill="1" applyBorder="1" applyAlignment="1" applyProtection="1">
      <alignment vertical="center" wrapText="1"/>
      <protection hidden="1"/>
    </xf>
    <xf numFmtId="0" fontId="61" fillId="2" borderId="2" xfId="2" applyFont="1" applyFill="1" applyBorder="1" applyAlignment="1" applyProtection="1">
      <alignment vertical="center" wrapText="1"/>
      <protection hidden="1"/>
    </xf>
    <xf numFmtId="0" fontId="110" fillId="0" borderId="0" xfId="0" applyFont="1" applyProtection="1">
      <protection hidden="1"/>
    </xf>
    <xf numFmtId="0" fontId="0" fillId="0" borderId="0" xfId="0" applyProtection="1">
      <protection hidden="1"/>
    </xf>
    <xf numFmtId="0" fontId="58" fillId="13" borderId="0" xfId="2" applyFont="1" applyFill="1" applyAlignment="1" applyProtection="1">
      <alignment horizontal="left" vertical="center"/>
      <protection hidden="1"/>
    </xf>
    <xf numFmtId="0" fontId="59" fillId="13" borderId="0" xfId="2" applyFont="1" applyFill="1" applyAlignment="1" applyProtection="1">
      <alignment vertical="center"/>
      <protection hidden="1"/>
    </xf>
    <xf numFmtId="0" fontId="59" fillId="3" borderId="0" xfId="2" applyFont="1" applyFill="1" applyAlignment="1" applyProtection="1">
      <alignment vertical="center"/>
      <protection hidden="1"/>
    </xf>
    <xf numFmtId="0" fontId="60" fillId="13" borderId="0" xfId="2" applyFont="1" applyFill="1" applyAlignment="1" applyProtection="1">
      <alignment vertical="center"/>
      <protection hidden="1"/>
    </xf>
    <xf numFmtId="0" fontId="59" fillId="13" borderId="0" xfId="2" applyFont="1" applyFill="1" applyProtection="1">
      <protection hidden="1"/>
    </xf>
    <xf numFmtId="0" fontId="59" fillId="13" borderId="38" xfId="2" applyFont="1" applyFill="1" applyBorder="1" applyAlignment="1" applyProtection="1">
      <alignment vertical="center"/>
      <protection hidden="1"/>
    </xf>
    <xf numFmtId="0" fontId="59" fillId="13" borderId="39" xfId="2" applyFont="1" applyFill="1" applyBorder="1" applyProtection="1">
      <protection hidden="1"/>
    </xf>
    <xf numFmtId="0" fontId="59" fillId="0" borderId="6" xfId="2" applyFont="1" applyBorder="1" applyProtection="1">
      <protection hidden="1"/>
    </xf>
    <xf numFmtId="0" fontId="59" fillId="3" borderId="0" xfId="2" applyFont="1" applyFill="1" applyProtection="1">
      <protection hidden="1"/>
    </xf>
    <xf numFmtId="0" fontId="59" fillId="3" borderId="0" xfId="2" applyFont="1" applyFill="1" applyAlignment="1" applyProtection="1">
      <alignment horizontal="right"/>
      <protection hidden="1"/>
    </xf>
    <xf numFmtId="0" fontId="61" fillId="13" borderId="0" xfId="2" applyFont="1" applyFill="1" applyProtection="1">
      <protection hidden="1"/>
    </xf>
    <xf numFmtId="0" fontId="59" fillId="13" borderId="38" xfId="2" applyFont="1" applyFill="1" applyBorder="1" applyProtection="1">
      <protection hidden="1"/>
    </xf>
    <xf numFmtId="14" fontId="61" fillId="13" borderId="0" xfId="2" applyNumberFormat="1" applyFont="1" applyFill="1" applyAlignment="1" applyProtection="1">
      <alignment horizontal="center"/>
      <protection hidden="1"/>
    </xf>
    <xf numFmtId="14" fontId="61" fillId="13" borderId="38" xfId="2" applyNumberFormat="1" applyFont="1" applyFill="1" applyBorder="1" applyAlignment="1" applyProtection="1">
      <alignment horizontal="center"/>
      <protection hidden="1"/>
    </xf>
    <xf numFmtId="0" fontId="59" fillId="4" borderId="6" xfId="2" applyFont="1" applyFill="1" applyBorder="1" applyAlignment="1" applyProtection="1">
      <alignment horizontal="center"/>
      <protection hidden="1"/>
    </xf>
    <xf numFmtId="0" fontId="59" fillId="13" borderId="0" xfId="2" quotePrefix="1" applyFont="1" applyFill="1" applyProtection="1">
      <protection hidden="1"/>
    </xf>
    <xf numFmtId="0" fontId="59" fillId="5" borderId="6" xfId="2" applyFont="1" applyFill="1" applyBorder="1" applyAlignment="1" applyProtection="1">
      <alignment horizontal="center"/>
      <protection hidden="1"/>
    </xf>
    <xf numFmtId="0" fontId="59" fillId="6" borderId="13" xfId="2" applyFont="1" applyFill="1" applyBorder="1" applyAlignment="1" applyProtection="1">
      <alignment horizontal="center"/>
      <protection hidden="1"/>
    </xf>
    <xf numFmtId="0" fontId="59" fillId="0" borderId="0" xfId="2" applyFont="1" applyProtection="1">
      <protection hidden="1"/>
    </xf>
    <xf numFmtId="0" fontId="71" fillId="0" borderId="0" xfId="0" applyFont="1" applyAlignment="1" applyProtection="1">
      <alignment wrapText="1"/>
      <protection hidden="1"/>
    </xf>
    <xf numFmtId="0" fontId="61" fillId="9" borderId="31" xfId="2" applyFont="1" applyFill="1" applyBorder="1" applyAlignment="1" applyProtection="1">
      <alignment horizontal="center" vertical="center" wrapText="1"/>
      <protection hidden="1"/>
    </xf>
    <xf numFmtId="0" fontId="61" fillId="9" borderId="42" xfId="2" applyFont="1" applyFill="1" applyBorder="1" applyAlignment="1" applyProtection="1">
      <alignment horizontal="center" vertical="center" wrapText="1"/>
      <protection hidden="1"/>
    </xf>
    <xf numFmtId="0" fontId="61" fillId="9" borderId="44" xfId="2" applyFont="1" applyFill="1" applyBorder="1" applyAlignment="1" applyProtection="1">
      <alignment horizontal="center" vertical="center" wrapText="1"/>
      <protection hidden="1"/>
    </xf>
    <xf numFmtId="0" fontId="104" fillId="0" borderId="8" xfId="2" applyFont="1" applyBorder="1" applyAlignment="1" applyProtection="1">
      <alignment horizontal="center" textRotation="90" wrapText="1"/>
      <protection hidden="1"/>
    </xf>
    <xf numFmtId="0" fontId="104" fillId="0" borderId="9" xfId="2" applyFont="1" applyBorder="1" applyAlignment="1" applyProtection="1">
      <alignment horizontal="center" textRotation="90" wrapText="1"/>
      <protection hidden="1"/>
    </xf>
    <xf numFmtId="0" fontId="105" fillId="0" borderId="9" xfId="2" applyFont="1" applyBorder="1" applyAlignment="1" applyProtection="1">
      <alignment horizontal="center" textRotation="90" wrapText="1"/>
      <protection hidden="1"/>
    </xf>
    <xf numFmtId="0" fontId="104" fillId="0" borderId="11" xfId="2" applyFont="1" applyBorder="1" applyAlignment="1" applyProtection="1">
      <alignment horizontal="center" textRotation="90" wrapText="1"/>
      <protection hidden="1"/>
    </xf>
    <xf numFmtId="0" fontId="104" fillId="0" borderId="40" xfId="2" applyFont="1" applyBorder="1" applyAlignment="1" applyProtection="1">
      <alignment horizontal="center" textRotation="90" wrapText="1"/>
      <protection hidden="1"/>
    </xf>
    <xf numFmtId="0" fontId="104" fillId="0" borderId="21" xfId="2" applyFont="1" applyBorder="1" applyAlignment="1" applyProtection="1">
      <alignment horizontal="center" textRotation="90" wrapText="1"/>
      <protection hidden="1"/>
    </xf>
    <xf numFmtId="0" fontId="104" fillId="0" borderId="60" xfId="2" applyFont="1" applyBorder="1" applyAlignment="1" applyProtection="1">
      <alignment horizontal="center" textRotation="90" wrapText="1"/>
      <protection hidden="1"/>
    </xf>
    <xf numFmtId="0" fontId="105" fillId="0" borderId="19" xfId="2" applyFont="1" applyBorder="1" applyAlignment="1" applyProtection="1">
      <alignment horizontal="center" textRotation="90" wrapText="1"/>
      <protection hidden="1"/>
    </xf>
    <xf numFmtId="0" fontId="104" fillId="0" borderId="41" xfId="2" applyFont="1" applyBorder="1" applyAlignment="1" applyProtection="1">
      <alignment horizontal="center" textRotation="90" wrapText="1"/>
      <protection hidden="1"/>
    </xf>
    <xf numFmtId="0" fontId="104" fillId="0" borderId="22" xfId="2" applyFont="1" applyBorder="1" applyAlignment="1" applyProtection="1">
      <alignment horizontal="center" textRotation="90" wrapText="1"/>
      <protection hidden="1"/>
    </xf>
    <xf numFmtId="0" fontId="104" fillId="0" borderId="23" xfId="2" applyFont="1" applyBorder="1" applyAlignment="1" applyProtection="1">
      <alignment horizontal="center" textRotation="90" wrapText="1"/>
      <protection hidden="1"/>
    </xf>
    <xf numFmtId="0" fontId="104" fillId="0" borderId="24" xfId="2" applyFont="1" applyBorder="1" applyAlignment="1" applyProtection="1">
      <alignment horizontal="center" textRotation="90" wrapText="1"/>
      <protection hidden="1"/>
    </xf>
    <xf numFmtId="0" fontId="105" fillId="0" borderId="17" xfId="2" applyFont="1" applyBorder="1" applyAlignment="1" applyProtection="1">
      <alignment horizontal="center" textRotation="90" wrapText="1"/>
      <protection hidden="1"/>
    </xf>
    <xf numFmtId="0" fontId="104" fillId="0" borderId="43" xfId="2" applyFont="1" applyBorder="1" applyAlignment="1" applyProtection="1">
      <alignment horizontal="center" textRotation="90" wrapText="1"/>
      <protection hidden="1"/>
    </xf>
    <xf numFmtId="0" fontId="104" fillId="0" borderId="42" xfId="2" applyFont="1" applyBorder="1" applyAlignment="1" applyProtection="1">
      <alignment horizontal="center" textRotation="90" wrapText="1"/>
      <protection hidden="1"/>
    </xf>
    <xf numFmtId="0" fontId="105" fillId="0" borderId="12" xfId="2" applyFont="1" applyBorder="1" applyAlignment="1" applyProtection="1">
      <alignment horizontal="center" textRotation="90" wrapText="1"/>
      <protection hidden="1"/>
    </xf>
    <xf numFmtId="0" fontId="104" fillId="0" borderId="44" xfId="2" applyFont="1" applyBorder="1" applyAlignment="1" applyProtection="1">
      <alignment horizontal="center" textRotation="90" wrapText="1"/>
      <protection hidden="1"/>
    </xf>
    <xf numFmtId="0" fontId="105" fillId="0" borderId="8" xfId="2" applyFont="1" applyBorder="1" applyAlignment="1" applyProtection="1">
      <alignment horizontal="center" textRotation="90" wrapText="1"/>
      <protection hidden="1"/>
    </xf>
    <xf numFmtId="0" fontId="105" fillId="0" borderId="3" xfId="2" applyFont="1" applyBorder="1" applyAlignment="1" applyProtection="1">
      <alignment horizontal="center" textRotation="90" wrapText="1"/>
      <protection hidden="1"/>
    </xf>
    <xf numFmtId="0" fontId="104" fillId="0" borderId="31" xfId="2" applyFont="1" applyBorder="1" applyAlignment="1" applyProtection="1">
      <alignment horizontal="center" textRotation="90" wrapText="1"/>
      <protection hidden="1"/>
    </xf>
    <xf numFmtId="0" fontId="105" fillId="0" borderId="10" xfId="2" applyFont="1" applyBorder="1" applyAlignment="1" applyProtection="1">
      <alignment horizontal="center" textRotation="90" wrapText="1"/>
      <protection hidden="1"/>
    </xf>
    <xf numFmtId="0" fontId="104" fillId="7" borderId="8" xfId="2" applyFont="1" applyFill="1" applyBorder="1" applyAlignment="1" applyProtection="1">
      <alignment horizontal="center" textRotation="90" wrapText="1"/>
      <protection hidden="1"/>
    </xf>
    <xf numFmtId="0" fontId="104" fillId="7" borderId="9" xfId="2" applyFont="1" applyFill="1" applyBorder="1" applyAlignment="1" applyProtection="1">
      <alignment horizontal="center" textRotation="90" wrapText="1"/>
      <protection hidden="1"/>
    </xf>
    <xf numFmtId="0" fontId="104" fillId="7" borderId="11" xfId="2" applyFont="1" applyFill="1" applyBorder="1" applyAlignment="1" applyProtection="1">
      <alignment horizontal="center" textRotation="90" wrapText="1"/>
      <protection hidden="1"/>
    </xf>
    <xf numFmtId="0" fontId="102" fillId="0" borderId="30" xfId="2" applyFont="1" applyBorder="1" applyAlignment="1" applyProtection="1">
      <alignment horizontal="center" vertical="center" textRotation="90" wrapText="1"/>
      <protection hidden="1"/>
    </xf>
    <xf numFmtId="0" fontId="114" fillId="13" borderId="0" xfId="2" applyFont="1" applyFill="1" applyAlignment="1" applyProtection="1">
      <alignment vertical="center"/>
      <protection hidden="1"/>
    </xf>
    <xf numFmtId="0" fontId="116" fillId="0" borderId="0" xfId="0" applyFont="1" applyProtection="1">
      <protection hidden="1"/>
    </xf>
    <xf numFmtId="0" fontId="114" fillId="13" borderId="0" xfId="2" applyFont="1" applyFill="1" applyProtection="1">
      <protection hidden="1"/>
    </xf>
    <xf numFmtId="0" fontId="64" fillId="12" borderId="6" xfId="2" applyFont="1" applyFill="1" applyBorder="1" applyAlignment="1" applyProtection="1">
      <alignment horizontal="center" vertical="center"/>
      <protection hidden="1"/>
    </xf>
    <xf numFmtId="0" fontId="64" fillId="0" borderId="6" xfId="2" applyFont="1" applyBorder="1" applyAlignment="1" applyProtection="1">
      <alignment horizontal="center" vertical="center"/>
      <protection hidden="1"/>
    </xf>
    <xf numFmtId="0" fontId="76" fillId="0" borderId="0" xfId="0" applyFont="1" applyProtection="1">
      <protection hidden="1"/>
    </xf>
    <xf numFmtId="0" fontId="64" fillId="12" borderId="7" xfId="2" applyFont="1" applyFill="1" applyBorder="1" applyAlignment="1" applyProtection="1">
      <alignment horizontal="center" vertical="center"/>
      <protection hidden="1"/>
    </xf>
    <xf numFmtId="0" fontId="89" fillId="12" borderId="6" xfId="2" applyFont="1" applyFill="1" applyBorder="1" applyAlignment="1" applyProtection="1">
      <alignment horizontal="center" vertical="center"/>
      <protection hidden="1"/>
    </xf>
    <xf numFmtId="0" fontId="64" fillId="0" borderId="7" xfId="2" applyFont="1" applyBorder="1" applyAlignment="1" applyProtection="1">
      <alignment horizontal="center" vertical="center"/>
      <protection hidden="1"/>
    </xf>
    <xf numFmtId="0" fontId="89" fillId="0" borderId="6" xfId="2" applyFont="1" applyBorder="1" applyAlignment="1" applyProtection="1">
      <alignment horizontal="center" vertical="center"/>
      <protection hidden="1"/>
    </xf>
    <xf numFmtId="0" fontId="89" fillId="0" borderId="7" xfId="2" applyFont="1" applyBorder="1" applyAlignment="1" applyProtection="1">
      <alignment horizontal="center" vertical="center"/>
      <protection hidden="1"/>
    </xf>
    <xf numFmtId="0" fontId="64" fillId="23" borderId="6" xfId="2" applyFont="1" applyFill="1" applyBorder="1" applyAlignment="1" applyProtection="1">
      <alignment horizontal="center" vertical="center"/>
      <protection hidden="1"/>
    </xf>
    <xf numFmtId="0" fontId="56" fillId="12" borderId="6" xfId="2" applyFill="1" applyBorder="1" applyAlignment="1" applyProtection="1">
      <alignment horizontal="center" vertical="center"/>
      <protection hidden="1"/>
    </xf>
    <xf numFmtId="0" fontId="64" fillId="12" borderId="13" xfId="2" applyFont="1" applyFill="1" applyBorder="1" applyAlignment="1" applyProtection="1">
      <alignment horizontal="center" vertical="center"/>
      <protection hidden="1"/>
    </xf>
    <xf numFmtId="0" fontId="89" fillId="12" borderId="7" xfId="2" applyFont="1" applyFill="1" applyBorder="1" applyAlignment="1" applyProtection="1">
      <alignment horizontal="center" vertical="center"/>
      <protection hidden="1"/>
    </xf>
    <xf numFmtId="0" fontId="57" fillId="0" borderId="0" xfId="0" applyFont="1" applyProtection="1">
      <protection hidden="1"/>
    </xf>
    <xf numFmtId="0" fontId="62" fillId="2" borderId="35" xfId="2" applyFont="1" applyFill="1" applyBorder="1" applyAlignment="1" applyProtection="1">
      <alignment vertical="center" wrapText="1"/>
      <protection hidden="1"/>
    </xf>
    <xf numFmtId="0" fontId="62" fillId="2" borderId="2" xfId="2" applyFont="1" applyFill="1" applyBorder="1" applyAlignment="1" applyProtection="1">
      <alignment vertical="center" wrapText="1"/>
      <protection hidden="1"/>
    </xf>
    <xf numFmtId="0" fontId="63" fillId="13" borderId="4" xfId="2" applyFont="1" applyFill="1" applyBorder="1" applyAlignment="1" applyProtection="1">
      <alignment vertical="center"/>
      <protection hidden="1"/>
    </xf>
    <xf numFmtId="0" fontId="63" fillId="13" borderId="0" xfId="2" applyFont="1" applyFill="1" applyAlignment="1" applyProtection="1">
      <alignment vertical="center"/>
      <protection hidden="1"/>
    </xf>
    <xf numFmtId="0" fontId="64" fillId="13" borderId="0" xfId="2" applyFont="1" applyFill="1" applyAlignment="1" applyProtection="1">
      <alignment vertical="center"/>
      <protection hidden="1"/>
    </xf>
    <xf numFmtId="0" fontId="64" fillId="3" borderId="0" xfId="2" applyFont="1" applyFill="1" applyAlignment="1" applyProtection="1">
      <alignment vertical="center"/>
      <protection hidden="1"/>
    </xf>
    <xf numFmtId="0" fontId="65" fillId="13" borderId="0" xfId="2" applyFont="1" applyFill="1" applyAlignment="1" applyProtection="1">
      <alignment vertical="center"/>
      <protection hidden="1"/>
    </xf>
    <xf numFmtId="14" fontId="64" fillId="13" borderId="0" xfId="2" applyNumberFormat="1" applyFont="1" applyFill="1" applyAlignment="1" applyProtection="1">
      <alignment horizontal="center" vertical="center"/>
      <protection hidden="1"/>
    </xf>
    <xf numFmtId="0" fontId="64" fillId="13" borderId="0" xfId="2" applyFont="1" applyFill="1" applyProtection="1">
      <protection hidden="1"/>
    </xf>
    <xf numFmtId="0" fontId="64" fillId="13" borderId="5" xfId="2" applyFont="1" applyFill="1" applyBorder="1" applyAlignment="1" applyProtection="1">
      <alignment vertical="center"/>
      <protection hidden="1"/>
    </xf>
    <xf numFmtId="0" fontId="64" fillId="0" borderId="6" xfId="2" applyFont="1" applyBorder="1" applyAlignment="1" applyProtection="1">
      <alignment horizontal="center"/>
      <protection hidden="1"/>
    </xf>
    <xf numFmtId="0" fontId="64" fillId="3" borderId="0" xfId="2" applyFont="1" applyFill="1" applyProtection="1">
      <protection hidden="1"/>
    </xf>
    <xf numFmtId="0" fontId="64" fillId="3" borderId="0" xfId="2" applyFont="1" applyFill="1" applyAlignment="1" applyProtection="1">
      <alignment horizontal="right"/>
      <protection hidden="1"/>
    </xf>
    <xf numFmtId="0" fontId="66" fillId="13" borderId="0" xfId="2" applyFont="1" applyFill="1" applyProtection="1">
      <protection hidden="1"/>
    </xf>
    <xf numFmtId="14" fontId="66" fillId="13" borderId="5" xfId="2" applyNumberFormat="1" applyFont="1" applyFill="1" applyBorder="1" applyAlignment="1" applyProtection="1">
      <alignment horizontal="center"/>
      <protection hidden="1"/>
    </xf>
    <xf numFmtId="14" fontId="66" fillId="13" borderId="0" xfId="2" applyNumberFormat="1" applyFont="1" applyFill="1" applyAlignment="1" applyProtection="1">
      <alignment horizontal="center"/>
      <protection hidden="1"/>
    </xf>
    <xf numFmtId="0" fontId="64" fillId="4" borderId="6" xfId="2" applyFont="1" applyFill="1" applyBorder="1" applyAlignment="1" applyProtection="1">
      <alignment horizontal="center"/>
      <protection hidden="1"/>
    </xf>
    <xf numFmtId="0" fontId="64" fillId="13" borderId="0" xfId="2" quotePrefix="1" applyFont="1" applyFill="1" applyProtection="1">
      <protection hidden="1"/>
    </xf>
    <xf numFmtId="0" fontId="64" fillId="5" borderId="6" xfId="2" applyFont="1" applyFill="1" applyBorder="1" applyAlignment="1" applyProtection="1">
      <alignment horizontal="center"/>
      <protection hidden="1"/>
    </xf>
    <xf numFmtId="0" fontId="64" fillId="13" borderId="5" xfId="2" applyFont="1" applyFill="1" applyBorder="1" applyProtection="1">
      <protection hidden="1"/>
    </xf>
    <xf numFmtId="0" fontId="64" fillId="6" borderId="13" xfId="2" applyFont="1" applyFill="1" applyBorder="1" applyAlignment="1" applyProtection="1">
      <alignment horizontal="center"/>
      <protection hidden="1"/>
    </xf>
    <xf numFmtId="0" fontId="64" fillId="0" borderId="0" xfId="2" applyFont="1" applyProtection="1">
      <protection hidden="1"/>
    </xf>
    <xf numFmtId="0" fontId="103" fillId="8" borderId="3" xfId="2" applyFont="1" applyFill="1" applyBorder="1" applyAlignment="1" applyProtection="1">
      <alignment horizontal="left" vertical="center" wrapText="1"/>
      <protection hidden="1"/>
    </xf>
    <xf numFmtId="0" fontId="105" fillId="13" borderId="0" xfId="2" applyFont="1" applyFill="1" applyAlignment="1" applyProtection="1">
      <alignment wrapText="1"/>
      <protection hidden="1"/>
    </xf>
    <xf numFmtId="0" fontId="66" fillId="0" borderId="40" xfId="2" applyFont="1" applyBorder="1" applyAlignment="1" applyProtection="1">
      <alignment horizontal="center" wrapText="1"/>
      <protection hidden="1"/>
    </xf>
    <xf numFmtId="0" fontId="66" fillId="0" borderId="22" xfId="2" applyFont="1" applyBorder="1" applyAlignment="1" applyProtection="1">
      <alignment horizontal="center" wrapText="1"/>
      <protection hidden="1"/>
    </xf>
    <xf numFmtId="0" fontId="66" fillId="0" borderId="0" xfId="2" applyFont="1" applyAlignment="1" applyProtection="1">
      <alignment horizontal="center" wrapText="1"/>
      <protection hidden="1"/>
    </xf>
    <xf numFmtId="0" fontId="105" fillId="0" borderId="31" xfId="2" applyFont="1" applyBorder="1" applyAlignment="1" applyProtection="1">
      <alignment horizontal="center" textRotation="90" wrapText="1"/>
      <protection hidden="1"/>
    </xf>
    <xf numFmtId="0" fontId="105" fillId="0" borderId="42" xfId="2" applyFont="1" applyBorder="1" applyAlignment="1" applyProtection="1">
      <alignment horizontal="center" textRotation="90" wrapText="1"/>
      <protection hidden="1"/>
    </xf>
    <xf numFmtId="0" fontId="105" fillId="0" borderId="44" xfId="2" applyFont="1" applyBorder="1" applyAlignment="1" applyProtection="1">
      <alignment horizontal="center" textRotation="90" wrapText="1"/>
      <protection hidden="1"/>
    </xf>
    <xf numFmtId="0" fontId="105" fillId="0" borderId="32" xfId="2" applyFont="1" applyBorder="1" applyAlignment="1" applyProtection="1">
      <alignment horizontal="center" textRotation="90" wrapText="1"/>
      <protection hidden="1"/>
    </xf>
    <xf numFmtId="0" fontId="105" fillId="0" borderId="43" xfId="2" applyFont="1" applyBorder="1" applyAlignment="1" applyProtection="1">
      <alignment horizontal="center" textRotation="90" wrapText="1"/>
      <protection hidden="1"/>
    </xf>
    <xf numFmtId="0" fontId="105" fillId="0" borderId="40" xfId="2" applyFont="1" applyBorder="1" applyAlignment="1" applyProtection="1">
      <alignment horizontal="center" textRotation="90" wrapText="1"/>
      <protection hidden="1"/>
    </xf>
    <xf numFmtId="0" fontId="105" fillId="0" borderId="21" xfId="2" applyFont="1" applyBorder="1" applyAlignment="1" applyProtection="1">
      <alignment horizontal="center" textRotation="90" wrapText="1"/>
      <protection hidden="1"/>
    </xf>
    <xf numFmtId="0" fontId="105" fillId="0" borderId="23" xfId="2" applyFont="1" applyBorder="1" applyAlignment="1" applyProtection="1">
      <alignment horizontal="center" textRotation="90" wrapText="1"/>
      <protection hidden="1"/>
    </xf>
    <xf numFmtId="0" fontId="105" fillId="0" borderId="24" xfId="2" applyFont="1" applyBorder="1" applyAlignment="1" applyProtection="1">
      <alignment horizontal="center" textRotation="90" wrapText="1"/>
      <protection hidden="1"/>
    </xf>
    <xf numFmtId="0" fontId="105" fillId="20" borderId="16" xfId="2" applyFont="1" applyFill="1" applyBorder="1" applyAlignment="1" applyProtection="1">
      <alignment horizontal="center" textRotation="90" wrapText="1"/>
      <protection hidden="1"/>
    </xf>
    <xf numFmtId="0" fontId="105" fillId="0" borderId="22" xfId="2" applyFont="1" applyBorder="1" applyAlignment="1" applyProtection="1">
      <alignment horizontal="center" textRotation="90" wrapText="1"/>
      <protection hidden="1"/>
    </xf>
    <xf numFmtId="0" fontId="105" fillId="0" borderId="37" xfId="2" applyFont="1" applyBorder="1" applyAlignment="1" applyProtection="1">
      <alignment horizontal="center" textRotation="90" wrapText="1"/>
      <protection hidden="1"/>
    </xf>
    <xf numFmtId="0" fontId="105" fillId="7" borderId="23" xfId="2" applyFont="1" applyFill="1" applyBorder="1" applyAlignment="1" applyProtection="1">
      <alignment horizontal="center" textRotation="90" wrapText="1"/>
      <protection hidden="1"/>
    </xf>
    <xf numFmtId="0" fontId="105" fillId="7" borderId="21" xfId="2" applyFont="1" applyFill="1" applyBorder="1" applyAlignment="1" applyProtection="1">
      <alignment horizontal="center" textRotation="90" wrapText="1"/>
      <protection hidden="1"/>
    </xf>
    <xf numFmtId="0" fontId="105" fillId="7" borderId="22" xfId="2" applyFont="1" applyFill="1" applyBorder="1" applyAlignment="1" applyProtection="1">
      <alignment horizontal="center" textRotation="90" wrapText="1"/>
      <protection hidden="1"/>
    </xf>
    <xf numFmtId="0" fontId="105" fillId="7" borderId="31" xfId="2" applyFont="1" applyFill="1" applyBorder="1" applyAlignment="1" applyProtection="1">
      <alignment horizontal="center" textRotation="90" wrapText="1"/>
      <protection hidden="1"/>
    </xf>
    <xf numFmtId="0" fontId="105" fillId="7" borderId="42" xfId="2" applyFont="1" applyFill="1" applyBorder="1" applyAlignment="1" applyProtection="1">
      <alignment horizontal="center" textRotation="90" wrapText="1"/>
      <protection hidden="1"/>
    </xf>
    <xf numFmtId="0" fontId="105" fillId="7" borderId="32" xfId="2" applyFont="1" applyFill="1" applyBorder="1" applyAlignment="1" applyProtection="1">
      <alignment horizontal="center" textRotation="90" wrapText="1"/>
      <protection hidden="1"/>
    </xf>
    <xf numFmtId="0" fontId="105" fillId="7" borderId="43" xfId="2" applyFont="1" applyFill="1" applyBorder="1" applyAlignment="1" applyProtection="1">
      <alignment horizontal="center" textRotation="90" wrapText="1"/>
      <protection hidden="1"/>
    </xf>
    <xf numFmtId="0" fontId="105" fillId="7" borderId="44" xfId="2" applyFont="1" applyFill="1" applyBorder="1" applyAlignment="1" applyProtection="1">
      <alignment horizontal="center" textRotation="90" wrapText="1"/>
      <protection hidden="1"/>
    </xf>
    <xf numFmtId="0" fontId="103" fillId="0" borderId="35" xfId="2" applyFont="1" applyBorder="1" applyAlignment="1" applyProtection="1">
      <alignment horizontal="center" vertical="center" textRotation="90" wrapText="1"/>
      <protection hidden="1"/>
    </xf>
    <xf numFmtId="0" fontId="70" fillId="11" borderId="7" xfId="2" applyFont="1" applyFill="1" applyBorder="1" applyAlignment="1" applyProtection="1">
      <alignment horizontal="center" vertical="center" wrapText="1"/>
      <protection hidden="1"/>
    </xf>
    <xf numFmtId="0" fontId="70" fillId="12" borderId="6" xfId="2" applyFont="1" applyFill="1" applyBorder="1" applyAlignment="1" applyProtection="1">
      <alignment horizontal="center" vertical="center"/>
      <protection hidden="1"/>
    </xf>
    <xf numFmtId="0" fontId="70" fillId="0" borderId="6" xfId="2" applyFont="1" applyBorder="1" applyAlignment="1" applyProtection="1">
      <alignment horizontal="center" vertical="center"/>
      <protection hidden="1"/>
    </xf>
    <xf numFmtId="1" fontId="113" fillId="0" borderId="53" xfId="2" applyNumberFormat="1" applyFont="1" applyBorder="1" applyAlignment="1" applyProtection="1">
      <alignment horizontal="center" vertical="center"/>
      <protection hidden="1"/>
    </xf>
    <xf numFmtId="0" fontId="70" fillId="10" borderId="60" xfId="2" applyFont="1" applyFill="1" applyBorder="1" applyAlignment="1" applyProtection="1">
      <alignment horizontal="center" vertical="center"/>
      <protection hidden="1"/>
    </xf>
    <xf numFmtId="0" fontId="70" fillId="11" borderId="25" xfId="1" applyFont="1" applyFill="1" applyBorder="1" applyAlignment="1" applyProtection="1">
      <alignment horizontal="center" vertical="center" wrapText="1"/>
      <protection hidden="1"/>
    </xf>
    <xf numFmtId="0" fontId="70" fillId="12" borderId="60" xfId="2" applyFont="1" applyFill="1" applyBorder="1" applyAlignment="1" applyProtection="1">
      <alignment horizontal="center" vertical="center"/>
      <protection hidden="1"/>
    </xf>
    <xf numFmtId="0" fontId="64" fillId="12" borderId="66" xfId="2" applyFont="1" applyFill="1" applyBorder="1" applyAlignment="1" applyProtection="1">
      <alignment horizontal="center" vertical="center"/>
      <protection hidden="1"/>
    </xf>
    <xf numFmtId="1" fontId="113" fillId="0" borderId="52" xfId="2" applyNumberFormat="1" applyFont="1" applyBorder="1" applyAlignment="1" applyProtection="1">
      <alignment horizontal="center" vertical="center"/>
      <protection hidden="1"/>
    </xf>
    <xf numFmtId="0" fontId="70" fillId="10" borderId="49" xfId="2" applyFont="1" applyFill="1" applyBorder="1" applyAlignment="1" applyProtection="1">
      <alignment horizontal="center" vertical="center"/>
      <protection hidden="1"/>
    </xf>
    <xf numFmtId="0" fontId="70" fillId="0" borderId="60" xfId="2" applyFont="1" applyBorder="1" applyAlignment="1" applyProtection="1">
      <alignment horizontal="center" vertical="center"/>
      <protection hidden="1"/>
    </xf>
    <xf numFmtId="0" fontId="70" fillId="11" borderId="25" xfId="2" applyFont="1" applyFill="1" applyBorder="1" applyAlignment="1" applyProtection="1">
      <alignment horizontal="center" vertical="center" wrapText="1"/>
      <protection hidden="1"/>
    </xf>
    <xf numFmtId="0" fontId="64" fillId="10" borderId="50" xfId="2" applyFont="1" applyFill="1" applyBorder="1" applyAlignment="1" applyProtection="1">
      <alignment horizontal="center" vertical="center"/>
      <protection hidden="1"/>
    </xf>
    <xf numFmtId="0" fontId="64" fillId="0" borderId="7" xfId="1" applyFont="1" applyFill="1" applyBorder="1" applyAlignment="1" applyProtection="1">
      <alignment horizontal="center" vertical="center" wrapText="1"/>
      <protection hidden="1"/>
    </xf>
    <xf numFmtId="1" fontId="69" fillId="0" borderId="52" xfId="2" applyNumberFormat="1" applyFont="1" applyBorder="1" applyAlignment="1" applyProtection="1">
      <alignment horizontal="center" vertical="center"/>
      <protection hidden="1"/>
    </xf>
    <xf numFmtId="0" fontId="64" fillId="11" borderId="7" xfId="1" applyFont="1" applyFill="1" applyBorder="1" applyAlignment="1" applyProtection="1">
      <alignment horizontal="center" vertical="center" wrapText="1"/>
      <protection hidden="1"/>
    </xf>
    <xf numFmtId="49" fontId="64" fillId="10" borderId="50" xfId="2" applyNumberFormat="1" applyFont="1" applyFill="1" applyBorder="1" applyAlignment="1" applyProtection="1">
      <alignment horizontal="center" vertical="center" shrinkToFit="1"/>
      <protection hidden="1"/>
    </xf>
    <xf numFmtId="1" fontId="69" fillId="0" borderId="53" xfId="2" applyNumberFormat="1" applyFont="1" applyBorder="1" applyAlignment="1" applyProtection="1">
      <alignment horizontal="center" vertical="center"/>
      <protection hidden="1"/>
    </xf>
    <xf numFmtId="0" fontId="70" fillId="10" borderId="50" xfId="2" applyFont="1" applyFill="1" applyBorder="1" applyAlignment="1" applyProtection="1">
      <alignment horizontal="center" vertical="center"/>
      <protection hidden="1"/>
    </xf>
    <xf numFmtId="0" fontId="70" fillId="11" borderId="7" xfId="1" applyFont="1" applyFill="1" applyBorder="1" applyAlignment="1" applyProtection="1">
      <alignment horizontal="center" vertical="center" wrapText="1"/>
      <protection hidden="1"/>
    </xf>
    <xf numFmtId="0" fontId="70" fillId="0" borderId="7" xfId="3" applyFont="1" applyBorder="1" applyAlignment="1" applyProtection="1">
      <alignment horizontal="center" vertical="center" wrapText="1"/>
      <protection hidden="1"/>
    </xf>
    <xf numFmtId="0" fontId="112" fillId="12" borderId="6" xfId="2" applyFont="1" applyFill="1" applyBorder="1" applyAlignment="1" applyProtection="1">
      <alignment horizontal="center" vertical="center"/>
      <protection hidden="1"/>
    </xf>
    <xf numFmtId="0" fontId="112" fillId="12" borderId="13" xfId="2" applyFont="1" applyFill="1" applyBorder="1" applyAlignment="1" applyProtection="1">
      <alignment horizontal="center" vertical="center"/>
      <protection hidden="1"/>
    </xf>
    <xf numFmtId="0" fontId="70" fillId="0" borderId="7" xfId="2" applyFont="1" applyBorder="1" applyAlignment="1" applyProtection="1">
      <alignment horizontal="center" vertical="center" wrapText="1"/>
      <protection hidden="1"/>
    </xf>
    <xf numFmtId="0" fontId="70" fillId="0" borderId="7" xfId="1" applyFont="1" applyFill="1" applyBorder="1" applyAlignment="1" applyProtection="1">
      <alignment horizontal="center" vertical="center" wrapText="1"/>
      <protection hidden="1"/>
    </xf>
    <xf numFmtId="1" fontId="69" fillId="0" borderId="65" xfId="2" applyNumberFormat="1" applyFont="1" applyBorder="1" applyAlignment="1" applyProtection="1">
      <alignment horizontal="center" vertical="center"/>
      <protection hidden="1"/>
    </xf>
    <xf numFmtId="0" fontId="89" fillId="10" borderId="50" xfId="2" applyFont="1" applyFill="1" applyBorder="1" applyAlignment="1" applyProtection="1">
      <alignment horizontal="center" vertical="center"/>
      <protection hidden="1"/>
    </xf>
    <xf numFmtId="0" fontId="89" fillId="11" borderId="7" xfId="2" applyFont="1" applyFill="1" applyBorder="1" applyAlignment="1" applyProtection="1">
      <alignment horizontal="center" vertical="center" wrapText="1"/>
      <protection hidden="1"/>
    </xf>
    <xf numFmtId="0" fontId="89" fillId="11" borderId="7" xfId="3" applyFont="1" applyFill="1" applyBorder="1" applyAlignment="1" applyProtection="1">
      <alignment horizontal="center" vertical="center" wrapText="1"/>
      <protection hidden="1"/>
    </xf>
    <xf numFmtId="1" fontId="90" fillId="0" borderId="53" xfId="2" applyNumberFormat="1" applyFont="1" applyBorder="1" applyAlignment="1" applyProtection="1">
      <alignment horizontal="center" vertical="center"/>
      <protection hidden="1"/>
    </xf>
    <xf numFmtId="0" fontId="89" fillId="11" borderId="7" xfId="1" applyFont="1" applyFill="1" applyBorder="1" applyAlignment="1" applyProtection="1">
      <alignment horizontal="center" vertical="center" wrapText="1"/>
      <protection hidden="1"/>
    </xf>
    <xf numFmtId="0" fontId="64" fillId="0" borderId="7" xfId="3" applyFont="1" applyBorder="1" applyAlignment="1" applyProtection="1">
      <alignment horizontal="center" vertical="center" wrapText="1"/>
      <protection hidden="1"/>
    </xf>
    <xf numFmtId="0" fontId="111" fillId="10" borderId="50" xfId="2" applyFont="1" applyFill="1" applyBorder="1" applyAlignment="1" applyProtection="1">
      <alignment horizontal="center" vertical="center"/>
      <protection hidden="1"/>
    </xf>
    <xf numFmtId="0" fontId="111" fillId="11" borderId="7" xfId="3" applyFont="1" applyFill="1" applyBorder="1" applyAlignment="1" applyProtection="1">
      <alignment horizontal="center" vertical="center" wrapText="1"/>
      <protection hidden="1"/>
    </xf>
    <xf numFmtId="0" fontId="111" fillId="12" borderId="6" xfId="2" applyFont="1" applyFill="1" applyBorder="1" applyAlignment="1" applyProtection="1">
      <alignment horizontal="center" vertical="center"/>
      <protection hidden="1"/>
    </xf>
    <xf numFmtId="0" fontId="89" fillId="12" borderId="13" xfId="2" applyFont="1" applyFill="1" applyBorder="1" applyAlignment="1" applyProtection="1">
      <alignment horizontal="center" vertical="center"/>
      <protection hidden="1"/>
    </xf>
    <xf numFmtId="0" fontId="64" fillId="0" borderId="7" xfId="1" applyFont="1" applyBorder="1" applyAlignment="1" applyProtection="1">
      <alignment horizontal="center" vertical="center" wrapText="1"/>
      <protection hidden="1"/>
    </xf>
    <xf numFmtId="0" fontId="64" fillId="11" borderId="7" xfId="2" applyFont="1" applyFill="1" applyBorder="1" applyAlignment="1" applyProtection="1">
      <alignment horizontal="center" vertical="center" wrapText="1"/>
      <protection hidden="1"/>
    </xf>
    <xf numFmtId="1" fontId="69" fillId="0" borderId="54" xfId="2" applyNumberFormat="1" applyFont="1" applyBorder="1" applyAlignment="1" applyProtection="1">
      <alignment horizontal="center" vertical="center"/>
      <protection hidden="1"/>
    </xf>
    <xf numFmtId="0" fontId="64" fillId="10" borderId="48" xfId="2" applyFont="1" applyFill="1" applyBorder="1" applyAlignment="1" applyProtection="1">
      <alignment horizontal="center" vertical="center"/>
      <protection hidden="1"/>
    </xf>
    <xf numFmtId="0" fontId="64" fillId="11" borderId="14" xfId="1" applyFont="1" applyFill="1" applyBorder="1" applyAlignment="1" applyProtection="1">
      <alignment horizontal="center" vertical="center" wrapText="1"/>
      <protection hidden="1"/>
    </xf>
    <xf numFmtId="0" fontId="64" fillId="0" borderId="14" xfId="1" applyFont="1" applyFill="1" applyBorder="1" applyAlignment="1" applyProtection="1">
      <alignment horizontal="center" vertical="center" wrapText="1"/>
      <protection hidden="1"/>
    </xf>
    <xf numFmtId="0" fontId="64" fillId="10" borderId="6" xfId="2" applyFont="1" applyFill="1" applyBorder="1" applyAlignment="1" applyProtection="1">
      <alignment horizontal="center" vertical="center"/>
      <protection hidden="1"/>
    </xf>
    <xf numFmtId="0" fontId="70" fillId="12" borderId="6" xfId="3" applyFont="1" applyFill="1" applyBorder="1" applyAlignment="1" applyProtection="1">
      <alignment horizontal="center" vertical="center" wrapText="1"/>
      <protection hidden="1"/>
    </xf>
    <xf numFmtId="0" fontId="64" fillId="12" borderId="67" xfId="2" applyFont="1" applyFill="1" applyBorder="1" applyAlignment="1" applyProtection="1">
      <alignment horizontal="center" vertical="center"/>
      <protection hidden="1"/>
    </xf>
    <xf numFmtId="1" fontId="69" fillId="0" borderId="6" xfId="2" applyNumberFormat="1" applyFont="1" applyBorder="1" applyAlignment="1" applyProtection="1">
      <alignment horizontal="center" vertical="center"/>
      <protection hidden="1"/>
    </xf>
    <xf numFmtId="0" fontId="64" fillId="12" borderId="6" xfId="2" applyFont="1" applyFill="1" applyBorder="1" applyAlignment="1" applyProtection="1">
      <alignment horizontal="center" vertical="center" wrapText="1"/>
      <protection hidden="1"/>
    </xf>
    <xf numFmtId="0" fontId="64" fillId="0" borderId="6" xfId="1" applyFont="1" applyBorder="1" applyAlignment="1" applyProtection="1">
      <alignment horizontal="center" vertical="center" wrapText="1"/>
      <protection hidden="1"/>
    </xf>
    <xf numFmtId="0" fontId="35" fillId="0" borderId="6" xfId="7" applyFont="1" applyBorder="1" applyAlignment="1">
      <alignment horizontal="left"/>
    </xf>
    <xf numFmtId="0" fontId="114" fillId="12" borderId="55" xfId="2" applyFont="1" applyFill="1" applyBorder="1" applyAlignment="1" applyProtection="1">
      <alignment horizontal="center" vertical="center"/>
      <protection locked="0" hidden="1"/>
    </xf>
    <xf numFmtId="0" fontId="114" fillId="12" borderId="57" xfId="2" applyFont="1" applyFill="1" applyBorder="1" applyAlignment="1" applyProtection="1">
      <alignment horizontal="center" vertical="center"/>
      <protection locked="0" hidden="1"/>
    </xf>
    <xf numFmtId="0" fontId="114" fillId="12" borderId="15" xfId="2" applyFont="1" applyFill="1" applyBorder="1" applyAlignment="1" applyProtection="1">
      <alignment horizontal="center" vertical="center"/>
      <protection locked="0" hidden="1"/>
    </xf>
    <xf numFmtId="0" fontId="114" fillId="12" borderId="58" xfId="2" applyFont="1" applyFill="1" applyBorder="1" applyAlignment="1" applyProtection="1">
      <alignment horizontal="center" vertical="center"/>
      <protection locked="0" hidden="1"/>
    </xf>
    <xf numFmtId="0" fontId="114" fillId="17" borderId="46" xfId="1" applyFont="1" applyFill="1" applyBorder="1" applyAlignment="1" applyProtection="1">
      <alignment horizontal="center" vertical="center" wrapText="1"/>
      <protection locked="0" hidden="1"/>
    </xf>
    <xf numFmtId="0" fontId="78" fillId="12" borderId="60" xfId="2" applyFont="1" applyFill="1" applyBorder="1" applyAlignment="1" applyProtection="1">
      <alignment horizontal="center" vertical="center"/>
      <protection locked="0" hidden="1"/>
    </xf>
    <xf numFmtId="1" fontId="115" fillId="0" borderId="30" xfId="2" applyNumberFormat="1" applyFont="1" applyBorder="1" applyAlignment="1" applyProtection="1">
      <alignment horizontal="center" vertical="center"/>
      <protection locked="0" hidden="1"/>
    </xf>
    <xf numFmtId="0" fontId="114" fillId="16" borderId="59" xfId="1" applyFont="1" applyFill="1" applyBorder="1" applyAlignment="1" applyProtection="1">
      <alignment horizontal="center" vertical="center" wrapText="1"/>
      <protection locked="0" hidden="1"/>
    </xf>
    <xf numFmtId="0" fontId="114" fillId="12" borderId="28" xfId="2" applyFont="1" applyFill="1" applyBorder="1" applyAlignment="1" applyProtection="1">
      <alignment horizontal="center" vertical="center"/>
      <protection locked="0" hidden="1"/>
    </xf>
    <xf numFmtId="0" fontId="114" fillId="12" borderId="29" xfId="2" applyFont="1" applyFill="1" applyBorder="1" applyAlignment="1" applyProtection="1">
      <alignment horizontal="center" vertical="center"/>
      <protection locked="0" hidden="1"/>
    </xf>
    <xf numFmtId="164" fontId="115" fillId="0" borderId="34" xfId="5" applyNumberFormat="1" applyFont="1" applyBorder="1" applyAlignment="1" applyProtection="1">
      <alignment horizontal="center" vertical="center"/>
      <protection locked="0" hidden="1"/>
    </xf>
    <xf numFmtId="0" fontId="78" fillId="12" borderId="6" xfId="2" applyFont="1" applyFill="1" applyBorder="1" applyAlignment="1" applyProtection="1">
      <alignment horizontal="center" vertical="center"/>
      <protection locked="0" hidden="1"/>
    </xf>
    <xf numFmtId="0" fontId="59" fillId="17" borderId="46" xfId="1" applyFont="1" applyFill="1" applyBorder="1" applyAlignment="1" applyProtection="1">
      <alignment horizontal="center" vertical="center" wrapText="1"/>
      <protection locked="0" hidden="1"/>
    </xf>
    <xf numFmtId="0" fontId="64" fillId="12" borderId="6" xfId="2" applyFont="1" applyFill="1" applyBorder="1" applyAlignment="1" applyProtection="1">
      <alignment horizontal="center" vertical="center"/>
      <protection locked="0" hidden="1"/>
    </xf>
    <xf numFmtId="0" fontId="80" fillId="12" borderId="6" xfId="2" applyFont="1" applyFill="1" applyBorder="1" applyAlignment="1" applyProtection="1">
      <alignment horizontal="center" vertical="center"/>
      <protection locked="0" hidden="1"/>
    </xf>
    <xf numFmtId="0" fontId="64" fillId="0" borderId="6" xfId="2" applyFont="1" applyBorder="1" applyAlignment="1" applyProtection="1">
      <alignment horizontal="center" vertical="center"/>
      <protection locked="0" hidden="1"/>
    </xf>
    <xf numFmtId="1" fontId="61" fillId="0" borderId="30" xfId="2" applyNumberFormat="1" applyFont="1" applyBorder="1" applyAlignment="1" applyProtection="1">
      <alignment horizontal="center" vertical="center"/>
      <protection locked="0" hidden="1"/>
    </xf>
    <xf numFmtId="0" fontId="59" fillId="16" borderId="59" xfId="1" applyFont="1" applyFill="1" applyBorder="1" applyAlignment="1" applyProtection="1">
      <alignment horizontal="center" vertical="center" wrapText="1"/>
      <protection locked="0" hidden="1"/>
    </xf>
    <xf numFmtId="0" fontId="59" fillId="12" borderId="55" xfId="2" applyFont="1" applyFill="1" applyBorder="1" applyAlignment="1" applyProtection="1">
      <alignment horizontal="center" vertical="center"/>
      <protection locked="0" hidden="1"/>
    </xf>
    <xf numFmtId="0" fontId="59" fillId="12" borderId="57" xfId="2" applyFont="1" applyFill="1" applyBorder="1" applyAlignment="1" applyProtection="1">
      <alignment horizontal="center" vertical="center"/>
      <protection locked="0" hidden="1"/>
    </xf>
    <xf numFmtId="0" fontId="59" fillId="12" borderId="15" xfId="2" applyFont="1" applyFill="1" applyBorder="1" applyAlignment="1" applyProtection="1">
      <alignment horizontal="center" vertical="center"/>
      <protection locked="0" hidden="1"/>
    </xf>
    <xf numFmtId="0" fontId="59" fillId="12" borderId="58" xfId="2" applyFont="1" applyFill="1" applyBorder="1" applyAlignment="1" applyProtection="1">
      <alignment horizontal="center" vertical="center"/>
      <protection locked="0" hidden="1"/>
    </xf>
    <xf numFmtId="0" fontId="118" fillId="12" borderId="15" xfId="2" applyFont="1" applyFill="1" applyBorder="1" applyAlignment="1" applyProtection="1">
      <alignment horizontal="center" vertical="center"/>
      <protection locked="0" hidden="1"/>
    </xf>
    <xf numFmtId="0" fontId="59" fillId="12" borderId="28" xfId="2" applyFont="1" applyFill="1" applyBorder="1" applyAlignment="1" applyProtection="1">
      <alignment horizontal="center" vertical="center"/>
      <protection locked="0" hidden="1"/>
    </xf>
    <xf numFmtId="0" fontId="59" fillId="12" borderId="29" xfId="2" applyFont="1" applyFill="1" applyBorder="1" applyAlignment="1" applyProtection="1">
      <alignment horizontal="center" vertical="center"/>
      <protection locked="0" hidden="1"/>
    </xf>
    <xf numFmtId="164" fontId="61" fillId="0" borderId="34" xfId="5" applyNumberFormat="1" applyFont="1" applyBorder="1" applyAlignment="1" applyProtection="1">
      <alignment horizontal="center" vertical="center"/>
      <protection locked="0" hidden="1"/>
    </xf>
    <xf numFmtId="0" fontId="64" fillId="12" borderId="7" xfId="2" applyFont="1" applyFill="1" applyBorder="1" applyAlignment="1" applyProtection="1">
      <alignment horizontal="center" vertical="center"/>
      <protection locked="0" hidden="1"/>
    </xf>
    <xf numFmtId="0" fontId="89" fillId="12" borderId="6" xfId="2" applyFont="1" applyFill="1" applyBorder="1" applyAlignment="1" applyProtection="1">
      <alignment horizontal="center" vertical="center"/>
      <protection locked="0" hidden="1"/>
    </xf>
    <xf numFmtId="0" fontId="64" fillId="12" borderId="60" xfId="2" applyFont="1" applyFill="1" applyBorder="1" applyAlignment="1" applyProtection="1">
      <alignment horizontal="center" vertical="center"/>
      <protection locked="0" hidden="1"/>
    </xf>
    <xf numFmtId="0" fontId="64" fillId="0" borderId="7" xfId="2" applyFont="1" applyBorder="1" applyAlignment="1" applyProtection="1">
      <alignment horizontal="center" vertical="center"/>
      <protection locked="0" hidden="1"/>
    </xf>
    <xf numFmtId="0" fontId="119" fillId="12" borderId="6" xfId="2" applyFont="1" applyFill="1" applyBorder="1" applyAlignment="1" applyProtection="1">
      <alignment horizontal="center" vertical="center"/>
      <protection locked="0" hidden="1"/>
    </xf>
    <xf numFmtId="0" fontId="89" fillId="0" borderId="6" xfId="2" applyFont="1" applyBorder="1" applyAlignment="1" applyProtection="1">
      <alignment horizontal="center" vertical="center"/>
      <protection locked="0" hidden="1"/>
    </xf>
    <xf numFmtId="0" fontId="89" fillId="0" borderId="7" xfId="2" applyFont="1" applyBorder="1" applyAlignment="1" applyProtection="1">
      <alignment horizontal="center" vertical="center"/>
      <protection locked="0" hidden="1"/>
    </xf>
    <xf numFmtId="0" fontId="64" fillId="12" borderId="13" xfId="2" applyFont="1" applyFill="1" applyBorder="1" applyAlignment="1" applyProtection="1">
      <alignment horizontal="center" vertical="center"/>
      <protection locked="0" hidden="1"/>
    </xf>
    <xf numFmtId="1" fontId="61" fillId="0" borderId="6" xfId="2" applyNumberFormat="1" applyFont="1" applyBorder="1" applyAlignment="1" applyProtection="1">
      <alignment horizontal="center" vertical="center"/>
      <protection locked="0" hidden="1"/>
    </xf>
    <xf numFmtId="0" fontId="59" fillId="12" borderId="6" xfId="2" applyFont="1" applyFill="1" applyBorder="1" applyAlignment="1" applyProtection="1">
      <alignment horizontal="center" vertical="center"/>
      <protection locked="0" hidden="1"/>
    </xf>
    <xf numFmtId="0" fontId="59" fillId="16" borderId="69" xfId="1" applyFont="1" applyFill="1" applyBorder="1" applyAlignment="1" applyProtection="1">
      <alignment horizontal="center" vertical="center" wrapText="1"/>
      <protection locked="0" hidden="1"/>
    </xf>
    <xf numFmtId="0" fontId="59" fillId="12" borderId="67" xfId="2" applyFont="1" applyFill="1" applyBorder="1" applyAlignment="1" applyProtection="1">
      <alignment horizontal="center" vertical="center"/>
      <protection locked="0" hidden="1"/>
    </xf>
    <xf numFmtId="0" fontId="59" fillId="12" borderId="13" xfId="2" applyFont="1" applyFill="1" applyBorder="1" applyAlignment="1" applyProtection="1">
      <alignment horizontal="center" vertical="center"/>
      <protection locked="0" hidden="1"/>
    </xf>
    <xf numFmtId="0" fontId="59" fillId="12" borderId="14" xfId="2" applyFont="1" applyFill="1" applyBorder="1" applyAlignment="1" applyProtection="1">
      <alignment horizontal="center" vertical="center"/>
      <protection locked="0" hidden="1"/>
    </xf>
    <xf numFmtId="0" fontId="59" fillId="12" borderId="70" xfId="2" applyFont="1" applyFill="1" applyBorder="1" applyAlignment="1" applyProtection="1">
      <alignment horizontal="center" vertical="center"/>
      <protection locked="0" hidden="1"/>
    </xf>
    <xf numFmtId="0" fontId="59" fillId="12" borderId="68" xfId="2" applyFont="1" applyFill="1" applyBorder="1" applyAlignment="1" applyProtection="1">
      <alignment horizontal="center" vertical="center"/>
      <protection locked="0" hidden="1"/>
    </xf>
    <xf numFmtId="0" fontId="59" fillId="17" borderId="6" xfId="1" applyFont="1" applyFill="1" applyBorder="1" applyAlignment="1" applyProtection="1">
      <alignment horizontal="center" vertical="center" wrapText="1"/>
      <protection locked="0" hidden="1"/>
    </xf>
    <xf numFmtId="0" fontId="59" fillId="16" borderId="6" xfId="1" applyFont="1" applyFill="1" applyBorder="1" applyAlignment="1" applyProtection="1">
      <alignment horizontal="center" vertical="center" wrapText="1"/>
      <protection locked="0" hidden="1"/>
    </xf>
    <xf numFmtId="0" fontId="59" fillId="17" borderId="71" xfId="1" applyFont="1" applyFill="1" applyBorder="1" applyAlignment="1" applyProtection="1">
      <alignment horizontal="center" vertical="center" wrapText="1"/>
      <protection locked="0" hidden="1"/>
    </xf>
    <xf numFmtId="0" fontId="80" fillId="12" borderId="60" xfId="2" applyFont="1" applyFill="1" applyBorder="1" applyAlignment="1" applyProtection="1">
      <alignment horizontal="center" vertical="center"/>
      <protection locked="0" hidden="1"/>
    </xf>
    <xf numFmtId="0" fontId="59" fillId="0" borderId="55" xfId="2" applyFont="1" applyBorder="1" applyAlignment="1" applyProtection="1">
      <alignment horizontal="center" vertical="center"/>
      <protection locked="0" hidden="1"/>
    </xf>
    <xf numFmtId="0" fontId="59" fillId="0" borderId="57" xfId="2" applyFont="1" applyBorder="1" applyAlignment="1" applyProtection="1">
      <alignment horizontal="center" vertical="center"/>
      <protection locked="0" hidden="1"/>
    </xf>
    <xf numFmtId="0" fontId="59" fillId="0" borderId="15" xfId="2" applyFont="1" applyBorder="1" applyAlignment="1" applyProtection="1">
      <alignment horizontal="center" vertical="center"/>
      <protection locked="0" hidden="1"/>
    </xf>
    <xf numFmtId="0" fontId="59" fillId="0" borderId="58" xfId="2" applyFont="1" applyBorder="1" applyAlignment="1" applyProtection="1">
      <alignment horizontal="center" vertical="center"/>
      <protection locked="0" hidden="1"/>
    </xf>
    <xf numFmtId="0" fontId="118" fillId="0" borderId="15" xfId="2" applyFont="1" applyBorder="1" applyAlignment="1" applyProtection="1">
      <alignment horizontal="center" vertical="center"/>
      <protection locked="0" hidden="1"/>
    </xf>
    <xf numFmtId="0" fontId="59" fillId="0" borderId="28" xfId="2" applyFont="1" applyBorder="1" applyAlignment="1" applyProtection="1">
      <alignment horizontal="center" vertical="center"/>
      <protection locked="0" hidden="1"/>
    </xf>
    <xf numFmtId="0" fontId="59" fillId="0" borderId="29" xfId="2" applyFont="1" applyBorder="1" applyAlignment="1" applyProtection="1">
      <alignment horizontal="center" vertical="center"/>
      <protection locked="0" hidden="1"/>
    </xf>
    <xf numFmtId="0" fontId="89" fillId="12" borderId="7" xfId="2" applyFont="1" applyFill="1" applyBorder="1" applyAlignment="1" applyProtection="1">
      <alignment horizontal="center" vertical="center"/>
      <protection locked="0" hidden="1"/>
    </xf>
    <xf numFmtId="0" fontId="59" fillId="0" borderId="13" xfId="2" applyFont="1" applyBorder="1" applyAlignment="1" applyProtection="1">
      <alignment horizontal="center" vertical="center"/>
      <protection locked="0" hidden="1"/>
    </xf>
    <xf numFmtId="0" fontId="59" fillId="0" borderId="14" xfId="2" applyFont="1" applyBorder="1" applyAlignment="1" applyProtection="1">
      <alignment horizontal="center" vertical="center"/>
      <protection locked="0" hidden="1"/>
    </xf>
    <xf numFmtId="0" fontId="59" fillId="12" borderId="54" xfId="2" applyFont="1" applyFill="1" applyBorder="1" applyAlignment="1" applyProtection="1">
      <alignment horizontal="center" vertical="center"/>
      <protection locked="0" hidden="1"/>
    </xf>
    <xf numFmtId="0" fontId="89" fillId="12" borderId="60" xfId="2" applyFont="1" applyFill="1" applyBorder="1" applyAlignment="1" applyProtection="1">
      <alignment horizontal="center" vertical="center"/>
      <protection locked="0" hidden="1"/>
    </xf>
    <xf numFmtId="0" fontId="64" fillId="0" borderId="60" xfId="2" applyFont="1" applyBorder="1" applyAlignment="1" applyProtection="1">
      <alignment horizontal="center" vertical="center"/>
      <protection locked="0" hidden="1"/>
    </xf>
    <xf numFmtId="0" fontId="118" fillId="12" borderId="13" xfId="2" applyFont="1" applyFill="1" applyBorder="1" applyAlignment="1" applyProtection="1">
      <alignment horizontal="center" vertical="center"/>
      <protection locked="0" hidden="1"/>
    </xf>
    <xf numFmtId="0" fontId="64" fillId="12" borderId="25" xfId="2" applyFont="1" applyFill="1" applyBorder="1" applyAlignment="1" applyProtection="1">
      <alignment horizontal="center" vertical="center"/>
      <protection locked="0" hidden="1"/>
    </xf>
    <xf numFmtId="0" fontId="120" fillId="0" borderId="0" xfId="7" applyFont="1"/>
    <xf numFmtId="0" fontId="117" fillId="0" borderId="0" xfId="7" applyFont="1"/>
    <xf numFmtId="0" fontId="117" fillId="0" borderId="0" xfId="0" applyFont="1"/>
    <xf numFmtId="0" fontId="59" fillId="0" borderId="67" xfId="2" applyFont="1" applyBorder="1" applyAlignment="1" applyProtection="1">
      <alignment horizontal="center" vertical="center"/>
      <protection locked="0" hidden="1"/>
    </xf>
    <xf numFmtId="0" fontId="34" fillId="0" borderId="6" xfId="7" applyFont="1" applyBorder="1" applyAlignment="1">
      <alignment horizontal="center" wrapText="1"/>
    </xf>
    <xf numFmtId="0" fontId="33" fillId="0" borderId="6" xfId="7" applyFont="1" applyBorder="1" applyAlignment="1">
      <alignment horizontal="left"/>
    </xf>
    <xf numFmtId="0" fontId="32" fillId="0" borderId="6" xfId="7" applyFont="1" applyBorder="1" applyAlignment="1">
      <alignment horizontal="center" wrapText="1"/>
    </xf>
    <xf numFmtId="0" fontId="31" fillId="0" borderId="6" xfId="7" applyFont="1" applyBorder="1" applyAlignment="1">
      <alignment horizontal="center" wrapText="1"/>
    </xf>
    <xf numFmtId="0" fontId="31" fillId="0" borderId="6" xfId="7" applyFont="1" applyBorder="1" applyAlignment="1">
      <alignment horizontal="left"/>
    </xf>
    <xf numFmtId="0" fontId="30" fillId="0" borderId="6" xfId="7" applyFont="1" applyBorder="1" applyAlignment="1">
      <alignment horizontal="center" wrapText="1"/>
    </xf>
    <xf numFmtId="0" fontId="30" fillId="0" borderId="6" xfId="7" applyFont="1" applyBorder="1" applyAlignment="1">
      <alignment horizontal="left"/>
    </xf>
    <xf numFmtId="0" fontId="122" fillId="0" borderId="21" xfId="0" applyFont="1" applyBorder="1" applyAlignment="1">
      <alignment horizontal="center" textRotation="90" wrapText="1"/>
    </xf>
    <xf numFmtId="0" fontId="64" fillId="24" borderId="6" xfId="0" applyFont="1" applyFill="1" applyBorder="1" applyAlignment="1">
      <alignment horizontal="center" vertical="center"/>
    </xf>
    <xf numFmtId="0" fontId="64" fillId="25" borderId="6" xfId="0" applyFont="1" applyFill="1" applyBorder="1" applyAlignment="1">
      <alignment horizontal="center" vertical="center"/>
    </xf>
    <xf numFmtId="0" fontId="89" fillId="24" borderId="6" xfId="0" applyFont="1" applyFill="1" applyBorder="1" applyAlignment="1">
      <alignment horizontal="center" vertical="center"/>
    </xf>
    <xf numFmtId="0" fontId="123" fillId="25" borderId="6" xfId="0" applyFont="1" applyFill="1" applyBorder="1" applyAlignment="1">
      <alignment horizontal="center" vertical="center"/>
    </xf>
    <xf numFmtId="0" fontId="89" fillId="25" borderId="6" xfId="0" applyFont="1" applyFill="1" applyBorder="1" applyAlignment="1">
      <alignment horizontal="center" vertical="center"/>
    </xf>
    <xf numFmtId="0" fontId="105" fillId="0" borderId="21" xfId="0" applyFont="1" applyBorder="1" applyAlignment="1">
      <alignment horizontal="center" textRotation="90" wrapText="1"/>
    </xf>
    <xf numFmtId="0" fontId="29" fillId="0" borderId="6" xfId="7" applyFont="1" applyBorder="1" applyAlignment="1">
      <alignment horizontal="center" wrapText="1"/>
    </xf>
    <xf numFmtId="0" fontId="29" fillId="0" borderId="6" xfId="7" applyFont="1" applyBorder="1" applyAlignment="1">
      <alignment horizontal="left"/>
    </xf>
    <xf numFmtId="164" fontId="61" fillId="0" borderId="72" xfId="5" applyNumberFormat="1" applyFont="1" applyBorder="1" applyAlignment="1" applyProtection="1">
      <alignment horizontal="center" vertical="center"/>
      <protection locked="0" hidden="1"/>
    </xf>
    <xf numFmtId="0" fontId="59" fillId="17" borderId="27" xfId="1" applyFont="1" applyFill="1" applyBorder="1" applyAlignment="1" applyProtection="1">
      <alignment horizontal="center" vertical="center" wrapText="1"/>
      <protection locked="0" hidden="1"/>
    </xf>
    <xf numFmtId="0" fontId="59" fillId="16" borderId="15" xfId="1" applyFont="1" applyFill="1" applyBorder="1" applyAlignment="1" applyProtection="1">
      <alignment horizontal="center" vertical="center" wrapText="1"/>
      <protection locked="0" hidden="1"/>
    </xf>
    <xf numFmtId="0" fontId="28" fillId="0" borderId="6" xfId="7" applyFont="1" applyBorder="1" applyAlignment="1">
      <alignment horizontal="center" wrapText="1"/>
    </xf>
    <xf numFmtId="0" fontId="28" fillId="0" borderId="6" xfId="7" applyFont="1" applyBorder="1" applyAlignment="1">
      <alignment horizontal="left"/>
    </xf>
    <xf numFmtId="0" fontId="121" fillId="0" borderId="0" xfId="7" applyFont="1"/>
    <xf numFmtId="0" fontId="57" fillId="0" borderId="6" xfId="7" applyFont="1" applyBorder="1" applyAlignment="1">
      <alignment horizontal="left" wrapText="1"/>
    </xf>
    <xf numFmtId="0" fontId="57" fillId="0" borderId="6" xfId="7" applyFont="1" applyBorder="1" applyAlignment="1">
      <alignment horizontal="center" wrapText="1"/>
    </xf>
    <xf numFmtId="0" fontId="57" fillId="0" borderId="6" xfId="7" applyFont="1" applyBorder="1" applyAlignment="1">
      <alignment horizontal="left"/>
    </xf>
    <xf numFmtId="0" fontId="57" fillId="0" borderId="0" xfId="7" applyFont="1"/>
    <xf numFmtId="0" fontId="57" fillId="0" borderId="0" xfId="0" applyFont="1"/>
    <xf numFmtId="0" fontId="59" fillId="0" borderId="54" xfId="2" applyFont="1" applyBorder="1" applyAlignment="1" applyProtection="1">
      <alignment horizontal="center" vertical="center"/>
      <protection locked="0" hidden="1"/>
    </xf>
    <xf numFmtId="0" fontId="59" fillId="0" borderId="70" xfId="2" applyFont="1" applyBorder="1" applyAlignment="1" applyProtection="1">
      <alignment horizontal="center" vertical="center"/>
      <protection locked="0" hidden="1"/>
    </xf>
    <xf numFmtId="0" fontId="59" fillId="0" borderId="68" xfId="2" applyFont="1" applyBorder="1" applyAlignment="1" applyProtection="1">
      <alignment horizontal="center" vertical="center"/>
      <protection locked="0" hidden="1"/>
    </xf>
    <xf numFmtId="1" fontId="61" fillId="0" borderId="60" xfId="2" applyNumberFormat="1" applyFont="1" applyBorder="1" applyAlignment="1" applyProtection="1">
      <alignment horizontal="center" vertical="center"/>
      <protection locked="0" hidden="1"/>
    </xf>
    <xf numFmtId="0" fontId="27" fillId="0" borderId="6" xfId="7" applyFont="1" applyBorder="1" applyAlignment="1">
      <alignment horizontal="left"/>
    </xf>
    <xf numFmtId="0" fontId="26" fillId="0" borderId="6" xfId="7" applyFont="1" applyBorder="1" applyAlignment="1">
      <alignment horizontal="left" wrapText="1"/>
    </xf>
    <xf numFmtId="0" fontId="26" fillId="0" borderId="6" xfId="7" applyFont="1" applyBorder="1" applyAlignment="1">
      <alignment horizontal="center" wrapText="1"/>
    </xf>
    <xf numFmtId="0" fontId="25" fillId="0" borderId="6" xfId="7" applyFont="1" applyBorder="1" applyAlignment="1">
      <alignment horizontal="center" wrapText="1"/>
    </xf>
    <xf numFmtId="0" fontId="25" fillId="0" borderId="6" xfId="7" applyFont="1" applyBorder="1" applyAlignment="1">
      <alignment horizontal="left"/>
    </xf>
    <xf numFmtId="0" fontId="24" fillId="0" borderId="6" xfId="7" applyFont="1" applyBorder="1" applyAlignment="1">
      <alignment horizontal="center" wrapText="1"/>
    </xf>
    <xf numFmtId="0" fontId="24" fillId="0" borderId="6" xfId="7" applyFont="1" applyBorder="1" applyAlignment="1">
      <alignment horizontal="left"/>
    </xf>
    <xf numFmtId="0" fontId="23" fillId="0" borderId="6" xfId="7" applyFont="1" applyBorder="1" applyAlignment="1">
      <alignment horizontal="left" wrapText="1"/>
    </xf>
    <xf numFmtId="0" fontId="23" fillId="0" borderId="6" xfId="7" applyFont="1" applyBorder="1" applyAlignment="1">
      <alignment horizontal="center" wrapText="1"/>
    </xf>
    <xf numFmtId="0" fontId="23" fillId="0" borderId="6" xfId="7" applyFont="1" applyBorder="1" applyAlignment="1">
      <alignment horizontal="left"/>
    </xf>
    <xf numFmtId="0" fontId="23" fillId="0" borderId="0" xfId="7" applyFont="1"/>
    <xf numFmtId="0" fontId="22" fillId="0" borderId="6" xfId="7" applyFont="1" applyBorder="1" applyAlignment="1">
      <alignment horizontal="left"/>
    </xf>
    <xf numFmtId="0" fontId="22" fillId="0" borderId="6" xfId="7" applyFont="1" applyBorder="1" applyAlignment="1">
      <alignment horizontal="left" wrapText="1"/>
    </xf>
    <xf numFmtId="0" fontId="22" fillId="0" borderId="6" xfId="7" applyFont="1" applyBorder="1" applyAlignment="1">
      <alignment horizontal="center" wrapText="1"/>
    </xf>
    <xf numFmtId="0" fontId="22" fillId="0" borderId="0" xfId="7" applyFont="1"/>
    <xf numFmtId="0" fontId="70" fillId="12" borderId="6" xfId="2" applyFont="1" applyFill="1" applyBorder="1" applyAlignment="1" applyProtection="1">
      <alignment horizontal="center" vertical="center"/>
      <protection locked="0"/>
    </xf>
    <xf numFmtId="0" fontId="70" fillId="0" borderId="6" xfId="2" applyFont="1" applyBorder="1" applyAlignment="1" applyProtection="1">
      <alignment horizontal="center" vertical="center"/>
      <protection locked="0"/>
    </xf>
    <xf numFmtId="0" fontId="116" fillId="0" borderId="0" xfId="7" applyFont="1"/>
    <xf numFmtId="0" fontId="116" fillId="0" borderId="0" xfId="0" applyFont="1"/>
    <xf numFmtId="0" fontId="110" fillId="0" borderId="6" xfId="7" applyFont="1" applyBorder="1" applyAlignment="1">
      <alignment horizontal="left" wrapText="1"/>
    </xf>
    <xf numFmtId="0" fontId="110" fillId="0" borderId="6" xfId="7" applyFont="1" applyBorder="1" applyAlignment="1">
      <alignment horizontal="center" wrapText="1"/>
    </xf>
    <xf numFmtId="0" fontId="110" fillId="0" borderId="6" xfId="7" applyFont="1" applyBorder="1" applyAlignment="1">
      <alignment horizontal="left"/>
    </xf>
    <xf numFmtId="0" fontId="78" fillId="12" borderId="6" xfId="2" applyFont="1" applyFill="1" applyBorder="1" applyAlignment="1" applyProtection="1">
      <alignment horizontal="center" vertical="center"/>
      <protection hidden="1"/>
    </xf>
    <xf numFmtId="0" fontId="64" fillId="11" borderId="7" xfId="3" applyFont="1" applyFill="1" applyBorder="1" applyAlignment="1" applyProtection="1">
      <alignment horizontal="center" vertical="center" wrapText="1"/>
      <protection hidden="1"/>
    </xf>
    <xf numFmtId="0" fontId="21" fillId="0" borderId="6" xfId="7" applyFont="1" applyBorder="1" applyAlignment="1">
      <alignment horizontal="center" wrapText="1"/>
    </xf>
    <xf numFmtId="0" fontId="21" fillId="0" borderId="6" xfId="7" applyFont="1" applyBorder="1" applyAlignment="1">
      <alignment horizontal="left"/>
    </xf>
    <xf numFmtId="0" fontId="20" fillId="0" borderId="6" xfId="7" applyFont="1" applyBorder="1" applyAlignment="1">
      <alignment horizontal="left" wrapText="1"/>
    </xf>
    <xf numFmtId="0" fontId="20" fillId="0" borderId="6" xfId="7" applyFont="1" applyBorder="1" applyAlignment="1">
      <alignment horizontal="center" wrapText="1"/>
    </xf>
    <xf numFmtId="0" fontId="20" fillId="0" borderId="6" xfId="7" applyFont="1" applyBorder="1" applyAlignment="1">
      <alignment horizontal="left"/>
    </xf>
    <xf numFmtId="0" fontId="20" fillId="0" borderId="0" xfId="7" applyFont="1"/>
    <xf numFmtId="0" fontId="64" fillId="12" borderId="6" xfId="2" applyFont="1" applyFill="1" applyBorder="1" applyAlignment="1" applyProtection="1">
      <alignment horizontal="center" vertical="center"/>
      <protection locked="0"/>
    </xf>
    <xf numFmtId="0" fontId="110" fillId="0" borderId="6" xfId="0" applyFont="1" applyBorder="1" applyProtection="1">
      <protection hidden="1"/>
    </xf>
    <xf numFmtId="0" fontId="0" fillId="0" borderId="6" xfId="0" applyBorder="1" applyProtection="1">
      <protection hidden="1"/>
    </xf>
    <xf numFmtId="164" fontId="61" fillId="0" borderId="6" xfId="5" applyNumberFormat="1" applyFont="1" applyBorder="1" applyAlignment="1" applyProtection="1">
      <alignment horizontal="center" vertical="center"/>
      <protection locked="0" hidden="1"/>
    </xf>
    <xf numFmtId="0" fontId="19" fillId="0" borderId="6" xfId="7" applyFont="1" applyBorder="1" applyAlignment="1">
      <alignment horizontal="left"/>
    </xf>
    <xf numFmtId="0" fontId="19" fillId="0" borderId="6" xfId="7" applyFont="1" applyBorder="1" applyAlignment="1">
      <alignment horizontal="center" wrapText="1"/>
    </xf>
    <xf numFmtId="0" fontId="18" fillId="0" borderId="6" xfId="7" applyFont="1" applyBorder="1" applyAlignment="1">
      <alignment horizontal="left"/>
    </xf>
    <xf numFmtId="0" fontId="18" fillId="0" borderId="6" xfId="7" applyFont="1" applyBorder="1" applyAlignment="1">
      <alignment horizontal="left" wrapText="1"/>
    </xf>
    <xf numFmtId="0" fontId="18" fillId="0" borderId="6" xfId="7" applyFont="1" applyBorder="1" applyAlignment="1">
      <alignment horizontal="center" wrapText="1"/>
    </xf>
    <xf numFmtId="0" fontId="18" fillId="0" borderId="0" xfId="7" applyFont="1"/>
    <xf numFmtId="0" fontId="17" fillId="0" borderId="6" xfId="7" applyFont="1" applyBorder="1" applyAlignment="1">
      <alignment horizontal="left"/>
    </xf>
    <xf numFmtId="0" fontId="17" fillId="0" borderId="6" xfId="7" applyFont="1" applyBorder="1" applyAlignment="1">
      <alignment horizontal="left" wrapText="1"/>
    </xf>
    <xf numFmtId="0" fontId="17" fillId="0" borderId="6" xfId="7" applyFont="1" applyBorder="1" applyAlignment="1">
      <alignment horizontal="center" wrapText="1"/>
    </xf>
    <xf numFmtId="0" fontId="17" fillId="0" borderId="0" xfId="7" applyFont="1"/>
    <xf numFmtId="0" fontId="59" fillId="12" borderId="55" xfId="2" applyFont="1" applyFill="1" applyBorder="1" applyAlignment="1">
      <alignment horizontal="center" vertical="center"/>
    </xf>
    <xf numFmtId="0" fontId="59" fillId="12" borderId="57" xfId="2" applyFont="1" applyFill="1" applyBorder="1" applyAlignment="1">
      <alignment horizontal="center" vertical="center"/>
    </xf>
    <xf numFmtId="0" fontId="59" fillId="12" borderId="15" xfId="2" applyFont="1" applyFill="1" applyBorder="1" applyAlignment="1">
      <alignment horizontal="center" vertical="center"/>
    </xf>
    <xf numFmtId="0" fontId="59" fillId="12" borderId="58" xfId="2" applyFont="1" applyFill="1" applyBorder="1" applyAlignment="1">
      <alignment horizontal="center" vertical="center"/>
    </xf>
    <xf numFmtId="0" fontId="59" fillId="12" borderId="28" xfId="2" applyFont="1" applyFill="1" applyBorder="1" applyAlignment="1">
      <alignment horizontal="center" vertical="center"/>
    </xf>
    <xf numFmtId="0" fontId="59" fillId="12" borderId="29" xfId="2" applyFont="1" applyFill="1" applyBorder="1" applyAlignment="1">
      <alignment horizontal="center" vertical="center"/>
    </xf>
    <xf numFmtId="0" fontId="16" fillId="0" borderId="6" xfId="7" applyFont="1" applyBorder="1" applyAlignment="1">
      <alignment horizontal="center" wrapText="1"/>
    </xf>
    <xf numFmtId="0" fontId="59" fillId="16" borderId="55" xfId="1" applyFont="1" applyFill="1" applyBorder="1" applyAlignment="1" applyProtection="1">
      <alignment horizontal="center" vertical="center" wrapText="1"/>
      <protection locked="0" hidden="1"/>
    </xf>
    <xf numFmtId="0" fontId="59" fillId="0" borderId="6" xfId="2" applyFont="1" applyBorder="1" applyAlignment="1" applyProtection="1">
      <alignment horizontal="center" vertical="center"/>
      <protection locked="0" hidden="1"/>
    </xf>
    <xf numFmtId="0" fontId="104" fillId="7" borderId="10" xfId="2" applyFont="1" applyFill="1" applyBorder="1" applyAlignment="1" applyProtection="1">
      <alignment horizontal="center" textRotation="90" wrapText="1"/>
      <protection hidden="1"/>
    </xf>
    <xf numFmtId="0" fontId="64" fillId="12" borderId="26" xfId="2" applyFont="1" applyFill="1" applyBorder="1" applyAlignment="1" applyProtection="1">
      <alignment horizontal="center" vertical="center"/>
      <protection locked="0" hidden="1"/>
    </xf>
    <xf numFmtId="0" fontId="15" fillId="0" borderId="6" xfId="7" applyFont="1" applyBorder="1" applyAlignment="1">
      <alignment horizontal="left" wrapText="1"/>
    </xf>
    <xf numFmtId="0" fontId="15" fillId="0" borderId="0" xfId="7" applyFont="1"/>
    <xf numFmtId="0" fontId="126" fillId="0" borderId="0" xfId="7" applyFont="1" applyAlignment="1">
      <alignment horizontal="center" vertical="center"/>
    </xf>
    <xf numFmtId="0" fontId="14" fillId="0" borderId="6" xfId="7" applyFont="1" applyBorder="1" applyAlignment="1">
      <alignment horizontal="left"/>
    </xf>
    <xf numFmtId="0" fontId="102" fillId="8" borderId="2" xfId="2" applyFont="1" applyFill="1" applyBorder="1" applyAlignment="1" applyProtection="1">
      <alignment horizontal="center" vertical="center" wrapText="1"/>
      <protection hidden="1"/>
    </xf>
    <xf numFmtId="0" fontId="13" fillId="0" borderId="6" xfId="7" applyFont="1" applyBorder="1" applyAlignment="1">
      <alignment horizontal="left"/>
    </xf>
    <xf numFmtId="0" fontId="59" fillId="17" borderId="35" xfId="1" applyFont="1" applyFill="1" applyBorder="1" applyAlignment="1" applyProtection="1">
      <alignment horizontal="center" vertical="center" wrapText="1"/>
      <protection locked="0" hidden="1"/>
    </xf>
    <xf numFmtId="0" fontId="12" fillId="0" borderId="6" xfId="7" applyFont="1" applyBorder="1" applyAlignment="1">
      <alignment horizontal="left"/>
    </xf>
    <xf numFmtId="0" fontId="59" fillId="26" borderId="15" xfId="2" applyFont="1" applyFill="1" applyBorder="1" applyAlignment="1" applyProtection="1">
      <alignment horizontal="center" vertical="center"/>
      <protection locked="0" hidden="1"/>
    </xf>
    <xf numFmtId="0" fontId="11" fillId="0" borderId="6" xfId="7" applyFont="1" applyBorder="1" applyAlignment="1">
      <alignment horizontal="center" wrapText="1"/>
    </xf>
    <xf numFmtId="0" fontId="11" fillId="0" borderId="6" xfId="7" applyFont="1" applyBorder="1" applyAlignment="1">
      <alignment horizontal="left"/>
    </xf>
    <xf numFmtId="0" fontId="59" fillId="17" borderId="38" xfId="1" applyFont="1" applyFill="1" applyBorder="1" applyAlignment="1" applyProtection="1">
      <alignment horizontal="center" vertical="center" wrapText="1"/>
      <protection locked="0" hidden="1"/>
    </xf>
    <xf numFmtId="0" fontId="114" fillId="12" borderId="6" xfId="2" applyFont="1" applyFill="1" applyBorder="1" applyAlignment="1" applyProtection="1">
      <alignment horizontal="center" vertical="center"/>
      <protection locked="0" hidden="1"/>
    </xf>
    <xf numFmtId="0" fontId="10" fillId="0" borderId="6" xfId="7" applyFont="1" applyBorder="1" applyAlignment="1">
      <alignment horizontal="center" wrapText="1"/>
    </xf>
    <xf numFmtId="49" fontId="64" fillId="12" borderId="6" xfId="2" applyNumberFormat="1" applyFont="1" applyFill="1" applyBorder="1" applyAlignment="1" applyProtection="1">
      <alignment horizontal="center" vertical="center"/>
      <protection locked="0" hidden="1"/>
    </xf>
    <xf numFmtId="0" fontId="64" fillId="12" borderId="75" xfId="2" applyFont="1" applyFill="1" applyBorder="1" applyAlignment="1" applyProtection="1">
      <alignment horizontal="center" vertical="center"/>
      <protection hidden="1"/>
    </xf>
    <xf numFmtId="0" fontId="64" fillId="12" borderId="50" xfId="2" applyFont="1" applyFill="1" applyBorder="1" applyAlignment="1" applyProtection="1">
      <alignment horizontal="center" vertical="center"/>
      <protection hidden="1"/>
    </xf>
    <xf numFmtId="0" fontId="89" fillId="12" borderId="50" xfId="2" applyFont="1" applyFill="1" applyBorder="1" applyAlignment="1" applyProtection="1">
      <alignment horizontal="center" vertical="center"/>
      <protection hidden="1"/>
    </xf>
    <xf numFmtId="0" fontId="89" fillId="12" borderId="60" xfId="2" applyFont="1" applyFill="1" applyBorder="1" applyAlignment="1" applyProtection="1">
      <alignment horizontal="center" vertical="center"/>
      <protection hidden="1"/>
    </xf>
    <xf numFmtId="0" fontId="64" fillId="12" borderId="76" xfId="2" applyFont="1" applyFill="1" applyBorder="1" applyAlignment="1" applyProtection="1">
      <alignment horizontal="center" vertical="center"/>
      <protection hidden="1"/>
    </xf>
    <xf numFmtId="0" fontId="89" fillId="12" borderId="76" xfId="2" applyFont="1" applyFill="1" applyBorder="1" applyAlignment="1" applyProtection="1">
      <alignment horizontal="center" vertical="center"/>
      <protection hidden="1"/>
    </xf>
    <xf numFmtId="0" fontId="59" fillId="0" borderId="48" xfId="2" applyFont="1" applyBorder="1" applyAlignment="1" applyProtection="1">
      <alignment horizontal="center" vertical="center"/>
      <protection locked="0" hidden="1"/>
    </xf>
    <xf numFmtId="0" fontId="59" fillId="0" borderId="76" xfId="2" applyFont="1" applyBorder="1" applyAlignment="1" applyProtection="1">
      <alignment horizontal="center" vertical="center"/>
      <protection locked="0" hidden="1"/>
    </xf>
    <xf numFmtId="0" fontId="64" fillId="12" borderId="49" xfId="2" applyFont="1" applyFill="1" applyBorder="1" applyAlignment="1" applyProtection="1">
      <alignment horizontal="center" vertical="center"/>
      <protection locked="0" hidden="1"/>
    </xf>
    <xf numFmtId="0" fontId="59" fillId="0" borderId="21" xfId="2" applyFont="1" applyBorder="1" applyAlignment="1" applyProtection="1">
      <alignment horizontal="center" vertical="center"/>
      <protection locked="0" hidden="1"/>
    </xf>
    <xf numFmtId="0" fontId="64" fillId="12" borderId="76" xfId="2" applyFont="1" applyFill="1" applyBorder="1" applyAlignment="1" applyProtection="1">
      <alignment horizontal="center" vertical="center"/>
      <protection locked="0" hidden="1"/>
    </xf>
    <xf numFmtId="0" fontId="59" fillId="12" borderId="73" xfId="2" applyFont="1" applyFill="1" applyBorder="1" applyAlignment="1" applyProtection="1">
      <alignment horizontal="center" vertical="center"/>
      <protection locked="0" hidden="1"/>
    </xf>
    <xf numFmtId="0" fontId="59" fillId="12" borderId="76" xfId="2" applyFont="1" applyFill="1" applyBorder="1" applyAlignment="1" applyProtection="1">
      <alignment horizontal="center" vertical="center"/>
      <protection locked="0" hidden="1"/>
    </xf>
    <xf numFmtId="0" fontId="9" fillId="0" borderId="6" xfId="7" applyFont="1" applyBorder="1" applyAlignment="1">
      <alignment horizontal="left"/>
    </xf>
    <xf numFmtId="0" fontId="9" fillId="0" borderId="6" xfId="7" applyFont="1" applyBorder="1" applyAlignment="1">
      <alignment horizontal="center" wrapText="1"/>
    </xf>
    <xf numFmtId="0" fontId="59" fillId="17" borderId="79" xfId="1" applyFont="1" applyFill="1" applyBorder="1" applyAlignment="1" applyProtection="1">
      <alignment horizontal="center" vertical="center" wrapText="1"/>
      <protection locked="0" hidden="1"/>
    </xf>
    <xf numFmtId="0" fontId="59" fillId="16" borderId="80" xfId="1" applyFont="1" applyFill="1" applyBorder="1" applyAlignment="1" applyProtection="1">
      <alignment horizontal="center" vertical="center" wrapText="1"/>
      <protection locked="0" hidden="1"/>
    </xf>
    <xf numFmtId="0" fontId="59" fillId="12" borderId="81" xfId="2" applyFont="1" applyFill="1" applyBorder="1" applyAlignment="1" applyProtection="1">
      <alignment horizontal="center" vertical="center"/>
      <protection locked="0" hidden="1"/>
    </xf>
    <xf numFmtId="1" fontId="61" fillId="0" borderId="74" xfId="2" applyNumberFormat="1" applyFont="1" applyBorder="1" applyAlignment="1" applyProtection="1">
      <alignment horizontal="center" vertical="center"/>
      <protection locked="0" hidden="1"/>
    </xf>
    <xf numFmtId="0" fontId="78" fillId="12" borderId="7" xfId="2" applyFont="1" applyFill="1" applyBorder="1" applyAlignment="1" applyProtection="1">
      <alignment horizontal="center" vertical="center"/>
      <protection locked="0" hidden="1"/>
    </xf>
    <xf numFmtId="0" fontId="8" fillId="0" borderId="6" xfId="7" applyFont="1" applyBorder="1" applyAlignment="1">
      <alignment horizontal="left"/>
    </xf>
    <xf numFmtId="0" fontId="7" fillId="0" borderId="6" xfId="7" applyFont="1" applyBorder="1" applyAlignment="1">
      <alignment horizontal="left" wrapText="1"/>
    </xf>
    <xf numFmtId="0" fontId="7" fillId="0" borderId="6" xfId="7" applyFont="1" applyBorder="1" applyAlignment="1">
      <alignment horizontal="center" wrapText="1"/>
    </xf>
    <xf numFmtId="0" fontId="7" fillId="0" borderId="0" xfId="7" applyFont="1"/>
    <xf numFmtId="0" fontId="6" fillId="0" borderId="6" xfId="7" applyFont="1" applyBorder="1" applyAlignment="1">
      <alignment horizontal="left"/>
    </xf>
    <xf numFmtId="0" fontId="105" fillId="0" borderId="36" xfId="2" applyFont="1" applyBorder="1" applyAlignment="1" applyProtection="1">
      <alignment horizontal="center" textRotation="90" wrapText="1"/>
      <protection hidden="1"/>
    </xf>
    <xf numFmtId="0" fontId="105" fillId="0" borderId="2" xfId="2" applyFont="1" applyBorder="1" applyAlignment="1" applyProtection="1">
      <alignment horizontal="center" textRotation="90" wrapText="1"/>
      <protection hidden="1"/>
    </xf>
    <xf numFmtId="0" fontId="5" fillId="0" borderId="6" xfId="7" applyFont="1" applyBorder="1" applyAlignment="1">
      <alignment horizontal="left"/>
    </xf>
    <xf numFmtId="0" fontId="4" fillId="0" borderId="6" xfId="7" applyFont="1" applyBorder="1" applyAlignment="1">
      <alignment horizontal="left"/>
    </xf>
    <xf numFmtId="0" fontId="3" fillId="0" borderId="6" xfId="7" applyFont="1" applyBorder="1" applyAlignment="1">
      <alignment horizontal="left" wrapText="1"/>
    </xf>
    <xf numFmtId="0" fontId="3" fillId="0" borderId="6" xfId="7" applyFont="1" applyBorder="1" applyAlignment="1">
      <alignment horizontal="center" wrapText="1"/>
    </xf>
    <xf numFmtId="0" fontId="3" fillId="0" borderId="6" xfId="7" applyFont="1" applyBorder="1" applyAlignment="1">
      <alignment horizontal="left"/>
    </xf>
    <xf numFmtId="0" fontId="3" fillId="0" borderId="0" xfId="7" applyFont="1"/>
    <xf numFmtId="0" fontId="89" fillId="0" borderId="7" xfId="1" applyFont="1" applyFill="1" applyBorder="1" applyAlignment="1" applyProtection="1">
      <alignment horizontal="center" vertical="center" wrapText="1"/>
      <protection hidden="1"/>
    </xf>
    <xf numFmtId="0" fontId="89" fillId="0" borderId="7" xfId="3" applyFont="1" applyBorder="1" applyAlignment="1" applyProtection="1">
      <alignment horizontal="center" vertical="center" wrapText="1"/>
      <protection hidden="1"/>
    </xf>
    <xf numFmtId="0" fontId="2" fillId="0" borderId="6" xfId="7" applyFont="1" applyBorder="1" applyAlignment="1">
      <alignment horizontal="center" wrapText="1"/>
    </xf>
    <xf numFmtId="0" fontId="2" fillId="0" borderId="6" xfId="7" applyFont="1" applyBorder="1" applyAlignment="1">
      <alignment horizontal="left"/>
    </xf>
    <xf numFmtId="0" fontId="59" fillId="0" borderId="0" xfId="2" applyFont="1" applyAlignment="1" applyProtection="1">
      <alignment vertical="center"/>
      <protection hidden="1"/>
    </xf>
    <xf numFmtId="0" fontId="1" fillId="0" borderId="6" xfId="7" applyFont="1" applyBorder="1" applyAlignment="1">
      <alignment horizontal="left" wrapText="1"/>
    </xf>
    <xf numFmtId="0" fontId="1" fillId="0" borderId="6" xfId="7" applyFont="1" applyBorder="1" applyAlignment="1">
      <alignment horizontal="center" wrapText="1"/>
    </xf>
    <xf numFmtId="0" fontId="1" fillId="0" borderId="6" xfId="7" applyFont="1" applyBorder="1" applyAlignment="1">
      <alignment horizontal="left"/>
    </xf>
    <xf numFmtId="0" fontId="64" fillId="3" borderId="0" xfId="2" applyFont="1" applyFill="1" applyAlignment="1" applyProtection="1">
      <alignment horizontal="left"/>
      <protection hidden="1"/>
    </xf>
    <xf numFmtId="0" fontId="66" fillId="3" borderId="0" xfId="2" applyFont="1" applyFill="1" applyAlignment="1" applyProtection="1">
      <alignment horizontal="right"/>
      <protection hidden="1"/>
    </xf>
    <xf numFmtId="0" fontId="103" fillId="8" borderId="1" xfId="2" applyFont="1" applyFill="1" applyBorder="1" applyAlignment="1" applyProtection="1">
      <alignment horizontal="center" vertical="center" wrapText="1"/>
      <protection hidden="1"/>
    </xf>
    <xf numFmtId="0" fontId="103" fillId="8" borderId="2" xfId="2" applyFont="1" applyFill="1" applyBorder="1" applyAlignment="1" applyProtection="1">
      <alignment horizontal="center" vertical="center" wrapText="1"/>
      <protection hidden="1"/>
    </xf>
    <xf numFmtId="0" fontId="103" fillId="8" borderId="3" xfId="2" applyFont="1" applyFill="1" applyBorder="1" applyAlignment="1" applyProtection="1">
      <alignment horizontal="center" vertical="center" wrapText="1"/>
      <protection hidden="1"/>
    </xf>
    <xf numFmtId="0" fontId="62" fillId="2" borderId="1" xfId="2" applyFont="1" applyFill="1" applyBorder="1" applyAlignment="1" applyProtection="1">
      <alignment horizontal="center" vertical="center" wrapText="1"/>
      <protection hidden="1"/>
    </xf>
    <xf numFmtId="0" fontId="62" fillId="2" borderId="2" xfId="2" applyFont="1" applyFill="1" applyBorder="1" applyAlignment="1" applyProtection="1">
      <alignment horizontal="center" vertical="center" wrapText="1"/>
      <protection hidden="1"/>
    </xf>
    <xf numFmtId="0" fontId="62" fillId="2" borderId="3" xfId="2" applyFont="1" applyFill="1" applyBorder="1" applyAlignment="1" applyProtection="1">
      <alignment horizontal="center" vertical="center" wrapText="1"/>
      <protection hidden="1"/>
    </xf>
    <xf numFmtId="14" fontId="64" fillId="13" borderId="0" xfId="2" applyNumberFormat="1" applyFont="1" applyFill="1" applyAlignment="1" applyProtection="1">
      <alignment horizontal="center" vertical="center"/>
      <protection hidden="1"/>
    </xf>
    <xf numFmtId="0" fontId="66" fillId="8" borderId="8" xfId="2" applyFont="1" applyFill="1" applyBorder="1" applyAlignment="1" applyProtection="1">
      <alignment horizontal="left" vertical="center" wrapText="1"/>
      <protection hidden="1"/>
    </xf>
    <xf numFmtId="0" fontId="66" fillId="8" borderId="10" xfId="2" applyFont="1" applyFill="1" applyBorder="1" applyAlignment="1" applyProtection="1">
      <alignment horizontal="left" vertical="center" wrapText="1"/>
      <protection hidden="1"/>
    </xf>
    <xf numFmtId="0" fontId="103" fillId="8" borderId="31" xfId="2" applyFont="1" applyFill="1" applyBorder="1" applyAlignment="1" applyProtection="1">
      <alignment horizontal="center" vertical="center" wrapText="1"/>
      <protection hidden="1"/>
    </xf>
    <xf numFmtId="0" fontId="103" fillId="8" borderId="36" xfId="2" applyFont="1" applyFill="1" applyBorder="1" applyAlignment="1" applyProtection="1">
      <alignment horizontal="center" vertical="center" wrapText="1"/>
      <protection hidden="1"/>
    </xf>
    <xf numFmtId="0" fontId="103" fillId="8" borderId="32" xfId="2" applyFont="1" applyFill="1" applyBorder="1" applyAlignment="1" applyProtection="1">
      <alignment horizontal="center" vertical="center" wrapText="1"/>
      <protection hidden="1"/>
    </xf>
    <xf numFmtId="0" fontId="103" fillId="8" borderId="42" xfId="2" applyFont="1" applyFill="1" applyBorder="1" applyAlignment="1" applyProtection="1">
      <alignment horizontal="center" vertical="center" wrapText="1"/>
      <protection hidden="1"/>
    </xf>
    <xf numFmtId="0" fontId="103" fillId="8" borderId="44" xfId="2" applyFont="1" applyFill="1" applyBorder="1" applyAlignment="1" applyProtection="1">
      <alignment horizontal="center" vertical="center" wrapText="1"/>
      <protection hidden="1"/>
    </xf>
    <xf numFmtId="0" fontId="103" fillId="8" borderId="8" xfId="2" applyFont="1" applyFill="1" applyBorder="1" applyAlignment="1" applyProtection="1">
      <alignment horizontal="center" vertical="center" wrapText="1"/>
      <protection hidden="1"/>
    </xf>
    <xf numFmtId="0" fontId="103" fillId="8" borderId="9" xfId="2" applyFont="1" applyFill="1" applyBorder="1" applyAlignment="1" applyProtection="1">
      <alignment horizontal="center" vertical="center" wrapText="1"/>
      <protection hidden="1"/>
    </xf>
    <xf numFmtId="0" fontId="103" fillId="8" borderId="10" xfId="2" applyFont="1" applyFill="1" applyBorder="1" applyAlignment="1" applyProtection="1">
      <alignment horizontal="center" vertical="center" wrapText="1"/>
      <protection hidden="1"/>
    </xf>
    <xf numFmtId="0" fontId="67" fillId="7" borderId="56" xfId="2" applyFont="1" applyFill="1" applyBorder="1" applyAlignment="1" applyProtection="1">
      <alignment horizontal="center"/>
      <protection hidden="1"/>
    </xf>
    <xf numFmtId="0" fontId="67" fillId="7" borderId="2" xfId="2" applyFont="1" applyFill="1" applyBorder="1" applyAlignment="1" applyProtection="1">
      <alignment horizontal="center"/>
      <protection hidden="1"/>
    </xf>
    <xf numFmtId="0" fontId="67" fillId="7" borderId="3" xfId="2" applyFont="1" applyFill="1" applyBorder="1" applyAlignment="1" applyProtection="1">
      <alignment horizontal="center"/>
      <protection hidden="1"/>
    </xf>
    <xf numFmtId="0" fontId="103" fillId="7" borderId="8" xfId="2" applyFont="1" applyFill="1" applyBorder="1" applyAlignment="1" applyProtection="1">
      <alignment horizontal="center" vertical="center" wrapText="1"/>
      <protection hidden="1"/>
    </xf>
    <xf numFmtId="0" fontId="103" fillId="7" borderId="12" xfId="2" applyFont="1" applyFill="1" applyBorder="1" applyAlignment="1" applyProtection="1">
      <alignment horizontal="center" vertical="center" wrapText="1"/>
      <protection hidden="1"/>
    </xf>
    <xf numFmtId="0" fontId="103" fillId="7" borderId="9" xfId="2" applyFont="1" applyFill="1" applyBorder="1" applyAlignment="1" applyProtection="1">
      <alignment horizontal="center" vertical="center" wrapText="1"/>
      <protection hidden="1"/>
    </xf>
    <xf numFmtId="0" fontId="103" fillId="7" borderId="10" xfId="2" applyFont="1" applyFill="1" applyBorder="1" applyAlignment="1" applyProtection="1">
      <alignment horizontal="center" vertical="center" wrapText="1"/>
      <protection hidden="1"/>
    </xf>
    <xf numFmtId="0" fontId="102" fillId="8" borderId="1" xfId="2" applyFont="1" applyFill="1" applyBorder="1" applyAlignment="1" applyProtection="1">
      <alignment horizontal="center" vertical="center" wrapText="1"/>
      <protection hidden="1"/>
    </xf>
    <xf numFmtId="0" fontId="102" fillId="8" borderId="2" xfId="2" applyFont="1" applyFill="1" applyBorder="1" applyAlignment="1" applyProtection="1">
      <alignment horizontal="center" vertical="center" wrapText="1"/>
      <protection hidden="1"/>
    </xf>
    <xf numFmtId="0" fontId="102" fillId="8" borderId="3" xfId="2" applyFont="1" applyFill="1" applyBorder="1" applyAlignment="1" applyProtection="1">
      <alignment horizontal="center" vertical="center" wrapText="1"/>
      <protection hidden="1"/>
    </xf>
    <xf numFmtId="0" fontId="103" fillId="7" borderId="11" xfId="2" applyFont="1" applyFill="1" applyBorder="1" applyAlignment="1" applyProtection="1">
      <alignment horizontal="center" vertical="center" wrapText="1"/>
      <protection hidden="1"/>
    </xf>
    <xf numFmtId="0" fontId="106" fillId="8" borderId="1" xfId="2" applyFont="1" applyFill="1" applyBorder="1" applyAlignment="1" applyProtection="1">
      <alignment horizontal="center"/>
      <protection hidden="1"/>
    </xf>
    <xf numFmtId="0" fontId="106" fillId="8" borderId="2" xfId="2" applyFont="1" applyFill="1" applyBorder="1" applyAlignment="1" applyProtection="1">
      <alignment horizontal="center"/>
      <protection hidden="1"/>
    </xf>
    <xf numFmtId="0" fontId="106" fillId="8" borderId="3" xfId="2" applyFont="1" applyFill="1" applyBorder="1" applyAlignment="1" applyProtection="1">
      <alignment horizontal="center"/>
      <protection hidden="1"/>
    </xf>
    <xf numFmtId="0" fontId="66" fillId="7" borderId="8" xfId="2" applyFont="1" applyFill="1" applyBorder="1" applyAlignment="1">
      <alignment horizontal="center" vertical="center" wrapText="1"/>
    </xf>
    <xf numFmtId="0" fontId="66" fillId="7" borderId="12" xfId="2" applyFont="1" applyFill="1" applyBorder="1" applyAlignment="1">
      <alignment horizontal="center" vertical="center" wrapText="1"/>
    </xf>
    <xf numFmtId="0" fontId="66" fillId="7" borderId="9" xfId="2" applyFont="1" applyFill="1" applyBorder="1" applyAlignment="1">
      <alignment horizontal="center" vertical="center" wrapText="1"/>
    </xf>
    <xf numFmtId="0" fontId="66" fillId="7" borderId="10" xfId="2" applyFont="1" applyFill="1" applyBorder="1" applyAlignment="1">
      <alignment horizontal="center" vertical="center" wrapText="1"/>
    </xf>
    <xf numFmtId="0" fontId="66" fillId="19" borderId="1" xfId="2" applyFont="1" applyFill="1" applyBorder="1" applyAlignment="1">
      <alignment horizontal="center" vertical="center" wrapText="1"/>
    </xf>
    <xf numFmtId="0" fontId="66" fillId="19" borderId="2" xfId="2" applyFont="1" applyFill="1" applyBorder="1" applyAlignment="1">
      <alignment horizontal="center" vertical="center" wrapText="1"/>
    </xf>
    <xf numFmtId="0" fontId="66" fillId="8" borderId="1" xfId="2" applyFont="1" applyFill="1" applyBorder="1" applyAlignment="1">
      <alignment horizontal="center" vertical="center" wrapText="1"/>
    </xf>
    <xf numFmtId="0" fontId="66" fillId="8" borderId="2" xfId="2" applyFont="1" applyFill="1" applyBorder="1" applyAlignment="1">
      <alignment horizontal="center" vertical="center" wrapText="1"/>
    </xf>
    <xf numFmtId="0" fontId="67" fillId="8" borderId="1" xfId="2" applyFont="1" applyFill="1" applyBorder="1" applyAlignment="1">
      <alignment horizontal="center" vertical="center" wrapText="1"/>
    </xf>
    <xf numFmtId="0" fontId="67" fillId="8" borderId="2" xfId="2" applyFont="1" applyFill="1" applyBorder="1" applyAlignment="1">
      <alignment horizontal="center" vertical="center" wrapText="1"/>
    </xf>
    <xf numFmtId="0" fontId="67" fillId="8" borderId="3" xfId="2" applyFont="1" applyFill="1" applyBorder="1" applyAlignment="1">
      <alignment horizontal="center" vertical="center" wrapText="1"/>
    </xf>
    <xf numFmtId="0" fontId="66" fillId="7" borderId="11" xfId="2" applyFont="1" applyFill="1" applyBorder="1" applyAlignment="1">
      <alignment horizontal="center" vertical="center" wrapText="1"/>
    </xf>
    <xf numFmtId="0" fontId="66" fillId="8" borderId="8" xfId="2" applyFont="1" applyFill="1" applyBorder="1" applyAlignment="1">
      <alignment horizontal="left" vertical="center"/>
    </xf>
    <xf numFmtId="0" fontId="66" fillId="8" borderId="10" xfId="2" applyFont="1" applyFill="1" applyBorder="1" applyAlignment="1">
      <alignment horizontal="left" vertical="center"/>
    </xf>
    <xf numFmtId="0" fontId="66" fillId="8" borderId="8" xfId="2" applyFont="1" applyFill="1" applyBorder="1" applyAlignment="1">
      <alignment horizontal="center" vertical="center" wrapText="1"/>
    </xf>
    <xf numFmtId="0" fontId="66" fillId="8" borderId="11" xfId="2" applyFont="1" applyFill="1" applyBorder="1" applyAlignment="1">
      <alignment horizontal="center" vertical="center" wrapText="1"/>
    </xf>
    <xf numFmtId="0" fontId="66" fillId="8" borderId="9" xfId="2" applyFont="1" applyFill="1" applyBorder="1" applyAlignment="1">
      <alignment horizontal="center" vertical="center" wrapText="1"/>
    </xf>
    <xf numFmtId="0" fontId="66" fillId="8" borderId="10" xfId="2" applyFont="1" applyFill="1" applyBorder="1" applyAlignment="1">
      <alignment horizontal="center" vertical="center" wrapText="1"/>
    </xf>
    <xf numFmtId="0" fontId="66" fillId="8" borderId="3" xfId="2" applyFont="1" applyFill="1" applyBorder="1" applyAlignment="1">
      <alignment horizontal="center" vertical="center" wrapText="1"/>
    </xf>
    <xf numFmtId="0" fontId="66" fillId="8" borderId="1" xfId="2" applyFont="1" applyFill="1" applyBorder="1" applyAlignment="1">
      <alignment horizontal="center" vertical="center"/>
    </xf>
    <xf numFmtId="0" fontId="66" fillId="8" borderId="2" xfId="2" applyFont="1" applyFill="1" applyBorder="1" applyAlignment="1">
      <alignment horizontal="center" vertical="center"/>
    </xf>
    <xf numFmtId="0" fontId="66" fillId="8" borderId="3" xfId="2" applyFont="1" applyFill="1" applyBorder="1" applyAlignment="1">
      <alignment horizontal="center" vertical="center"/>
    </xf>
    <xf numFmtId="0" fontId="66" fillId="18" borderId="1" xfId="2" applyFont="1" applyFill="1" applyBorder="1" applyAlignment="1">
      <alignment horizontal="center" vertical="center" wrapText="1"/>
    </xf>
    <xf numFmtId="0" fontId="66" fillId="18" borderId="2" xfId="2" applyFont="1" applyFill="1" applyBorder="1" applyAlignment="1">
      <alignment horizontal="center" vertical="center" wrapText="1"/>
    </xf>
    <xf numFmtId="0" fontId="66" fillId="18" borderId="3" xfId="2" applyFont="1" applyFill="1" applyBorder="1" applyAlignment="1">
      <alignment horizontal="center" vertical="center" wrapText="1"/>
    </xf>
    <xf numFmtId="0" fontId="79" fillId="8" borderId="31" xfId="2" applyFont="1" applyFill="1" applyBorder="1" applyAlignment="1">
      <alignment horizontal="center" vertical="center" wrapText="1"/>
    </xf>
    <xf numFmtId="0" fontId="79" fillId="8" borderId="36" xfId="2" applyFont="1" applyFill="1" applyBorder="1" applyAlignment="1">
      <alignment horizontal="center" vertical="center" wrapText="1"/>
    </xf>
    <xf numFmtId="0" fontId="79" fillId="8" borderId="32" xfId="2" applyFont="1" applyFill="1" applyBorder="1" applyAlignment="1">
      <alignment horizontal="center" vertical="center" wrapText="1"/>
    </xf>
    <xf numFmtId="0" fontId="59" fillId="15" borderId="32" xfId="1" applyFont="1" applyFill="1" applyBorder="1" applyAlignment="1" applyProtection="1">
      <alignment horizontal="center" vertical="center" wrapText="1"/>
      <protection hidden="1"/>
    </xf>
    <xf numFmtId="0" fontId="59" fillId="15" borderId="19" xfId="1" applyFont="1" applyFill="1" applyBorder="1" applyAlignment="1" applyProtection="1">
      <alignment horizontal="center" vertical="center" wrapText="1"/>
      <protection hidden="1"/>
    </xf>
    <xf numFmtId="0" fontId="59" fillId="15" borderId="33" xfId="1" applyFont="1" applyFill="1" applyBorder="1" applyAlignment="1" applyProtection="1">
      <alignment horizontal="center" vertical="center" wrapText="1"/>
      <protection hidden="1"/>
    </xf>
    <xf numFmtId="0" fontId="59" fillId="15" borderId="29" xfId="1" applyFont="1" applyFill="1" applyBorder="1" applyAlignment="1" applyProtection="1">
      <alignment horizontal="center" vertical="center" wrapText="1"/>
      <protection hidden="1"/>
    </xf>
    <xf numFmtId="0" fontId="59" fillId="15" borderId="68" xfId="1" applyFont="1" applyFill="1" applyBorder="1" applyAlignment="1" applyProtection="1">
      <alignment horizontal="center" vertical="center" wrapText="1"/>
      <protection hidden="1"/>
    </xf>
    <xf numFmtId="0" fontId="59" fillId="15" borderId="36" xfId="1" applyFont="1" applyFill="1" applyBorder="1" applyAlignment="1" applyProtection="1">
      <alignment horizontal="center" vertical="center" wrapText="1"/>
      <protection hidden="1"/>
    </xf>
    <xf numFmtId="0" fontId="59" fillId="15" borderId="0" xfId="1" applyFont="1" applyFill="1" applyBorder="1" applyAlignment="1" applyProtection="1">
      <alignment horizontal="center" vertical="center" wrapText="1"/>
      <protection hidden="1"/>
    </xf>
    <xf numFmtId="0" fontId="59" fillId="15" borderId="63" xfId="1" applyFont="1" applyFill="1" applyBorder="1" applyAlignment="1" applyProtection="1">
      <alignment horizontal="center" vertical="center" wrapText="1"/>
      <protection hidden="1"/>
    </xf>
    <xf numFmtId="0" fontId="59" fillId="15" borderId="24" xfId="1" applyFont="1" applyFill="1" applyBorder="1" applyAlignment="1" applyProtection="1">
      <alignment horizontal="center" vertical="center" wrapText="1"/>
      <protection hidden="1"/>
    </xf>
    <xf numFmtId="0" fontId="59" fillId="15" borderId="46" xfId="1" applyFont="1" applyFill="1" applyBorder="1" applyAlignment="1" applyProtection="1">
      <alignment horizontal="center" vertical="center" wrapText="1"/>
      <protection hidden="1"/>
    </xf>
    <xf numFmtId="0" fontId="59" fillId="15" borderId="47" xfId="1" applyFont="1" applyFill="1" applyBorder="1" applyAlignment="1" applyProtection="1">
      <alignment horizontal="center" vertical="center" wrapText="1"/>
      <protection hidden="1"/>
    </xf>
    <xf numFmtId="0" fontId="61" fillId="2" borderId="2" xfId="2" applyFont="1" applyFill="1" applyBorder="1" applyAlignment="1" applyProtection="1">
      <alignment horizontal="center" vertical="center" wrapText="1"/>
      <protection hidden="1"/>
    </xf>
    <xf numFmtId="0" fontId="61" fillId="2" borderId="3" xfId="2" applyFont="1" applyFill="1" applyBorder="1" applyAlignment="1" applyProtection="1">
      <alignment horizontal="center" vertical="center" wrapText="1"/>
      <protection hidden="1"/>
    </xf>
    <xf numFmtId="0" fontId="59" fillId="3" borderId="0" xfId="2" applyFont="1" applyFill="1" applyAlignment="1" applyProtection="1">
      <alignment horizontal="left"/>
      <protection hidden="1"/>
    </xf>
    <xf numFmtId="0" fontId="61" fillId="3" borderId="0" xfId="2" applyFont="1" applyFill="1" applyAlignment="1" applyProtection="1">
      <alignment horizontal="right"/>
      <protection hidden="1"/>
    </xf>
    <xf numFmtId="0" fontId="61" fillId="7" borderId="35" xfId="2" applyFont="1" applyFill="1" applyBorder="1" applyAlignment="1" applyProtection="1">
      <alignment horizontal="center"/>
      <protection hidden="1"/>
    </xf>
    <xf numFmtId="0" fontId="61" fillId="7" borderId="36" xfId="2" applyFont="1" applyFill="1" applyBorder="1" applyAlignment="1" applyProtection="1">
      <alignment horizontal="center"/>
      <protection hidden="1"/>
    </xf>
    <xf numFmtId="0" fontId="61" fillId="7" borderId="37" xfId="2" applyFont="1" applyFill="1" applyBorder="1" applyAlignment="1" applyProtection="1">
      <alignment horizontal="center"/>
      <protection hidden="1"/>
    </xf>
    <xf numFmtId="0" fontId="102" fillId="7" borderId="31" xfId="2" applyFont="1" applyFill="1" applyBorder="1" applyAlignment="1" applyProtection="1">
      <alignment horizontal="center" vertical="center" wrapText="1"/>
      <protection hidden="1"/>
    </xf>
    <xf numFmtId="0" fontId="102" fillId="7" borderId="43" xfId="2" applyFont="1" applyFill="1" applyBorder="1" applyAlignment="1" applyProtection="1">
      <alignment horizontal="center" vertical="center" wrapText="1"/>
      <protection hidden="1"/>
    </xf>
    <xf numFmtId="0" fontId="102" fillId="7" borderId="42" xfId="2" applyFont="1" applyFill="1" applyBorder="1" applyAlignment="1" applyProtection="1">
      <alignment horizontal="center" vertical="center" wrapText="1"/>
      <protection hidden="1"/>
    </xf>
    <xf numFmtId="0" fontId="102" fillId="7" borderId="44" xfId="2" applyFont="1" applyFill="1" applyBorder="1" applyAlignment="1" applyProtection="1">
      <alignment horizontal="center" vertical="center" wrapText="1"/>
      <protection hidden="1"/>
    </xf>
    <xf numFmtId="0" fontId="102" fillId="7" borderId="32" xfId="2" applyFont="1" applyFill="1" applyBorder="1" applyAlignment="1" applyProtection="1">
      <alignment horizontal="center" vertical="center" wrapText="1"/>
      <protection hidden="1"/>
    </xf>
    <xf numFmtId="0" fontId="102" fillId="7" borderId="8" xfId="2" applyFont="1" applyFill="1" applyBorder="1" applyAlignment="1" applyProtection="1">
      <alignment horizontal="center" vertical="center" wrapText="1"/>
      <protection hidden="1"/>
    </xf>
    <xf numFmtId="0" fontId="102" fillId="7" borderId="9" xfId="2" applyFont="1" applyFill="1" applyBorder="1" applyAlignment="1" applyProtection="1">
      <alignment horizontal="center" vertical="center" wrapText="1"/>
      <protection hidden="1"/>
    </xf>
    <xf numFmtId="0" fontId="102" fillId="7" borderId="10" xfId="2" applyFont="1" applyFill="1" applyBorder="1" applyAlignment="1" applyProtection="1">
      <alignment horizontal="center" vertical="center" wrapText="1"/>
      <protection hidden="1"/>
    </xf>
    <xf numFmtId="0" fontId="102" fillId="7" borderId="11" xfId="2" applyFont="1" applyFill="1" applyBorder="1" applyAlignment="1" applyProtection="1">
      <alignment horizontal="center" vertical="center" wrapText="1"/>
      <protection hidden="1"/>
    </xf>
    <xf numFmtId="14" fontId="59" fillId="13" borderId="0" xfId="2" applyNumberFormat="1" applyFont="1" applyFill="1" applyAlignment="1" applyProtection="1">
      <alignment horizontal="center" vertical="center"/>
      <protection hidden="1"/>
    </xf>
    <xf numFmtId="0" fontId="61" fillId="2" borderId="1" xfId="2" applyFont="1" applyFill="1" applyBorder="1" applyAlignment="1" applyProtection="1">
      <alignment horizontal="center" vertical="center" wrapText="1"/>
      <protection hidden="1"/>
    </xf>
    <xf numFmtId="0" fontId="92" fillId="8" borderId="1" xfId="2" applyFont="1" applyFill="1" applyBorder="1" applyAlignment="1" applyProtection="1">
      <alignment horizontal="center"/>
      <protection hidden="1"/>
    </xf>
    <xf numFmtId="0" fontId="92" fillId="8" borderId="2" xfId="2" applyFont="1" applyFill="1" applyBorder="1" applyAlignment="1" applyProtection="1">
      <alignment horizontal="center"/>
      <protection hidden="1"/>
    </xf>
    <xf numFmtId="0" fontId="92" fillId="8" borderId="3" xfId="2" applyFont="1" applyFill="1" applyBorder="1" applyAlignment="1" applyProtection="1">
      <alignment horizontal="center"/>
      <protection hidden="1"/>
    </xf>
    <xf numFmtId="14" fontId="59" fillId="13" borderId="36" xfId="2" applyNumberFormat="1" applyFont="1" applyFill="1" applyBorder="1" applyAlignment="1" applyProtection="1">
      <alignment horizontal="center" vertical="center"/>
      <protection hidden="1"/>
    </xf>
    <xf numFmtId="0" fontId="59" fillId="14" borderId="27" xfId="2" applyFont="1" applyFill="1" applyBorder="1" applyAlignment="1" applyProtection="1">
      <alignment horizontal="center" vertical="center" wrapText="1"/>
      <protection hidden="1"/>
    </xf>
    <xf numFmtId="0" fontId="59" fillId="14" borderId="15" xfId="2" applyFont="1" applyFill="1" applyBorder="1" applyAlignment="1" applyProtection="1">
      <alignment horizontal="center" vertical="center" wrapText="1"/>
      <protection hidden="1"/>
    </xf>
    <xf numFmtId="0" fontId="102" fillId="8" borderId="8" xfId="2" applyFont="1" applyFill="1" applyBorder="1" applyAlignment="1" applyProtection="1">
      <alignment horizontal="center" vertical="center" wrapText="1"/>
      <protection hidden="1"/>
    </xf>
    <xf numFmtId="0" fontId="102" fillId="8" borderId="9" xfId="2" applyFont="1" applyFill="1" applyBorder="1" applyAlignment="1" applyProtection="1">
      <alignment horizontal="center" vertical="center" wrapText="1"/>
      <protection hidden="1"/>
    </xf>
    <xf numFmtId="0" fontId="102" fillId="8" borderId="10" xfId="2" applyFont="1" applyFill="1" applyBorder="1" applyAlignment="1" applyProtection="1">
      <alignment horizontal="center" vertical="center" wrapText="1"/>
      <protection hidden="1"/>
    </xf>
    <xf numFmtId="0" fontId="102" fillId="8" borderId="11" xfId="2" applyFont="1" applyFill="1" applyBorder="1" applyAlignment="1" applyProtection="1">
      <alignment horizontal="center" vertical="center" wrapText="1"/>
      <protection hidden="1"/>
    </xf>
    <xf numFmtId="0" fontId="59" fillId="14" borderId="46" xfId="2" applyFont="1" applyFill="1" applyBorder="1" applyAlignment="1" applyProtection="1">
      <alignment horizontal="center" vertical="center" wrapText="1"/>
      <protection hidden="1"/>
    </xf>
    <xf numFmtId="0" fontId="59" fillId="14" borderId="47" xfId="2" applyFont="1" applyFill="1" applyBorder="1" applyAlignment="1" applyProtection="1">
      <alignment horizontal="center" vertical="center" wrapText="1"/>
      <protection hidden="1"/>
    </xf>
    <xf numFmtId="0" fontId="59" fillId="15" borderId="50" xfId="1" applyFont="1" applyFill="1" applyBorder="1" applyAlignment="1" applyProtection="1">
      <alignment horizontal="center" vertical="center" wrapText="1"/>
      <protection hidden="1"/>
    </xf>
    <xf numFmtId="0" fontId="59" fillId="15" borderId="77" xfId="1" applyFont="1" applyFill="1" applyBorder="1" applyAlignment="1" applyProtection="1">
      <alignment horizontal="center" vertical="center" wrapText="1"/>
      <protection hidden="1"/>
    </xf>
    <xf numFmtId="0" fontId="59" fillId="15" borderId="78" xfId="1" applyFont="1" applyFill="1" applyBorder="1" applyAlignment="1" applyProtection="1">
      <alignment horizontal="center" vertical="center" wrapText="1"/>
      <protection hidden="1"/>
    </xf>
    <xf numFmtId="0" fontId="114" fillId="15" borderId="33" xfId="1" applyFont="1" applyFill="1" applyBorder="1" applyAlignment="1" applyProtection="1">
      <alignment horizontal="center" vertical="center" wrapText="1"/>
      <protection hidden="1"/>
    </xf>
    <xf numFmtId="0" fontId="114" fillId="15" borderId="29" xfId="1" applyFont="1" applyFill="1" applyBorder="1" applyAlignment="1" applyProtection="1">
      <alignment horizontal="center" vertical="center" wrapText="1"/>
      <protection hidden="1"/>
    </xf>
    <xf numFmtId="0" fontId="59" fillId="14" borderId="26" xfId="2" applyFont="1" applyFill="1" applyBorder="1" applyAlignment="1" applyProtection="1">
      <alignment horizontal="center" vertical="center" wrapText="1"/>
      <protection hidden="1"/>
    </xf>
    <xf numFmtId="0" fontId="59" fillId="14" borderId="28" xfId="2" applyFont="1" applyFill="1" applyBorder="1" applyAlignment="1" applyProtection="1">
      <alignment horizontal="center" vertical="center" wrapText="1"/>
      <protection hidden="1"/>
    </xf>
    <xf numFmtId="0" fontId="61" fillId="8" borderId="1" xfId="2" applyFont="1" applyFill="1" applyBorder="1" applyAlignment="1" applyProtection="1">
      <alignment horizontal="center" vertical="center" wrapText="1"/>
      <protection hidden="1"/>
    </xf>
    <xf numFmtId="0" fontId="61" fillId="8" borderId="2" xfId="2" applyFont="1" applyFill="1" applyBorder="1" applyAlignment="1" applyProtection="1">
      <alignment horizontal="center" vertical="center" wrapText="1"/>
      <protection hidden="1"/>
    </xf>
    <xf numFmtId="0" fontId="58" fillId="13" borderId="45" xfId="2" applyFont="1" applyFill="1" applyBorder="1" applyAlignment="1" applyProtection="1">
      <alignment horizontal="left" vertical="center"/>
      <protection hidden="1"/>
    </xf>
    <xf numFmtId="0" fontId="58" fillId="13" borderId="36" xfId="2" applyFont="1" applyFill="1" applyBorder="1" applyAlignment="1" applyProtection="1">
      <alignment horizontal="left" vertical="center"/>
      <protection hidden="1"/>
    </xf>
    <xf numFmtId="0" fontId="102" fillId="8" borderId="31" xfId="2" applyFont="1" applyFill="1" applyBorder="1" applyAlignment="1" applyProtection="1">
      <alignment horizontal="center" vertical="center" wrapText="1"/>
      <protection hidden="1"/>
    </xf>
    <xf numFmtId="0" fontId="102" fillId="8" borderId="36" xfId="2" applyFont="1" applyFill="1" applyBorder="1" applyAlignment="1" applyProtection="1">
      <alignment horizontal="center" vertical="center" wrapText="1"/>
      <protection hidden="1"/>
    </xf>
    <xf numFmtId="0" fontId="102" fillId="8" borderId="32" xfId="2" applyFont="1" applyFill="1" applyBorder="1" applyAlignment="1" applyProtection="1">
      <alignment horizontal="center" vertical="center" wrapText="1"/>
      <protection hidden="1"/>
    </xf>
    <xf numFmtId="0" fontId="59" fillId="13" borderId="0" xfId="2" applyFont="1" applyFill="1" applyAlignment="1" applyProtection="1">
      <alignment horizontal="left" vertical="center"/>
      <protection hidden="1"/>
    </xf>
    <xf numFmtId="0" fontId="59" fillId="15" borderId="26" xfId="1" applyFont="1" applyFill="1" applyBorder="1" applyAlignment="1" applyProtection="1">
      <alignment horizontal="center" vertical="center" wrapText="1"/>
      <protection hidden="1"/>
    </xf>
    <xf numFmtId="0" fontId="59" fillId="15" borderId="28" xfId="1" applyFont="1" applyFill="1" applyBorder="1" applyAlignment="1" applyProtection="1">
      <alignment horizontal="center" vertical="center" wrapText="1"/>
      <protection hidden="1"/>
    </xf>
    <xf numFmtId="0" fontId="88" fillId="0" borderId="26" xfId="0" applyFont="1" applyBorder="1" applyAlignment="1">
      <alignment horizontal="center" vertical="center"/>
    </xf>
    <xf numFmtId="0" fontId="88" fillId="0" borderId="27" xfId="0" applyFont="1" applyBorder="1" applyAlignment="1">
      <alignment horizontal="center" vertical="center"/>
    </xf>
    <xf numFmtId="0" fontId="88" fillId="0" borderId="28" xfId="0" applyFont="1" applyBorder="1" applyAlignment="1">
      <alignment horizontal="center" vertical="center"/>
    </xf>
    <xf numFmtId="0" fontId="88" fillId="0" borderId="15" xfId="0" applyFont="1" applyBorder="1" applyAlignment="1">
      <alignment horizontal="center" vertical="center"/>
    </xf>
    <xf numFmtId="0" fontId="88" fillId="0" borderId="27" xfId="0" applyFont="1" applyBorder="1" applyAlignment="1">
      <alignment horizontal="center"/>
    </xf>
    <xf numFmtId="0" fontId="88" fillId="0" borderId="33" xfId="0" applyFont="1" applyBorder="1" applyAlignment="1">
      <alignment horizontal="center"/>
    </xf>
    <xf numFmtId="0" fontId="0" fillId="8" borderId="27" xfId="0" applyFill="1" applyBorder="1" applyAlignment="1">
      <alignment horizontal="left" vertical="center" wrapText="1"/>
    </xf>
    <xf numFmtId="0" fontId="0" fillId="8" borderId="33" xfId="0" applyFill="1" applyBorder="1" applyAlignment="1">
      <alignment horizontal="left" vertical="center" wrapText="1"/>
    </xf>
    <xf numFmtId="0" fontId="0" fillId="8" borderId="15" xfId="0" applyFill="1" applyBorder="1" applyAlignment="1">
      <alignment horizontal="left" vertical="center" wrapText="1"/>
    </xf>
    <xf numFmtId="0" fontId="0" fillId="8" borderId="29" xfId="0" applyFill="1" applyBorder="1" applyAlignment="1">
      <alignment horizontal="left" vertical="center" wrapText="1"/>
    </xf>
    <xf numFmtId="0" fontId="82" fillId="8" borderId="26" xfId="0" applyFont="1" applyFill="1" applyBorder="1" applyAlignment="1">
      <alignment horizontal="center" vertical="center" wrapText="1"/>
    </xf>
    <xf numFmtId="0" fontId="82" fillId="8" borderId="27" xfId="0" applyFont="1" applyFill="1" applyBorder="1" applyAlignment="1">
      <alignment horizontal="center" vertical="center"/>
    </xf>
    <xf numFmtId="0" fontId="82" fillId="8" borderId="28" xfId="0" applyFont="1" applyFill="1" applyBorder="1" applyAlignment="1">
      <alignment horizontal="center" vertical="center"/>
    </xf>
    <xf numFmtId="0" fontId="82" fillId="8" borderId="15" xfId="0" applyFont="1" applyFill="1" applyBorder="1" applyAlignment="1">
      <alignment horizontal="center" vertical="center"/>
    </xf>
    <xf numFmtId="0" fontId="88" fillId="22" borderId="26" xfId="0" applyFont="1" applyFill="1" applyBorder="1" applyAlignment="1">
      <alignment horizontal="center" vertical="center"/>
    </xf>
    <xf numFmtId="0" fontId="88" fillId="22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left" wrapText="1"/>
    </xf>
    <xf numFmtId="0" fontId="0" fillId="0" borderId="33" xfId="0" applyBorder="1" applyAlignment="1">
      <alignment horizontal="left" wrapText="1"/>
    </xf>
    <xf numFmtId="0" fontId="88" fillId="18" borderId="28" xfId="0" applyFont="1" applyFill="1" applyBorder="1" applyAlignment="1">
      <alignment horizontal="center" vertical="center"/>
    </xf>
    <xf numFmtId="0" fontId="88" fillId="18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left" wrapText="1"/>
    </xf>
    <xf numFmtId="0" fontId="0" fillId="0" borderId="29" xfId="0" applyBorder="1" applyAlignment="1">
      <alignment horizontal="left" wrapText="1"/>
    </xf>
  </cellXfs>
  <cellStyles count="10">
    <cellStyle name="Normalny" xfId="0" builtinId="0"/>
    <cellStyle name="Normalny 2" xfId="2" xr:uid="{00000000-0005-0000-0000-000001000000}"/>
    <cellStyle name="Normalny 3" xfId="7" xr:uid="{00000000-0005-0000-0000-000002000000}"/>
    <cellStyle name="Normalny 4" xfId="8" xr:uid="{648FAD18-2C99-42DF-BBE1-E21D80077C79}"/>
    <cellStyle name="Normalny_Arkusz1" xfId="3" xr:uid="{00000000-0005-0000-0000-000003000000}"/>
    <cellStyle name="Procentowy" xfId="5" builtinId="5"/>
    <cellStyle name="Procentowy 2" xfId="4" xr:uid="{00000000-0005-0000-0000-000005000000}"/>
    <cellStyle name="Standard 2" xfId="6" xr:uid="{00000000-0005-0000-0000-000006000000}"/>
    <cellStyle name="Tekst objaśnienia" xfId="1" builtinId="53"/>
    <cellStyle name="Tekst objaśnienia 2" xfId="9" xr:uid="{BED949AF-52B2-445A-B9D8-46C6CF22CD15}"/>
  </cellStyles>
  <dxfs count="2289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64"/>
          <bgColor theme="0"/>
        </patternFill>
      </fill>
      <protection locked="1" hidden="1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64"/>
          <bgColor theme="0"/>
        </patternFill>
      </fill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64"/>
          <bgColor theme="0"/>
        </patternFill>
      </fill>
      <protection locked="1" hidden="1"/>
    </dxf>
    <dxf>
      <protection locked="1" hidden="1"/>
    </dxf>
    <dxf>
      <border outline="0">
        <top style="medium">
          <color indexed="64"/>
        </top>
        <bottom style="thin">
          <color indexed="64"/>
        </bottom>
      </border>
    </dxf>
    <dxf>
      <protection locked="1" hidden="1"/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auto="1"/>
        <name val="Calibri Light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rgb="FFFFFFCC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31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26"/>
          <bgColor indexed="9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90" wrapText="1" indent="0" justifyLastLine="0" shrinkToFit="0" readingOrder="0"/>
      <protection locked="1" hidden="1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314324</xdr:rowOff>
    </xdr:from>
    <xdr:to>
      <xdr:col>3</xdr:col>
      <xdr:colOff>66674</xdr:colOff>
      <xdr:row>3</xdr:row>
      <xdr:rowOff>1390650</xdr:rowOff>
    </xdr:to>
    <xdr:sp macro="" textlink="">
      <xdr:nvSpPr>
        <xdr:cNvPr id="3" name="AutoShap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1400174"/>
          <a:ext cx="2009774" cy="1076326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10</xdr:row>
      <xdr:rowOff>314324</xdr:rowOff>
    </xdr:from>
    <xdr:to>
      <xdr:col>3</xdr:col>
      <xdr:colOff>66674</xdr:colOff>
      <xdr:row>10</xdr:row>
      <xdr:rowOff>1390650</xdr:rowOff>
    </xdr:to>
    <xdr:sp macro="" textlink="">
      <xdr:nvSpPr>
        <xdr:cNvPr id="7" name="AutoShap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885824"/>
          <a:ext cx="2009774" cy="1076326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0</xdr:col>
      <xdr:colOff>0</xdr:colOff>
      <xdr:row>3</xdr:row>
      <xdr:rowOff>658880</xdr:rowOff>
    </xdr:from>
    <xdr:ext cx="1933575" cy="542925"/>
    <xdr:sp macro="" textlink="" fLocksText="0">
      <xdr:nvSpPr>
        <xdr:cNvPr id="2" name="Text Box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0" y="1222097"/>
          <a:ext cx="1933575" cy="542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000" tIns="22680" rIns="0" bIns="0" anchor="t">
          <a:noAutofit/>
        </a:bodyPr>
        <a:lstStyle/>
        <a:p>
          <a:pPr algn="l" rtl="0">
            <a:defRPr sz="1000"/>
          </a:pPr>
          <a:r>
            <a:rPr lang="pl-PL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Elementy w procesie</a:t>
          </a:r>
        </a:p>
        <a:p>
          <a:pPr algn="l" rtl="0">
            <a:defRPr sz="1000"/>
          </a:pPr>
          <a:r>
            <a:rPr lang="pl-PL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Elemente des Prozesses</a:t>
          </a:r>
        </a:p>
      </xdr:txBody>
    </xdr:sp>
    <xdr:clientData/>
  </xdr:oneCellAnchor>
  <xdr:oneCellAnchor>
    <xdr:from>
      <xdr:col>0</xdr:col>
      <xdr:colOff>0</xdr:colOff>
      <xdr:row>10</xdr:row>
      <xdr:rowOff>609185</xdr:rowOff>
    </xdr:from>
    <xdr:ext cx="1933575" cy="542925"/>
    <xdr:sp macro="" textlink="" fLocksText="0">
      <xdr:nvSpPr>
        <xdr:cNvPr id="4" name="Text Box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7740511"/>
          <a:ext cx="1933575" cy="542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000" tIns="22680" rIns="0" bIns="0" anchor="t">
          <a:noAutofit/>
        </a:bodyPr>
        <a:lstStyle/>
        <a:p>
          <a:pPr algn="l" rtl="0">
            <a:defRPr sz="1000"/>
          </a:pPr>
          <a:r>
            <a:rPr lang="pl-PL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Elementy w procesie</a:t>
          </a:r>
        </a:p>
        <a:p>
          <a:pPr algn="l" rtl="0">
            <a:defRPr sz="1000"/>
          </a:pPr>
          <a:r>
            <a:rPr lang="pl-PL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Elemente des Prozesses</a:t>
          </a:r>
        </a:p>
      </xdr:txBody>
    </xdr:sp>
    <xdr:clientData/>
  </xdr:oneCellAnchor>
  <xdr:twoCellAnchor>
    <xdr:from>
      <xdr:col>0</xdr:col>
      <xdr:colOff>0</xdr:colOff>
      <xdr:row>7</xdr:row>
      <xdr:rowOff>314324</xdr:rowOff>
    </xdr:from>
    <xdr:to>
      <xdr:col>3</xdr:col>
      <xdr:colOff>66674</xdr:colOff>
      <xdr:row>7</xdr:row>
      <xdr:rowOff>1390650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0" y="1095374"/>
          <a:ext cx="2009774" cy="1076326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0</xdr:col>
      <xdr:colOff>0</xdr:colOff>
      <xdr:row>7</xdr:row>
      <xdr:rowOff>629478</xdr:rowOff>
    </xdr:from>
    <xdr:ext cx="1933575" cy="542925"/>
    <xdr:sp macro="" textlink="" fLocksText="0">
      <xdr:nvSpPr>
        <xdr:cNvPr id="6" name="Text Box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72000"/>
          <a:ext cx="1933575" cy="542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000" tIns="22680" rIns="0" bIns="0" anchor="t">
          <a:noAutofit/>
        </a:bodyPr>
        <a:lstStyle/>
        <a:p>
          <a:pPr algn="l" rtl="0">
            <a:defRPr sz="1000"/>
          </a:pPr>
          <a:r>
            <a:rPr lang="pl-PL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Elementy w procesie</a:t>
          </a:r>
        </a:p>
        <a:p>
          <a:pPr algn="l" rtl="0">
            <a:defRPr sz="1000"/>
          </a:pPr>
          <a:r>
            <a:rPr lang="pl-PL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Elemente des Prozesses</a:t>
          </a:r>
        </a:p>
      </xdr:txBody>
    </xdr:sp>
    <xdr:clientData/>
  </xdr:oneCellAnchor>
  <xdr:oneCellAnchor>
    <xdr:from>
      <xdr:col>0</xdr:col>
      <xdr:colOff>0</xdr:colOff>
      <xdr:row>14</xdr:row>
      <xdr:rowOff>1495424</xdr:rowOff>
    </xdr:from>
    <xdr:ext cx="1933575" cy="542925"/>
    <xdr:sp macro="" textlink="" fLocksText="0">
      <xdr:nvSpPr>
        <xdr:cNvPr id="8" name="Text 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066924"/>
          <a:ext cx="1933575" cy="542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000" tIns="22680" rIns="0" bIns="0" anchor="t">
          <a:noAutofit/>
        </a:bodyPr>
        <a:lstStyle/>
        <a:p>
          <a:pPr algn="l" rtl="0">
            <a:defRPr sz="1000"/>
          </a:pPr>
          <a:r>
            <a:rPr lang="pl-PL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Elementy w procesie</a:t>
          </a:r>
        </a:p>
        <a:p>
          <a:pPr algn="l" rtl="0">
            <a:defRPr sz="1000"/>
          </a:pPr>
          <a:r>
            <a:rPr lang="pl-PL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Elemente des Prozesses</a:t>
          </a:r>
        </a:p>
      </xdr:txBody>
    </xdr:sp>
    <xdr:clientData/>
  </xdr:oneCellAnchor>
  <xdr:twoCellAnchor>
    <xdr:from>
      <xdr:col>0</xdr:col>
      <xdr:colOff>0</xdr:colOff>
      <xdr:row>14</xdr:row>
      <xdr:rowOff>314324</xdr:rowOff>
    </xdr:from>
    <xdr:to>
      <xdr:col>3</xdr:col>
      <xdr:colOff>66674</xdr:colOff>
      <xdr:row>14</xdr:row>
      <xdr:rowOff>1390650</xdr:rowOff>
    </xdr:to>
    <xdr:sp macro="" textlink="">
      <xdr:nvSpPr>
        <xdr:cNvPr id="9" name="AutoShape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0" y="885824"/>
          <a:ext cx="2009774" cy="1076326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118608</xdr:colOff>
      <xdr:row>6</xdr:row>
      <xdr:rowOff>66675</xdr:rowOff>
    </xdr:from>
    <xdr:to>
      <xdr:col>2</xdr:col>
      <xdr:colOff>327661</xdr:colOff>
      <xdr:row>7</xdr:row>
      <xdr:rowOff>814925</xdr:rowOff>
    </xdr:to>
    <xdr:sp macro="" textlink="">
      <xdr:nvSpPr>
        <xdr:cNvPr id="4" name="AutoShape 1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18608" y="1262592"/>
          <a:ext cx="3934386" cy="1034000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0</xdr:col>
      <xdr:colOff>455046</xdr:colOff>
      <xdr:row>7</xdr:row>
      <xdr:rowOff>154636</xdr:rowOff>
    </xdr:from>
    <xdr:ext cx="1933575" cy="542925"/>
    <xdr:sp macro="" textlink="" fLocksText="0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55046" y="1545286"/>
          <a:ext cx="1933575" cy="542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000" tIns="22680" rIns="0" bIns="0" anchor="t">
          <a:noAutofit/>
        </a:bodyPr>
        <a:lstStyle/>
        <a:p>
          <a:pPr algn="l" rtl="0">
            <a:defRPr sz="1000"/>
          </a:pPr>
          <a:r>
            <a:rPr lang="pl-PL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Elementy w procesie - KOMPETENCJE</a:t>
          </a:r>
        </a:p>
        <a:p>
          <a:pPr algn="l" rtl="0">
            <a:defRPr sz="1000"/>
          </a:pPr>
          <a:r>
            <a:rPr lang="pl-PL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Elemente des Prozesses - KOMPETENZEN</a:t>
          </a:r>
        </a:p>
      </xdr:txBody>
    </xdr:sp>
    <xdr:clientData/>
  </xdr:oneCellAnchor>
  <xdr:twoCellAnchor>
    <xdr:from>
      <xdr:col>38</xdr:col>
      <xdr:colOff>104775</xdr:colOff>
      <xdr:row>2</xdr:row>
      <xdr:rowOff>9525</xdr:rowOff>
    </xdr:from>
    <xdr:to>
      <xdr:col>38</xdr:col>
      <xdr:colOff>228600</xdr:colOff>
      <xdr:row>2</xdr:row>
      <xdr:rowOff>114300</xdr:rowOff>
    </xdr:to>
    <xdr:sp macro="" textlink="">
      <xdr:nvSpPr>
        <xdr:cNvPr id="6" name="Rectangle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1923375" y="1042458"/>
          <a:ext cx="123825" cy="1047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360" cap="sq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0</xdr:col>
      <xdr:colOff>257175</xdr:colOff>
      <xdr:row>0</xdr:row>
      <xdr:rowOff>85724</xdr:rowOff>
    </xdr:from>
    <xdr:to>
      <xdr:col>1</xdr:col>
      <xdr:colOff>988002</xdr:colOff>
      <xdr:row>0</xdr:row>
      <xdr:rowOff>409574</xdr:rowOff>
    </xdr:to>
    <xdr:pic>
      <xdr:nvPicPr>
        <xdr:cNvPr id="7" name="Picture 50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85724"/>
          <a:ext cx="2503942" cy="323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32</xdr:col>
      <xdr:colOff>28575</xdr:colOff>
      <xdr:row>2</xdr:row>
      <xdr:rowOff>9525</xdr:rowOff>
    </xdr:from>
    <xdr:to>
      <xdr:col>32</xdr:col>
      <xdr:colOff>152400</xdr:colOff>
      <xdr:row>2</xdr:row>
      <xdr:rowOff>114300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9258300" y="1038225"/>
          <a:ext cx="123825" cy="1047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360" cap="sq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104775</xdr:colOff>
      <xdr:row>2</xdr:row>
      <xdr:rowOff>9525</xdr:rowOff>
    </xdr:from>
    <xdr:to>
      <xdr:col>37</xdr:col>
      <xdr:colOff>228600</xdr:colOff>
      <xdr:row>2</xdr:row>
      <xdr:rowOff>114300</xdr:rowOff>
    </xdr:to>
    <xdr:sp macro="" textlink="">
      <xdr:nvSpPr>
        <xdr:cNvPr id="5" name="Rectangle 1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18319888" y="870916"/>
          <a:ext cx="123825" cy="10477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360" cap="sq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41</xdr:col>
      <xdr:colOff>104775</xdr:colOff>
      <xdr:row>2</xdr:row>
      <xdr:rowOff>9525</xdr:rowOff>
    </xdr:from>
    <xdr:to>
      <xdr:col>41</xdr:col>
      <xdr:colOff>228600</xdr:colOff>
      <xdr:row>2</xdr:row>
      <xdr:rowOff>114300</xdr:rowOff>
    </xdr:to>
    <xdr:sp macro="" textlink="">
      <xdr:nvSpPr>
        <xdr:cNvPr id="6" name="Rectangle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0049297" y="870916"/>
          <a:ext cx="123825" cy="1047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360" cap="sq">
          <a:solidFill>
            <a:srgbClr val="000000"/>
          </a:solidFill>
          <a:miter lim="800000"/>
          <a:headEnd/>
          <a:tailEnd/>
        </a:ln>
        <a:effectLst/>
      </xdr:spPr>
    </xdr:sp>
    <xdr:clientData/>
  </xdr:twoCellAnchor>
  <xdr:twoCellAnchor>
    <xdr:from>
      <xdr:col>0</xdr:col>
      <xdr:colOff>257175</xdr:colOff>
      <xdr:row>0</xdr:row>
      <xdr:rowOff>85724</xdr:rowOff>
    </xdr:from>
    <xdr:to>
      <xdr:col>1</xdr:col>
      <xdr:colOff>988002</xdr:colOff>
      <xdr:row>0</xdr:row>
      <xdr:rowOff>504824</xdr:rowOff>
    </xdr:to>
    <xdr:pic>
      <xdr:nvPicPr>
        <xdr:cNvPr id="7" name="Picture 5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85724"/>
          <a:ext cx="2264352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35</xdr:col>
      <xdr:colOff>28575</xdr:colOff>
      <xdr:row>2</xdr:row>
      <xdr:rowOff>9525</xdr:rowOff>
    </xdr:from>
    <xdr:to>
      <xdr:col>35</xdr:col>
      <xdr:colOff>152400</xdr:colOff>
      <xdr:row>2</xdr:row>
      <xdr:rowOff>114300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12839700" y="1038225"/>
          <a:ext cx="123825" cy="1047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360" cap="sq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142875</xdr:colOff>
          <xdr:row>7</xdr:row>
          <xdr:rowOff>180975</xdr:rowOff>
        </xdr:from>
        <xdr:to>
          <xdr:col>1</xdr:col>
          <xdr:colOff>1362075</xdr:colOff>
          <xdr:row>7</xdr:row>
          <xdr:rowOff>523875</xdr:rowOff>
        </xdr:to>
        <xdr:sp macro="" textlink="">
          <xdr:nvSpPr>
            <xdr:cNvPr id="3084" name="Button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pl-PL" sz="1600" b="1" i="1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Please Click Here</a:t>
              </a:r>
              <a:endParaRPr lang="pl-PL" sz="1100" b="1" i="1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  <a:p>
              <a:pPr algn="ctr" rtl="0">
                <a:defRPr sz="1000"/>
              </a:pPr>
              <a:r>
                <a:rPr lang="pl-PL" sz="1100" b="1" i="1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If Both "Value" and "Diff" not Visible on Filtering.</a:t>
              </a:r>
            </a:p>
          </xdr:txBody>
        </xdr:sp>
        <xdr:clientData fPrintsWithSheet="0"/>
      </xdr:twoCellAnchor>
    </mc:Choice>
    <mc:Fallback/>
  </mc:AlternateContent>
  <xdr:twoCellAnchor>
    <xdr:from>
      <xdr:col>1</xdr:col>
      <xdr:colOff>1109943</xdr:colOff>
      <xdr:row>294</xdr:row>
      <xdr:rowOff>0</xdr:rowOff>
    </xdr:from>
    <xdr:to>
      <xdr:col>1</xdr:col>
      <xdr:colOff>1405218</xdr:colOff>
      <xdr:row>294</xdr:row>
      <xdr:rowOff>0</xdr:rowOff>
    </xdr:to>
    <xdr:sp macro="" textlink="">
      <xdr:nvSpPr>
        <xdr:cNvPr id="45" name="AutoShape 10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331</xdr:row>
      <xdr:rowOff>1880346</xdr:rowOff>
    </xdr:from>
    <xdr:to>
      <xdr:col>1</xdr:col>
      <xdr:colOff>1405218</xdr:colOff>
      <xdr:row>331</xdr:row>
      <xdr:rowOff>2442321</xdr:rowOff>
    </xdr:to>
    <xdr:sp macro="" textlink="">
      <xdr:nvSpPr>
        <xdr:cNvPr id="46" name="AutoShape 10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332</xdr:row>
      <xdr:rowOff>0</xdr:rowOff>
    </xdr:from>
    <xdr:to>
      <xdr:col>1</xdr:col>
      <xdr:colOff>1405218</xdr:colOff>
      <xdr:row>332</xdr:row>
      <xdr:rowOff>0</xdr:rowOff>
    </xdr:to>
    <xdr:sp macro="" textlink="">
      <xdr:nvSpPr>
        <xdr:cNvPr id="47" name="AutoShape 10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292</xdr:row>
      <xdr:rowOff>0</xdr:rowOff>
    </xdr:from>
    <xdr:to>
      <xdr:col>1</xdr:col>
      <xdr:colOff>1405218</xdr:colOff>
      <xdr:row>292</xdr:row>
      <xdr:rowOff>0</xdr:rowOff>
    </xdr:to>
    <xdr:sp macro="" textlink="">
      <xdr:nvSpPr>
        <xdr:cNvPr id="48" name="AutoShape 10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300</xdr:row>
      <xdr:rowOff>0</xdr:rowOff>
    </xdr:from>
    <xdr:to>
      <xdr:col>1</xdr:col>
      <xdr:colOff>1405218</xdr:colOff>
      <xdr:row>300</xdr:row>
      <xdr:rowOff>0</xdr:rowOff>
    </xdr:to>
    <xdr:sp macro="" textlink="">
      <xdr:nvSpPr>
        <xdr:cNvPr id="49" name="AutoShape 10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366</xdr:row>
      <xdr:rowOff>0</xdr:rowOff>
    </xdr:from>
    <xdr:to>
      <xdr:col>1</xdr:col>
      <xdr:colOff>1405218</xdr:colOff>
      <xdr:row>366</xdr:row>
      <xdr:rowOff>0</xdr:rowOff>
    </xdr:to>
    <xdr:sp macro="" textlink="">
      <xdr:nvSpPr>
        <xdr:cNvPr id="50" name="AutoShape 1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364</xdr:row>
      <xdr:rowOff>0</xdr:rowOff>
    </xdr:from>
    <xdr:to>
      <xdr:col>1</xdr:col>
      <xdr:colOff>1405218</xdr:colOff>
      <xdr:row>364</xdr:row>
      <xdr:rowOff>0</xdr:rowOff>
    </xdr:to>
    <xdr:sp macro="" textlink="">
      <xdr:nvSpPr>
        <xdr:cNvPr id="51" name="AutoShape 1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372</xdr:row>
      <xdr:rowOff>0</xdr:rowOff>
    </xdr:from>
    <xdr:to>
      <xdr:col>1</xdr:col>
      <xdr:colOff>1405218</xdr:colOff>
      <xdr:row>372</xdr:row>
      <xdr:rowOff>0</xdr:rowOff>
    </xdr:to>
    <xdr:sp macro="" textlink="">
      <xdr:nvSpPr>
        <xdr:cNvPr id="52" name="AutoShape 10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368</xdr:row>
      <xdr:rowOff>0</xdr:rowOff>
    </xdr:from>
    <xdr:to>
      <xdr:col>1</xdr:col>
      <xdr:colOff>1405218</xdr:colOff>
      <xdr:row>368</xdr:row>
      <xdr:rowOff>0</xdr:rowOff>
    </xdr:to>
    <xdr:sp macro="" textlink="">
      <xdr:nvSpPr>
        <xdr:cNvPr id="53" name="AutoShape 10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366</xdr:row>
      <xdr:rowOff>0</xdr:rowOff>
    </xdr:from>
    <xdr:to>
      <xdr:col>1</xdr:col>
      <xdr:colOff>1405218</xdr:colOff>
      <xdr:row>366</xdr:row>
      <xdr:rowOff>0</xdr:rowOff>
    </xdr:to>
    <xdr:sp macro="" textlink="">
      <xdr:nvSpPr>
        <xdr:cNvPr id="54" name="AutoShape 10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374</xdr:row>
      <xdr:rowOff>0</xdr:rowOff>
    </xdr:from>
    <xdr:to>
      <xdr:col>1</xdr:col>
      <xdr:colOff>1405218</xdr:colOff>
      <xdr:row>374</xdr:row>
      <xdr:rowOff>0</xdr:rowOff>
    </xdr:to>
    <xdr:sp macro="" textlink="">
      <xdr:nvSpPr>
        <xdr:cNvPr id="55" name="AutoShape 10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332</xdr:row>
      <xdr:rowOff>0</xdr:rowOff>
    </xdr:from>
    <xdr:to>
      <xdr:col>1</xdr:col>
      <xdr:colOff>1405218</xdr:colOff>
      <xdr:row>332</xdr:row>
      <xdr:rowOff>0</xdr:rowOff>
    </xdr:to>
    <xdr:sp macro="" textlink="">
      <xdr:nvSpPr>
        <xdr:cNvPr id="56" name="AutoShape 10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335</xdr:row>
      <xdr:rowOff>1880346</xdr:rowOff>
    </xdr:from>
    <xdr:to>
      <xdr:col>1</xdr:col>
      <xdr:colOff>1405218</xdr:colOff>
      <xdr:row>335</xdr:row>
      <xdr:rowOff>2442321</xdr:rowOff>
    </xdr:to>
    <xdr:sp macro="" textlink="">
      <xdr:nvSpPr>
        <xdr:cNvPr id="57" name="AutoShape 10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359</xdr:row>
      <xdr:rowOff>1880346</xdr:rowOff>
    </xdr:from>
    <xdr:to>
      <xdr:col>1</xdr:col>
      <xdr:colOff>1405218</xdr:colOff>
      <xdr:row>359</xdr:row>
      <xdr:rowOff>2442321</xdr:rowOff>
    </xdr:to>
    <xdr:sp macro="" textlink="">
      <xdr:nvSpPr>
        <xdr:cNvPr id="58" name="AutoShape 10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361</xdr:row>
      <xdr:rowOff>1880346</xdr:rowOff>
    </xdr:from>
    <xdr:to>
      <xdr:col>1</xdr:col>
      <xdr:colOff>1405218</xdr:colOff>
      <xdr:row>361</xdr:row>
      <xdr:rowOff>2442321</xdr:rowOff>
    </xdr:to>
    <xdr:sp macro="" textlink="">
      <xdr:nvSpPr>
        <xdr:cNvPr id="59" name="AutoShape 1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363</xdr:row>
      <xdr:rowOff>1880346</xdr:rowOff>
    </xdr:from>
    <xdr:to>
      <xdr:col>1</xdr:col>
      <xdr:colOff>1405218</xdr:colOff>
      <xdr:row>363</xdr:row>
      <xdr:rowOff>2442321</xdr:rowOff>
    </xdr:to>
    <xdr:sp macro="" textlink="">
      <xdr:nvSpPr>
        <xdr:cNvPr id="60" name="AutoShape 1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394</xdr:row>
      <xdr:rowOff>0</xdr:rowOff>
    </xdr:from>
    <xdr:to>
      <xdr:col>1</xdr:col>
      <xdr:colOff>1405218</xdr:colOff>
      <xdr:row>394</xdr:row>
      <xdr:rowOff>0</xdr:rowOff>
    </xdr:to>
    <xdr:sp macro="" textlink="">
      <xdr:nvSpPr>
        <xdr:cNvPr id="61" name="AutoShape 1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394</xdr:row>
      <xdr:rowOff>0</xdr:rowOff>
    </xdr:from>
    <xdr:to>
      <xdr:col>1</xdr:col>
      <xdr:colOff>1405218</xdr:colOff>
      <xdr:row>394</xdr:row>
      <xdr:rowOff>0</xdr:rowOff>
    </xdr:to>
    <xdr:sp macro="" textlink="">
      <xdr:nvSpPr>
        <xdr:cNvPr id="62" name="AutoShape 10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387</xdr:row>
      <xdr:rowOff>1880346</xdr:rowOff>
    </xdr:from>
    <xdr:to>
      <xdr:col>1</xdr:col>
      <xdr:colOff>1405218</xdr:colOff>
      <xdr:row>387</xdr:row>
      <xdr:rowOff>2442321</xdr:rowOff>
    </xdr:to>
    <xdr:sp macro="" textlink="">
      <xdr:nvSpPr>
        <xdr:cNvPr id="63" name="AutoShape 10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389</xdr:row>
      <xdr:rowOff>0</xdr:rowOff>
    </xdr:from>
    <xdr:to>
      <xdr:col>1</xdr:col>
      <xdr:colOff>1405218</xdr:colOff>
      <xdr:row>389</xdr:row>
      <xdr:rowOff>0</xdr:rowOff>
    </xdr:to>
    <xdr:sp macro="" textlink="">
      <xdr:nvSpPr>
        <xdr:cNvPr id="3072" name="AutoShape 10">
          <a:extLst>
            <a:ext uri="{FF2B5EF4-FFF2-40B4-BE49-F238E27FC236}">
              <a16:creationId xmlns:a16="http://schemas.microsoft.com/office/drawing/2014/main" id="{00000000-0008-0000-0200-0000000C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397</xdr:row>
      <xdr:rowOff>0</xdr:rowOff>
    </xdr:from>
    <xdr:to>
      <xdr:col>1</xdr:col>
      <xdr:colOff>1405218</xdr:colOff>
      <xdr:row>397</xdr:row>
      <xdr:rowOff>0</xdr:rowOff>
    </xdr:to>
    <xdr:sp macro="" textlink="">
      <xdr:nvSpPr>
        <xdr:cNvPr id="3073" name="AutoShape 10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393</xdr:row>
      <xdr:rowOff>0</xdr:rowOff>
    </xdr:from>
    <xdr:to>
      <xdr:col>1</xdr:col>
      <xdr:colOff>1405218</xdr:colOff>
      <xdr:row>393</xdr:row>
      <xdr:rowOff>0</xdr:rowOff>
    </xdr:to>
    <xdr:sp macro="" textlink="">
      <xdr:nvSpPr>
        <xdr:cNvPr id="3074" name="AutoShape 10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389</xdr:row>
      <xdr:rowOff>0</xdr:rowOff>
    </xdr:from>
    <xdr:to>
      <xdr:col>1</xdr:col>
      <xdr:colOff>1405218</xdr:colOff>
      <xdr:row>389</xdr:row>
      <xdr:rowOff>0</xdr:rowOff>
    </xdr:to>
    <xdr:sp macro="" textlink="">
      <xdr:nvSpPr>
        <xdr:cNvPr id="3075" name="AutoShape 10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399</xdr:row>
      <xdr:rowOff>0</xdr:rowOff>
    </xdr:from>
    <xdr:to>
      <xdr:col>1</xdr:col>
      <xdr:colOff>1405218</xdr:colOff>
      <xdr:row>399</xdr:row>
      <xdr:rowOff>0</xdr:rowOff>
    </xdr:to>
    <xdr:sp macro="" textlink="">
      <xdr:nvSpPr>
        <xdr:cNvPr id="3076" name="AutoShape 10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392</xdr:row>
      <xdr:rowOff>0</xdr:rowOff>
    </xdr:from>
    <xdr:to>
      <xdr:col>1</xdr:col>
      <xdr:colOff>1405218</xdr:colOff>
      <xdr:row>392</xdr:row>
      <xdr:rowOff>0</xdr:rowOff>
    </xdr:to>
    <xdr:sp macro="" textlink="">
      <xdr:nvSpPr>
        <xdr:cNvPr id="3077" name="AutoShape 10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398</xdr:row>
      <xdr:rowOff>0</xdr:rowOff>
    </xdr:from>
    <xdr:to>
      <xdr:col>1</xdr:col>
      <xdr:colOff>1405218</xdr:colOff>
      <xdr:row>398</xdr:row>
      <xdr:rowOff>0</xdr:rowOff>
    </xdr:to>
    <xdr:sp macro="" textlink="">
      <xdr:nvSpPr>
        <xdr:cNvPr id="3078" name="AutoShape 10"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394</xdr:row>
      <xdr:rowOff>0</xdr:rowOff>
    </xdr:from>
    <xdr:to>
      <xdr:col>1</xdr:col>
      <xdr:colOff>1405218</xdr:colOff>
      <xdr:row>394</xdr:row>
      <xdr:rowOff>0</xdr:rowOff>
    </xdr:to>
    <xdr:sp macro="" textlink="">
      <xdr:nvSpPr>
        <xdr:cNvPr id="3079" name="AutoShape 10"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392</xdr:row>
      <xdr:rowOff>0</xdr:rowOff>
    </xdr:from>
    <xdr:to>
      <xdr:col>1</xdr:col>
      <xdr:colOff>1405218</xdr:colOff>
      <xdr:row>392</xdr:row>
      <xdr:rowOff>0</xdr:rowOff>
    </xdr:to>
    <xdr:sp macro="" textlink="">
      <xdr:nvSpPr>
        <xdr:cNvPr id="3080" name="AutoShape 10"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SpPr>
          <a:spLocks noChangeArrowheads="1"/>
        </xdr:cNvSpPr>
      </xdr:nvSpPr>
      <xdr:spPr bwMode="auto">
        <a:xfrm rot="5400000">
          <a:off x="2792787" y="5264803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233</xdr:row>
      <xdr:rowOff>0</xdr:rowOff>
    </xdr:from>
    <xdr:to>
      <xdr:col>1</xdr:col>
      <xdr:colOff>1405218</xdr:colOff>
      <xdr:row>233</xdr:row>
      <xdr:rowOff>0</xdr:rowOff>
    </xdr:to>
    <xdr:sp macro="" textlink="">
      <xdr:nvSpPr>
        <xdr:cNvPr id="3092" name="AutoShape 10"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SpPr>
          <a:spLocks noChangeArrowheads="1"/>
        </xdr:cNvSpPr>
      </xdr:nvSpPr>
      <xdr:spPr bwMode="auto">
        <a:xfrm rot="5400000">
          <a:off x="2791106" y="5453062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1109943</xdr:colOff>
      <xdr:row>236</xdr:row>
      <xdr:rowOff>0</xdr:rowOff>
    </xdr:from>
    <xdr:to>
      <xdr:col>1</xdr:col>
      <xdr:colOff>1405218</xdr:colOff>
      <xdr:row>236</xdr:row>
      <xdr:rowOff>0</xdr:rowOff>
    </xdr:to>
    <xdr:sp macro="" textlink="">
      <xdr:nvSpPr>
        <xdr:cNvPr id="3097" name="AutoShape 10"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SpPr>
          <a:spLocks noChangeArrowheads="1"/>
        </xdr:cNvSpPr>
      </xdr:nvSpPr>
      <xdr:spPr bwMode="auto">
        <a:xfrm rot="5400000">
          <a:off x="2791106" y="5453062"/>
          <a:ext cx="0" cy="295275"/>
        </a:xfrm>
        <a:prstGeom prst="rightArrow">
          <a:avLst>
            <a:gd name="adj1" fmla="val 50000"/>
            <a:gd name="adj2" fmla="val 43382"/>
          </a:avLst>
        </a:prstGeom>
        <a:solidFill>
          <a:srgbClr val="FFFFFF"/>
        </a:solidFill>
        <a:ln w="190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_Nowy%20od%2018.09.2020_Matrix%20-%20minimalne%20kompetencje_stan%20202010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mpetencje"/>
      <sheetName val="Matrix min. Kompetencji"/>
      <sheetName val="Dzial Matrix AND Diff"/>
      <sheetName val="Słownik matrycy komp."/>
      <sheetName val="Kompetencje wyj."/>
      <sheetName val="Tabelle1"/>
      <sheetName val="Pracownicy"/>
      <sheetName val="1_Nowy od 18.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ornelia Kodz" id="{EF5E0AB6-C6A8-4031-AFE5-814052798656}" userId="S::Kornelia.Kodz@bruss-group.com::45de791d-5142-41ef-9a6c-eb94b1dd2ec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_MinKomp" displayName="tab_MinKomp" ref="A8:GJ90" totalsRowShown="0" headerRowDxfId="2288" dataDxfId="2287" tableBorderDxfId="2286" headerRowCellStyle="Normalny 2" dataCellStyle="Normalny 2">
  <autoFilter ref="A8:GJ90" xr:uid="{00000000-0009-0000-0100-000002000000}"/>
  <sortState xmlns:xlrd2="http://schemas.microsoft.com/office/spreadsheetml/2017/richdata2" ref="A9:GJ90">
    <sortCondition ref="A8:A90"/>
  </sortState>
  <tableColumns count="192">
    <tableColumn id="1" xr3:uid="{00000000-0010-0000-0000-000001000000}" name="Dzial" dataDxfId="2285" dataCellStyle="Normalny 2"/>
    <tableColumn id="2" xr3:uid="{00000000-0010-0000-0000-000002000000}" name="Stanowisko / Position " dataDxfId="2284"/>
    <tableColumn id="145" xr3:uid="{00000000-0010-0000-0000-000091000000}" name="Manager" dataDxfId="2283"/>
    <tableColumn id="3" xr3:uid="{00000000-0010-0000-0000-000003000000}" name="Przepisy BHP / BHP Vorschriften" dataDxfId="2282" dataCellStyle="Normalny 2"/>
    <tableColumn id="149" xr3:uid="{00000000-0010-0000-0000-000095000000}" name="Przepisy PPOŻ / Brandschutzbestimmungen" dataDxfId="2281" dataCellStyle="Normalny 2"/>
    <tableColumn id="103" xr3:uid="{00000000-0010-0000-0000-000067000000}" name="Ryzyko zawodowe na stanowiskach pracyv/ Berufliche Risiken an Arbeitsstellen" dataDxfId="2280" dataCellStyle="Normalny 2"/>
    <tableColumn id="150" xr3:uid="{00000000-0010-0000-0000-000096000000}" name="Gospodarka substancjami niebezpiecznymi / Gefahrstoffmanagement" dataDxfId="2279" dataCellStyle="Normalny 2"/>
    <tableColumn id="4" xr3:uid="{00000000-0010-0000-0000-000004000000}" name="Gospodarka odpadami / Abfallwirtschaft" dataDxfId="2278" dataCellStyle="Normalny 2"/>
    <tableColumn id="5" xr3:uid="{00000000-0010-0000-0000-000005000000}" name="Przepisy kodeksu pracy / Bestimmungen des Arbeitsgesetzes" dataDxfId="2277" dataCellStyle="Normalny 2"/>
    <tableColumn id="6" xr3:uid="{00000000-0010-0000-0000-000006000000}" name="Przepisy o ub.społ. ZUS  / Sozialversicherungsvorschriften" dataDxfId="2276" dataCellStyle="Normalny 2"/>
    <tableColumn id="7" xr3:uid="{00000000-0010-0000-0000-000007000000}" name="PRZEPISY O PDOF /persönlich Einkommensteuergesetz " dataDxfId="2275" dataCellStyle="Normalny 2"/>
    <tableColumn id="8" xr3:uid="{00000000-0010-0000-0000-000008000000}" name="Regulamin pracy / Arbeitsordnung" dataDxfId="2274" dataCellStyle="Normalny 2"/>
    <tableColumn id="9" xr3:uid="{00000000-0010-0000-0000-000009000000}" name="Regulamin wynagradzania / Vergütungsordnung" dataDxfId="2273" dataCellStyle="Normalny 2"/>
    <tableColumn id="10" xr3:uid="{00000000-0010-0000-0000-00000A000000}" name="System R2PŁATNIK PRO: Płace / Lohnabrechnung" dataDxfId="2272" dataCellStyle="Normalny 2"/>
    <tableColumn id="11" xr3:uid="{00000000-0010-0000-0000-00000B000000}" name="SystemR2PŁATNIK PRO: KADRY / Personaldaten" dataDxfId="2271" dataCellStyle="Normalny 2"/>
    <tableColumn id="148" xr3:uid="{00000000-0010-0000-0000-000094000000}" name="SYSTEM R2PŁATNIK PRO: zarządzanie pracownikami / Arbeitsverwaltung" dataDxfId="2270" dataCellStyle="Normalny 2"/>
    <tableColumn id="12" xr3:uid="{00000000-0010-0000-0000-00000C000000}" name="Doradztwo, wsparcie personalne / Personalberatung und Unterstützung" dataDxfId="2269" dataCellStyle="Normalny 2"/>
    <tableColumn id="13" xr3:uid="{00000000-0010-0000-0000-00000D000000}" name="Przepisy o podatku VAT / MwSt.- Gesetz" dataDxfId="2268" dataCellStyle="Normalny 2"/>
    <tableColumn id="14" xr3:uid="{00000000-0010-0000-0000-00000E000000}" name="PrzepisyPDOP / geschäftlich Einkommensteuergesetz" dataDxfId="2267" dataCellStyle="Normalny 2"/>
    <tableColumn id="15" xr3:uid="{00000000-0010-0000-0000-00000F000000}" name="System BAAN / FINANSE (FIBU)" dataDxfId="2266" dataCellStyle="Normalny 2"/>
    <tableColumn id="16" xr3:uid="{00000000-0010-0000-0000-000010000000}" name="Systemy pomocnicze / Hilfssysteme(STOCKPROGRAM, KALK2000 etc.)" dataDxfId="2265" dataCellStyle="Normalny 2"/>
    <tableColumn id="17" xr3:uid="{00000000-0010-0000-0000-000011000000}" name="Polityka rachunkowości / Buchführungspolitik" dataDxfId="2264" dataCellStyle="Normalny 2"/>
    <tableColumn id="33" xr3:uid="{00000000-0010-0000-0000-000021000000}" name="Ustawa o rachunkowości / Rechnungslegungsgesetz" dataDxfId="2263" dataCellStyle="Normalny 2"/>
    <tableColumn id="37" xr3:uid="{00000000-0010-0000-0000-000025000000}" name="WORKFLOW - TS-100" dataDxfId="2262" dataCellStyle="Normalny 2"/>
    <tableColumn id="18" xr3:uid="{00000000-0010-0000-0000-000012000000}" name="WORKFLOW - SFMS" dataDxfId="2261" dataCellStyle="Normalny 2"/>
    <tableColumn id="19" xr3:uid="{00000000-0010-0000-0000-000013000000}" name="System ISO 9001:2015" dataDxfId="2260" dataCellStyle="Normalny 2"/>
    <tableColumn id="20" xr3:uid="{00000000-0010-0000-0000-000014000000}" name="System IATF 16949:2016" dataDxfId="2259" dataCellStyle="Normalny 2"/>
    <tableColumn id="21" xr3:uid="{00000000-0010-0000-0000-000015000000}" name="System ISO 14001:2015" dataDxfId="2258" dataCellStyle="Normalny 2"/>
    <tableColumn id="22" xr3:uid="{00000000-0010-0000-0000-000016000000}" name="System PN-N 18001:2004 / ISO 45001:2018" dataDxfId="2257" dataCellStyle="Normalny 2"/>
    <tableColumn id="23" xr3:uid="{00000000-0010-0000-0000-000017000000}" name="Wymagania VDA 6.3 Process / Forderungen" dataDxfId="2256" dataCellStyle="Normalny 2"/>
    <tableColumn id="24" xr3:uid="{00000000-0010-0000-0000-000018000000}" name="Wymagania VDA 6.5 Product / Forderungen" dataDxfId="2255" dataCellStyle="Normalny 2"/>
    <tableColumn id="25" xr3:uid="{00000000-0010-0000-0000-000019000000}" name="PSCR (VW Product Safety &amp; Conformity Representative)" dataDxfId="2254" dataCellStyle="Normalny 2"/>
    <tableColumn id="26" xr3:uid="{00000000-0010-0000-0000-00001A000000}" name="Auditor systemu ISO 17025:2018" dataDxfId="2253" dataCellStyle="Normalny 2"/>
    <tableColumn id="27" xr3:uid="{00000000-0010-0000-0000-00001B000000}" name="Pełnomocnik systemu / Systemvertreter" dataDxfId="2252" dataCellStyle="Normalny 2"/>
    <tableColumn id="28" xr3:uid="{00000000-0010-0000-0000-00001C000000}" name="Polityka Etyczna - Compliance" dataDxfId="2251" dataCellStyle="Normalny 2"/>
    <tableColumn id="31" xr3:uid="{00000000-0010-0000-0000-00001F000000}" name="WDRAŻANIE NOWYCH PROJEKTÓW/ PROCEDURA CTM" dataDxfId="2250" dataCellStyle="Normalny 2"/>
    <tableColumn id="32" xr3:uid="{00000000-0010-0000-0000-000020000000}" name="KAMIENIE MILOWE MSL/PIFF" dataDxfId="2249" dataCellStyle="Normalny 2"/>
    <tableColumn id="34" xr3:uid="{00000000-0010-0000-0000-000022000000}" name="CP" dataDxfId="2248" dataCellStyle="Normalny 2"/>
    <tableColumn id="35" xr3:uid="{00000000-0010-0000-0000-000023000000}" name="FMEA" dataDxfId="2247" dataCellStyle="Normalny 2"/>
    <tableColumn id="36" xr3:uid="{00000000-0010-0000-0000-000024000000}" name="FLOW CHART" dataDxfId="2246" dataCellStyle="Normalny 2"/>
    <tableColumn id="39" xr3:uid="{00000000-0010-0000-0000-000027000000}" name="APQP" dataDxfId="2245" dataCellStyle="Normalny 2"/>
    <tableColumn id="40" xr3:uid="{00000000-0010-0000-0000-000028000000}" name="MSA" dataDxfId="2244" dataCellStyle="Normalny 2"/>
    <tableColumn id="41" xr3:uid="{00000000-0010-0000-0000-000029000000}" name="SPC" dataDxfId="2243" dataCellStyle="Normalny 2"/>
    <tableColumn id="42" xr3:uid="{00000000-0010-0000-0000-00002A000000}" name="CSR (SPECYFICZNE WYMAGANIA KLIENTA)" dataDxfId="2242" dataCellStyle="Normalny 2"/>
    <tableColumn id="43" xr3:uid="{00000000-0010-0000-0000-00002B000000}" name="5S" dataDxfId="2241" dataCellStyle="Normalny 2"/>
    <tableColumn id="44" xr3:uid="{00000000-0010-0000-0000-00002C000000}" name="LEAN MANAGEMENT" dataDxfId="2240" dataCellStyle="Normalny 2"/>
    <tableColumn id="45" xr3:uid="{00000000-0010-0000-0000-00002D000000}" name="5R" dataDxfId="2239" dataCellStyle="Normalny 2"/>
    <tableColumn id="46" xr3:uid="{00000000-0010-0000-0000-00002E000000}" name="Six Sigma" dataDxfId="2238" dataCellStyle="Normalny 2"/>
    <tableColumn id="47" xr3:uid="{00000000-0010-0000-0000-00002F000000}" name="System BAAN / Distribution &amp; Supply Chain" dataDxfId="2237" dataCellStyle="Normalny 2"/>
    <tableColumn id="48" xr3:uid="{00000000-0010-0000-0000-000030000000}" name="Gospodarka magazynowa / Lagerverwaltung" dataDxfId="2236" dataCellStyle="Normalny 2"/>
    <tableColumn id="49" xr3:uid="{00000000-0010-0000-0000-000031000000}" name="Inwentaryzacja - organizacja i przebieg / Inventurprozess" dataDxfId="2235" dataCellStyle="Normalny 2"/>
    <tableColumn id="50" xr3:uid="{00000000-0010-0000-0000-000032000000}" name="Organizacja dostaw / Versorgungsorganisation" dataDxfId="2234" dataCellStyle="Normalny 2"/>
    <tableColumn id="51" xr3:uid="{00000000-0010-0000-0000-000033000000}" name="Organizacja wysyłek / Organisation von Lieferungen" dataDxfId="2233" dataCellStyle="Normalny 2"/>
    <tableColumn id="109" xr3:uid="{00000000-0010-0000-0000-00006D000000}" name="Analiza magazynowa - Program Polen.mdb / Inventuranalyse" dataDxfId="2232" dataCellStyle="Normalny 2"/>
    <tableColumn id="69" xr3:uid="{00000000-0010-0000-0000-000045000000}" name="MMOG (Materials Management Operations Guidelines)" dataDxfId="2231" dataCellStyle="Normalny 2"/>
    <tableColumn id="67" xr3:uid="{00000000-0010-0000-0000-000043000000}" name="DETC" dataDxfId="2230" dataCellStyle="Normalny 2"/>
    <tableColumn id="88" xr3:uid="{00000000-0010-0000-0000-000058000000}" name="GPP" dataDxfId="2229" dataCellStyle="Normalny 2"/>
    <tableColumn id="92" xr3:uid="{00000000-0010-0000-0000-00005C000000}" name="AIAG (Automotive Industry Action Group)" dataDxfId="2228" dataCellStyle="Normalny 2"/>
    <tableColumn id="66" xr3:uid="{00000000-0010-0000-0000-000042000000}" name="Super-G disputes" dataDxfId="2227" dataCellStyle="Normalny 2"/>
    <tableColumn id="65" xr3:uid="{00000000-0010-0000-0000-000041000000}" name="CMMS3/eDDL (Direct Data Link)" dataDxfId="2226" dataCellStyle="Normalny 2"/>
    <tableColumn id="54" xr3:uid="{00000000-0010-0000-0000-000036000000}" name="MP&amp;L (Material Planning and Logistics)" dataDxfId="2225" dataCellStyle="Normalny 2"/>
    <tableColumn id="38" xr3:uid="{00000000-0010-0000-0000-000026000000}" name="Supplier delivery rating" dataDxfId="2224" dataCellStyle="Normalny 2"/>
    <tableColumn id="55" xr3:uid="{00000000-0010-0000-0000-000037000000}" name="Planowanie produkcji / Produktionsplanung" dataDxfId="2223" dataCellStyle="Normalny 2"/>
    <tableColumn id="56" xr3:uid="{00000000-0010-0000-0000-000038000000}" name="Obsługa maszyn Engel / Engel Maschinenbedienung" dataDxfId="2222" dataCellStyle="Normalny 2"/>
    <tableColumn id="57" xr3:uid="{00000000-0010-0000-0000-000039000000}" name="Obsługa maszyn Novapax / Novapax Maschinenbedienung" dataDxfId="2221" dataCellStyle="Normalny 2"/>
    <tableColumn id="58" xr3:uid="{00000000-0010-0000-0000-00003A000000}" name="Obsługa maszyn KVT / KVT Maschinenbedienung" dataDxfId="2220" dataCellStyle="Normalny 2"/>
    <tableColumn id="59" xr3:uid="{00000000-0010-0000-0000-00003B000000}" name="Obsługa maszyn ASL / ASL Maschinenbedienung" dataDxfId="2219" dataCellStyle="Normalny 2"/>
    <tableColumn id="60" xr3:uid="{00000000-0010-0000-0000-00003C000000}" name="Obsługa maszyn Branson / Branson Maschinenbedienung" dataDxfId="2218" dataCellStyle="Normalny 2"/>
    <tableColumn id="61" xr3:uid="{00000000-0010-0000-0000-00003D000000}" name="Obsługa maszyn Kamtec / Kamtec Maschinenbedienung" dataDxfId="2217" dataCellStyle="Normalny 2"/>
    <tableColumn id="62" xr3:uid="{00000000-0010-0000-0000-00003E000000}" name="Obsługa maszyn Piovan / Piovan Maschinenbedienung" dataDxfId="2216" dataCellStyle="Normalny 2"/>
    <tableColumn id="63" xr3:uid="{00000000-0010-0000-0000-00003F000000}" name="Obsługa maszyn REP / REP Maschinenbedienung" dataDxfId="2215" dataCellStyle="Normalny 2"/>
    <tableColumn id="64" xr3:uid="{00000000-0010-0000-0000-000040000000}" name="Eliminacja awarii / Beseitigung von Ausfällen" dataDxfId="2214" dataCellStyle="Normalny 2"/>
    <tableColumn id="68" xr3:uid="{00000000-0010-0000-0000-000044000000}" name="Informatyka ogólna (techniczne i systemowe) / Allgemeine IT (Technik und System)" dataDxfId="2213" dataCellStyle="Normalny 2"/>
    <tableColumn id="70" xr3:uid="{00000000-0010-0000-0000-000046000000}" name="Sieci komputerowe / Computernetzwerke" dataDxfId="2212" dataCellStyle="Normalny 2"/>
    <tableColumn id="71" xr3:uid="{00000000-0010-0000-0000-000047000000}" name="Hardware (komputery PC, drukarki biurowe i etykietowe, telefonia stacjonarna i mobilna) (PC, Drucker, Telefpne, Handys)" dataDxfId="2211" dataCellStyle="Normalny 2"/>
    <tableColumn id="72" xr3:uid="{00000000-0010-0000-0000-000048000000}" name="Software &amp; Systems (MS Office, MS Remote Desktop)" dataDxfId="2210" dataCellStyle="Normalny 2"/>
    <tableColumn id="73" xr3:uid="{00000000-0010-0000-0000-000049000000}" name="Programowanie obiektowe (PHP) / Objektprogrammierung" dataDxfId="2209" dataCellStyle="Normalny 2"/>
    <tableColumn id="74" xr3:uid="{00000000-0010-0000-0000-00004A000000}" name="Scrum" dataDxfId="2208" dataCellStyle="Normalny 2"/>
    <tableColumn id="75" xr3:uid="{00000000-0010-0000-0000-00004B000000}" name="SQL (MySQL)" dataDxfId="2207" dataCellStyle="Normalny 2"/>
    <tableColumn id="76" xr3:uid="{00000000-0010-0000-0000-00004C000000}" name="Javascript" dataDxfId="2206" dataCellStyle="Normalny 2"/>
    <tableColumn id="77" xr3:uid="{00000000-0010-0000-0000-00004D000000}" name="Joomla" dataDxfId="2205" dataCellStyle="Normalny 2"/>
    <tableColumn id="78" xr3:uid="{00000000-0010-0000-0000-00004E000000}" name="Bash" dataDxfId="2204" dataCellStyle="Normalny 2"/>
    <tableColumn id="79" xr3:uid="{00000000-0010-0000-0000-00004F000000}" name="Systemy MES (HYDRA / SFMS)" dataDxfId="2203" dataCellStyle="Normalny 2"/>
    <tableColumn id="80" xr3:uid="{00000000-0010-0000-0000-000050000000}" name="HTML / CSS" dataDxfId="2202" dataCellStyle="Normalny 2"/>
    <tableColumn id="81" xr3:uid="{00000000-0010-0000-0000-000051000000}" name="SYSTEM PR" dataDxfId="2201" dataCellStyle="Normalny 2"/>
    <tableColumn id="82" xr3:uid="{00000000-0010-0000-0000-000052000000}" name="System Einkauf XP / EBA" dataDxfId="2200" dataCellStyle="Normalny 2"/>
    <tableColumn id="83" xr3:uid="{00000000-0010-0000-0000-000053000000}" name="Techniki negocjacyjne / Verhandlungstechniken" dataDxfId="2199" dataCellStyle="Normalny 2"/>
    <tableColumn id="84" xr3:uid="{00000000-0010-0000-0000-000054000000}" name="Znajomość rynku branżowego / Kenntnis des Industrie Marktes" dataDxfId="2198" dataCellStyle="Normalny 2"/>
    <tableColumn id="85" xr3:uid="{00000000-0010-0000-0000-000055000000}" name="RAPORTY 8D / 8D Berichten" dataDxfId="2197" dataCellStyle="Normalny 2"/>
    <tableColumn id="86" xr3:uid="{00000000-0010-0000-0000-000056000000}" name="NARZĘDZIA JAKOŚCIOWE (5WHY, Ishikawa, etc) / QS-Werkzeuge" dataDxfId="2196" dataCellStyle="Normalny 2"/>
    <tableColumn id="87" xr3:uid="{00000000-0010-0000-0000-000057000000}" name="PDCA" dataDxfId="2195" dataCellStyle="Normalny 2"/>
    <tableColumn id="89" xr3:uid="{00000000-0010-0000-0000-000059000000}" name="Pareto" dataDxfId="2194" dataCellStyle="Normalny 2"/>
    <tableColumn id="90" xr3:uid="{00000000-0010-0000-0000-00005A000000}" name="PPAP/PSW" dataDxfId="2193" dataCellStyle="Normalny 2"/>
    <tableColumn id="91" xr3:uid="{00000000-0010-0000-0000-00005B000000}" name="SUPPLIER MANAGEMENT" dataDxfId="2192" dataCellStyle="Normalny 2"/>
    <tableColumn id="53" xr3:uid="{00000000-0010-0000-0000-000035000000}" name="OBSŁUGA PORTALI KLIENTA / Kundenportale" dataDxfId="2191" dataCellStyle="Normalny 2"/>
    <tableColumn id="151" xr3:uid="{00000000-0010-0000-0000-000097000000}" name="Obsługa systemu BABTECQ / BABTECQ System" dataDxfId="2190" dataCellStyle="Normalny 2"/>
    <tableColumn id="93" xr3:uid="{00000000-0010-0000-0000-00005D000000}" name="Rysunek techniczny / technische Zeichnung" dataDxfId="2189" dataCellStyle="Normalny 2"/>
    <tableColumn id="94" xr3:uid="{00000000-0010-0000-0000-00005E000000}" name="Kalibracja / Kalibrierung" dataDxfId="2188" dataCellStyle="Normalny 2"/>
    <tableColumn id="95" xr3:uid="{00000000-0010-0000-0000-00005F000000}" name="Rekwalifikacja / Requalifizierung" dataDxfId="2187" dataCellStyle="Normalny 2"/>
    <tableColumn id="29" xr3:uid="{5CF189E2-56F5-42C1-9008-A4DA714A3237}" name="Obsługa mikroskopu optycznego / Bedienung eines optischen Mikroskops" dataDxfId="2186" dataCellStyle="Normalny 2"/>
    <tableColumn id="30" xr3:uid="{E0D0BE11-EC74-47A6-8FAA-81A96F8683EA}" name="Wykonywanie pomiarów optycznych - ocena wizualna / Optische Messungen durchführen – visuelle Beurteilung" dataDxfId="2185" dataCellStyle="Normalny 2"/>
    <tableColumn id="166" xr3:uid="{9CD5DDFB-3DCC-4C1E-8E2B-5B70AEB0A2AF}" name="Obsługa Rheometra / Rheometra-Unterstützung" dataDxfId="2184" dataCellStyle="Normalny 2"/>
    <tableColumn id="170" xr3:uid="{F0042445-64A0-4EE4-8FB1-220BBA8F7B4D}" name="Testy właściwości Rheometra mieszanki gumy" dataDxfId="2183" dataCellStyle="Normalny 2"/>
    <tableColumn id="98" xr3:uid="{00000000-0010-0000-0000-000062000000}" name="CMM - Contura Zeiss" dataDxfId="2182" dataCellStyle="Normalny 2"/>
    <tableColumn id="52" xr3:uid="{A1358A04-1187-48F5-BED5-C78D6B73DEF6}" name="Wykonywanie precyzyjnych pomiarów metrycznych, pomiary 3D" dataDxfId="2181" dataCellStyle="Normalny 2"/>
    <tableColumn id="99" xr3:uid="{00000000-0010-0000-0000-000063000000}" name="Pisanie programów / Programme schreiben" dataDxfId="2180" dataCellStyle="Normalny 2"/>
    <tableColumn id="96" xr3:uid="{63B29252-51B5-4846-918A-31338E227F97}" name="Obsługa wyposażenia do testów czystości (myjka + analizator) / Betrieb von Sauberkeitsprüfgeräten (Waschmaschine + Analysegerät)" dataDxfId="2179" dataCellStyle="Normalny 2"/>
    <tableColumn id="100" xr3:uid="{00000000-0010-0000-0000-000064000000}" name="Testy czystości / Reinheitstests" dataDxfId="2178" dataCellStyle="Normalny 2"/>
    <tableColumn id="97" xr3:uid="{25B13306-42E7-4171-B5F8-A83D53FA8CA4}" name="Obsługa wysokościomierza / Unterstützung für Höhenmesser" dataDxfId="2177" dataCellStyle="Normalny 2"/>
    <tableColumn id="194" xr3:uid="{8FA20E70-9B6E-4311-9DD7-A144367FF119}" name="Pomiary wysokości materiału / Materialhöhenmessungen" dataDxfId="2176" dataCellStyle="Normalny 2"/>
    <tableColumn id="193" xr3:uid="{40EDCC0F-77B2-4288-A950-DD84186CE83A}" name="Obsługa okrągłościomierza / Unterstützung für Rundheitsmessgeräte" dataDxfId="2175" dataCellStyle="Normalny 2"/>
    <tableColumn id="192" xr3:uid="{67AE2EC6-4FB5-49DF-9AF9-461E717139DA}" name="Wykonywania pomiarów owalności, srednicy materiału / Messung der Ovalität und des Durchmessers des Materials" dataDxfId="2174" dataCellStyle="Normalny 2"/>
    <tableColumn id="191" xr3:uid="{FBA3D87E-2505-482A-94A1-A56ADF846BE9}" name="Obsługa urządzenia do pomiarów chropowoatości powierzchni materiału" dataDxfId="2173" dataCellStyle="Normalny 2"/>
    <tableColumn id="190" xr3:uid="{FDADDD31-A148-49CE-8755-17EB4A742488}" name="Wykonywanie pomiarów chropowatości powierzchni materiału / Durchführung von Messungen der Materialoberflächenrauheit" dataDxfId="2172" dataCellStyle="Normalny 2"/>
    <tableColumn id="189" xr3:uid="{7E9DF15E-1C68-45F6-A6C7-2C7AB93BA20A}" name="Obsługa urządzenia do pomiaru siły radialnej części - postępowanie z trzpieniami. / Funktionsweise des Geräts zur Messung der Radialkraft von Teilen – Handhabungsstifte." dataDxfId="2171" dataCellStyle="Normalny 2"/>
    <tableColumn id="185" xr3:uid="{0AFD070F-2D81-49FA-8000-6163D670ED03}" name="Wykonywanie pomiarów siły radialnej części / Führen Sie Radialkraftmessungen an Teilen durch" dataDxfId="2170" dataCellStyle="Normalny 2"/>
    <tableColumn id="184" xr3:uid="{49E50ED1-0840-4935-9645-634078568346}" name="Obsługa komory do testów wybuchwych / Betrieb einer Explosionsprüfkammer" dataDxfId="2169" dataCellStyle="Normalny 2"/>
    <tableColumn id="183" xr3:uid="{DA0BE965-BDD2-4F0C-A3D1-A6481C3F9F03}" name="Wykonywanie testów wybuchowych części / Durchführung von Explosionstests an Teilen" dataDxfId="2168" dataCellStyle="Normalny 2"/>
    <tableColumn id="182" xr3:uid="{EBEFEF87-72CA-468F-B022-9E43C3D6EAF5}" name="Obsługa urządzeń do mierzenia siły trzymania i/lub rozciągania / Betrieb von Geräten zur Messung der Halte- und/oder Dehnkraft" dataDxfId="2167" dataCellStyle="Normalny 2"/>
    <tableColumn id="181" xr3:uid="{547783A2-615B-4200-88A3-15E0680E436E}" name="Wykonywanie testów mierzenia siły trzymania i/lub rozciągania / Durchführung von Tests zur Messung der Halte- und/oder Streckkraft" dataDxfId="2166" dataCellStyle="Normalny 2"/>
    <tableColumn id="180" xr3:uid="{5DA94391-ADCB-4CA6-87F1-16528D0A4D4A}" name="Obsługa multimetru do pomiarów środowiskowych (temperatura, wilgotność, hałas, oświetlenie, przepływ powietrza) / Betrieb eines Multimeters für Umweltmessungen (Temperatur, Luftfeuchtigkeit, Lärm, Beleuchtung, Luftstrom)" dataDxfId="2165" dataCellStyle="Normalny 2"/>
    <tableColumn id="179" xr3:uid="{7A4E24C2-389C-4091-B74D-E8E038633B56}" name="Kontrola warunków środowiskowych pracy (temperatura, wilgotność, hałas, oświetlenie, przepływ powietrza) / Kontrolle der Arbeitsumgebungsbedingungen (Temperatur, Luftfeuchtigkeit, Lärm, Beleuchtung, Luftstrom)" dataDxfId="2164" dataCellStyle="Normalny 2"/>
    <tableColumn id="101" xr3:uid="{00000000-0010-0000-0000-000065000000}" name="MSA i SPC" dataDxfId="2163" dataCellStyle="Normalny 2"/>
    <tableColumn id="152" xr3:uid="{00000000-0010-0000-0000-000098000000}" name="Kontrola wejściowa komponentów/ Eingangskontrolle" dataDxfId="2162" dataCellStyle="Normalny 2"/>
    <tableColumn id="153" xr3:uid="{00000000-0010-0000-0000-000099000000}" name="Kontrola wyjściowa produktu / Ausgangskontrolle" dataDxfId="2161" dataCellStyle="Normalny 2"/>
    <tableColumn id="102" xr3:uid="{00000000-0010-0000-0000-000066000000}" name="Kontrola codzienna produkcji / Tägliche Produktionskontrolle" dataDxfId="2160" dataCellStyle="Normalny 2"/>
    <tableColumn id="104" xr3:uid="{00000000-0010-0000-0000-000068000000}" name="Konserwacja Rep" dataDxfId="2159" dataCellStyle="Normalny 2"/>
    <tableColumn id="105" xr3:uid="{00000000-0010-0000-0000-000069000000}" name="Konserwacja Engel " dataDxfId="2158" dataCellStyle="Normalny 2"/>
    <tableColumn id="106" xr3:uid="{00000000-0010-0000-0000-00006A000000}" name="Konserwacja B 50" dataDxfId="2157" dataCellStyle="Normalny 2"/>
    <tableColumn id="107" xr3:uid="{00000000-0010-0000-0000-00006B000000}" name="Konserwacja EOL " dataDxfId="2156" dataCellStyle="Normalny 2"/>
    <tableColumn id="108" xr3:uid="{00000000-0010-0000-0000-00006C000000}" name="Konserwacja Branson" dataDxfId="2155" dataCellStyle="Normalny 2"/>
    <tableColumn id="154" xr3:uid="{00000000-0010-0000-0000-00009A000000}" name="Konserwacja coolery" dataDxfId="2154" dataCellStyle="Normalny 2"/>
    <tableColumn id="155" xr3:uid="{00000000-0010-0000-0000-00009B000000}" name="Konserwacja piecy" dataDxfId="2153" dataCellStyle="Normalny 2"/>
    <tableColumn id="156" xr3:uid="{00000000-0010-0000-0000-00009C000000}" name="Rysunek techniczny- czytanie" dataDxfId="2152" dataCellStyle="Normalny 2"/>
    <tableColumn id="157" xr3:uid="{00000000-0010-0000-0000-00009D000000}" name="Elektryka" dataDxfId="2151" dataCellStyle="Normalny 2"/>
    <tableColumn id="158" xr3:uid="{00000000-0010-0000-0000-00009E000000}" name="Pneumatyka" dataDxfId="2150" dataCellStyle="Normalny 2"/>
    <tableColumn id="159" xr3:uid="{00000000-0010-0000-0000-00009F000000}" name="Hydraulika " dataDxfId="2149" dataCellStyle="Normalny 2"/>
    <tableColumn id="160" xr3:uid="{00000000-0010-0000-0000-0000A0000000}" name="Podciśnienie" dataDxfId="2148" dataCellStyle="Normalny 2"/>
    <tableColumn id="161" xr3:uid="{00000000-0010-0000-0000-0000A1000000}" name="Usuwanie awarii" dataDxfId="2147" dataCellStyle="Normalny 2"/>
    <tableColumn id="162" xr3:uid="{00000000-0010-0000-0000-0000A2000000}" name="Obsługa robotów" dataDxfId="2146" dataCellStyle="Normalny 2"/>
    <tableColumn id="163" xr3:uid="{00000000-0010-0000-0000-0000A3000000}" name="Obsługa sterowania maszyny" dataDxfId="2145" dataCellStyle="Normalny 2"/>
    <tableColumn id="164" xr3:uid="{00000000-0010-0000-0000-0000A4000000}" name="Usuwanie przyczyn żródłowych" dataDxfId="2144" dataCellStyle="Normalny 2"/>
    <tableColumn id="165" xr3:uid="{00000000-0010-0000-0000-0000A5000000}" name="Cmms stosowanie" dataDxfId="2143" dataCellStyle="Normalny 2"/>
    <tableColumn id="167" xr3:uid="{00000000-0010-0000-0000-0000A7000000}" name="Czyszczenie form gumowych " dataDxfId="2142" dataCellStyle="Normalny 2"/>
    <tableColumn id="168" xr3:uid="{00000000-0010-0000-0000-0000A8000000}" name="Czyszczenie form plastikowych" dataDxfId="2141" dataCellStyle="Normalny 2"/>
    <tableColumn id="169" xr3:uid="{00000000-0010-0000-0000-0000A9000000}" name="Wymiana form plastik" dataDxfId="2140" dataCellStyle="Normalny 2"/>
    <tableColumn id="175" xr3:uid="{00000000-0010-0000-0000-0000AF000000}" name="Wymiana form guma" dataDxfId="2139" dataCellStyle="Normalny 2"/>
    <tableColumn id="176" xr3:uid="{00000000-0010-0000-0000-0000B0000000}" name="Konserwacja KK" dataDxfId="2138" dataCellStyle="Normalny 2"/>
    <tableColumn id="177" xr3:uid="{00000000-0010-0000-0000-0000B1000000}" name="Konserwacja form guma" dataDxfId="2137" dataCellStyle="Normalny 2"/>
    <tableColumn id="178" xr3:uid="{00000000-0010-0000-0000-0000B2000000}" name="Konserwacja form plastiki" dataDxfId="2136" dataCellStyle="Normalny 2"/>
    <tableColumn id="110" xr3:uid="{E45846DE-0F81-46C0-A24B-C0A64DA6C9C7}" name="Nadzór nad rozchodem części zamiennych" dataDxfId="2135" dataCellStyle="Normalny 2"/>
    <tableColumn id="172" xr3:uid="{00000000-0010-0000-0000-0000AC000000}" name="Konserwacja Gorącego Kanału" dataDxfId="2134" dataCellStyle="Normalny 2"/>
    <tableColumn id="111" xr3:uid="{00000000-0010-0000-0000-00006F000000}" name="MS Office (Excel)" dataDxfId="2133" dataCellStyle="Normalny 2"/>
    <tableColumn id="112" xr3:uid="{00000000-0010-0000-0000-000070000000}" name="MS Office (Word)" dataDxfId="2132" dataCellStyle="Normalny 2"/>
    <tableColumn id="113" xr3:uid="{00000000-0010-0000-0000-000071000000}" name="MS Office (Power Point)" dataDxfId="2131" dataCellStyle="Normalny 2"/>
    <tableColumn id="114" xr3:uid="{00000000-0010-0000-0000-000072000000}" name="Język angielski / Englisch" dataDxfId="2130" dataCellStyle="Normalny 2"/>
    <tableColumn id="115" xr3:uid="{00000000-0010-0000-0000-000073000000}" name="Język niemiecki / Deutsch" dataDxfId="2129" dataCellStyle="Normalny 2"/>
    <tableColumn id="173" xr3:uid="{00000000-0010-0000-0000-0000AD000000}" name="Zarządzanie dokumentacją procesową / Process dokumentation management" dataDxfId="2128" dataCellStyle="Normalny 2"/>
    <tableColumn id="186" xr3:uid="{00000000-0010-0000-0000-0000BA000000}" name="Znajomość procesów z obszaru / Kenntiss der prozesse in dem Bereich" dataDxfId="2127" dataCellStyle="Normalny 2"/>
    <tableColumn id="187" xr3:uid="{00000000-0010-0000-0000-0000BB000000}" name="optymalizacja procesów / Prozessoptymalisierung" dataDxfId="2126" dataCellStyle="Normalny 2"/>
    <tableColumn id="188" xr3:uid="{00000000-0010-0000-0000-0000BC000000}" name="Umiejętności szkoleniowe / Trainingsfähigkeiten" dataDxfId="2125" dataCellStyle="Normalny 2"/>
    <tableColumn id="116" xr3:uid="{00000000-0010-0000-0000-000074000000}" name="Analityczne myślenie, podejście / Analitysches Denken, Einstellung" dataDxfId="2124" dataCellStyle="Normalny 2"/>
    <tableColumn id="117" xr3:uid="{00000000-0010-0000-0000-000075000000}" name="Dokładność, precyzja w dzialaniu / Genauigkeit, Präzision in die Arbeit" dataDxfId="2123" dataCellStyle="Normalny 2"/>
    <tableColumn id="147" xr3:uid="{00000000-0010-0000-0000-000093000000}" name="Dyspozycyjność / Verfügbarkeit" dataDxfId="2122" dataCellStyle="Normalny 2"/>
    <tableColumn id="118" xr3:uid="{00000000-0010-0000-0000-000076000000}" name="Zaangażowanie / _x000a_Engagement" dataDxfId="2121" dataCellStyle="Normalny 2"/>
    <tableColumn id="119" xr3:uid="{00000000-0010-0000-0000-000077000000}" name="Planowanie strategiczne / Strategische Planung" dataDxfId="2120" dataCellStyle="Normalny 2"/>
    <tableColumn id="120" xr3:uid="{00000000-0010-0000-0000-000078000000}" name="Konsekwentne i dynamiczne działanie" dataDxfId="2119" dataCellStyle="Normalny 2"/>
    <tableColumn id="146" xr3:uid="{00000000-0010-0000-0000-000092000000}" name="Elastyczność w działaniu" dataDxfId="2118" dataCellStyle="Normalny 2"/>
    <tableColumn id="121" xr3:uid="{00000000-0010-0000-0000-000079000000}" name="Komunikatywność" dataDxfId="2117" dataCellStyle="Normalny 2"/>
    <tableColumn id="122" xr3:uid="{00000000-0010-0000-0000-00007A000000}" name="Motywowanie i budowanie zaangażowania zespołu" dataDxfId="2116" dataCellStyle="Normalny 2"/>
    <tableColumn id="123" xr3:uid="{00000000-0010-0000-0000-00007B000000}" name="BRAK / Keine" dataDxfId="2115" dataCellStyle="Normalny 2"/>
    <tableColumn id="124" xr3:uid="{00000000-0010-0000-0000-00007C000000}" name="MINIMUM 1 ROK / min. 1 Jahr" dataDxfId="2114" dataCellStyle="Normalny 2"/>
    <tableColumn id="125" xr3:uid="{00000000-0010-0000-0000-00007D000000}" name="MINIMUM 2 LATA / min. 2 Jahre" dataDxfId="2113" dataCellStyle="Normalny 2"/>
    <tableColumn id="126" xr3:uid="{00000000-0010-0000-0000-00007E000000}" name="MINIMUM 3 LATA / min. 3 Jahre" dataDxfId="2112" dataCellStyle="Normalny 2"/>
    <tableColumn id="127" xr3:uid="{00000000-0010-0000-0000-00007F000000}" name="MINIMUM 4 LATA / min. 4 Jahre" dataDxfId="2111" dataCellStyle="Normalny 2"/>
    <tableColumn id="128" xr3:uid="{00000000-0010-0000-0000-000080000000}" name="MINIMUM 5 LAT / min. 5 Jahre" dataDxfId="2110" dataCellStyle="Normalny 2"/>
    <tableColumn id="129" xr3:uid="{00000000-0010-0000-0000-000081000000}" name="BRAK / Keine9" dataDxfId="2109" dataCellStyle="Normalny 2"/>
    <tableColumn id="130" xr3:uid="{00000000-0010-0000-0000-000082000000}" name="ZAWODOWE / Berufsausbildung" dataDxfId="2108" dataCellStyle="Normalny 2"/>
    <tableColumn id="131" xr3:uid="{00000000-0010-0000-0000-000083000000}" name="ŚREDNIE OGÓLNE / Abitur allgemeine" dataDxfId="2107" dataCellStyle="Normalny 2"/>
    <tableColumn id="132" xr3:uid="{00000000-0010-0000-0000-000084000000}" name="ŚREDNIE KIERUNKOWE / berufliches Gymnasium" dataDxfId="2106" dataCellStyle="Normalny 2"/>
    <tableColumn id="133" xr3:uid="{00000000-0010-0000-0000-000085000000}" name="WYŻSZE OGÓLNE / Hochschule allgemeine" dataDxfId="2105" dataCellStyle="Normalny 2"/>
    <tableColumn id="134" xr3:uid="{00000000-0010-0000-0000-000086000000}" name="WYŻSZE KIERUNKOWE / Hochschule berufliche" dataDxfId="2104" dataCellStyle="Normalny 2"/>
    <tableColumn id="135" xr3:uid="{00000000-0010-0000-0000-000087000000}" name="PIERWSZA POMOC / Erste Hilfe" dataDxfId="2103" dataCellStyle="Normalny 2"/>
    <tableColumn id="136" xr3:uid="{00000000-0010-0000-0000-000088000000}" name="Specjalista BHP / BHP Spezialist" dataDxfId="2102" dataCellStyle="Normalny 2"/>
    <tableColumn id="137" xr3:uid="{00000000-0010-0000-0000-000089000000}" name="Inspektor ochrony PPOŻ / Brandschutzinspektor" dataDxfId="2101" dataCellStyle="Normalny 2"/>
    <tableColumn id="138" xr3:uid="{00000000-0010-0000-0000-00008A000000}" name="WÓZKI JEZDNIOWE / Gebelstapler" dataDxfId="2100" dataCellStyle="Normalny 2"/>
    <tableColumn id="139" xr3:uid="{00000000-0010-0000-0000-00008B000000}" name="SEP" dataDxfId="2099" dataCellStyle="Normalny 2"/>
    <tableColumn id="140" xr3:uid="{00000000-0010-0000-0000-00008C000000}" name="SEP  DOZÓR / SEP Aufsicht" dataDxfId="2098" dataCellStyle="Normalny 2"/>
    <tableColumn id="141" xr3:uid="{00000000-0010-0000-0000-00008D000000}" name="PODNOŚNIKI / Hebevorrichtung" dataDxfId="2097" dataCellStyle="Normalny 2"/>
    <tableColumn id="142" xr3:uid="{00000000-0010-0000-0000-00008E000000}" name="SUWNICE / Laufkran" dataDxfId="2096" dataCellStyle="Normalny 2"/>
    <tableColumn id="143" xr3:uid="{00000000-0010-0000-0000-00008F000000}" name="WYSOKOŚCIOWE / Höhenberechtigungen" dataDxfId="2095" dataCellStyle="Normalny 2"/>
    <tableColumn id="144" xr3:uid="{00000000-0010-0000-0000-000090000000}" name="Kwalifikacje w pkt / Qualifikationen in Pkt" dataDxfId="2094" dataCellStyle="Normalny 2">
      <calculatedColumnFormula>SUM(D9:FN9)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_Legenda" displayName="tab_Legenda" ref="A2:A6" totalsRowShown="0" headerRowDxfId="2093" dataDxfId="2092" tableBorderDxfId="2091" headerRowCellStyle="Normalny 2">
  <autoFilter ref="A2:A6" xr:uid="{00000000-0009-0000-0100-000003000000}"/>
  <tableColumns count="1">
    <tableColumn id="1" xr3:uid="{00000000-0010-0000-0100-000001000000}" name="Matrix Legenda" dataDxfId="209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le5" displayName="Tabelle5" ref="FO3:FO5" totalsRowShown="0" headerRowDxfId="2089" dataDxfId="2088" tableBorderDxfId="2087" headerRowCellStyle="Normalny 2" dataCellStyle="Normalny 2">
  <autoFilter ref="FO3:FO5" xr:uid="{00000000-0009-0000-0100-000005000000}"/>
  <tableColumns count="1">
    <tableColumn id="1" xr3:uid="{00000000-0010-0000-0200-000001000000}" name="Spalte1" dataDxfId="2086" dataCellStyle="Normalny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_Dzial" displayName="tab_Dzial" ref="C1:E26" totalsRowShown="0">
  <autoFilter ref="C1:E26" xr:uid="{00000000-0009-0000-0100-000008000000}"/>
  <sortState xmlns:xlrd2="http://schemas.microsoft.com/office/spreadsheetml/2017/richdata2" ref="C2:C24">
    <sortCondition ref="C1:C24"/>
  </sortState>
  <tableColumns count="3">
    <tableColumn id="1" xr3:uid="{00000000-0010-0000-0300-000001000000}" name="Dział_x000a_Abteilung"/>
    <tableColumn id="2" xr3:uid="{00000000-0010-0000-0300-000002000000}" name="Odp1_x000a_Verant1" dataDxfId="2085"/>
    <tableColumn id="3" xr3:uid="{00000000-0010-0000-0300-000003000000}" name="Odp2_x000a_Verant2" dataDxfId="208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_Stanow" displayName="tab_Stanow" ref="G1:G94" totalsRowShown="0">
  <autoFilter ref="G1:G94" xr:uid="{00000000-0009-0000-0100-000009000000}"/>
  <sortState xmlns:xlrd2="http://schemas.microsoft.com/office/spreadsheetml/2017/richdata2" ref="G2:G94">
    <sortCondition ref="G1:G94"/>
  </sortState>
  <tableColumns count="1">
    <tableColumn id="1" xr3:uid="{00000000-0010-0000-0400-000001000000}" name="Stanowisko_x000a_Stell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abelle10" displayName="Tabelle10" ref="I1:I36" totalsRowShown="0" headerRowDxfId="2083" dataDxfId="2082">
  <autoFilter ref="I1:I36" xr:uid="{00000000-0009-0000-0100-00000A000000}"/>
  <sortState xmlns:xlrd2="http://schemas.microsoft.com/office/spreadsheetml/2017/richdata2" ref="I2:I16">
    <sortCondition ref="I1:I16"/>
  </sortState>
  <tableColumns count="1">
    <tableColumn id="1" xr3:uid="{00000000-0010-0000-0500-000001000000}" name="Odp.2_x000a_Verant.2" dataDxfId="208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2" dT="2025-09-17T05:49:52.96" personId="{EF5E0AB6-C6A8-4031-AFE5-814052798656}" id="{F7C363CF-D69C-4D51-BDCA-F969C1AE833C}">
    <text>Kompetencje wyjściowe stanowiska - Samodzielny metrolog</text>
  </threadedComment>
  <threadedComment ref="B32" dT="2025-09-17T05:50:55.80" personId="{EF5E0AB6-C6A8-4031-AFE5-814052798656}" id="{1873BDA8-E549-48DF-A83D-C959023A3D59}">
    <text>Kompetencje wyjściowe stanowiska - Samodzielny metrolog</text>
  </threadedComment>
  <threadedComment ref="C32" dT="2025-09-17T05:51:01.87" personId="{EF5E0AB6-C6A8-4031-AFE5-814052798656}" id="{47F366C9-7251-4225-BC82-F5F58FE7D653}">
    <text>Kompetencje wyjściowe stanowiska - Samodzielny metrolog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vmlDrawing" Target="../drawings/vmlDrawing2.vml"/><Relationship Id="rId7" Type="http://schemas.openxmlformats.org/officeDocument/2006/relationships/comments" Target="../comments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Z19"/>
  <sheetViews>
    <sheetView topLeftCell="A8" zoomScale="85" zoomScaleNormal="85" workbookViewId="0">
      <selection activeCell="L11" sqref="L11"/>
    </sheetView>
  </sheetViews>
  <sheetFormatPr defaultColWidth="9.42578125" defaultRowHeight="15" x14ac:dyDescent="0.25"/>
  <cols>
    <col min="3" max="3" width="12.42578125" customWidth="1"/>
    <col min="4" max="5" width="3.42578125" bestFit="1" customWidth="1"/>
    <col min="6" max="7" width="5.5703125" bestFit="1" customWidth="1"/>
    <col min="8" max="12" width="3.42578125" bestFit="1" customWidth="1"/>
    <col min="13" max="14" width="5.5703125" bestFit="1" customWidth="1"/>
    <col min="15" max="17" width="3.42578125" bestFit="1" customWidth="1"/>
    <col min="18" max="18" width="5.5703125" bestFit="1" customWidth="1"/>
    <col min="19" max="30" width="3.42578125" bestFit="1" customWidth="1"/>
    <col min="31" max="31" width="8.42578125" bestFit="1" customWidth="1"/>
    <col min="32" max="50" width="3.42578125" bestFit="1" customWidth="1"/>
    <col min="51" max="51" width="5.5703125" bestFit="1" customWidth="1"/>
    <col min="52" max="53" width="3.42578125" bestFit="1" customWidth="1"/>
    <col min="54" max="54" width="5.5703125" bestFit="1" customWidth="1"/>
    <col min="55" max="58" width="3.42578125" bestFit="1" customWidth="1"/>
    <col min="59" max="59" width="5.5703125" bestFit="1" customWidth="1"/>
    <col min="60" max="61" width="3.42578125" bestFit="1" customWidth="1"/>
    <col min="62" max="64" width="5.5703125" bestFit="1" customWidth="1"/>
    <col min="65" max="69" width="3.42578125" bestFit="1" customWidth="1"/>
    <col min="70" max="71" width="5.5703125" bestFit="1" customWidth="1"/>
    <col min="72" max="72" width="3.42578125" bestFit="1" customWidth="1"/>
    <col min="73" max="73" width="8.42578125" bestFit="1" customWidth="1"/>
    <col min="74" max="74" width="3.42578125" bestFit="1" customWidth="1"/>
    <col min="75" max="75" width="5.5703125" bestFit="1" customWidth="1"/>
    <col min="76" max="85" width="3.42578125" bestFit="1" customWidth="1"/>
    <col min="86" max="86" width="5.5703125" bestFit="1" customWidth="1"/>
    <col min="87" max="87" width="3.42578125" bestFit="1" customWidth="1"/>
    <col min="88" max="88" width="5.5703125" bestFit="1" customWidth="1"/>
    <col min="89" max="97" width="3.42578125" bestFit="1" customWidth="1"/>
    <col min="98" max="98" width="5.5703125" bestFit="1" customWidth="1"/>
    <col min="99" max="103" width="3.42578125" bestFit="1" customWidth="1"/>
    <col min="104" max="104" width="5.5703125" bestFit="1" customWidth="1"/>
    <col min="105" max="110" width="3.42578125" bestFit="1" customWidth="1"/>
    <col min="111" max="111" width="5.5703125" bestFit="1" customWidth="1"/>
    <col min="112" max="117" width="3.42578125" bestFit="1" customWidth="1"/>
    <col min="118" max="119" width="5.5703125" bestFit="1" customWidth="1"/>
    <col min="120" max="148" width="3.42578125" bestFit="1" customWidth="1"/>
  </cols>
  <sheetData>
    <row r="2" spans="1:182" ht="15.75" thickBot="1" x14ac:dyDescent="0.3">
      <c r="D2" t="s">
        <v>293</v>
      </c>
    </row>
    <row r="3" spans="1:182" s="1" customFormat="1" ht="13.5" thickBot="1" x14ac:dyDescent="0.25">
      <c r="A3" s="547" t="s">
        <v>13</v>
      </c>
      <c r="B3" s="548"/>
      <c r="C3" s="34"/>
      <c r="D3" s="549" t="s">
        <v>14</v>
      </c>
      <c r="E3" s="550"/>
      <c r="F3" s="549" t="s">
        <v>15</v>
      </c>
      <c r="G3" s="551"/>
      <c r="H3" s="552"/>
      <c r="I3" s="552"/>
      <c r="J3" s="552"/>
      <c r="K3" s="552"/>
      <c r="L3" s="552"/>
      <c r="M3" s="552"/>
      <c r="N3" s="550"/>
      <c r="O3" s="549" t="s">
        <v>16</v>
      </c>
      <c r="P3" s="551"/>
      <c r="Q3" s="552"/>
      <c r="R3" s="552"/>
      <c r="S3" s="552"/>
      <c r="T3" s="550"/>
      <c r="U3" s="549" t="s">
        <v>17</v>
      </c>
      <c r="V3" s="551"/>
      <c r="W3" s="552"/>
      <c r="X3" s="552"/>
      <c r="Y3" s="552"/>
      <c r="Z3" s="552"/>
      <c r="AA3" s="552"/>
      <c r="AB3" s="552"/>
      <c r="AC3" s="552"/>
      <c r="AD3" s="552"/>
      <c r="AE3" s="552"/>
      <c r="AF3" s="550"/>
      <c r="AG3" s="541" t="s">
        <v>276</v>
      </c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53"/>
      <c r="AS3" s="541" t="s">
        <v>18</v>
      </c>
      <c r="AT3" s="542"/>
      <c r="AU3" s="542"/>
      <c r="AV3" s="553"/>
      <c r="AW3" s="541" t="s">
        <v>19</v>
      </c>
      <c r="AX3" s="542"/>
      <c r="AY3" s="542"/>
      <c r="AZ3" s="542"/>
      <c r="BA3" s="542"/>
      <c r="BB3" s="542"/>
      <c r="BC3" s="542"/>
      <c r="BD3" s="553"/>
      <c r="BE3" s="541" t="s">
        <v>20</v>
      </c>
      <c r="BF3" s="542"/>
      <c r="BG3" s="542"/>
      <c r="BH3" s="542"/>
      <c r="BI3" s="542"/>
      <c r="BJ3" s="542"/>
      <c r="BK3" s="542"/>
      <c r="BL3" s="542"/>
      <c r="BM3" s="542"/>
      <c r="BN3" s="542"/>
      <c r="BO3" s="542"/>
      <c r="BP3" s="542"/>
      <c r="BQ3" s="553"/>
      <c r="BR3" s="541" t="s">
        <v>21</v>
      </c>
      <c r="BS3" s="542"/>
      <c r="BT3" s="542"/>
      <c r="BU3" s="542"/>
      <c r="BV3" s="542"/>
      <c r="BW3" s="542"/>
      <c r="BX3" s="542"/>
      <c r="BY3" s="542"/>
      <c r="BZ3" s="542"/>
      <c r="CA3" s="542"/>
      <c r="CB3" s="542"/>
      <c r="CC3" s="542"/>
      <c r="CD3" s="553"/>
      <c r="CE3" s="541" t="s">
        <v>22</v>
      </c>
      <c r="CF3" s="542"/>
      <c r="CG3" s="542"/>
      <c r="CH3" s="553"/>
      <c r="CI3" s="554" t="s">
        <v>23</v>
      </c>
      <c r="CJ3" s="555"/>
      <c r="CK3" s="555"/>
      <c r="CL3" s="555"/>
      <c r="CM3" s="555"/>
      <c r="CN3" s="555"/>
      <c r="CO3" s="555"/>
      <c r="CP3" s="556"/>
      <c r="CQ3" s="554" t="s">
        <v>24</v>
      </c>
      <c r="CR3" s="555"/>
      <c r="CS3" s="555"/>
      <c r="CT3" s="555"/>
      <c r="CU3" s="555"/>
      <c r="CV3" s="555"/>
      <c r="CW3" s="555"/>
      <c r="CX3" s="555"/>
      <c r="CY3" s="555"/>
      <c r="CZ3" s="556"/>
      <c r="DA3" s="541" t="s">
        <v>25</v>
      </c>
      <c r="DB3" s="542"/>
      <c r="DC3" s="542"/>
      <c r="DD3" s="542"/>
      <c r="DE3" s="542"/>
      <c r="DF3" s="542"/>
      <c r="DG3" s="542"/>
      <c r="DH3" s="553"/>
      <c r="DI3" s="541" t="s">
        <v>26</v>
      </c>
      <c r="DJ3" s="542"/>
      <c r="DK3" s="542"/>
      <c r="DL3" s="542"/>
      <c r="DM3" s="542"/>
      <c r="DN3" s="542"/>
      <c r="DO3" s="542"/>
      <c r="DP3" s="22"/>
      <c r="DQ3" s="23"/>
      <c r="DR3" s="543" t="s">
        <v>277</v>
      </c>
      <c r="DS3" s="544"/>
      <c r="DT3" s="544"/>
      <c r="DU3" s="544"/>
      <c r="DV3" s="545"/>
      <c r="DW3" s="535" t="s">
        <v>27</v>
      </c>
      <c r="DX3" s="537"/>
      <c r="DY3" s="538"/>
      <c r="DZ3" s="538"/>
      <c r="EA3" s="538"/>
      <c r="EB3" s="546"/>
      <c r="EC3" s="535" t="s">
        <v>28</v>
      </c>
      <c r="ED3" s="537"/>
      <c r="EE3" s="538"/>
      <c r="EF3" s="538"/>
      <c r="EG3" s="538"/>
      <c r="EH3" s="546"/>
      <c r="EI3" s="535" t="s">
        <v>29</v>
      </c>
      <c r="EJ3" s="536"/>
      <c r="EK3" s="536"/>
      <c r="EL3" s="537"/>
      <c r="EM3" s="538"/>
      <c r="EN3" s="538"/>
      <c r="EO3" s="538"/>
      <c r="EP3" s="538"/>
      <c r="EQ3" s="538"/>
    </row>
    <row r="4" spans="1:182" s="2" customFormat="1" ht="220.35" customHeight="1" thickBot="1" x14ac:dyDescent="0.3">
      <c r="A4" s="31"/>
      <c r="B4" s="32"/>
      <c r="C4" s="33"/>
      <c r="D4" s="7" t="s">
        <v>31</v>
      </c>
      <c r="E4" s="4" t="s">
        <v>32</v>
      </c>
      <c r="F4" s="3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5" t="s">
        <v>39</v>
      </c>
      <c r="M4" s="4" t="s">
        <v>40</v>
      </c>
      <c r="N4" s="29" t="s">
        <v>285</v>
      </c>
      <c r="O4" s="3" t="s">
        <v>41</v>
      </c>
      <c r="P4" s="5" t="s">
        <v>275</v>
      </c>
      <c r="Q4" s="5" t="s">
        <v>42</v>
      </c>
      <c r="R4" s="5" t="s">
        <v>43</v>
      </c>
      <c r="S4" s="5" t="s">
        <v>44</v>
      </c>
      <c r="T4" s="4" t="s">
        <v>45</v>
      </c>
      <c r="U4" s="3" t="s">
        <v>46</v>
      </c>
      <c r="V4" s="5" t="s">
        <v>47</v>
      </c>
      <c r="W4" s="5" t="s">
        <v>48</v>
      </c>
      <c r="X4" s="5" t="s">
        <v>49</v>
      </c>
      <c r="Y4" s="5" t="s">
        <v>50</v>
      </c>
      <c r="Z4" s="5" t="s">
        <v>51</v>
      </c>
      <c r="AA4" s="5" t="s">
        <v>52</v>
      </c>
      <c r="AB4" s="5" t="s">
        <v>53</v>
      </c>
      <c r="AC4" s="5" t="s">
        <v>54</v>
      </c>
      <c r="AD4" s="5" t="s">
        <v>55</v>
      </c>
      <c r="AE4" s="56" t="s">
        <v>56</v>
      </c>
      <c r="AF4" s="5" t="s">
        <v>57</v>
      </c>
      <c r="AG4" s="3" t="s">
        <v>58</v>
      </c>
      <c r="AH4" s="5" t="s">
        <v>59</v>
      </c>
      <c r="AI4" s="5" t="s">
        <v>60</v>
      </c>
      <c r="AJ4" s="5" t="s">
        <v>61</v>
      </c>
      <c r="AK4" s="5" t="s">
        <v>62</v>
      </c>
      <c r="AL4" s="5" t="s">
        <v>63</v>
      </c>
      <c r="AM4" s="5" t="s">
        <v>64</v>
      </c>
      <c r="AN4" s="5" t="s">
        <v>65</v>
      </c>
      <c r="AO4" s="5" t="s">
        <v>66</v>
      </c>
      <c r="AP4" s="5" t="s">
        <v>67</v>
      </c>
      <c r="AQ4" s="5" t="s">
        <v>68</v>
      </c>
      <c r="AR4" s="5" t="s">
        <v>69</v>
      </c>
      <c r="AS4" s="3" t="s">
        <v>70</v>
      </c>
      <c r="AT4" s="5" t="s">
        <v>71</v>
      </c>
      <c r="AU4" s="5" t="s">
        <v>72</v>
      </c>
      <c r="AV4" s="4" t="s">
        <v>73</v>
      </c>
      <c r="AW4" s="7" t="s">
        <v>74</v>
      </c>
      <c r="AX4" s="5" t="s">
        <v>75</v>
      </c>
      <c r="AY4" s="5" t="s">
        <v>76</v>
      </c>
      <c r="AZ4" s="5" t="s">
        <v>77</v>
      </c>
      <c r="BA4" s="5" t="s">
        <v>78</v>
      </c>
      <c r="BB4" s="5" t="s">
        <v>79</v>
      </c>
      <c r="BC4" s="5" t="s">
        <v>169</v>
      </c>
      <c r="BD4" s="6" t="s">
        <v>170</v>
      </c>
      <c r="BE4" s="3" t="s">
        <v>80</v>
      </c>
      <c r="BF4" s="5" t="s">
        <v>81</v>
      </c>
      <c r="BG4" s="5" t="s">
        <v>82</v>
      </c>
      <c r="BH4" s="5" t="s">
        <v>83</v>
      </c>
      <c r="BI4" s="5" t="s">
        <v>84</v>
      </c>
      <c r="BJ4" s="5" t="s">
        <v>85</v>
      </c>
      <c r="BK4" s="5" t="s">
        <v>86</v>
      </c>
      <c r="BL4" s="5" t="s">
        <v>87</v>
      </c>
      <c r="BM4" s="5" t="s">
        <v>88</v>
      </c>
      <c r="BN4" s="5" t="s">
        <v>171</v>
      </c>
      <c r="BO4" s="5" t="s">
        <v>172</v>
      </c>
      <c r="BP4" s="5" t="s">
        <v>173</v>
      </c>
      <c r="BQ4" s="4" t="s">
        <v>174</v>
      </c>
      <c r="BR4" s="3" t="s">
        <v>89</v>
      </c>
      <c r="BS4" s="7" t="s">
        <v>90</v>
      </c>
      <c r="BT4" s="7" t="s">
        <v>91</v>
      </c>
      <c r="BU4" s="7" t="s">
        <v>92</v>
      </c>
      <c r="BV4" s="7" t="s">
        <v>93</v>
      </c>
      <c r="BW4" s="7" t="s">
        <v>94</v>
      </c>
      <c r="BX4" s="7" t="s">
        <v>95</v>
      </c>
      <c r="BY4" s="5" t="s">
        <v>96</v>
      </c>
      <c r="BZ4" s="5" t="s">
        <v>97</v>
      </c>
      <c r="CA4" s="6" t="s">
        <v>98</v>
      </c>
      <c r="CB4" s="6" t="s">
        <v>99</v>
      </c>
      <c r="CC4" s="6" t="s">
        <v>100</v>
      </c>
      <c r="CD4" s="4" t="s">
        <v>101</v>
      </c>
      <c r="CE4" s="7" t="s">
        <v>102</v>
      </c>
      <c r="CF4" s="5" t="s">
        <v>103</v>
      </c>
      <c r="CG4" s="5" t="s">
        <v>104</v>
      </c>
      <c r="CH4" s="6" t="s">
        <v>105</v>
      </c>
      <c r="CI4" s="3" t="s">
        <v>106</v>
      </c>
      <c r="CJ4" s="5" t="s">
        <v>107</v>
      </c>
      <c r="CK4" s="5" t="s">
        <v>108</v>
      </c>
      <c r="CL4" s="5" t="s">
        <v>109</v>
      </c>
      <c r="CM4" s="5" t="s">
        <v>110</v>
      </c>
      <c r="CN4" s="5" t="s">
        <v>111</v>
      </c>
      <c r="CO4" s="5" t="s">
        <v>112</v>
      </c>
      <c r="CP4" s="4" t="s">
        <v>113</v>
      </c>
      <c r="CQ4" s="7" t="s">
        <v>114</v>
      </c>
      <c r="CR4" s="5" t="s">
        <v>115</v>
      </c>
      <c r="CS4" s="5" t="s">
        <v>116</v>
      </c>
      <c r="CT4" s="5" t="s">
        <v>117</v>
      </c>
      <c r="CU4" s="5" t="s">
        <v>118</v>
      </c>
      <c r="CV4" s="5" t="s">
        <v>119</v>
      </c>
      <c r="CW4" s="5" t="s">
        <v>120</v>
      </c>
      <c r="CX4" s="5" t="s">
        <v>121</v>
      </c>
      <c r="CY4" s="5" t="s">
        <v>122</v>
      </c>
      <c r="CZ4" s="6" t="s">
        <v>123</v>
      </c>
      <c r="DA4" s="8" t="s">
        <v>124</v>
      </c>
      <c r="DB4" s="9" t="s">
        <v>125</v>
      </c>
      <c r="DC4" s="9" t="s">
        <v>126</v>
      </c>
      <c r="DD4" s="9" t="s">
        <v>127</v>
      </c>
      <c r="DE4" s="9" t="s">
        <v>128</v>
      </c>
      <c r="DF4" s="9" t="s">
        <v>129</v>
      </c>
      <c r="DG4" s="9" t="s">
        <v>130</v>
      </c>
      <c r="DH4" s="9" t="s">
        <v>131</v>
      </c>
      <c r="DI4" s="8" t="s">
        <v>132</v>
      </c>
      <c r="DJ4" s="9" t="s">
        <v>133</v>
      </c>
      <c r="DK4" s="9" t="s">
        <v>134</v>
      </c>
      <c r="DL4" s="9" t="s">
        <v>135</v>
      </c>
      <c r="DM4" s="9" t="s">
        <v>136</v>
      </c>
      <c r="DN4" s="9" t="s">
        <v>137</v>
      </c>
      <c r="DO4" s="9" t="s">
        <v>138</v>
      </c>
      <c r="DP4" s="24" t="s">
        <v>278</v>
      </c>
      <c r="DQ4" s="28" t="s">
        <v>279</v>
      </c>
      <c r="DR4" s="25" t="s">
        <v>280</v>
      </c>
      <c r="DS4" s="26" t="s">
        <v>281</v>
      </c>
      <c r="DT4" s="26" t="s">
        <v>282</v>
      </c>
      <c r="DU4" s="26" t="s">
        <v>283</v>
      </c>
      <c r="DV4" s="27" t="s">
        <v>284</v>
      </c>
      <c r="DW4" s="10" t="s">
        <v>139</v>
      </c>
      <c r="DX4" s="11" t="s">
        <v>140</v>
      </c>
      <c r="DY4" s="11" t="s">
        <v>141</v>
      </c>
      <c r="DZ4" s="11" t="s">
        <v>142</v>
      </c>
      <c r="EA4" s="11" t="s">
        <v>143</v>
      </c>
      <c r="EB4" s="12" t="s">
        <v>144</v>
      </c>
      <c r="EC4" s="13" t="s">
        <v>175</v>
      </c>
      <c r="ED4" s="14" t="s">
        <v>145</v>
      </c>
      <c r="EE4" s="14" t="s">
        <v>146</v>
      </c>
      <c r="EF4" s="14" t="s">
        <v>147</v>
      </c>
      <c r="EG4" s="14" t="s">
        <v>148</v>
      </c>
      <c r="EH4" s="15" t="s">
        <v>149</v>
      </c>
      <c r="EI4" s="13" t="s">
        <v>150</v>
      </c>
      <c r="EJ4" s="16" t="s">
        <v>151</v>
      </c>
      <c r="EK4" s="16" t="s">
        <v>152</v>
      </c>
      <c r="EL4" s="14" t="s">
        <v>153</v>
      </c>
      <c r="EM4" s="14" t="s">
        <v>154</v>
      </c>
      <c r="EN4" s="14" t="s">
        <v>155</v>
      </c>
      <c r="EO4" s="14" t="s">
        <v>156</v>
      </c>
      <c r="EP4" s="14" t="s">
        <v>157</v>
      </c>
      <c r="EQ4" s="17" t="s">
        <v>158</v>
      </c>
      <c r="ER4" s="18"/>
    </row>
    <row r="6" spans="1:182" ht="15.75" thickBot="1" x14ac:dyDescent="0.3">
      <c r="A6" t="s">
        <v>370</v>
      </c>
    </row>
    <row r="7" spans="1:182" ht="15.75" thickBot="1" x14ac:dyDescent="0.3">
      <c r="A7" s="547" t="s">
        <v>13</v>
      </c>
      <c r="B7" s="548"/>
      <c r="C7" s="34"/>
      <c r="D7" s="549" t="s">
        <v>14</v>
      </c>
      <c r="E7" s="542"/>
      <c r="F7" s="542"/>
      <c r="G7" s="550"/>
      <c r="H7" s="549" t="s">
        <v>15</v>
      </c>
      <c r="I7" s="551"/>
      <c r="J7" s="552"/>
      <c r="K7" s="552"/>
      <c r="L7" s="552"/>
      <c r="M7" s="552"/>
      <c r="N7" s="552"/>
      <c r="O7" s="552"/>
      <c r="P7" s="550"/>
      <c r="Q7" s="549" t="s">
        <v>16</v>
      </c>
      <c r="R7" s="551"/>
      <c r="S7" s="552"/>
      <c r="T7" s="552"/>
      <c r="U7" s="552"/>
      <c r="V7" s="550"/>
      <c r="W7" s="549" t="s">
        <v>17</v>
      </c>
      <c r="X7" s="551"/>
      <c r="Y7" s="552"/>
      <c r="Z7" s="552"/>
      <c r="AA7" s="552"/>
      <c r="AB7" s="552"/>
      <c r="AC7" s="552"/>
      <c r="AD7" s="552"/>
      <c r="AE7" s="552"/>
      <c r="AF7" s="552"/>
      <c r="AG7" s="552"/>
      <c r="AH7" s="550"/>
      <c r="AI7" s="541" t="s">
        <v>276</v>
      </c>
      <c r="AJ7" s="542"/>
      <c r="AK7" s="542"/>
      <c r="AL7" s="542"/>
      <c r="AM7" s="542"/>
      <c r="AN7" s="542"/>
      <c r="AO7" s="542"/>
      <c r="AP7" s="542"/>
      <c r="AQ7" s="542"/>
      <c r="AR7" s="542"/>
      <c r="AS7" s="542"/>
      <c r="AT7" s="542"/>
      <c r="AU7" s="553"/>
      <c r="AV7" s="541" t="s">
        <v>18</v>
      </c>
      <c r="AW7" s="542"/>
      <c r="AX7" s="542"/>
      <c r="AY7" s="553"/>
      <c r="AZ7" s="541" t="s">
        <v>19</v>
      </c>
      <c r="BA7" s="542"/>
      <c r="BB7" s="542"/>
      <c r="BC7" s="542"/>
      <c r="BD7" s="542"/>
      <c r="BE7" s="542"/>
      <c r="BF7" s="542"/>
      <c r="BG7" s="553"/>
      <c r="BH7" s="541" t="s">
        <v>20</v>
      </c>
      <c r="BI7" s="542"/>
      <c r="BJ7" s="542"/>
      <c r="BK7" s="542"/>
      <c r="BL7" s="542"/>
      <c r="BM7" s="542"/>
      <c r="BN7" s="542"/>
      <c r="BO7" s="542"/>
      <c r="BP7" s="542"/>
      <c r="BQ7" s="542"/>
      <c r="BR7" s="542"/>
      <c r="BS7" s="542"/>
      <c r="BT7" s="553"/>
      <c r="BU7" s="541" t="s">
        <v>21</v>
      </c>
      <c r="BV7" s="542"/>
      <c r="BW7" s="542"/>
      <c r="BX7" s="542"/>
      <c r="BY7" s="542"/>
      <c r="BZ7" s="542"/>
      <c r="CA7" s="542"/>
      <c r="CB7" s="542"/>
      <c r="CC7" s="542"/>
      <c r="CD7" s="542"/>
      <c r="CE7" s="542"/>
      <c r="CF7" s="542"/>
      <c r="CG7" s="553"/>
      <c r="CH7" s="541" t="s">
        <v>22</v>
      </c>
      <c r="CI7" s="542"/>
      <c r="CJ7" s="542"/>
      <c r="CK7" s="553"/>
      <c r="CL7" s="554" t="s">
        <v>23</v>
      </c>
      <c r="CM7" s="555"/>
      <c r="CN7" s="555"/>
      <c r="CO7" s="555"/>
      <c r="CP7" s="555"/>
      <c r="CQ7" s="555"/>
      <c r="CR7" s="555"/>
      <c r="CS7" s="555"/>
      <c r="CT7" s="556"/>
      <c r="CU7" s="554" t="s">
        <v>24</v>
      </c>
      <c r="CV7" s="555"/>
      <c r="CW7" s="555"/>
      <c r="CX7" s="555"/>
      <c r="CY7" s="555"/>
      <c r="CZ7" s="555"/>
      <c r="DA7" s="555"/>
      <c r="DB7" s="555"/>
      <c r="DC7" s="555"/>
      <c r="DD7" s="555"/>
      <c r="DE7" s="555"/>
      <c r="DF7" s="555"/>
      <c r="DG7" s="541" t="s">
        <v>25</v>
      </c>
      <c r="DH7" s="542"/>
      <c r="DI7" s="542"/>
      <c r="DJ7" s="542"/>
      <c r="DK7" s="542"/>
      <c r="DL7" s="542"/>
      <c r="DM7" s="542"/>
      <c r="DN7" s="553"/>
      <c r="DO7" s="541" t="s">
        <v>26</v>
      </c>
      <c r="DP7" s="542"/>
      <c r="DQ7" s="542"/>
      <c r="DR7" s="542"/>
      <c r="DS7" s="542"/>
      <c r="DT7" s="542"/>
      <c r="DU7" s="542"/>
      <c r="DV7" s="22"/>
      <c r="DW7" s="23"/>
      <c r="DX7" s="543" t="s">
        <v>277</v>
      </c>
      <c r="DY7" s="544"/>
      <c r="DZ7" s="544"/>
      <c r="EA7" s="544"/>
      <c r="EB7" s="545"/>
      <c r="EC7" s="535" t="s">
        <v>27</v>
      </c>
      <c r="ED7" s="537"/>
      <c r="EE7" s="538"/>
      <c r="EF7" s="538"/>
      <c r="EG7" s="538"/>
      <c r="EH7" s="546"/>
      <c r="EI7" s="535" t="s">
        <v>28</v>
      </c>
      <c r="EJ7" s="537"/>
      <c r="EK7" s="538"/>
      <c r="EL7" s="538"/>
      <c r="EM7" s="538"/>
      <c r="EN7" s="546"/>
      <c r="EO7" s="535" t="s">
        <v>29</v>
      </c>
      <c r="EP7" s="536"/>
      <c r="EQ7" s="536"/>
      <c r="ER7" s="537"/>
      <c r="ES7" s="538"/>
      <c r="ET7" s="538"/>
      <c r="EU7" s="538"/>
      <c r="EV7" s="538"/>
      <c r="EW7" s="538"/>
    </row>
    <row r="8" spans="1:182" ht="220.35" customHeight="1" thickBot="1" x14ac:dyDescent="0.3">
      <c r="A8" s="31"/>
      <c r="B8" s="32"/>
      <c r="C8" s="33"/>
      <c r="D8" s="7" t="s">
        <v>31</v>
      </c>
      <c r="E8" s="35" t="s">
        <v>32</v>
      </c>
      <c r="F8" s="36" t="s">
        <v>286</v>
      </c>
      <c r="G8" s="37" t="s">
        <v>287</v>
      </c>
      <c r="H8" s="3" t="s">
        <v>33</v>
      </c>
      <c r="I8" s="5" t="s">
        <v>34</v>
      </c>
      <c r="J8" s="5" t="s">
        <v>35</v>
      </c>
      <c r="K8" s="5" t="s">
        <v>36</v>
      </c>
      <c r="L8" s="5" t="s">
        <v>37</v>
      </c>
      <c r="M8" s="5" t="s">
        <v>38</v>
      </c>
      <c r="N8" s="5" t="s">
        <v>39</v>
      </c>
      <c r="O8" s="4" t="s">
        <v>40</v>
      </c>
      <c r="P8" s="29" t="s">
        <v>285</v>
      </c>
      <c r="Q8" s="3" t="s">
        <v>41</v>
      </c>
      <c r="R8" s="5" t="s">
        <v>275</v>
      </c>
      <c r="S8" s="5" t="s">
        <v>42</v>
      </c>
      <c r="T8" s="5" t="s">
        <v>43</v>
      </c>
      <c r="U8" s="5" t="s">
        <v>44</v>
      </c>
      <c r="V8" s="4" t="s">
        <v>45</v>
      </c>
      <c r="W8" s="3" t="s">
        <v>46</v>
      </c>
      <c r="X8" s="5" t="s">
        <v>47</v>
      </c>
      <c r="Y8" s="5" t="s">
        <v>48</v>
      </c>
      <c r="Z8" s="5" t="s">
        <v>49</v>
      </c>
      <c r="AA8" s="5" t="s">
        <v>50</v>
      </c>
      <c r="AB8" s="5" t="s">
        <v>51</v>
      </c>
      <c r="AC8" s="5" t="s">
        <v>52</v>
      </c>
      <c r="AD8" s="5" t="s">
        <v>53</v>
      </c>
      <c r="AE8" s="5" t="s">
        <v>54</v>
      </c>
      <c r="AF8" s="5" t="s">
        <v>55</v>
      </c>
      <c r="AG8" s="6" t="s">
        <v>56</v>
      </c>
      <c r="AH8" s="5" t="s">
        <v>57</v>
      </c>
      <c r="AI8" s="38" t="s">
        <v>58</v>
      </c>
      <c r="AJ8" s="5" t="s">
        <v>59</v>
      </c>
      <c r="AK8" s="39" t="s">
        <v>60</v>
      </c>
      <c r="AL8" s="5" t="s">
        <v>61</v>
      </c>
      <c r="AM8" s="5" t="s">
        <v>62</v>
      </c>
      <c r="AN8" s="5" t="s">
        <v>63</v>
      </c>
      <c r="AO8" s="40" t="s">
        <v>64</v>
      </c>
      <c r="AP8" s="40" t="s">
        <v>65</v>
      </c>
      <c r="AQ8" s="41" t="s">
        <v>288</v>
      </c>
      <c r="AR8" s="5" t="s">
        <v>66</v>
      </c>
      <c r="AS8" s="5" t="s">
        <v>67</v>
      </c>
      <c r="AT8" s="5" t="s">
        <v>68</v>
      </c>
      <c r="AU8" s="5" t="s">
        <v>69</v>
      </c>
      <c r="AV8" s="3" t="s">
        <v>70</v>
      </c>
      <c r="AW8" s="5" t="s">
        <v>71</v>
      </c>
      <c r="AX8" s="5" t="s">
        <v>72</v>
      </c>
      <c r="AY8" s="4" t="s">
        <v>73</v>
      </c>
      <c r="AZ8" s="7" t="s">
        <v>74</v>
      </c>
      <c r="BA8" s="5" t="s">
        <v>75</v>
      </c>
      <c r="BB8" s="5" t="s">
        <v>76</v>
      </c>
      <c r="BC8" s="5" t="s">
        <v>77</v>
      </c>
      <c r="BD8" s="5" t="s">
        <v>78</v>
      </c>
      <c r="BE8" s="5" t="s">
        <v>79</v>
      </c>
      <c r="BF8" s="5" t="s">
        <v>169</v>
      </c>
      <c r="BG8" s="6" t="s">
        <v>170</v>
      </c>
      <c r="BH8" s="3" t="s">
        <v>80</v>
      </c>
      <c r="BI8" s="5" t="s">
        <v>81</v>
      </c>
      <c r="BJ8" s="5" t="s">
        <v>82</v>
      </c>
      <c r="BK8" s="5" t="s">
        <v>83</v>
      </c>
      <c r="BL8" s="5" t="s">
        <v>84</v>
      </c>
      <c r="BM8" s="5" t="s">
        <v>85</v>
      </c>
      <c r="BN8" s="5" t="s">
        <v>86</v>
      </c>
      <c r="BO8" s="5" t="s">
        <v>87</v>
      </c>
      <c r="BP8" s="5" t="s">
        <v>88</v>
      </c>
      <c r="BQ8" s="5" t="s">
        <v>171</v>
      </c>
      <c r="BR8" s="5" t="s">
        <v>172</v>
      </c>
      <c r="BS8" s="5" t="s">
        <v>173</v>
      </c>
      <c r="BT8" s="4" t="s">
        <v>174</v>
      </c>
      <c r="BU8" s="3" t="s">
        <v>89</v>
      </c>
      <c r="BV8" s="7" t="s">
        <v>90</v>
      </c>
      <c r="BW8" s="7" t="s">
        <v>91</v>
      </c>
      <c r="BX8" s="7" t="s">
        <v>92</v>
      </c>
      <c r="BY8" s="7" t="s">
        <v>93</v>
      </c>
      <c r="BZ8" s="7" t="s">
        <v>94</v>
      </c>
      <c r="CA8" s="7" t="s">
        <v>95</v>
      </c>
      <c r="CB8" s="5" t="s">
        <v>96</v>
      </c>
      <c r="CC8" s="5" t="s">
        <v>97</v>
      </c>
      <c r="CD8" s="6" t="s">
        <v>98</v>
      </c>
      <c r="CE8" s="6" t="s">
        <v>99</v>
      </c>
      <c r="CF8" s="6" t="s">
        <v>100</v>
      </c>
      <c r="CG8" s="4" t="s">
        <v>101</v>
      </c>
      <c r="CH8" s="7" t="s">
        <v>102</v>
      </c>
      <c r="CI8" s="5" t="s">
        <v>103</v>
      </c>
      <c r="CJ8" s="5" t="s">
        <v>104</v>
      </c>
      <c r="CK8" s="6" t="s">
        <v>105</v>
      </c>
      <c r="CL8" s="3" t="s">
        <v>106</v>
      </c>
      <c r="CM8" s="5" t="s">
        <v>107</v>
      </c>
      <c r="CN8" s="5" t="s">
        <v>108</v>
      </c>
      <c r="CO8" s="5" t="s">
        <v>109</v>
      </c>
      <c r="CP8" s="5" t="s">
        <v>110</v>
      </c>
      <c r="CQ8" s="5" t="s">
        <v>111</v>
      </c>
      <c r="CR8" s="5" t="s">
        <v>112</v>
      </c>
      <c r="CS8" s="42" t="s">
        <v>289</v>
      </c>
      <c r="CT8" s="4" t="s">
        <v>290</v>
      </c>
      <c r="CU8" s="7" t="s">
        <v>114</v>
      </c>
      <c r="CV8" s="5" t="s">
        <v>115</v>
      </c>
      <c r="CW8" s="5" t="s">
        <v>116</v>
      </c>
      <c r="CX8" s="5" t="s">
        <v>117</v>
      </c>
      <c r="CY8" s="5" t="s">
        <v>118</v>
      </c>
      <c r="CZ8" s="5" t="s">
        <v>119</v>
      </c>
      <c r="DA8" s="5" t="s">
        <v>120</v>
      </c>
      <c r="DB8" s="5" t="s">
        <v>121</v>
      </c>
      <c r="DC8" s="5" t="s">
        <v>122</v>
      </c>
      <c r="DD8" s="42" t="s">
        <v>291</v>
      </c>
      <c r="DE8" s="42" t="s">
        <v>292</v>
      </c>
      <c r="DF8" s="6" t="s">
        <v>123</v>
      </c>
      <c r="DG8" s="8" t="s">
        <v>124</v>
      </c>
      <c r="DH8" s="9" t="s">
        <v>125</v>
      </c>
      <c r="DI8" s="9" t="s">
        <v>126</v>
      </c>
      <c r="DJ8" s="9" t="s">
        <v>127</v>
      </c>
      <c r="DK8" s="9" t="s">
        <v>128</v>
      </c>
      <c r="DL8" s="9" t="s">
        <v>129</v>
      </c>
      <c r="DM8" s="9" t="s">
        <v>130</v>
      </c>
      <c r="DN8" s="9" t="s">
        <v>131</v>
      </c>
      <c r="DO8" s="8" t="s">
        <v>132</v>
      </c>
      <c r="DP8" s="9" t="s">
        <v>133</v>
      </c>
      <c r="DQ8" s="9" t="s">
        <v>134</v>
      </c>
      <c r="DR8" s="9" t="s">
        <v>135</v>
      </c>
      <c r="DS8" s="9" t="s">
        <v>136</v>
      </c>
      <c r="DT8" s="9" t="s">
        <v>137</v>
      </c>
      <c r="DU8" s="9" t="s">
        <v>138</v>
      </c>
      <c r="DV8" s="24" t="s">
        <v>278</v>
      </c>
      <c r="DW8" s="28" t="s">
        <v>279</v>
      </c>
      <c r="DX8" s="25" t="s">
        <v>280</v>
      </c>
      <c r="DY8" s="26" t="s">
        <v>281</v>
      </c>
      <c r="DZ8" s="26" t="s">
        <v>282</v>
      </c>
      <c r="EA8" s="26" t="s">
        <v>283</v>
      </c>
      <c r="EB8" s="27" t="s">
        <v>284</v>
      </c>
      <c r="EC8" s="10" t="s">
        <v>139</v>
      </c>
      <c r="ED8" s="11" t="s">
        <v>140</v>
      </c>
      <c r="EE8" s="11" t="s">
        <v>141</v>
      </c>
      <c r="EF8" s="11" t="s">
        <v>142</v>
      </c>
      <c r="EG8" s="11" t="s">
        <v>143</v>
      </c>
      <c r="EH8" s="12" t="s">
        <v>144</v>
      </c>
      <c r="EI8" s="13" t="s">
        <v>175</v>
      </c>
      <c r="EJ8" s="14" t="s">
        <v>145</v>
      </c>
      <c r="EK8" s="14" t="s">
        <v>146</v>
      </c>
      <c r="EL8" s="14" t="s">
        <v>147</v>
      </c>
      <c r="EM8" s="14" t="s">
        <v>148</v>
      </c>
      <c r="EN8" s="15" t="s">
        <v>149</v>
      </c>
      <c r="EO8" s="13" t="s">
        <v>150</v>
      </c>
      <c r="EP8" s="16" t="s">
        <v>151</v>
      </c>
      <c r="EQ8" s="16" t="s">
        <v>152</v>
      </c>
      <c r="ER8" s="14" t="s">
        <v>153</v>
      </c>
      <c r="ES8" s="14" t="s">
        <v>154</v>
      </c>
      <c r="ET8" s="14" t="s">
        <v>155</v>
      </c>
      <c r="EU8" s="14" t="s">
        <v>156</v>
      </c>
      <c r="EV8" s="14" t="s">
        <v>157</v>
      </c>
      <c r="EW8" s="17" t="s">
        <v>158</v>
      </c>
    </row>
    <row r="9" spans="1:182" ht="15.75" thickBot="1" x14ac:dyDescent="0.3">
      <c r="A9" t="s">
        <v>369</v>
      </c>
    </row>
    <row r="10" spans="1:182" ht="15.75" thickBot="1" x14ac:dyDescent="0.3">
      <c r="A10" s="547" t="s">
        <v>13</v>
      </c>
      <c r="B10" s="548"/>
      <c r="C10" s="34"/>
      <c r="D10" s="560" t="s">
        <v>294</v>
      </c>
      <c r="E10" s="561"/>
      <c r="F10" s="561"/>
      <c r="G10" s="561"/>
      <c r="H10" s="561"/>
      <c r="I10" s="561"/>
      <c r="J10" s="561"/>
      <c r="K10" s="561"/>
      <c r="L10" s="561"/>
      <c r="M10" s="561"/>
      <c r="N10" s="561"/>
      <c r="O10" s="561"/>
      <c r="P10" s="561"/>
      <c r="Q10" s="561"/>
      <c r="R10" s="561"/>
      <c r="S10" s="562"/>
      <c r="T10" s="549" t="s">
        <v>15</v>
      </c>
      <c r="U10" s="551"/>
      <c r="V10" s="552"/>
      <c r="W10" s="552"/>
      <c r="X10" s="552"/>
      <c r="Y10" s="552"/>
      <c r="Z10" s="552"/>
      <c r="AA10" s="552"/>
      <c r="AB10" s="550"/>
      <c r="AC10" s="549" t="s">
        <v>16</v>
      </c>
      <c r="AD10" s="551"/>
      <c r="AE10" s="552"/>
      <c r="AF10" s="552"/>
      <c r="AG10" s="552"/>
      <c r="AH10" s="550"/>
      <c r="AI10" s="549" t="s">
        <v>17</v>
      </c>
      <c r="AJ10" s="551"/>
      <c r="AK10" s="552"/>
      <c r="AL10" s="552"/>
      <c r="AM10" s="552"/>
      <c r="AN10" s="552"/>
      <c r="AO10" s="552"/>
      <c r="AP10" s="552"/>
      <c r="AQ10" s="552"/>
      <c r="AR10" s="552"/>
      <c r="AS10" s="552"/>
      <c r="AT10" s="550"/>
      <c r="AU10" s="541" t="s">
        <v>276</v>
      </c>
      <c r="AV10" s="542"/>
      <c r="AW10" s="542"/>
      <c r="AX10" s="542"/>
      <c r="AY10" s="542"/>
      <c r="AZ10" s="542"/>
      <c r="BA10" s="542"/>
      <c r="BB10" s="542"/>
      <c r="BC10" s="542"/>
      <c r="BD10" s="542"/>
      <c r="BE10" s="542"/>
      <c r="BF10" s="553"/>
      <c r="BG10" s="541" t="s">
        <v>18</v>
      </c>
      <c r="BH10" s="542"/>
      <c r="BI10" s="542"/>
      <c r="BJ10" s="553"/>
      <c r="BK10" s="541" t="s">
        <v>19</v>
      </c>
      <c r="BL10" s="542"/>
      <c r="BM10" s="542"/>
      <c r="BN10" s="542"/>
      <c r="BO10" s="542"/>
      <c r="BP10" s="542"/>
      <c r="BQ10" s="542"/>
      <c r="BR10" s="553"/>
      <c r="BS10" s="541" t="s">
        <v>20</v>
      </c>
      <c r="BT10" s="542"/>
      <c r="BU10" s="542"/>
      <c r="BV10" s="542"/>
      <c r="BW10" s="542"/>
      <c r="BX10" s="542"/>
      <c r="BY10" s="542"/>
      <c r="BZ10" s="542"/>
      <c r="CA10" s="542"/>
      <c r="CB10" s="542"/>
      <c r="CC10" s="542"/>
      <c r="CD10" s="542"/>
      <c r="CE10" s="553"/>
      <c r="CF10" s="541" t="s">
        <v>21</v>
      </c>
      <c r="CG10" s="542"/>
      <c r="CH10" s="542"/>
      <c r="CI10" s="542"/>
      <c r="CJ10" s="542"/>
      <c r="CK10" s="542"/>
      <c r="CL10" s="542"/>
      <c r="CM10" s="542"/>
      <c r="CN10" s="542"/>
      <c r="CO10" s="542"/>
      <c r="CP10" s="542"/>
      <c r="CQ10" s="542"/>
      <c r="CR10" s="553"/>
      <c r="CS10" s="541" t="s">
        <v>22</v>
      </c>
      <c r="CT10" s="542"/>
      <c r="CU10" s="542"/>
      <c r="CV10" s="553"/>
      <c r="CW10" s="554" t="s">
        <v>23</v>
      </c>
      <c r="CX10" s="555"/>
      <c r="CY10" s="555"/>
      <c r="CZ10" s="555"/>
      <c r="DA10" s="555"/>
      <c r="DB10" s="555"/>
      <c r="DC10" s="555"/>
      <c r="DD10" s="555"/>
      <c r="DE10" s="556"/>
      <c r="DF10" s="554" t="s">
        <v>24</v>
      </c>
      <c r="DG10" s="555"/>
      <c r="DH10" s="555"/>
      <c r="DI10" s="555"/>
      <c r="DJ10" s="555"/>
      <c r="DK10" s="555"/>
      <c r="DL10" s="555"/>
      <c r="DM10" s="555"/>
      <c r="DN10" s="555"/>
      <c r="DO10" s="555"/>
      <c r="DP10" s="555"/>
      <c r="DQ10" s="555"/>
      <c r="DR10" s="555"/>
      <c r="DS10" s="556"/>
      <c r="DT10" s="541" t="s">
        <v>25</v>
      </c>
      <c r="DU10" s="542"/>
      <c r="DV10" s="542"/>
      <c r="DW10" s="542"/>
      <c r="DX10" s="542"/>
      <c r="DY10" s="542"/>
      <c r="DZ10" s="542"/>
      <c r="EA10" s="553"/>
      <c r="EB10" s="541" t="s">
        <v>26</v>
      </c>
      <c r="EC10" s="542"/>
      <c r="ED10" s="542"/>
      <c r="EE10" s="542"/>
      <c r="EF10" s="542"/>
      <c r="EG10" s="542"/>
      <c r="EH10" s="542"/>
      <c r="EI10" s="22"/>
      <c r="EJ10" s="23"/>
      <c r="EK10" s="543" t="s">
        <v>277</v>
      </c>
      <c r="EL10" s="544"/>
      <c r="EM10" s="544"/>
      <c r="EN10" s="544"/>
      <c r="EO10" s="545"/>
      <c r="EP10" s="535" t="s">
        <v>27</v>
      </c>
      <c r="EQ10" s="537"/>
      <c r="ER10" s="538"/>
      <c r="ES10" s="538"/>
      <c r="ET10" s="538"/>
      <c r="EU10" s="546"/>
      <c r="EV10" s="535" t="s">
        <v>28</v>
      </c>
      <c r="EW10" s="537"/>
      <c r="EX10" s="538"/>
      <c r="EY10" s="538"/>
      <c r="EZ10" s="538"/>
      <c r="FA10" s="546"/>
      <c r="FB10" s="535" t="s">
        <v>29</v>
      </c>
      <c r="FC10" s="536"/>
      <c r="FD10" s="536"/>
      <c r="FE10" s="537"/>
      <c r="FF10" s="538"/>
      <c r="FG10" s="538"/>
      <c r="FH10" s="538"/>
      <c r="FI10" s="538"/>
      <c r="FJ10" s="538"/>
    </row>
    <row r="11" spans="1:182" ht="220.35" customHeight="1" thickBot="1" x14ac:dyDescent="0.3">
      <c r="A11" s="31"/>
      <c r="B11" s="32"/>
      <c r="C11" s="32"/>
      <c r="D11" s="13" t="s">
        <v>295</v>
      </c>
      <c r="E11" s="14" t="s">
        <v>296</v>
      </c>
      <c r="F11" s="54" t="s">
        <v>297</v>
      </c>
      <c r="G11" s="54" t="s">
        <v>353</v>
      </c>
      <c r="H11" s="53" t="s">
        <v>371</v>
      </c>
      <c r="I11" s="54" t="s">
        <v>298</v>
      </c>
      <c r="J11" s="54" t="s">
        <v>299</v>
      </c>
      <c r="K11" s="54" t="s">
        <v>300</v>
      </c>
      <c r="L11" s="54" t="s">
        <v>301</v>
      </c>
      <c r="M11" s="54" t="s">
        <v>302</v>
      </c>
      <c r="N11" s="54" t="s">
        <v>303</v>
      </c>
      <c r="O11" s="54" t="s">
        <v>304</v>
      </c>
      <c r="P11" s="54" t="s">
        <v>305</v>
      </c>
      <c r="Q11" s="54" t="s">
        <v>306</v>
      </c>
      <c r="R11" s="43" t="s">
        <v>307</v>
      </c>
      <c r="S11" s="55" t="s">
        <v>308</v>
      </c>
      <c r="T11" s="7" t="s">
        <v>33</v>
      </c>
      <c r="U11" s="5" t="s">
        <v>34</v>
      </c>
      <c r="V11" s="5" t="s">
        <v>35</v>
      </c>
      <c r="W11" s="5" t="s">
        <v>36</v>
      </c>
      <c r="X11" s="5" t="s">
        <v>37</v>
      </c>
      <c r="Y11" s="5" t="s">
        <v>38</v>
      </c>
      <c r="Z11" s="5" t="s">
        <v>39</v>
      </c>
      <c r="AA11" s="4" t="s">
        <v>40</v>
      </c>
      <c r="AB11" s="29" t="s">
        <v>285</v>
      </c>
      <c r="AC11" s="3" t="s">
        <v>41</v>
      </c>
      <c r="AD11" s="5" t="s">
        <v>275</v>
      </c>
      <c r="AE11" s="5" t="s">
        <v>42</v>
      </c>
      <c r="AF11" s="5" t="s">
        <v>43</v>
      </c>
      <c r="AG11" s="5" t="s">
        <v>44</v>
      </c>
      <c r="AH11" s="4" t="s">
        <v>45</v>
      </c>
      <c r="AI11" s="3" t="s">
        <v>46</v>
      </c>
      <c r="AJ11" s="5" t="s">
        <v>47</v>
      </c>
      <c r="AK11" s="5" t="s">
        <v>48</v>
      </c>
      <c r="AL11" s="5" t="s">
        <v>49</v>
      </c>
      <c r="AM11" s="5" t="s">
        <v>50</v>
      </c>
      <c r="AN11" s="5" t="s">
        <v>51</v>
      </c>
      <c r="AO11" s="5" t="s">
        <v>52</v>
      </c>
      <c r="AP11" s="5" t="s">
        <v>53</v>
      </c>
      <c r="AQ11" s="5" t="s">
        <v>54</v>
      </c>
      <c r="AR11" s="5" t="s">
        <v>55</v>
      </c>
      <c r="AS11" s="6" t="s">
        <v>56</v>
      </c>
      <c r="AT11" s="5" t="s">
        <v>57</v>
      </c>
      <c r="AU11" s="3" t="s">
        <v>58</v>
      </c>
      <c r="AV11" s="5" t="s">
        <v>59</v>
      </c>
      <c r="AW11" s="5" t="s">
        <v>60</v>
      </c>
      <c r="AX11" s="5" t="s">
        <v>61</v>
      </c>
      <c r="AY11" s="5" t="s">
        <v>62</v>
      </c>
      <c r="AZ11" s="5" t="s">
        <v>63</v>
      </c>
      <c r="BA11" s="5" t="s">
        <v>64</v>
      </c>
      <c r="BB11" s="5" t="s">
        <v>65</v>
      </c>
      <c r="BC11" s="5" t="s">
        <v>66</v>
      </c>
      <c r="BD11" s="5" t="s">
        <v>67</v>
      </c>
      <c r="BE11" s="5" t="s">
        <v>68</v>
      </c>
      <c r="BF11" s="5" t="s">
        <v>69</v>
      </c>
      <c r="BG11" s="3" t="s">
        <v>70</v>
      </c>
      <c r="BH11" s="5" t="s">
        <v>71</v>
      </c>
      <c r="BI11" s="5" t="s">
        <v>72</v>
      </c>
      <c r="BJ11" s="4" t="s">
        <v>73</v>
      </c>
      <c r="BK11" s="7" t="s">
        <v>74</v>
      </c>
      <c r="BL11" s="5" t="s">
        <v>75</v>
      </c>
      <c r="BM11" s="5" t="s">
        <v>76</v>
      </c>
      <c r="BN11" s="5" t="s">
        <v>77</v>
      </c>
      <c r="BO11" s="5" t="s">
        <v>78</v>
      </c>
      <c r="BP11" s="5" t="s">
        <v>79</v>
      </c>
      <c r="BQ11" s="5" t="s">
        <v>169</v>
      </c>
      <c r="BR11" s="6" t="s">
        <v>170</v>
      </c>
      <c r="BS11" s="3" t="s">
        <v>80</v>
      </c>
      <c r="BT11" s="5" t="s">
        <v>81</v>
      </c>
      <c r="BU11" s="5" t="s">
        <v>82</v>
      </c>
      <c r="BV11" s="5" t="s">
        <v>83</v>
      </c>
      <c r="BW11" s="5" t="s">
        <v>84</v>
      </c>
      <c r="BX11" s="5" t="s">
        <v>85</v>
      </c>
      <c r="BY11" s="5" t="s">
        <v>86</v>
      </c>
      <c r="BZ11" s="5" t="s">
        <v>87</v>
      </c>
      <c r="CA11" s="5" t="s">
        <v>88</v>
      </c>
      <c r="CB11" s="5" t="s">
        <v>171</v>
      </c>
      <c r="CC11" s="5" t="s">
        <v>172</v>
      </c>
      <c r="CD11" s="5" t="s">
        <v>173</v>
      </c>
      <c r="CE11" s="4" t="s">
        <v>174</v>
      </c>
      <c r="CF11" s="3" t="s">
        <v>89</v>
      </c>
      <c r="CG11" s="7" t="s">
        <v>90</v>
      </c>
      <c r="CH11" s="7" t="s">
        <v>91</v>
      </c>
      <c r="CI11" s="7" t="s">
        <v>92</v>
      </c>
      <c r="CJ11" s="7" t="s">
        <v>93</v>
      </c>
      <c r="CK11" s="7" t="s">
        <v>94</v>
      </c>
      <c r="CL11" s="7" t="s">
        <v>95</v>
      </c>
      <c r="CM11" s="5" t="s">
        <v>96</v>
      </c>
      <c r="CN11" s="5" t="s">
        <v>97</v>
      </c>
      <c r="CO11" s="6" t="s">
        <v>98</v>
      </c>
      <c r="CP11" s="6" t="s">
        <v>99</v>
      </c>
      <c r="CQ11" s="6" t="s">
        <v>100</v>
      </c>
      <c r="CR11" s="4" t="s">
        <v>101</v>
      </c>
      <c r="CS11" s="7" t="s">
        <v>102</v>
      </c>
      <c r="CT11" s="5" t="s">
        <v>103</v>
      </c>
      <c r="CU11" s="5" t="s">
        <v>104</v>
      </c>
      <c r="CV11" s="6" t="s">
        <v>105</v>
      </c>
      <c r="CW11" s="3" t="s">
        <v>106</v>
      </c>
      <c r="CX11" s="5" t="s">
        <v>107</v>
      </c>
      <c r="CY11" s="5" t="s">
        <v>108</v>
      </c>
      <c r="CZ11" s="5" t="s">
        <v>109</v>
      </c>
      <c r="DA11" s="5" t="s">
        <v>110</v>
      </c>
      <c r="DB11" s="5" t="s">
        <v>111</v>
      </c>
      <c r="DC11" s="5" t="s">
        <v>112</v>
      </c>
      <c r="DD11" s="42" t="s">
        <v>289</v>
      </c>
      <c r="DE11" s="4" t="s">
        <v>113</v>
      </c>
      <c r="DF11" s="7" t="s">
        <v>114</v>
      </c>
      <c r="DG11" s="5" t="s">
        <v>115</v>
      </c>
      <c r="DH11" s="5" t="s">
        <v>116</v>
      </c>
      <c r="DI11" s="5" t="s">
        <v>117</v>
      </c>
      <c r="DJ11" s="5" t="s">
        <v>118</v>
      </c>
      <c r="DK11" s="5" t="s">
        <v>119</v>
      </c>
      <c r="DL11" s="5" t="s">
        <v>120</v>
      </c>
      <c r="DM11" s="5" t="s">
        <v>121</v>
      </c>
      <c r="DN11" s="5" t="s">
        <v>122</v>
      </c>
      <c r="DO11" s="42" t="s">
        <v>309</v>
      </c>
      <c r="DP11" s="42" t="s">
        <v>310</v>
      </c>
      <c r="DQ11" s="42" t="s">
        <v>289</v>
      </c>
      <c r="DR11" s="6" t="s">
        <v>123</v>
      </c>
      <c r="DS11" s="42" t="s">
        <v>311</v>
      </c>
      <c r="DT11" s="8" t="s">
        <v>124</v>
      </c>
      <c r="DU11" s="9" t="s">
        <v>125</v>
      </c>
      <c r="DV11" s="9" t="s">
        <v>126</v>
      </c>
      <c r="DW11" s="9" t="s">
        <v>127</v>
      </c>
      <c r="DX11" s="9" t="s">
        <v>128</v>
      </c>
      <c r="DY11" s="9" t="s">
        <v>129</v>
      </c>
      <c r="DZ11" s="9" t="s">
        <v>130</v>
      </c>
      <c r="EA11" s="9" t="s">
        <v>131</v>
      </c>
      <c r="EB11" s="8" t="s">
        <v>132</v>
      </c>
      <c r="EC11" s="9" t="s">
        <v>133</v>
      </c>
      <c r="ED11" s="9" t="s">
        <v>134</v>
      </c>
      <c r="EE11" s="9" t="s">
        <v>135</v>
      </c>
      <c r="EF11" s="9" t="s">
        <v>136</v>
      </c>
      <c r="EG11" s="9" t="s">
        <v>137</v>
      </c>
      <c r="EH11" s="9" t="s">
        <v>138</v>
      </c>
      <c r="EI11" s="24" t="s">
        <v>278</v>
      </c>
      <c r="EJ11" s="28" t="s">
        <v>279</v>
      </c>
      <c r="EK11" s="25" t="s">
        <v>280</v>
      </c>
      <c r="EL11" s="26" t="s">
        <v>281</v>
      </c>
      <c r="EM11" s="26" t="s">
        <v>282</v>
      </c>
      <c r="EN11" s="26" t="s">
        <v>283</v>
      </c>
      <c r="EO11" s="27" t="s">
        <v>284</v>
      </c>
      <c r="EP11" s="10" t="s">
        <v>139</v>
      </c>
      <c r="EQ11" s="11" t="s">
        <v>140</v>
      </c>
      <c r="ER11" s="11" t="s">
        <v>141</v>
      </c>
      <c r="ES11" s="11" t="s">
        <v>142</v>
      </c>
      <c r="ET11" s="11" t="s">
        <v>143</v>
      </c>
      <c r="EU11" s="12" t="s">
        <v>144</v>
      </c>
      <c r="EV11" s="13" t="s">
        <v>175</v>
      </c>
      <c r="EW11" s="14" t="s">
        <v>145</v>
      </c>
      <c r="EX11" s="14" t="s">
        <v>146</v>
      </c>
      <c r="EY11" s="14" t="s">
        <v>147</v>
      </c>
      <c r="EZ11" s="14" t="s">
        <v>148</v>
      </c>
      <c r="FA11" s="15" t="s">
        <v>149</v>
      </c>
      <c r="FB11" s="2"/>
      <c r="FC11" s="2"/>
      <c r="FD11" s="2"/>
      <c r="FE11" s="14" t="s">
        <v>153</v>
      </c>
      <c r="FF11" s="14" t="s">
        <v>154</v>
      </c>
      <c r="FG11" s="14" t="s">
        <v>155</v>
      </c>
      <c r="FH11" s="14" t="s">
        <v>156</v>
      </c>
      <c r="FI11" s="14" t="s">
        <v>157</v>
      </c>
      <c r="FJ11" s="17" t="s">
        <v>158</v>
      </c>
    </row>
    <row r="12" spans="1:182" x14ac:dyDescent="0.25">
      <c r="F12" s="47" t="s">
        <v>312</v>
      </c>
      <c r="G12" s="47" t="s">
        <v>312</v>
      </c>
      <c r="H12" s="47" t="s">
        <v>312</v>
      </c>
      <c r="I12" s="47" t="s">
        <v>312</v>
      </c>
      <c r="J12" s="47" t="s">
        <v>312</v>
      </c>
      <c r="K12" s="47" t="s">
        <v>312</v>
      </c>
      <c r="L12" s="47" t="s">
        <v>312</v>
      </c>
      <c r="M12" s="47" t="s">
        <v>312</v>
      </c>
      <c r="N12" s="47" t="s">
        <v>312</v>
      </c>
      <c r="O12" s="47" t="s">
        <v>312</v>
      </c>
      <c r="P12" s="47" t="s">
        <v>312</v>
      </c>
      <c r="Q12" s="47" t="s">
        <v>312</v>
      </c>
      <c r="R12" s="47" t="s">
        <v>312</v>
      </c>
      <c r="S12" s="47" t="s">
        <v>312</v>
      </c>
    </row>
    <row r="13" spans="1:182" ht="15.75" thickBot="1" x14ac:dyDescent="0.3">
      <c r="A13" t="s">
        <v>352</v>
      </c>
    </row>
    <row r="14" spans="1:182" s="1" customFormat="1" ht="14.85" customHeight="1" thickBot="1" x14ac:dyDescent="0.25">
      <c r="A14" s="547" t="s">
        <v>13</v>
      </c>
      <c r="B14" s="548"/>
      <c r="C14" s="34"/>
      <c r="D14" s="549" t="s">
        <v>14</v>
      </c>
      <c r="E14" s="550"/>
      <c r="F14" s="549" t="s">
        <v>15</v>
      </c>
      <c r="G14" s="551"/>
      <c r="H14" s="552"/>
      <c r="I14" s="552"/>
      <c r="J14" s="552"/>
      <c r="K14" s="552"/>
      <c r="L14" s="552"/>
      <c r="M14" s="552"/>
      <c r="N14" s="550"/>
      <c r="O14" s="549" t="s">
        <v>16</v>
      </c>
      <c r="P14" s="551"/>
      <c r="Q14" s="552"/>
      <c r="R14" s="552"/>
      <c r="S14" s="552"/>
      <c r="T14" s="550"/>
      <c r="U14" s="549" t="s">
        <v>17</v>
      </c>
      <c r="V14" s="551"/>
      <c r="W14" s="552"/>
      <c r="X14" s="552"/>
      <c r="Y14" s="552"/>
      <c r="Z14" s="552"/>
      <c r="AA14" s="552"/>
      <c r="AB14" s="552"/>
      <c r="AC14" s="552"/>
      <c r="AD14" s="552"/>
      <c r="AE14" s="552"/>
      <c r="AF14" s="550"/>
      <c r="AG14" s="541" t="s">
        <v>276</v>
      </c>
      <c r="AH14" s="542"/>
      <c r="AI14" s="542"/>
      <c r="AJ14" s="542"/>
      <c r="AK14" s="542"/>
      <c r="AL14" s="542"/>
      <c r="AM14" s="542"/>
      <c r="AN14" s="542"/>
      <c r="AO14" s="542"/>
      <c r="AP14" s="542"/>
      <c r="AQ14" s="542"/>
      <c r="AR14" s="553"/>
      <c r="AS14" s="541" t="s">
        <v>18</v>
      </c>
      <c r="AT14" s="542"/>
      <c r="AU14" s="542"/>
      <c r="AV14" s="553"/>
      <c r="AW14" s="541" t="s">
        <v>19</v>
      </c>
      <c r="AX14" s="542"/>
      <c r="AY14" s="542"/>
      <c r="AZ14" s="542"/>
      <c r="BA14" s="542"/>
      <c r="BB14" s="542"/>
      <c r="BC14" s="542"/>
      <c r="BD14" s="553"/>
      <c r="BE14" s="541" t="s">
        <v>20</v>
      </c>
      <c r="BF14" s="542"/>
      <c r="BG14" s="542"/>
      <c r="BH14" s="542"/>
      <c r="BI14" s="542"/>
      <c r="BJ14" s="542"/>
      <c r="BK14" s="542"/>
      <c r="BL14" s="542"/>
      <c r="BM14" s="542"/>
      <c r="BN14" s="542"/>
      <c r="BO14" s="542"/>
      <c r="BP14" s="542"/>
      <c r="BQ14" s="553"/>
      <c r="BR14" s="541" t="s">
        <v>21</v>
      </c>
      <c r="BS14" s="542"/>
      <c r="BT14" s="542"/>
      <c r="BU14" s="542"/>
      <c r="BV14" s="542"/>
      <c r="BW14" s="542"/>
      <c r="BX14" s="542"/>
      <c r="BY14" s="542"/>
      <c r="BZ14" s="542"/>
      <c r="CA14" s="542"/>
      <c r="CB14" s="542"/>
      <c r="CC14" s="542"/>
      <c r="CD14" s="553"/>
      <c r="CE14" s="541" t="s">
        <v>22</v>
      </c>
      <c r="CF14" s="542"/>
      <c r="CG14" s="542"/>
      <c r="CH14" s="553"/>
      <c r="CI14" s="554" t="s">
        <v>23</v>
      </c>
      <c r="CJ14" s="555"/>
      <c r="CK14" s="555"/>
      <c r="CL14" s="555"/>
      <c r="CM14" s="555"/>
      <c r="CN14" s="555"/>
      <c r="CO14" s="555"/>
      <c r="CP14" s="556"/>
      <c r="CQ14" s="554" t="s">
        <v>24</v>
      </c>
      <c r="CR14" s="555"/>
      <c r="CS14" s="555"/>
      <c r="CT14" s="555"/>
      <c r="CU14" s="555"/>
      <c r="CV14" s="555"/>
      <c r="CW14" s="555"/>
      <c r="CX14" s="555"/>
      <c r="CY14" s="555"/>
      <c r="CZ14" s="556"/>
      <c r="DA14" s="557" t="s">
        <v>25</v>
      </c>
      <c r="DB14" s="558"/>
      <c r="DC14" s="558"/>
      <c r="DD14" s="558"/>
      <c r="DE14" s="558"/>
      <c r="DF14" s="558"/>
      <c r="DG14" s="558"/>
      <c r="DH14" s="558"/>
      <c r="DI14" s="558"/>
      <c r="DJ14" s="558"/>
      <c r="DK14" s="558"/>
      <c r="DL14" s="558"/>
      <c r="DM14" s="558"/>
      <c r="DN14" s="558"/>
      <c r="DO14" s="558"/>
      <c r="DP14" s="558"/>
      <c r="DQ14" s="558"/>
      <c r="DR14" s="558"/>
      <c r="DS14" s="558"/>
      <c r="DT14" s="559"/>
      <c r="DU14" s="539" t="s">
        <v>313</v>
      </c>
      <c r="DV14" s="540"/>
      <c r="DW14" s="540"/>
      <c r="DX14" s="540"/>
      <c r="DY14" s="540"/>
      <c r="DZ14" s="540"/>
      <c r="EA14" s="540"/>
      <c r="EB14" s="540"/>
      <c r="EC14" s="540"/>
      <c r="ED14" s="540"/>
      <c r="EE14" s="540"/>
      <c r="EF14" s="540"/>
      <c r="EG14" s="540"/>
      <c r="EH14" s="540"/>
      <c r="EI14" s="540"/>
      <c r="EJ14" s="540"/>
      <c r="EK14" s="540"/>
      <c r="EL14" s="540"/>
      <c r="EM14" s="540"/>
      <c r="EN14" s="540"/>
      <c r="EO14" s="541" t="s">
        <v>26</v>
      </c>
      <c r="EP14" s="542"/>
      <c r="EQ14" s="542"/>
      <c r="ER14" s="542"/>
      <c r="ES14" s="542"/>
      <c r="ET14" s="542"/>
      <c r="EU14" s="542"/>
      <c r="EV14" s="22"/>
      <c r="EW14" s="23"/>
      <c r="EX14" s="543" t="s">
        <v>277</v>
      </c>
      <c r="EY14" s="544"/>
      <c r="EZ14" s="544"/>
      <c r="FA14" s="544"/>
      <c r="FB14" s="545"/>
      <c r="FC14" s="535" t="s">
        <v>27</v>
      </c>
      <c r="FD14" s="537"/>
      <c r="FE14" s="538"/>
      <c r="FF14" s="538"/>
      <c r="FG14" s="538"/>
      <c r="FH14" s="546"/>
      <c r="FI14" s="535" t="s">
        <v>28</v>
      </c>
      <c r="FJ14" s="537"/>
      <c r="FK14" s="538"/>
      <c r="FL14" s="538"/>
      <c r="FM14" s="538"/>
      <c r="FN14" s="546"/>
      <c r="FO14" s="535" t="s">
        <v>29</v>
      </c>
      <c r="FP14" s="536"/>
      <c r="FQ14" s="536"/>
      <c r="FR14" s="537"/>
      <c r="FS14" s="538"/>
      <c r="FT14" s="538"/>
      <c r="FU14" s="538"/>
      <c r="FV14" s="538"/>
      <c r="FW14" s="538"/>
      <c r="FX14" s="538"/>
      <c r="FY14" s="538"/>
    </row>
    <row r="15" spans="1:182" s="2" customFormat="1" ht="220.35" customHeight="1" thickBot="1" x14ac:dyDescent="0.3">
      <c r="A15" s="31"/>
      <c r="B15" s="32"/>
      <c r="C15" s="33"/>
      <c r="D15" s="7" t="s">
        <v>31</v>
      </c>
      <c r="E15" s="4" t="s">
        <v>32</v>
      </c>
      <c r="F15" s="3" t="s">
        <v>33</v>
      </c>
      <c r="G15" s="5" t="s">
        <v>34</v>
      </c>
      <c r="H15" s="5" t="s">
        <v>35</v>
      </c>
      <c r="I15" s="5" t="s">
        <v>36</v>
      </c>
      <c r="J15" s="5" t="s">
        <v>37</v>
      </c>
      <c r="K15" s="5" t="s">
        <v>38</v>
      </c>
      <c r="L15" s="5" t="s">
        <v>39</v>
      </c>
      <c r="M15" s="4" t="s">
        <v>40</v>
      </c>
      <c r="N15" s="29" t="s">
        <v>285</v>
      </c>
      <c r="O15" s="3" t="s">
        <v>41</v>
      </c>
      <c r="P15" s="5" t="s">
        <v>275</v>
      </c>
      <c r="Q15" s="5" t="s">
        <v>42</v>
      </c>
      <c r="R15" s="5" t="s">
        <v>43</v>
      </c>
      <c r="S15" s="5" t="s">
        <v>44</v>
      </c>
      <c r="T15" s="4" t="s">
        <v>45</v>
      </c>
      <c r="U15" s="3" t="s">
        <v>46</v>
      </c>
      <c r="V15" s="5" t="s">
        <v>47</v>
      </c>
      <c r="W15" s="5" t="s">
        <v>48</v>
      </c>
      <c r="X15" s="5" t="s">
        <v>49</v>
      </c>
      <c r="Y15" s="5" t="s">
        <v>50</v>
      </c>
      <c r="Z15" s="5" t="s">
        <v>51</v>
      </c>
      <c r="AA15" s="5" t="s">
        <v>52</v>
      </c>
      <c r="AB15" s="5" t="s">
        <v>53</v>
      </c>
      <c r="AC15" s="5" t="s">
        <v>54</v>
      </c>
      <c r="AD15" s="5" t="s">
        <v>55</v>
      </c>
      <c r="AE15" s="6" t="s">
        <v>56</v>
      </c>
      <c r="AF15" s="5" t="s">
        <v>57</v>
      </c>
      <c r="AG15" s="3" t="s">
        <v>58</v>
      </c>
      <c r="AH15" s="5" t="s">
        <v>59</v>
      </c>
      <c r="AI15" s="5" t="s">
        <v>60</v>
      </c>
      <c r="AJ15" s="5" t="s">
        <v>61</v>
      </c>
      <c r="AK15" s="5" t="s">
        <v>62</v>
      </c>
      <c r="AL15" s="5" t="s">
        <v>63</v>
      </c>
      <c r="AM15" s="5" t="s">
        <v>64</v>
      </c>
      <c r="AN15" s="5" t="s">
        <v>65</v>
      </c>
      <c r="AO15" s="5" t="s">
        <v>66</v>
      </c>
      <c r="AP15" s="5" t="s">
        <v>67</v>
      </c>
      <c r="AQ15" s="5" t="s">
        <v>68</v>
      </c>
      <c r="AR15" s="5" t="s">
        <v>69</v>
      </c>
      <c r="AS15" s="3" t="s">
        <v>70</v>
      </c>
      <c r="AT15" s="5" t="s">
        <v>71</v>
      </c>
      <c r="AU15" s="5" t="s">
        <v>72</v>
      </c>
      <c r="AV15" s="4" t="s">
        <v>73</v>
      </c>
      <c r="AW15" s="7" t="s">
        <v>74</v>
      </c>
      <c r="AX15" s="5" t="s">
        <v>75</v>
      </c>
      <c r="AY15" s="5" t="s">
        <v>76</v>
      </c>
      <c r="AZ15" s="5" t="s">
        <v>77</v>
      </c>
      <c r="BA15" s="5" t="s">
        <v>78</v>
      </c>
      <c r="BB15" s="5" t="s">
        <v>79</v>
      </c>
      <c r="BC15" s="5" t="s">
        <v>169</v>
      </c>
      <c r="BD15" s="6" t="s">
        <v>170</v>
      </c>
      <c r="BE15" s="3" t="s">
        <v>80</v>
      </c>
      <c r="BF15" s="5" t="s">
        <v>81</v>
      </c>
      <c r="BG15" s="5" t="s">
        <v>82</v>
      </c>
      <c r="BH15" s="5" t="s">
        <v>83</v>
      </c>
      <c r="BI15" s="5" t="s">
        <v>84</v>
      </c>
      <c r="BJ15" s="5" t="s">
        <v>85</v>
      </c>
      <c r="BK15" s="5" t="s">
        <v>86</v>
      </c>
      <c r="BL15" s="5" t="s">
        <v>87</v>
      </c>
      <c r="BM15" s="5" t="s">
        <v>88</v>
      </c>
      <c r="BN15" s="5" t="s">
        <v>171</v>
      </c>
      <c r="BO15" s="5" t="s">
        <v>172</v>
      </c>
      <c r="BP15" s="5" t="s">
        <v>173</v>
      </c>
      <c r="BQ15" s="4" t="s">
        <v>174</v>
      </c>
      <c r="BR15" s="3" t="s">
        <v>89</v>
      </c>
      <c r="BS15" s="7" t="s">
        <v>90</v>
      </c>
      <c r="BT15" s="7" t="s">
        <v>91</v>
      </c>
      <c r="BU15" s="7" t="s">
        <v>92</v>
      </c>
      <c r="BV15" s="7" t="s">
        <v>93</v>
      </c>
      <c r="BW15" s="7" t="s">
        <v>94</v>
      </c>
      <c r="BX15" s="7" t="s">
        <v>95</v>
      </c>
      <c r="BY15" s="5" t="s">
        <v>96</v>
      </c>
      <c r="BZ15" s="5" t="s">
        <v>97</v>
      </c>
      <c r="CA15" s="6" t="s">
        <v>98</v>
      </c>
      <c r="CB15" s="6" t="s">
        <v>99</v>
      </c>
      <c r="CC15" s="6" t="s">
        <v>100</v>
      </c>
      <c r="CD15" s="4" t="s">
        <v>101</v>
      </c>
      <c r="CE15" s="7" t="s">
        <v>102</v>
      </c>
      <c r="CF15" s="5" t="s">
        <v>103</v>
      </c>
      <c r="CG15" s="5" t="s">
        <v>104</v>
      </c>
      <c r="CH15" s="6" t="s">
        <v>105</v>
      </c>
      <c r="CI15" s="3" t="s">
        <v>106</v>
      </c>
      <c r="CJ15" s="5" t="s">
        <v>107</v>
      </c>
      <c r="CK15" s="5" t="s">
        <v>108</v>
      </c>
      <c r="CL15" s="5" t="s">
        <v>109</v>
      </c>
      <c r="CM15" s="5" t="s">
        <v>110</v>
      </c>
      <c r="CN15" s="5" t="s">
        <v>111</v>
      </c>
      <c r="CO15" s="5" t="s">
        <v>112</v>
      </c>
      <c r="CP15" s="4" t="s">
        <v>113</v>
      </c>
      <c r="CQ15" s="7" t="s">
        <v>114</v>
      </c>
      <c r="CR15" s="5" t="s">
        <v>115</v>
      </c>
      <c r="CS15" s="5" t="s">
        <v>116</v>
      </c>
      <c r="CT15" s="5" t="s">
        <v>117</v>
      </c>
      <c r="CU15" s="5" t="s">
        <v>118</v>
      </c>
      <c r="CV15" s="5" t="s">
        <v>119</v>
      </c>
      <c r="CW15" s="5" t="s">
        <v>120</v>
      </c>
      <c r="CX15" s="5" t="s">
        <v>121</v>
      </c>
      <c r="CY15" s="5" t="s">
        <v>122</v>
      </c>
      <c r="CZ15" s="6" t="s">
        <v>123</v>
      </c>
      <c r="DA15" s="44" t="s">
        <v>314</v>
      </c>
      <c r="DB15" s="45" t="s">
        <v>315</v>
      </c>
      <c r="DC15" s="45" t="s">
        <v>316</v>
      </c>
      <c r="DD15" s="45" t="s">
        <v>317</v>
      </c>
      <c r="DE15" s="45" t="s">
        <v>318</v>
      </c>
      <c r="DF15" s="45" t="s">
        <v>319</v>
      </c>
      <c r="DG15" s="45" t="s">
        <v>320</v>
      </c>
      <c r="DH15" s="45" t="s">
        <v>321</v>
      </c>
      <c r="DI15" s="45" t="s">
        <v>322</v>
      </c>
      <c r="DJ15" s="45" t="s">
        <v>323</v>
      </c>
      <c r="DK15" s="45" t="s">
        <v>324</v>
      </c>
      <c r="DL15" s="45" t="s">
        <v>325</v>
      </c>
      <c r="DM15" s="45" t="s">
        <v>326</v>
      </c>
      <c r="DN15" s="45" t="s">
        <v>327</v>
      </c>
      <c r="DO15" s="45" t="s">
        <v>328</v>
      </c>
      <c r="DP15" s="45" t="s">
        <v>329</v>
      </c>
      <c r="DQ15" s="45" t="s">
        <v>330</v>
      </c>
      <c r="DR15" s="45" t="s">
        <v>331</v>
      </c>
      <c r="DS15" s="45" t="s">
        <v>332</v>
      </c>
      <c r="DT15" s="45" t="s">
        <v>333</v>
      </c>
      <c r="DU15" s="46" t="s">
        <v>314</v>
      </c>
      <c r="DV15" s="46" t="s">
        <v>334</v>
      </c>
      <c r="DW15" s="46" t="s">
        <v>335</v>
      </c>
      <c r="DX15" s="46" t="s">
        <v>336</v>
      </c>
      <c r="DY15" s="46" t="s">
        <v>337</v>
      </c>
      <c r="DZ15" s="46" t="s">
        <v>338</v>
      </c>
      <c r="EA15" s="46" t="s">
        <v>339</v>
      </c>
      <c r="EB15" s="46" t="s">
        <v>340</v>
      </c>
      <c r="EC15" s="46" t="s">
        <v>341</v>
      </c>
      <c r="ED15" s="46" t="s">
        <v>342</v>
      </c>
      <c r="EE15" s="46" t="s">
        <v>343</v>
      </c>
      <c r="EF15" s="46" t="s">
        <v>324</v>
      </c>
      <c r="EG15" s="46" t="s">
        <v>344</v>
      </c>
      <c r="EH15" s="46" t="s">
        <v>326</v>
      </c>
      <c r="EI15" s="46" t="s">
        <v>328</v>
      </c>
      <c r="EJ15" s="46" t="s">
        <v>329</v>
      </c>
      <c r="EK15" s="46" t="s">
        <v>345</v>
      </c>
      <c r="EL15" s="46" t="s">
        <v>346</v>
      </c>
      <c r="EM15" s="46" t="s">
        <v>332</v>
      </c>
      <c r="EN15" s="46" t="s">
        <v>347</v>
      </c>
      <c r="EO15" s="8" t="s">
        <v>132</v>
      </c>
      <c r="EP15" s="9" t="s">
        <v>133</v>
      </c>
      <c r="EQ15" s="9" t="s">
        <v>134</v>
      </c>
      <c r="ER15" s="9" t="s">
        <v>135</v>
      </c>
      <c r="ES15" s="9" t="s">
        <v>136</v>
      </c>
      <c r="ET15" s="9" t="s">
        <v>137</v>
      </c>
      <c r="EU15" s="9" t="s">
        <v>138</v>
      </c>
      <c r="EV15" s="24" t="s">
        <v>278</v>
      </c>
      <c r="EW15" s="28" t="s">
        <v>279</v>
      </c>
      <c r="EX15" s="25" t="s">
        <v>280</v>
      </c>
      <c r="EY15" s="26" t="s">
        <v>281</v>
      </c>
      <c r="EZ15" s="26" t="s">
        <v>282</v>
      </c>
      <c r="FA15" s="26" t="s">
        <v>283</v>
      </c>
      <c r="FB15" s="27" t="s">
        <v>284</v>
      </c>
      <c r="FC15" s="10" t="s">
        <v>139</v>
      </c>
      <c r="FD15" s="11" t="s">
        <v>140</v>
      </c>
      <c r="FE15" s="11" t="s">
        <v>141</v>
      </c>
      <c r="FF15" s="11" t="s">
        <v>142</v>
      </c>
      <c r="FG15" s="11" t="s">
        <v>143</v>
      </c>
      <c r="FH15" s="12" t="s">
        <v>144</v>
      </c>
      <c r="FI15" s="13" t="s">
        <v>175</v>
      </c>
      <c r="FJ15" s="14" t="s">
        <v>145</v>
      </c>
      <c r="FK15" s="14" t="s">
        <v>146</v>
      </c>
      <c r="FL15" s="14" t="s">
        <v>147</v>
      </c>
      <c r="FM15" s="14" t="s">
        <v>148</v>
      </c>
      <c r="FN15" s="15" t="s">
        <v>149</v>
      </c>
      <c r="FO15" s="13" t="s">
        <v>150</v>
      </c>
      <c r="FP15" s="16" t="s">
        <v>151</v>
      </c>
      <c r="FQ15" s="16" t="s">
        <v>152</v>
      </c>
      <c r="FR15" s="14" t="s">
        <v>153</v>
      </c>
      <c r="FS15" s="14" t="s">
        <v>348</v>
      </c>
      <c r="FT15" s="14" t="s">
        <v>349</v>
      </c>
      <c r="FU15" s="46" t="s">
        <v>350</v>
      </c>
      <c r="FV15" s="46" t="s">
        <v>351</v>
      </c>
      <c r="FW15" s="14" t="s">
        <v>156</v>
      </c>
      <c r="FX15" s="14" t="s">
        <v>157</v>
      </c>
      <c r="FY15" s="17" t="s">
        <v>158</v>
      </c>
      <c r="FZ15" s="18"/>
    </row>
    <row r="18" spans="5:16" s="20" customFormat="1" ht="220.35" customHeight="1" x14ac:dyDescent="0.25">
      <c r="E18" s="48" t="s">
        <v>361</v>
      </c>
      <c r="F18" s="51" t="s">
        <v>354</v>
      </c>
      <c r="G18" s="49" t="s">
        <v>355</v>
      </c>
      <c r="H18" s="50" t="s">
        <v>362</v>
      </c>
      <c r="I18" s="51" t="s">
        <v>363</v>
      </c>
      <c r="J18" s="50" t="s">
        <v>364</v>
      </c>
      <c r="K18" s="48" t="s">
        <v>365</v>
      </c>
      <c r="L18" s="48" t="s">
        <v>366</v>
      </c>
      <c r="M18" s="52" t="s">
        <v>367</v>
      </c>
      <c r="N18" s="51" t="s">
        <v>368</v>
      </c>
      <c r="O18" s="48" t="s">
        <v>283</v>
      </c>
      <c r="P18" s="48" t="s">
        <v>332</v>
      </c>
    </row>
    <row r="19" spans="5:16" x14ac:dyDescent="0.25">
      <c r="I19" s="30" t="s">
        <v>312</v>
      </c>
      <c r="K19" s="30"/>
      <c r="L19" s="30"/>
      <c r="M19" s="30"/>
      <c r="N19" s="30" t="s">
        <v>312</v>
      </c>
    </row>
  </sheetData>
  <sheetProtection algorithmName="SHA-512" hashValue="DM017ODbnK9Fj/bqKti3MJam+JqA8Ny9K9iEa/hxXTSTyyaREZ7WILE1gvaZAcV37ZNeM6zdHuTybE2+Qm0tMg==" saltValue="nH6Qg7TKyNyjBRLkok82ig==" spinCount="100000" sheet="1" objects="1" scenarios="1"/>
  <mergeCells count="77">
    <mergeCell ref="CI3:CP3"/>
    <mergeCell ref="A3:B3"/>
    <mergeCell ref="D3:E3"/>
    <mergeCell ref="F3:N3"/>
    <mergeCell ref="O3:T3"/>
    <mergeCell ref="U3:AF3"/>
    <mergeCell ref="AG3:AR3"/>
    <mergeCell ref="AS3:AV3"/>
    <mergeCell ref="AW3:BD3"/>
    <mergeCell ref="BE3:BQ3"/>
    <mergeCell ref="BR3:CD3"/>
    <mergeCell ref="CE3:CH3"/>
    <mergeCell ref="EI3:EQ3"/>
    <mergeCell ref="CQ3:CZ3"/>
    <mergeCell ref="DA3:DH3"/>
    <mergeCell ref="DI3:DO3"/>
    <mergeCell ref="DR3:DV3"/>
    <mergeCell ref="DW3:EB3"/>
    <mergeCell ref="EC3:EH3"/>
    <mergeCell ref="A7:B7"/>
    <mergeCell ref="D7:G7"/>
    <mergeCell ref="H7:P7"/>
    <mergeCell ref="Q7:V7"/>
    <mergeCell ref="W7:AH7"/>
    <mergeCell ref="AI7:AU7"/>
    <mergeCell ref="AV7:AY7"/>
    <mergeCell ref="AZ7:BG7"/>
    <mergeCell ref="BH7:BT7"/>
    <mergeCell ref="BU7:CG7"/>
    <mergeCell ref="CH7:CK7"/>
    <mergeCell ref="CL7:CT7"/>
    <mergeCell ref="CU7:DF7"/>
    <mergeCell ref="DG7:DN7"/>
    <mergeCell ref="DO7:DU7"/>
    <mergeCell ref="DX7:EB7"/>
    <mergeCell ref="EC7:EH7"/>
    <mergeCell ref="EI7:EN7"/>
    <mergeCell ref="EO7:EW7"/>
    <mergeCell ref="A10:B10"/>
    <mergeCell ref="D10:S10"/>
    <mergeCell ref="T10:AB10"/>
    <mergeCell ref="AC10:AH10"/>
    <mergeCell ref="AI10:AT10"/>
    <mergeCell ref="AU10:BF10"/>
    <mergeCell ref="BG10:BJ10"/>
    <mergeCell ref="BK10:BR10"/>
    <mergeCell ref="BS10:CE10"/>
    <mergeCell ref="CF10:CR10"/>
    <mergeCell ref="CS10:CV10"/>
    <mergeCell ref="CW10:DE10"/>
    <mergeCell ref="DF10:DS10"/>
    <mergeCell ref="DT10:EA10"/>
    <mergeCell ref="EB10:EH10"/>
    <mergeCell ref="EK10:EO10"/>
    <mergeCell ref="EP10:EU10"/>
    <mergeCell ref="EV10:FA10"/>
    <mergeCell ref="FB10:FJ10"/>
    <mergeCell ref="A14:B14"/>
    <mergeCell ref="D14:E14"/>
    <mergeCell ref="F14:N14"/>
    <mergeCell ref="O14:T14"/>
    <mergeCell ref="U14:AF14"/>
    <mergeCell ref="AG14:AR14"/>
    <mergeCell ref="AS14:AV14"/>
    <mergeCell ref="AW14:BD14"/>
    <mergeCell ref="BE14:BQ14"/>
    <mergeCell ref="BR14:CD14"/>
    <mergeCell ref="CE14:CH14"/>
    <mergeCell ref="CI14:CP14"/>
    <mergeCell ref="CQ14:CZ14"/>
    <mergeCell ref="DA14:DT14"/>
    <mergeCell ref="FO14:FY14"/>
    <mergeCell ref="DU14:EN14"/>
    <mergeCell ref="EO14:EU14"/>
    <mergeCell ref="EX14:FB14"/>
    <mergeCell ref="FC14:FH14"/>
    <mergeCell ref="FI14:FN1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0000"/>
  </sheetPr>
  <dimension ref="A1:GJ90"/>
  <sheetViews>
    <sheetView tabSelected="1" zoomScale="120" zoomScaleNormal="120" workbookViewId="0">
      <pane xSplit="3" ySplit="8" topLeftCell="D14" activePane="bottomRight" state="frozen"/>
      <selection pane="topRight" activeCell="D1" sqref="D1"/>
      <selection pane="bottomLeft" activeCell="A9" sqref="A9"/>
      <selection pane="bottomRight" activeCell="G18" sqref="G18"/>
    </sheetView>
  </sheetViews>
  <sheetFormatPr defaultColWidth="9.42578125" defaultRowHeight="15" x14ac:dyDescent="0.25"/>
  <cols>
    <col min="1" max="1" width="26.5703125" customWidth="1"/>
    <col min="2" max="2" width="29.42578125" customWidth="1"/>
    <col min="3" max="3" width="11.5703125" customWidth="1"/>
    <col min="4" max="55" width="7.42578125" customWidth="1"/>
    <col min="56" max="56" width="7.42578125" hidden="1" customWidth="1"/>
    <col min="57" max="170" width="7.42578125" customWidth="1"/>
    <col min="171" max="171" width="9.5703125" customWidth="1"/>
    <col min="172" max="192" width="7.42578125" customWidth="1"/>
    <col min="388" max="388" width="11.42578125" customWidth="1"/>
    <col min="389" max="389" width="23.5703125" customWidth="1"/>
    <col min="390" max="391" width="3.42578125" customWidth="1"/>
    <col min="392" max="392" width="4.42578125" customWidth="1"/>
    <col min="393" max="396" width="3.42578125" customWidth="1"/>
    <col min="397" max="404" width="4.42578125" customWidth="1"/>
    <col min="405" max="447" width="3.42578125" customWidth="1"/>
    <col min="448" max="448" width="6" customWidth="1"/>
    <col min="644" max="644" width="11.42578125" customWidth="1"/>
    <col min="645" max="645" width="23.5703125" customWidth="1"/>
    <col min="646" max="647" width="3.42578125" customWidth="1"/>
    <col min="648" max="648" width="4.42578125" customWidth="1"/>
    <col min="649" max="652" width="3.42578125" customWidth="1"/>
    <col min="653" max="660" width="4.42578125" customWidth="1"/>
    <col min="661" max="703" width="3.42578125" customWidth="1"/>
    <col min="704" max="704" width="6" customWidth="1"/>
    <col min="900" max="900" width="11.42578125" customWidth="1"/>
    <col min="901" max="901" width="23.5703125" customWidth="1"/>
    <col min="902" max="903" width="3.42578125" customWidth="1"/>
    <col min="904" max="904" width="4.42578125" customWidth="1"/>
    <col min="905" max="908" width="3.42578125" customWidth="1"/>
    <col min="909" max="916" width="4.42578125" customWidth="1"/>
    <col min="917" max="959" width="3.42578125" customWidth="1"/>
    <col min="960" max="960" width="6" customWidth="1"/>
    <col min="1156" max="1156" width="11.42578125" customWidth="1"/>
    <col min="1157" max="1157" width="23.5703125" customWidth="1"/>
    <col min="1158" max="1159" width="3.42578125" customWidth="1"/>
    <col min="1160" max="1160" width="4.42578125" customWidth="1"/>
    <col min="1161" max="1164" width="3.42578125" customWidth="1"/>
    <col min="1165" max="1172" width="4.42578125" customWidth="1"/>
    <col min="1173" max="1215" width="3.42578125" customWidth="1"/>
    <col min="1216" max="1216" width="6" customWidth="1"/>
    <col min="1412" max="1412" width="11.42578125" customWidth="1"/>
    <col min="1413" max="1413" width="23.5703125" customWidth="1"/>
    <col min="1414" max="1415" width="3.42578125" customWidth="1"/>
    <col min="1416" max="1416" width="4.42578125" customWidth="1"/>
    <col min="1417" max="1420" width="3.42578125" customWidth="1"/>
    <col min="1421" max="1428" width="4.42578125" customWidth="1"/>
    <col min="1429" max="1471" width="3.42578125" customWidth="1"/>
    <col min="1472" max="1472" width="6" customWidth="1"/>
    <col min="1668" max="1668" width="11.42578125" customWidth="1"/>
    <col min="1669" max="1669" width="23.5703125" customWidth="1"/>
    <col min="1670" max="1671" width="3.42578125" customWidth="1"/>
    <col min="1672" max="1672" width="4.42578125" customWidth="1"/>
    <col min="1673" max="1676" width="3.42578125" customWidth="1"/>
    <col min="1677" max="1684" width="4.42578125" customWidth="1"/>
    <col min="1685" max="1727" width="3.42578125" customWidth="1"/>
    <col min="1728" max="1728" width="6" customWidth="1"/>
    <col min="1924" max="1924" width="11.42578125" customWidth="1"/>
    <col min="1925" max="1925" width="23.5703125" customWidth="1"/>
    <col min="1926" max="1927" width="3.42578125" customWidth="1"/>
    <col min="1928" max="1928" width="4.42578125" customWidth="1"/>
    <col min="1929" max="1932" width="3.42578125" customWidth="1"/>
    <col min="1933" max="1940" width="4.42578125" customWidth="1"/>
    <col min="1941" max="1983" width="3.42578125" customWidth="1"/>
    <col min="1984" max="1984" width="6" customWidth="1"/>
    <col min="2180" max="2180" width="11.42578125" customWidth="1"/>
    <col min="2181" max="2181" width="23.5703125" customWidth="1"/>
    <col min="2182" max="2183" width="3.42578125" customWidth="1"/>
    <col min="2184" max="2184" width="4.42578125" customWidth="1"/>
    <col min="2185" max="2188" width="3.42578125" customWidth="1"/>
    <col min="2189" max="2196" width="4.42578125" customWidth="1"/>
    <col min="2197" max="2239" width="3.42578125" customWidth="1"/>
    <col min="2240" max="2240" width="6" customWidth="1"/>
    <col min="2436" max="2436" width="11.42578125" customWidth="1"/>
    <col min="2437" max="2437" width="23.5703125" customWidth="1"/>
    <col min="2438" max="2439" width="3.42578125" customWidth="1"/>
    <col min="2440" max="2440" width="4.42578125" customWidth="1"/>
    <col min="2441" max="2444" width="3.42578125" customWidth="1"/>
    <col min="2445" max="2452" width="4.42578125" customWidth="1"/>
    <col min="2453" max="2495" width="3.42578125" customWidth="1"/>
    <col min="2496" max="2496" width="6" customWidth="1"/>
    <col min="2692" max="2692" width="11.42578125" customWidth="1"/>
    <col min="2693" max="2693" width="23.5703125" customWidth="1"/>
    <col min="2694" max="2695" width="3.42578125" customWidth="1"/>
    <col min="2696" max="2696" width="4.42578125" customWidth="1"/>
    <col min="2697" max="2700" width="3.42578125" customWidth="1"/>
    <col min="2701" max="2708" width="4.42578125" customWidth="1"/>
    <col min="2709" max="2751" width="3.42578125" customWidth="1"/>
    <col min="2752" max="2752" width="6" customWidth="1"/>
    <col min="2948" max="2948" width="11.42578125" customWidth="1"/>
    <col min="2949" max="2949" width="23.5703125" customWidth="1"/>
    <col min="2950" max="2951" width="3.42578125" customWidth="1"/>
    <col min="2952" max="2952" width="4.42578125" customWidth="1"/>
    <col min="2953" max="2956" width="3.42578125" customWidth="1"/>
    <col min="2957" max="2964" width="4.42578125" customWidth="1"/>
    <col min="2965" max="3007" width="3.42578125" customWidth="1"/>
    <col min="3008" max="3008" width="6" customWidth="1"/>
    <col min="3204" max="3204" width="11.42578125" customWidth="1"/>
    <col min="3205" max="3205" width="23.5703125" customWidth="1"/>
    <col min="3206" max="3207" width="3.42578125" customWidth="1"/>
    <col min="3208" max="3208" width="4.42578125" customWidth="1"/>
    <col min="3209" max="3212" width="3.42578125" customWidth="1"/>
    <col min="3213" max="3220" width="4.42578125" customWidth="1"/>
    <col min="3221" max="3263" width="3.42578125" customWidth="1"/>
    <col min="3264" max="3264" width="6" customWidth="1"/>
    <col min="3460" max="3460" width="11.42578125" customWidth="1"/>
    <col min="3461" max="3461" width="23.5703125" customWidth="1"/>
    <col min="3462" max="3463" width="3.42578125" customWidth="1"/>
    <col min="3464" max="3464" width="4.42578125" customWidth="1"/>
    <col min="3465" max="3468" width="3.42578125" customWidth="1"/>
    <col min="3469" max="3476" width="4.42578125" customWidth="1"/>
    <col min="3477" max="3519" width="3.42578125" customWidth="1"/>
    <col min="3520" max="3520" width="6" customWidth="1"/>
    <col min="3716" max="3716" width="11.42578125" customWidth="1"/>
    <col min="3717" max="3717" width="23.5703125" customWidth="1"/>
    <col min="3718" max="3719" width="3.42578125" customWidth="1"/>
    <col min="3720" max="3720" width="4.42578125" customWidth="1"/>
    <col min="3721" max="3724" width="3.42578125" customWidth="1"/>
    <col min="3725" max="3732" width="4.42578125" customWidth="1"/>
    <col min="3733" max="3775" width="3.42578125" customWidth="1"/>
    <col min="3776" max="3776" width="6" customWidth="1"/>
    <col min="3972" max="3972" width="11.42578125" customWidth="1"/>
    <col min="3973" max="3973" width="23.5703125" customWidth="1"/>
    <col min="3974" max="3975" width="3.42578125" customWidth="1"/>
    <col min="3976" max="3976" width="4.42578125" customWidth="1"/>
    <col min="3977" max="3980" width="3.42578125" customWidth="1"/>
    <col min="3981" max="3988" width="4.42578125" customWidth="1"/>
    <col min="3989" max="4031" width="3.42578125" customWidth="1"/>
    <col min="4032" max="4032" width="6" customWidth="1"/>
    <col min="4228" max="4228" width="11.42578125" customWidth="1"/>
    <col min="4229" max="4229" width="23.5703125" customWidth="1"/>
    <col min="4230" max="4231" width="3.42578125" customWidth="1"/>
    <col min="4232" max="4232" width="4.42578125" customWidth="1"/>
    <col min="4233" max="4236" width="3.42578125" customWidth="1"/>
    <col min="4237" max="4244" width="4.42578125" customWidth="1"/>
    <col min="4245" max="4287" width="3.42578125" customWidth="1"/>
    <col min="4288" max="4288" width="6" customWidth="1"/>
    <col min="4484" max="4484" width="11.42578125" customWidth="1"/>
    <col min="4485" max="4485" width="23.5703125" customWidth="1"/>
    <col min="4486" max="4487" width="3.42578125" customWidth="1"/>
    <col min="4488" max="4488" width="4.42578125" customWidth="1"/>
    <col min="4489" max="4492" width="3.42578125" customWidth="1"/>
    <col min="4493" max="4500" width="4.42578125" customWidth="1"/>
    <col min="4501" max="4543" width="3.42578125" customWidth="1"/>
    <col min="4544" max="4544" width="6" customWidth="1"/>
    <col min="4740" max="4740" width="11.42578125" customWidth="1"/>
    <col min="4741" max="4741" width="23.5703125" customWidth="1"/>
    <col min="4742" max="4743" width="3.42578125" customWidth="1"/>
    <col min="4744" max="4744" width="4.42578125" customWidth="1"/>
    <col min="4745" max="4748" width="3.42578125" customWidth="1"/>
    <col min="4749" max="4756" width="4.42578125" customWidth="1"/>
    <col min="4757" max="4799" width="3.42578125" customWidth="1"/>
    <col min="4800" max="4800" width="6" customWidth="1"/>
    <col min="4996" max="4996" width="11.42578125" customWidth="1"/>
    <col min="4997" max="4997" width="23.5703125" customWidth="1"/>
    <col min="4998" max="4999" width="3.42578125" customWidth="1"/>
    <col min="5000" max="5000" width="4.42578125" customWidth="1"/>
    <col min="5001" max="5004" width="3.42578125" customWidth="1"/>
    <col min="5005" max="5012" width="4.42578125" customWidth="1"/>
    <col min="5013" max="5055" width="3.42578125" customWidth="1"/>
    <col min="5056" max="5056" width="6" customWidth="1"/>
    <col min="5252" max="5252" width="11.42578125" customWidth="1"/>
    <col min="5253" max="5253" width="23.5703125" customWidth="1"/>
    <col min="5254" max="5255" width="3.42578125" customWidth="1"/>
    <col min="5256" max="5256" width="4.42578125" customWidth="1"/>
    <col min="5257" max="5260" width="3.42578125" customWidth="1"/>
    <col min="5261" max="5268" width="4.42578125" customWidth="1"/>
    <col min="5269" max="5311" width="3.42578125" customWidth="1"/>
    <col min="5312" max="5312" width="6" customWidth="1"/>
    <col min="5508" max="5508" width="11.42578125" customWidth="1"/>
    <col min="5509" max="5509" width="23.5703125" customWidth="1"/>
    <col min="5510" max="5511" width="3.42578125" customWidth="1"/>
    <col min="5512" max="5512" width="4.42578125" customWidth="1"/>
    <col min="5513" max="5516" width="3.42578125" customWidth="1"/>
    <col min="5517" max="5524" width="4.42578125" customWidth="1"/>
    <col min="5525" max="5567" width="3.42578125" customWidth="1"/>
    <col min="5568" max="5568" width="6" customWidth="1"/>
    <col min="5764" max="5764" width="11.42578125" customWidth="1"/>
    <col min="5765" max="5765" width="23.5703125" customWidth="1"/>
    <col min="5766" max="5767" width="3.42578125" customWidth="1"/>
    <col min="5768" max="5768" width="4.42578125" customWidth="1"/>
    <col min="5769" max="5772" width="3.42578125" customWidth="1"/>
    <col min="5773" max="5780" width="4.42578125" customWidth="1"/>
    <col min="5781" max="5823" width="3.42578125" customWidth="1"/>
    <col min="5824" max="5824" width="6" customWidth="1"/>
    <col min="6020" max="6020" width="11.42578125" customWidth="1"/>
    <col min="6021" max="6021" width="23.5703125" customWidth="1"/>
    <col min="6022" max="6023" width="3.42578125" customWidth="1"/>
    <col min="6024" max="6024" width="4.42578125" customWidth="1"/>
    <col min="6025" max="6028" width="3.42578125" customWidth="1"/>
    <col min="6029" max="6036" width="4.42578125" customWidth="1"/>
    <col min="6037" max="6079" width="3.42578125" customWidth="1"/>
    <col min="6080" max="6080" width="6" customWidth="1"/>
    <col min="6276" max="6276" width="11.42578125" customWidth="1"/>
    <col min="6277" max="6277" width="23.5703125" customWidth="1"/>
    <col min="6278" max="6279" width="3.42578125" customWidth="1"/>
    <col min="6280" max="6280" width="4.42578125" customWidth="1"/>
    <col min="6281" max="6284" width="3.42578125" customWidth="1"/>
    <col min="6285" max="6292" width="4.42578125" customWidth="1"/>
    <col min="6293" max="6335" width="3.42578125" customWidth="1"/>
    <col min="6336" max="6336" width="6" customWidth="1"/>
    <col min="6532" max="6532" width="11.42578125" customWidth="1"/>
    <col min="6533" max="6533" width="23.5703125" customWidth="1"/>
    <col min="6534" max="6535" width="3.42578125" customWidth="1"/>
    <col min="6536" max="6536" width="4.42578125" customWidth="1"/>
    <col min="6537" max="6540" width="3.42578125" customWidth="1"/>
    <col min="6541" max="6548" width="4.42578125" customWidth="1"/>
    <col min="6549" max="6591" width="3.42578125" customWidth="1"/>
    <col min="6592" max="6592" width="6" customWidth="1"/>
    <col min="6788" max="6788" width="11.42578125" customWidth="1"/>
    <col min="6789" max="6789" width="23.5703125" customWidth="1"/>
    <col min="6790" max="6791" width="3.42578125" customWidth="1"/>
    <col min="6792" max="6792" width="4.42578125" customWidth="1"/>
    <col min="6793" max="6796" width="3.42578125" customWidth="1"/>
    <col min="6797" max="6804" width="4.42578125" customWidth="1"/>
    <col min="6805" max="6847" width="3.42578125" customWidth="1"/>
    <col min="6848" max="6848" width="6" customWidth="1"/>
    <col min="7044" max="7044" width="11.42578125" customWidth="1"/>
    <col min="7045" max="7045" width="23.5703125" customWidth="1"/>
    <col min="7046" max="7047" width="3.42578125" customWidth="1"/>
    <col min="7048" max="7048" width="4.42578125" customWidth="1"/>
    <col min="7049" max="7052" width="3.42578125" customWidth="1"/>
    <col min="7053" max="7060" width="4.42578125" customWidth="1"/>
    <col min="7061" max="7103" width="3.42578125" customWidth="1"/>
    <col min="7104" max="7104" width="6" customWidth="1"/>
    <col min="7300" max="7300" width="11.42578125" customWidth="1"/>
    <col min="7301" max="7301" width="23.5703125" customWidth="1"/>
    <col min="7302" max="7303" width="3.42578125" customWidth="1"/>
    <col min="7304" max="7304" width="4.42578125" customWidth="1"/>
    <col min="7305" max="7308" width="3.42578125" customWidth="1"/>
    <col min="7309" max="7316" width="4.42578125" customWidth="1"/>
    <col min="7317" max="7359" width="3.42578125" customWidth="1"/>
    <col min="7360" max="7360" width="6" customWidth="1"/>
    <col min="7556" max="7556" width="11.42578125" customWidth="1"/>
    <col min="7557" max="7557" width="23.5703125" customWidth="1"/>
    <col min="7558" max="7559" width="3.42578125" customWidth="1"/>
    <col min="7560" max="7560" width="4.42578125" customWidth="1"/>
    <col min="7561" max="7564" width="3.42578125" customWidth="1"/>
    <col min="7565" max="7572" width="4.42578125" customWidth="1"/>
    <col min="7573" max="7615" width="3.42578125" customWidth="1"/>
    <col min="7616" max="7616" width="6" customWidth="1"/>
    <col min="7812" max="7812" width="11.42578125" customWidth="1"/>
    <col min="7813" max="7813" width="23.5703125" customWidth="1"/>
    <col min="7814" max="7815" width="3.42578125" customWidth="1"/>
    <col min="7816" max="7816" width="4.42578125" customWidth="1"/>
    <col min="7817" max="7820" width="3.42578125" customWidth="1"/>
    <col min="7821" max="7828" width="4.42578125" customWidth="1"/>
    <col min="7829" max="7871" width="3.42578125" customWidth="1"/>
    <col min="7872" max="7872" width="6" customWidth="1"/>
    <col min="8068" max="8068" width="11.42578125" customWidth="1"/>
    <col min="8069" max="8069" width="23.5703125" customWidth="1"/>
    <col min="8070" max="8071" width="3.42578125" customWidth="1"/>
    <col min="8072" max="8072" width="4.42578125" customWidth="1"/>
    <col min="8073" max="8076" width="3.42578125" customWidth="1"/>
    <col min="8077" max="8084" width="4.42578125" customWidth="1"/>
    <col min="8085" max="8127" width="3.42578125" customWidth="1"/>
    <col min="8128" max="8128" width="6" customWidth="1"/>
    <col min="8324" max="8324" width="11.42578125" customWidth="1"/>
    <col min="8325" max="8325" width="23.5703125" customWidth="1"/>
    <col min="8326" max="8327" width="3.42578125" customWidth="1"/>
    <col min="8328" max="8328" width="4.42578125" customWidth="1"/>
    <col min="8329" max="8332" width="3.42578125" customWidth="1"/>
    <col min="8333" max="8340" width="4.42578125" customWidth="1"/>
    <col min="8341" max="8383" width="3.42578125" customWidth="1"/>
    <col min="8384" max="8384" width="6" customWidth="1"/>
    <col min="8580" max="8580" width="11.42578125" customWidth="1"/>
    <col min="8581" max="8581" width="23.5703125" customWidth="1"/>
    <col min="8582" max="8583" width="3.42578125" customWidth="1"/>
    <col min="8584" max="8584" width="4.42578125" customWidth="1"/>
    <col min="8585" max="8588" width="3.42578125" customWidth="1"/>
    <col min="8589" max="8596" width="4.42578125" customWidth="1"/>
    <col min="8597" max="8639" width="3.42578125" customWidth="1"/>
    <col min="8640" max="8640" width="6" customWidth="1"/>
    <col min="8836" max="8836" width="11.42578125" customWidth="1"/>
    <col min="8837" max="8837" width="23.5703125" customWidth="1"/>
    <col min="8838" max="8839" width="3.42578125" customWidth="1"/>
    <col min="8840" max="8840" width="4.42578125" customWidth="1"/>
    <col min="8841" max="8844" width="3.42578125" customWidth="1"/>
    <col min="8845" max="8852" width="4.42578125" customWidth="1"/>
    <col min="8853" max="8895" width="3.42578125" customWidth="1"/>
    <col min="8896" max="8896" width="6" customWidth="1"/>
    <col min="9092" max="9092" width="11.42578125" customWidth="1"/>
    <col min="9093" max="9093" width="23.5703125" customWidth="1"/>
    <col min="9094" max="9095" width="3.42578125" customWidth="1"/>
    <col min="9096" max="9096" width="4.42578125" customWidth="1"/>
    <col min="9097" max="9100" width="3.42578125" customWidth="1"/>
    <col min="9101" max="9108" width="4.42578125" customWidth="1"/>
    <col min="9109" max="9151" width="3.42578125" customWidth="1"/>
    <col min="9152" max="9152" width="6" customWidth="1"/>
    <col min="9348" max="9348" width="11.42578125" customWidth="1"/>
    <col min="9349" max="9349" width="23.5703125" customWidth="1"/>
    <col min="9350" max="9351" width="3.42578125" customWidth="1"/>
    <col min="9352" max="9352" width="4.42578125" customWidth="1"/>
    <col min="9353" max="9356" width="3.42578125" customWidth="1"/>
    <col min="9357" max="9364" width="4.42578125" customWidth="1"/>
    <col min="9365" max="9407" width="3.42578125" customWidth="1"/>
    <col min="9408" max="9408" width="6" customWidth="1"/>
    <col min="9604" max="9604" width="11.42578125" customWidth="1"/>
    <col min="9605" max="9605" width="23.5703125" customWidth="1"/>
    <col min="9606" max="9607" width="3.42578125" customWidth="1"/>
    <col min="9608" max="9608" width="4.42578125" customWidth="1"/>
    <col min="9609" max="9612" width="3.42578125" customWidth="1"/>
    <col min="9613" max="9620" width="4.42578125" customWidth="1"/>
    <col min="9621" max="9663" width="3.42578125" customWidth="1"/>
    <col min="9664" max="9664" width="6" customWidth="1"/>
    <col min="9860" max="9860" width="11.42578125" customWidth="1"/>
    <col min="9861" max="9861" width="23.5703125" customWidth="1"/>
    <col min="9862" max="9863" width="3.42578125" customWidth="1"/>
    <col min="9864" max="9864" width="4.42578125" customWidth="1"/>
    <col min="9865" max="9868" width="3.42578125" customWidth="1"/>
    <col min="9869" max="9876" width="4.42578125" customWidth="1"/>
    <col min="9877" max="9919" width="3.42578125" customWidth="1"/>
    <col min="9920" max="9920" width="6" customWidth="1"/>
    <col min="10116" max="10116" width="11.42578125" customWidth="1"/>
    <col min="10117" max="10117" width="23.5703125" customWidth="1"/>
    <col min="10118" max="10119" width="3.42578125" customWidth="1"/>
    <col min="10120" max="10120" width="4.42578125" customWidth="1"/>
    <col min="10121" max="10124" width="3.42578125" customWidth="1"/>
    <col min="10125" max="10132" width="4.42578125" customWidth="1"/>
    <col min="10133" max="10175" width="3.42578125" customWidth="1"/>
    <col min="10176" max="10176" width="6" customWidth="1"/>
    <col min="10372" max="10372" width="11.42578125" customWidth="1"/>
    <col min="10373" max="10373" width="23.5703125" customWidth="1"/>
    <col min="10374" max="10375" width="3.42578125" customWidth="1"/>
    <col min="10376" max="10376" width="4.42578125" customWidth="1"/>
    <col min="10377" max="10380" width="3.42578125" customWidth="1"/>
    <col min="10381" max="10388" width="4.42578125" customWidth="1"/>
    <col min="10389" max="10431" width="3.42578125" customWidth="1"/>
    <col min="10432" max="10432" width="6" customWidth="1"/>
    <col min="10628" max="10628" width="11.42578125" customWidth="1"/>
    <col min="10629" max="10629" width="23.5703125" customWidth="1"/>
    <col min="10630" max="10631" width="3.42578125" customWidth="1"/>
    <col min="10632" max="10632" width="4.42578125" customWidth="1"/>
    <col min="10633" max="10636" width="3.42578125" customWidth="1"/>
    <col min="10637" max="10644" width="4.42578125" customWidth="1"/>
    <col min="10645" max="10687" width="3.42578125" customWidth="1"/>
    <col min="10688" max="10688" width="6" customWidth="1"/>
    <col min="10884" max="10884" width="11.42578125" customWidth="1"/>
    <col min="10885" max="10885" width="23.5703125" customWidth="1"/>
    <col min="10886" max="10887" width="3.42578125" customWidth="1"/>
    <col min="10888" max="10888" width="4.42578125" customWidth="1"/>
    <col min="10889" max="10892" width="3.42578125" customWidth="1"/>
    <col min="10893" max="10900" width="4.42578125" customWidth="1"/>
    <col min="10901" max="10943" width="3.42578125" customWidth="1"/>
    <col min="10944" max="10944" width="6" customWidth="1"/>
    <col min="11140" max="11140" width="11.42578125" customWidth="1"/>
    <col min="11141" max="11141" width="23.5703125" customWidth="1"/>
    <col min="11142" max="11143" width="3.42578125" customWidth="1"/>
    <col min="11144" max="11144" width="4.42578125" customWidth="1"/>
    <col min="11145" max="11148" width="3.42578125" customWidth="1"/>
    <col min="11149" max="11156" width="4.42578125" customWidth="1"/>
    <col min="11157" max="11199" width="3.42578125" customWidth="1"/>
    <col min="11200" max="11200" width="6" customWidth="1"/>
    <col min="11396" max="11396" width="11.42578125" customWidth="1"/>
    <col min="11397" max="11397" width="23.5703125" customWidth="1"/>
    <col min="11398" max="11399" width="3.42578125" customWidth="1"/>
    <col min="11400" max="11400" width="4.42578125" customWidth="1"/>
    <col min="11401" max="11404" width="3.42578125" customWidth="1"/>
    <col min="11405" max="11412" width="4.42578125" customWidth="1"/>
    <col min="11413" max="11455" width="3.42578125" customWidth="1"/>
    <col min="11456" max="11456" width="6" customWidth="1"/>
    <col min="11652" max="11652" width="11.42578125" customWidth="1"/>
    <col min="11653" max="11653" width="23.5703125" customWidth="1"/>
    <col min="11654" max="11655" width="3.42578125" customWidth="1"/>
    <col min="11656" max="11656" width="4.42578125" customWidth="1"/>
    <col min="11657" max="11660" width="3.42578125" customWidth="1"/>
    <col min="11661" max="11668" width="4.42578125" customWidth="1"/>
    <col min="11669" max="11711" width="3.42578125" customWidth="1"/>
    <col min="11712" max="11712" width="6" customWidth="1"/>
    <col min="11908" max="11908" width="11.42578125" customWidth="1"/>
    <col min="11909" max="11909" width="23.5703125" customWidth="1"/>
    <col min="11910" max="11911" width="3.42578125" customWidth="1"/>
    <col min="11912" max="11912" width="4.42578125" customWidth="1"/>
    <col min="11913" max="11916" width="3.42578125" customWidth="1"/>
    <col min="11917" max="11924" width="4.42578125" customWidth="1"/>
    <col min="11925" max="11967" width="3.42578125" customWidth="1"/>
    <col min="11968" max="11968" width="6" customWidth="1"/>
    <col min="12164" max="12164" width="11.42578125" customWidth="1"/>
    <col min="12165" max="12165" width="23.5703125" customWidth="1"/>
    <col min="12166" max="12167" width="3.42578125" customWidth="1"/>
    <col min="12168" max="12168" width="4.42578125" customWidth="1"/>
    <col min="12169" max="12172" width="3.42578125" customWidth="1"/>
    <col min="12173" max="12180" width="4.42578125" customWidth="1"/>
    <col min="12181" max="12223" width="3.42578125" customWidth="1"/>
    <col min="12224" max="12224" width="6" customWidth="1"/>
    <col min="12420" max="12420" width="11.42578125" customWidth="1"/>
    <col min="12421" max="12421" width="23.5703125" customWidth="1"/>
    <col min="12422" max="12423" width="3.42578125" customWidth="1"/>
    <col min="12424" max="12424" width="4.42578125" customWidth="1"/>
    <col min="12425" max="12428" width="3.42578125" customWidth="1"/>
    <col min="12429" max="12436" width="4.42578125" customWidth="1"/>
    <col min="12437" max="12479" width="3.42578125" customWidth="1"/>
    <col min="12480" max="12480" width="6" customWidth="1"/>
    <col min="12676" max="12676" width="11.42578125" customWidth="1"/>
    <col min="12677" max="12677" width="23.5703125" customWidth="1"/>
    <col min="12678" max="12679" width="3.42578125" customWidth="1"/>
    <col min="12680" max="12680" width="4.42578125" customWidth="1"/>
    <col min="12681" max="12684" width="3.42578125" customWidth="1"/>
    <col min="12685" max="12692" width="4.42578125" customWidth="1"/>
    <col min="12693" max="12735" width="3.42578125" customWidth="1"/>
    <col min="12736" max="12736" width="6" customWidth="1"/>
    <col min="12932" max="12932" width="11.42578125" customWidth="1"/>
    <col min="12933" max="12933" width="23.5703125" customWidth="1"/>
    <col min="12934" max="12935" width="3.42578125" customWidth="1"/>
    <col min="12936" max="12936" width="4.42578125" customWidth="1"/>
    <col min="12937" max="12940" width="3.42578125" customWidth="1"/>
    <col min="12941" max="12948" width="4.42578125" customWidth="1"/>
    <col min="12949" max="12991" width="3.42578125" customWidth="1"/>
    <col min="12992" max="12992" width="6" customWidth="1"/>
    <col min="13188" max="13188" width="11.42578125" customWidth="1"/>
    <col min="13189" max="13189" width="23.5703125" customWidth="1"/>
    <col min="13190" max="13191" width="3.42578125" customWidth="1"/>
    <col min="13192" max="13192" width="4.42578125" customWidth="1"/>
    <col min="13193" max="13196" width="3.42578125" customWidth="1"/>
    <col min="13197" max="13204" width="4.42578125" customWidth="1"/>
    <col min="13205" max="13247" width="3.42578125" customWidth="1"/>
    <col min="13248" max="13248" width="6" customWidth="1"/>
    <col min="13444" max="13444" width="11.42578125" customWidth="1"/>
    <col min="13445" max="13445" width="23.5703125" customWidth="1"/>
    <col min="13446" max="13447" width="3.42578125" customWidth="1"/>
    <col min="13448" max="13448" width="4.42578125" customWidth="1"/>
    <col min="13449" max="13452" width="3.42578125" customWidth="1"/>
    <col min="13453" max="13460" width="4.42578125" customWidth="1"/>
    <col min="13461" max="13503" width="3.42578125" customWidth="1"/>
    <col min="13504" max="13504" width="6" customWidth="1"/>
    <col min="13700" max="13700" width="11.42578125" customWidth="1"/>
    <col min="13701" max="13701" width="23.5703125" customWidth="1"/>
    <col min="13702" max="13703" width="3.42578125" customWidth="1"/>
    <col min="13704" max="13704" width="4.42578125" customWidth="1"/>
    <col min="13705" max="13708" width="3.42578125" customWidth="1"/>
    <col min="13709" max="13716" width="4.42578125" customWidth="1"/>
    <col min="13717" max="13759" width="3.42578125" customWidth="1"/>
    <col min="13760" max="13760" width="6" customWidth="1"/>
    <col min="13956" max="13956" width="11.42578125" customWidth="1"/>
    <col min="13957" max="13957" width="23.5703125" customWidth="1"/>
    <col min="13958" max="13959" width="3.42578125" customWidth="1"/>
    <col min="13960" max="13960" width="4.42578125" customWidth="1"/>
    <col min="13961" max="13964" width="3.42578125" customWidth="1"/>
    <col min="13965" max="13972" width="4.42578125" customWidth="1"/>
    <col min="13973" max="14015" width="3.42578125" customWidth="1"/>
    <col min="14016" max="14016" width="6" customWidth="1"/>
    <col min="14212" max="14212" width="11.42578125" customWidth="1"/>
    <col min="14213" max="14213" width="23.5703125" customWidth="1"/>
    <col min="14214" max="14215" width="3.42578125" customWidth="1"/>
    <col min="14216" max="14216" width="4.42578125" customWidth="1"/>
    <col min="14217" max="14220" width="3.42578125" customWidth="1"/>
    <col min="14221" max="14228" width="4.42578125" customWidth="1"/>
    <col min="14229" max="14271" width="3.42578125" customWidth="1"/>
    <col min="14272" max="14272" width="6" customWidth="1"/>
    <col min="14468" max="14468" width="11.42578125" customWidth="1"/>
    <col min="14469" max="14469" width="23.5703125" customWidth="1"/>
    <col min="14470" max="14471" width="3.42578125" customWidth="1"/>
    <col min="14472" max="14472" width="4.42578125" customWidth="1"/>
    <col min="14473" max="14476" width="3.42578125" customWidth="1"/>
    <col min="14477" max="14484" width="4.42578125" customWidth="1"/>
    <col min="14485" max="14527" width="3.42578125" customWidth="1"/>
    <col min="14528" max="14528" width="6" customWidth="1"/>
    <col min="14724" max="14724" width="11.42578125" customWidth="1"/>
    <col min="14725" max="14725" width="23.5703125" customWidth="1"/>
    <col min="14726" max="14727" width="3.42578125" customWidth="1"/>
    <col min="14728" max="14728" width="4.42578125" customWidth="1"/>
    <col min="14729" max="14732" width="3.42578125" customWidth="1"/>
    <col min="14733" max="14740" width="4.42578125" customWidth="1"/>
    <col min="14741" max="14783" width="3.42578125" customWidth="1"/>
    <col min="14784" max="14784" width="6" customWidth="1"/>
    <col min="14980" max="14980" width="11.42578125" customWidth="1"/>
    <col min="14981" max="14981" width="23.5703125" customWidth="1"/>
    <col min="14982" max="14983" width="3.42578125" customWidth="1"/>
    <col min="14984" max="14984" width="4.42578125" customWidth="1"/>
    <col min="14985" max="14988" width="3.42578125" customWidth="1"/>
    <col min="14989" max="14996" width="4.42578125" customWidth="1"/>
    <col min="14997" max="15039" width="3.42578125" customWidth="1"/>
    <col min="15040" max="15040" width="6" customWidth="1"/>
    <col min="15236" max="15236" width="11.42578125" customWidth="1"/>
    <col min="15237" max="15237" width="23.5703125" customWidth="1"/>
    <col min="15238" max="15239" width="3.42578125" customWidth="1"/>
    <col min="15240" max="15240" width="4.42578125" customWidth="1"/>
    <col min="15241" max="15244" width="3.42578125" customWidth="1"/>
    <col min="15245" max="15252" width="4.42578125" customWidth="1"/>
    <col min="15253" max="15295" width="3.42578125" customWidth="1"/>
    <col min="15296" max="15296" width="6" customWidth="1"/>
    <col min="15492" max="15492" width="11.42578125" customWidth="1"/>
    <col min="15493" max="15493" width="23.5703125" customWidth="1"/>
    <col min="15494" max="15495" width="3.42578125" customWidth="1"/>
    <col min="15496" max="15496" width="4.42578125" customWidth="1"/>
    <col min="15497" max="15500" width="3.42578125" customWidth="1"/>
    <col min="15501" max="15508" width="4.42578125" customWidth="1"/>
    <col min="15509" max="15551" width="3.42578125" customWidth="1"/>
    <col min="15552" max="15552" width="6" customWidth="1"/>
    <col min="15748" max="15748" width="11.42578125" customWidth="1"/>
    <col min="15749" max="15749" width="23.5703125" customWidth="1"/>
    <col min="15750" max="15751" width="3.42578125" customWidth="1"/>
    <col min="15752" max="15752" width="4.42578125" customWidth="1"/>
    <col min="15753" max="15756" width="3.42578125" customWidth="1"/>
    <col min="15757" max="15764" width="4.42578125" customWidth="1"/>
    <col min="15765" max="15807" width="3.42578125" customWidth="1"/>
    <col min="15808" max="15808" width="6" customWidth="1"/>
    <col min="16004" max="16004" width="11.42578125" customWidth="1"/>
    <col min="16005" max="16005" width="23.5703125" customWidth="1"/>
    <col min="16006" max="16007" width="3.42578125" customWidth="1"/>
    <col min="16008" max="16008" width="4.42578125" customWidth="1"/>
    <col min="16009" max="16012" width="3.42578125" customWidth="1"/>
    <col min="16013" max="16020" width="4.42578125" customWidth="1"/>
    <col min="16021" max="16063" width="3.42578125" customWidth="1"/>
    <col min="16064" max="16064" width="6" customWidth="1"/>
    <col min="16260" max="16260" width="11.42578125" customWidth="1"/>
    <col min="16261" max="16261" width="23.5703125" customWidth="1"/>
    <col min="16262" max="16263" width="3.42578125" customWidth="1"/>
    <col min="16264" max="16264" width="4.42578125" customWidth="1"/>
    <col min="16265" max="16268" width="3.42578125" customWidth="1"/>
    <col min="16269" max="16276" width="4.42578125" customWidth="1"/>
    <col min="16277" max="16319" width="3.42578125" customWidth="1"/>
    <col min="16320" max="16320" width="6" customWidth="1"/>
  </cols>
  <sheetData>
    <row r="1" spans="1:192" ht="32.25" customHeight="1" thickBot="1" x14ac:dyDescent="0.3">
      <c r="A1" s="198"/>
      <c r="B1" s="199"/>
      <c r="C1" s="199"/>
      <c r="D1" s="507" t="s">
        <v>390</v>
      </c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  <c r="W1" s="508"/>
      <c r="X1" s="508"/>
      <c r="Y1" s="508"/>
      <c r="Z1" s="508"/>
      <c r="AA1" s="508"/>
      <c r="AB1" s="508"/>
      <c r="AC1" s="508"/>
      <c r="AD1" s="508"/>
      <c r="AE1" s="508"/>
      <c r="AF1" s="508"/>
      <c r="AG1" s="508"/>
      <c r="AH1" s="508"/>
      <c r="AI1" s="508"/>
      <c r="AJ1" s="508"/>
      <c r="AK1" s="508"/>
      <c r="AL1" s="508"/>
      <c r="AM1" s="508"/>
      <c r="AN1" s="508"/>
      <c r="AO1" s="508"/>
      <c r="AP1" s="508"/>
      <c r="AQ1" s="508"/>
      <c r="AR1" s="508"/>
      <c r="AS1" s="508"/>
      <c r="AT1" s="508"/>
      <c r="AU1" s="508"/>
      <c r="AV1" s="508"/>
      <c r="AW1" s="508"/>
      <c r="AX1" s="508"/>
      <c r="AY1" s="508"/>
      <c r="AZ1" s="508"/>
      <c r="BA1" s="508"/>
      <c r="BB1" s="508"/>
      <c r="BC1" s="508"/>
      <c r="BD1" s="508"/>
      <c r="BE1" s="508"/>
      <c r="BF1" s="508"/>
      <c r="BG1" s="508"/>
      <c r="BH1" s="508"/>
      <c r="BI1" s="508"/>
      <c r="BJ1" s="508"/>
      <c r="BK1" s="507" t="s">
        <v>0</v>
      </c>
      <c r="BL1" s="508"/>
      <c r="BM1" s="508"/>
      <c r="BN1" s="508"/>
      <c r="BO1" s="508"/>
      <c r="BP1" s="508"/>
      <c r="BQ1" s="508"/>
      <c r="BR1" s="508"/>
      <c r="BS1" s="508"/>
      <c r="BT1" s="508"/>
      <c r="BU1" s="508"/>
      <c r="BV1" s="508"/>
      <c r="BW1" s="508"/>
      <c r="BX1" s="508"/>
      <c r="BY1" s="508"/>
      <c r="BZ1" s="508"/>
      <c r="CA1" s="508"/>
      <c r="CB1" s="508"/>
      <c r="CC1" s="508"/>
      <c r="CD1" s="508"/>
      <c r="CE1" s="508"/>
      <c r="CF1" s="508"/>
      <c r="CG1" s="508"/>
      <c r="CH1" s="508"/>
      <c r="CI1" s="508"/>
      <c r="CJ1" s="508"/>
      <c r="CK1" s="508"/>
      <c r="CL1" s="508"/>
      <c r="CM1" s="508"/>
      <c r="CN1" s="508"/>
      <c r="CO1" s="508"/>
      <c r="CP1" s="508"/>
      <c r="CQ1" s="508"/>
      <c r="CR1" s="508"/>
      <c r="CS1" s="508"/>
      <c r="CT1" s="508"/>
      <c r="CU1" s="508"/>
      <c r="CV1" s="508"/>
      <c r="CW1" s="508"/>
      <c r="CX1" s="508"/>
      <c r="CY1" s="508"/>
      <c r="CZ1" s="508"/>
      <c r="DA1" s="508"/>
      <c r="DB1" s="508"/>
      <c r="DC1" s="508"/>
      <c r="DD1" s="508"/>
      <c r="DE1" s="508"/>
      <c r="DF1" s="508"/>
      <c r="DG1" s="508"/>
      <c r="DH1" s="508"/>
      <c r="DI1" s="508"/>
      <c r="DJ1" s="508"/>
      <c r="DK1" s="508"/>
      <c r="DL1" s="508"/>
      <c r="DM1" s="508"/>
      <c r="DN1" s="508"/>
      <c r="DO1" s="508"/>
      <c r="DP1" s="508"/>
      <c r="DQ1" s="508"/>
      <c r="DR1" s="508"/>
      <c r="DS1" s="508"/>
      <c r="DT1" s="508"/>
      <c r="DU1" s="508"/>
      <c r="DV1" s="508"/>
      <c r="DW1" s="508"/>
      <c r="DX1" s="508"/>
      <c r="DY1" s="508"/>
      <c r="DZ1" s="508"/>
      <c r="EA1" s="508"/>
      <c r="EB1" s="508"/>
      <c r="EC1" s="508"/>
      <c r="ED1" s="508"/>
      <c r="EE1" s="508"/>
      <c r="EF1" s="508"/>
      <c r="EG1" s="508"/>
      <c r="EH1" s="508"/>
      <c r="EI1" s="508"/>
      <c r="EJ1" s="508"/>
      <c r="EK1" s="508"/>
      <c r="EL1" s="508"/>
      <c r="EM1" s="508"/>
      <c r="EN1" s="508"/>
      <c r="EO1" s="508"/>
      <c r="EP1" s="508"/>
      <c r="EQ1" s="508"/>
      <c r="ER1" s="508"/>
      <c r="ES1" s="508"/>
      <c r="ET1" s="508"/>
      <c r="EU1" s="508"/>
      <c r="EV1" s="508"/>
      <c r="EW1" s="508"/>
      <c r="EX1" s="508"/>
      <c r="EY1" s="508"/>
      <c r="EZ1" s="508"/>
      <c r="FA1" s="508"/>
      <c r="FB1" s="508"/>
      <c r="FC1" s="508"/>
      <c r="FD1" s="508"/>
      <c r="FE1" s="508"/>
      <c r="FF1" s="508"/>
      <c r="FG1" s="508"/>
      <c r="FH1" s="508"/>
      <c r="FI1" s="508"/>
      <c r="FJ1" s="508"/>
      <c r="FK1" s="508"/>
      <c r="FL1" s="508"/>
      <c r="FM1" s="508"/>
      <c r="FN1" s="509"/>
      <c r="FO1" s="508" t="s">
        <v>0</v>
      </c>
      <c r="FP1" s="508"/>
      <c r="FQ1" s="508"/>
      <c r="FR1" s="508"/>
      <c r="FS1" s="508"/>
      <c r="FT1" s="508"/>
      <c r="FU1" s="508"/>
      <c r="FV1" s="508"/>
      <c r="FW1" s="508"/>
      <c r="FX1" s="508"/>
      <c r="FY1" s="508"/>
      <c r="FZ1" s="508"/>
      <c r="GA1" s="508"/>
      <c r="GB1" s="508"/>
      <c r="GC1" s="508"/>
      <c r="GD1" s="508"/>
      <c r="GE1" s="508"/>
      <c r="GF1" s="508"/>
      <c r="GG1" s="508"/>
      <c r="GH1" s="508"/>
      <c r="GI1" s="508"/>
      <c r="GJ1" s="509"/>
    </row>
    <row r="2" spans="1:192" ht="11.25" customHeight="1" x14ac:dyDescent="0.25">
      <c r="A2" s="200" t="s">
        <v>1</v>
      </c>
      <c r="B2" s="200"/>
      <c r="C2" s="201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2"/>
      <c r="AP2" s="202"/>
      <c r="AQ2" s="202"/>
      <c r="AR2" s="204" t="s">
        <v>2</v>
      </c>
      <c r="AS2" s="204"/>
      <c r="AT2" s="204"/>
      <c r="AU2" s="204"/>
      <c r="AV2" s="510">
        <f ca="1">TODAY()</f>
        <v>46063</v>
      </c>
      <c r="AW2" s="510"/>
      <c r="AX2" s="510"/>
      <c r="AY2" s="206"/>
      <c r="AZ2" s="206"/>
      <c r="BA2" s="206"/>
      <c r="BB2" s="206"/>
      <c r="BC2" s="206"/>
      <c r="BD2" s="206"/>
      <c r="BE2" s="206"/>
      <c r="BF2" s="206"/>
      <c r="BG2" s="206"/>
      <c r="BH2" s="206"/>
      <c r="BI2" s="206"/>
      <c r="BJ2" s="206"/>
      <c r="BK2" s="206"/>
      <c r="BL2" s="206"/>
      <c r="BM2" s="206"/>
      <c r="BN2" s="206"/>
      <c r="BO2" s="206"/>
      <c r="BP2" s="206"/>
      <c r="BQ2" s="206"/>
      <c r="BR2" s="206"/>
      <c r="BS2" s="206"/>
      <c r="BT2" s="206"/>
      <c r="BU2" s="206"/>
      <c r="BV2" s="206"/>
      <c r="BW2" s="206"/>
      <c r="BX2" s="206"/>
      <c r="BY2" s="206"/>
      <c r="BZ2" s="206"/>
      <c r="CA2" s="206"/>
      <c r="CB2" s="206"/>
      <c r="CC2" s="206"/>
      <c r="CD2" s="206"/>
      <c r="CE2" s="206"/>
      <c r="CF2" s="206"/>
      <c r="CG2" s="202"/>
      <c r="CH2" s="202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6"/>
      <c r="CV2" s="206"/>
      <c r="CW2" s="206"/>
      <c r="CX2" s="206"/>
      <c r="CY2" s="206"/>
      <c r="CZ2" s="206"/>
      <c r="DA2" s="206"/>
      <c r="DB2" s="206"/>
      <c r="DC2" s="206"/>
      <c r="DD2" s="206"/>
      <c r="DE2" s="206"/>
      <c r="DF2" s="206"/>
      <c r="DG2" s="206"/>
      <c r="DH2" s="206"/>
      <c r="DI2" s="206"/>
      <c r="DJ2" s="206"/>
      <c r="DK2" s="206"/>
      <c r="DL2" s="206"/>
      <c r="DM2" s="206"/>
      <c r="DN2" s="206"/>
      <c r="DO2" s="206"/>
      <c r="DP2" s="206"/>
      <c r="DQ2" s="206"/>
      <c r="DR2" s="206"/>
      <c r="DS2" s="206"/>
      <c r="DT2" s="206"/>
      <c r="DU2" s="206"/>
      <c r="DV2" s="206"/>
      <c r="DW2" s="206"/>
      <c r="DX2" s="202"/>
      <c r="DY2" s="202"/>
      <c r="DZ2" s="510"/>
      <c r="EA2" s="510"/>
      <c r="EB2" s="510"/>
      <c r="EC2" s="510"/>
      <c r="ED2" s="510"/>
      <c r="EE2" s="510"/>
      <c r="EF2" s="510"/>
      <c r="EG2" s="510"/>
      <c r="EH2" s="510"/>
      <c r="EI2" s="510"/>
      <c r="EJ2" s="510"/>
      <c r="EK2" s="510"/>
      <c r="EL2" s="510"/>
      <c r="EM2" s="510"/>
      <c r="EN2" s="202"/>
      <c r="EO2" s="202"/>
      <c r="EP2" s="202"/>
      <c r="EQ2" s="202"/>
      <c r="ER2" s="202"/>
      <c r="ES2" s="202"/>
      <c r="ET2" s="202"/>
      <c r="EU2" s="202"/>
      <c r="EV2" s="202"/>
      <c r="EW2" s="510"/>
      <c r="EX2" s="510"/>
      <c r="EY2" s="202"/>
      <c r="EZ2" s="202"/>
      <c r="FA2" s="510"/>
      <c r="FB2" s="510"/>
      <c r="FC2" s="510"/>
      <c r="FD2" s="510"/>
      <c r="FE2" s="510"/>
      <c r="FF2" s="510"/>
      <c r="FG2" s="510"/>
      <c r="FH2" s="205"/>
      <c r="FI2" s="202"/>
      <c r="FJ2" s="202"/>
      <c r="FK2" s="202"/>
      <c r="FL2" s="202"/>
      <c r="FM2" s="202"/>
      <c r="FN2" s="202"/>
      <c r="FO2" s="202"/>
      <c r="FP2" s="202"/>
      <c r="FQ2" s="202"/>
      <c r="FR2" s="202"/>
      <c r="FS2" s="202"/>
      <c r="FT2" s="202"/>
      <c r="FU2" s="202"/>
      <c r="FV2" s="202"/>
      <c r="FW2" s="202"/>
      <c r="FX2" s="202"/>
      <c r="FY2" s="202"/>
      <c r="FZ2" s="202"/>
      <c r="GA2" s="202"/>
      <c r="GB2" s="202"/>
      <c r="GC2" s="202"/>
      <c r="GD2" s="202"/>
      <c r="GE2" s="207"/>
      <c r="GF2" s="202"/>
      <c r="GG2" s="206"/>
      <c r="GH2" s="206"/>
      <c r="GI2" s="206"/>
      <c r="GJ2" s="206"/>
    </row>
    <row r="3" spans="1:192" ht="11.25" customHeight="1" x14ac:dyDescent="0.25">
      <c r="A3" s="208" t="s">
        <v>176</v>
      </c>
      <c r="B3" s="206" t="s">
        <v>374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9" t="s">
        <v>4</v>
      </c>
      <c r="AE3" s="209"/>
      <c r="AF3" s="210"/>
      <c r="AG3" s="209"/>
      <c r="AH3" s="209" t="s">
        <v>5</v>
      </c>
      <c r="AI3" s="209"/>
      <c r="AJ3" s="209">
        <v>2</v>
      </c>
      <c r="AK3" s="209" t="s">
        <v>6</v>
      </c>
      <c r="AL3" s="209"/>
      <c r="AM3" s="209"/>
      <c r="AN3" s="209">
        <v>3</v>
      </c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  <c r="BE3" s="206"/>
      <c r="BF3" s="206"/>
      <c r="BG3" s="206"/>
      <c r="BH3" s="206"/>
      <c r="BI3" s="206"/>
      <c r="BJ3" s="206"/>
      <c r="BK3" s="206"/>
      <c r="BL3" s="206"/>
      <c r="BM3" s="206"/>
      <c r="BN3" s="206"/>
      <c r="BO3" s="206"/>
      <c r="BP3" s="206"/>
      <c r="BQ3" s="206"/>
      <c r="BR3" s="206"/>
      <c r="BS3" s="206"/>
      <c r="BT3" s="206"/>
      <c r="BU3" s="206"/>
      <c r="BV3" s="206"/>
      <c r="BW3" s="206"/>
      <c r="BX3" s="206"/>
      <c r="BY3" s="206"/>
      <c r="BZ3" s="206"/>
      <c r="CA3" s="206"/>
      <c r="CB3" s="206"/>
      <c r="CC3" s="206"/>
      <c r="CD3" s="206"/>
      <c r="CE3" s="206"/>
      <c r="CF3" s="206"/>
      <c r="CG3" s="206"/>
      <c r="CH3" s="206"/>
      <c r="CI3" s="211"/>
      <c r="CJ3" s="211"/>
      <c r="CK3" s="211"/>
      <c r="CL3" s="211"/>
      <c r="CM3" s="211"/>
      <c r="CN3" s="211"/>
      <c r="CO3" s="211"/>
      <c r="CP3" s="211"/>
      <c r="CQ3" s="211"/>
      <c r="CR3" s="211"/>
      <c r="CS3" s="211"/>
      <c r="CT3" s="211"/>
      <c r="CU3" s="211"/>
      <c r="CV3" s="211"/>
      <c r="CW3" s="211"/>
      <c r="CX3" s="211"/>
      <c r="CY3" s="211"/>
      <c r="CZ3" s="211"/>
      <c r="DA3" s="211"/>
      <c r="DB3" s="206"/>
      <c r="DC3" s="206"/>
      <c r="DD3" s="206"/>
      <c r="DE3" s="206"/>
      <c r="DF3" s="206"/>
      <c r="DG3" s="206"/>
      <c r="DH3" s="206"/>
      <c r="DI3" s="206"/>
      <c r="DJ3" s="206"/>
      <c r="DK3" s="206"/>
      <c r="DL3" s="206"/>
      <c r="DM3" s="206"/>
      <c r="DN3" s="206"/>
      <c r="DO3" s="206"/>
      <c r="DP3" s="206"/>
      <c r="DQ3" s="206"/>
      <c r="DR3" s="206"/>
      <c r="DS3" s="206"/>
      <c r="DT3" s="206"/>
      <c r="DU3" s="206"/>
      <c r="DV3" s="206"/>
      <c r="DW3" s="206"/>
      <c r="DX3" s="206"/>
      <c r="DY3" s="206"/>
      <c r="DZ3" s="206"/>
      <c r="EA3" s="206"/>
      <c r="EB3" s="206"/>
      <c r="EC3" s="206"/>
      <c r="ED3" s="206"/>
      <c r="EE3" s="206"/>
      <c r="EF3" s="206"/>
      <c r="EG3" s="206"/>
      <c r="EH3" s="206"/>
      <c r="EI3" s="206"/>
      <c r="EJ3" s="206"/>
      <c r="EK3" s="206"/>
      <c r="EL3" s="206"/>
      <c r="EM3" s="206"/>
      <c r="EN3" s="206"/>
      <c r="EO3" s="206"/>
      <c r="EP3" s="206"/>
      <c r="EQ3" s="206"/>
      <c r="ER3" s="206"/>
      <c r="ES3" s="206"/>
      <c r="ET3" s="206"/>
      <c r="EU3" s="206"/>
      <c r="EV3" s="206"/>
      <c r="EW3" s="206"/>
      <c r="EX3" s="206"/>
      <c r="EY3" s="206"/>
      <c r="EZ3" s="206"/>
      <c r="FA3" s="206"/>
      <c r="FB3" s="206"/>
      <c r="FC3" s="206"/>
      <c r="FD3" s="206"/>
      <c r="FE3" s="206"/>
      <c r="FF3" s="206"/>
      <c r="FG3" s="206"/>
      <c r="FH3" s="206"/>
      <c r="FI3" s="206"/>
      <c r="FJ3" s="206"/>
      <c r="FK3" s="206"/>
      <c r="FL3" s="206"/>
      <c r="FM3" s="206"/>
      <c r="FN3" s="206"/>
      <c r="FO3" s="206" t="s">
        <v>169</v>
      </c>
      <c r="FP3" s="206"/>
      <c r="FQ3" s="206"/>
      <c r="FR3" s="206"/>
      <c r="FS3" s="206"/>
      <c r="FT3" s="206"/>
      <c r="FU3" s="206"/>
      <c r="FV3" s="206"/>
      <c r="FW3" s="206"/>
      <c r="FX3" s="206"/>
      <c r="FY3" s="206"/>
      <c r="FZ3" s="206"/>
      <c r="GA3" s="206"/>
      <c r="GB3" s="206"/>
      <c r="GC3" s="206"/>
      <c r="GD3" s="206"/>
      <c r="GE3" s="212"/>
      <c r="GF3" s="213"/>
      <c r="GG3" s="206"/>
      <c r="GH3" s="206"/>
      <c r="GI3" s="206"/>
      <c r="GJ3" s="206"/>
    </row>
    <row r="4" spans="1:192" ht="12" customHeight="1" x14ac:dyDescent="0.25">
      <c r="A4" s="214">
        <v>1</v>
      </c>
      <c r="B4" s="215" t="s">
        <v>7</v>
      </c>
      <c r="C4" s="215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9"/>
      <c r="AE4" s="209"/>
      <c r="AF4" s="210"/>
      <c r="AG4" s="209"/>
      <c r="AH4" s="209"/>
      <c r="AI4" s="209"/>
      <c r="AJ4" s="209"/>
      <c r="AK4" s="209"/>
      <c r="AL4" s="209"/>
      <c r="AM4" s="209"/>
      <c r="AN4" s="209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6"/>
      <c r="BL4" s="206"/>
      <c r="BM4" s="206"/>
      <c r="BN4" s="206"/>
      <c r="BO4" s="206"/>
      <c r="BP4" s="206"/>
      <c r="BQ4" s="206"/>
      <c r="BR4" s="206"/>
      <c r="BS4" s="206"/>
      <c r="BT4" s="206"/>
      <c r="BU4" s="206"/>
      <c r="BV4" s="206"/>
      <c r="BW4" s="206"/>
      <c r="BX4" s="206"/>
      <c r="BY4" s="206"/>
      <c r="BZ4" s="206"/>
      <c r="CA4" s="206"/>
      <c r="CB4" s="206"/>
      <c r="CC4" s="206"/>
      <c r="CD4" s="206"/>
      <c r="CE4" s="206"/>
      <c r="CF4" s="206"/>
      <c r="CG4" s="206"/>
      <c r="CH4" s="206"/>
      <c r="CI4" s="211"/>
      <c r="CJ4" s="211"/>
      <c r="CK4" s="211"/>
      <c r="CL4" s="211"/>
      <c r="CM4" s="211"/>
      <c r="CN4" s="211"/>
      <c r="CO4" s="211"/>
      <c r="CP4" s="211"/>
      <c r="CQ4" s="211"/>
      <c r="CR4" s="211"/>
      <c r="CS4" s="211"/>
      <c r="CT4" s="211"/>
      <c r="CU4" s="211"/>
      <c r="CV4" s="211"/>
      <c r="CW4" s="211"/>
      <c r="CX4" s="211"/>
      <c r="CY4" s="211"/>
      <c r="CZ4" s="211"/>
      <c r="DA4" s="211"/>
      <c r="DB4" s="206"/>
      <c r="DC4" s="206"/>
      <c r="DD4" s="206"/>
      <c r="DE4" s="206"/>
      <c r="DF4" s="206"/>
      <c r="DG4" s="206"/>
      <c r="DH4" s="206"/>
      <c r="DI4" s="206"/>
      <c r="DJ4" s="206"/>
      <c r="DK4" s="206"/>
      <c r="DL4" s="206"/>
      <c r="DM4" s="206"/>
      <c r="DN4" s="206"/>
      <c r="DO4" s="206"/>
      <c r="DP4" s="206"/>
      <c r="DQ4" s="206"/>
      <c r="DR4" s="206"/>
      <c r="DS4" s="206"/>
      <c r="DT4" s="206"/>
      <c r="DU4" s="206"/>
      <c r="DV4" s="206"/>
      <c r="DW4" s="206"/>
      <c r="DX4" s="206"/>
      <c r="DY4" s="206"/>
      <c r="DZ4" s="206"/>
      <c r="EA4" s="206"/>
      <c r="EB4" s="206"/>
      <c r="EC4" s="206"/>
      <c r="ED4" s="206"/>
      <c r="EE4" s="206"/>
      <c r="EF4" s="206"/>
      <c r="EG4" s="206"/>
      <c r="EH4" s="206"/>
      <c r="EI4" s="206"/>
      <c r="EJ4" s="206"/>
      <c r="EK4" s="206"/>
      <c r="EL4" s="206"/>
      <c r="EM4" s="206"/>
      <c r="EN4" s="206"/>
      <c r="EO4" s="206"/>
      <c r="EP4" s="206"/>
      <c r="EQ4" s="206"/>
      <c r="ER4" s="206"/>
      <c r="ES4" s="206"/>
      <c r="ET4" s="206"/>
      <c r="EU4" s="206"/>
      <c r="EV4" s="206"/>
      <c r="EW4" s="206"/>
      <c r="EX4" s="206"/>
      <c r="EY4" s="206"/>
      <c r="EZ4" s="206"/>
      <c r="FA4" s="206"/>
      <c r="FB4" s="206"/>
      <c r="FC4" s="206"/>
      <c r="FD4" s="206"/>
      <c r="FE4" s="206"/>
      <c r="FF4" s="206"/>
      <c r="FG4" s="206"/>
      <c r="FH4" s="206"/>
      <c r="FI4" s="206"/>
      <c r="FJ4" s="206"/>
      <c r="FK4" s="206"/>
      <c r="FL4" s="206"/>
      <c r="FM4" s="206"/>
      <c r="FN4" s="206"/>
      <c r="FO4" s="206" t="s">
        <v>160</v>
      </c>
      <c r="FP4" s="206"/>
      <c r="FQ4" s="206"/>
      <c r="FR4" s="206"/>
      <c r="FS4" s="206"/>
      <c r="FT4" s="206"/>
      <c r="FU4" s="206"/>
      <c r="FV4" s="206"/>
      <c r="FW4" s="206"/>
      <c r="FX4" s="206"/>
      <c r="FY4" s="206"/>
      <c r="FZ4" s="206"/>
      <c r="GA4" s="206"/>
      <c r="GB4" s="206"/>
      <c r="GC4" s="206"/>
      <c r="GD4" s="206"/>
      <c r="GE4" s="212"/>
      <c r="GF4" s="213"/>
      <c r="GG4" s="206"/>
      <c r="GH4" s="206"/>
      <c r="GI4" s="206"/>
      <c r="GJ4" s="206"/>
    </row>
    <row r="5" spans="1:192" ht="15.75" thickBot="1" x14ac:dyDescent="0.3">
      <c r="A5" s="216">
        <v>2</v>
      </c>
      <c r="B5" s="206" t="s">
        <v>8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502" t="s">
        <v>9</v>
      </c>
      <c r="AE5" s="502"/>
      <c r="AF5" s="502"/>
      <c r="AG5" s="502"/>
      <c r="AH5" s="502"/>
      <c r="AI5" s="502"/>
      <c r="AJ5" s="502"/>
      <c r="AK5" s="502"/>
      <c r="AL5" s="502"/>
      <c r="AM5" s="503">
        <v>51</v>
      </c>
      <c r="AN5" s="503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206" t="s">
        <v>176</v>
      </c>
      <c r="FP5" s="206"/>
      <c r="FQ5" s="206"/>
      <c r="FR5" s="206"/>
      <c r="FS5" s="206"/>
      <c r="FT5" s="206"/>
      <c r="FU5" s="206"/>
      <c r="FV5" s="206"/>
      <c r="FW5" s="206"/>
      <c r="FX5" s="206"/>
      <c r="FY5" s="206"/>
      <c r="FZ5" s="206"/>
      <c r="GA5" s="206"/>
      <c r="GB5" s="206"/>
      <c r="GC5" s="206"/>
      <c r="GD5" s="206"/>
      <c r="GE5" s="217"/>
      <c r="GF5" s="206"/>
      <c r="GG5" s="206"/>
      <c r="GH5" s="206"/>
      <c r="GI5" s="206"/>
      <c r="GJ5" s="206"/>
    </row>
    <row r="6" spans="1:192" ht="15.75" thickBot="1" x14ac:dyDescent="0.3">
      <c r="A6" s="218">
        <v>3</v>
      </c>
      <c r="B6" s="206" t="s">
        <v>10</v>
      </c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502" t="s">
        <v>11</v>
      </c>
      <c r="AE6" s="502"/>
      <c r="AF6" s="502"/>
      <c r="AG6" s="502"/>
      <c r="AH6" s="502"/>
      <c r="AI6" s="502"/>
      <c r="AJ6" s="502"/>
      <c r="AK6" s="502"/>
      <c r="AL6" s="502"/>
      <c r="AM6" s="503">
        <f>AM5*3</f>
        <v>153</v>
      </c>
      <c r="AN6" s="503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  <c r="CI6" s="206"/>
      <c r="CJ6" s="206"/>
      <c r="CK6" s="206"/>
      <c r="CL6" s="206"/>
      <c r="CM6" s="206"/>
      <c r="CN6" s="206"/>
      <c r="CO6" s="206"/>
      <c r="CP6" s="206"/>
      <c r="CQ6" s="206"/>
      <c r="CR6" s="206"/>
      <c r="CS6" s="206"/>
      <c r="CT6" s="206"/>
      <c r="CU6" s="206"/>
      <c r="CV6" s="206"/>
      <c r="CW6" s="206"/>
      <c r="CX6" s="206"/>
      <c r="CY6" s="206"/>
      <c r="CZ6" s="206"/>
      <c r="DA6" s="206"/>
      <c r="DB6" s="206"/>
      <c r="DC6" s="206"/>
      <c r="DD6" s="206"/>
      <c r="DE6" s="206"/>
      <c r="DF6" s="206"/>
      <c r="DG6" s="206"/>
      <c r="DH6" s="206"/>
      <c r="DI6" s="206"/>
      <c r="DJ6" s="206"/>
      <c r="DK6" s="206"/>
      <c r="DL6" s="206"/>
      <c r="DM6" s="206"/>
      <c r="DN6" s="206"/>
      <c r="DO6" s="206"/>
      <c r="DP6" s="206"/>
      <c r="DQ6" s="206"/>
      <c r="DR6" s="206"/>
      <c r="DS6" s="206"/>
      <c r="DT6" s="206"/>
      <c r="DU6" s="206"/>
      <c r="DV6" s="206"/>
      <c r="DW6" s="206"/>
      <c r="DX6" s="206"/>
      <c r="DY6" s="206"/>
      <c r="DZ6" s="206"/>
      <c r="EA6" s="206"/>
      <c r="EB6" s="206"/>
      <c r="EC6" s="206"/>
      <c r="ED6" s="206"/>
      <c r="EE6" s="206"/>
      <c r="EF6" s="206"/>
      <c r="EG6" s="206"/>
      <c r="EH6" s="206"/>
      <c r="EI6" s="206"/>
      <c r="EJ6" s="206"/>
      <c r="EK6" s="206"/>
      <c r="EL6" s="206"/>
      <c r="EM6" s="206"/>
      <c r="EN6" s="206"/>
      <c r="EO6" s="206"/>
      <c r="EP6" s="206"/>
      <c r="EQ6" s="206"/>
      <c r="ER6" s="206"/>
      <c r="ES6" s="206"/>
      <c r="ET6" s="206"/>
      <c r="EU6" s="206"/>
      <c r="EV6" s="206"/>
      <c r="EW6" s="532" t="s">
        <v>720</v>
      </c>
      <c r="EX6" s="533"/>
      <c r="EY6" s="533"/>
      <c r="EZ6" s="533"/>
      <c r="FA6" s="533"/>
      <c r="FB6" s="533"/>
      <c r="FC6" s="533"/>
      <c r="FD6" s="533"/>
      <c r="FE6" s="533"/>
      <c r="FF6" s="533"/>
      <c r="FG6" s="533"/>
      <c r="FH6" s="533"/>
      <c r="FI6" s="533"/>
      <c r="FJ6" s="533"/>
      <c r="FK6" s="533"/>
      <c r="FL6" s="533"/>
      <c r="FM6" s="533"/>
      <c r="FN6" s="534"/>
      <c r="FO6" s="521" t="s">
        <v>12</v>
      </c>
      <c r="FP6" s="522"/>
      <c r="FQ6" s="522"/>
      <c r="FR6" s="522"/>
      <c r="FS6" s="522"/>
      <c r="FT6" s="522"/>
      <c r="FU6" s="522"/>
      <c r="FV6" s="522"/>
      <c r="FW6" s="522"/>
      <c r="FX6" s="522"/>
      <c r="FY6" s="522"/>
      <c r="FZ6" s="522"/>
      <c r="GA6" s="522"/>
      <c r="GB6" s="522"/>
      <c r="GC6" s="522"/>
      <c r="GD6" s="522"/>
      <c r="GE6" s="522"/>
      <c r="GF6" s="522"/>
      <c r="GG6" s="522"/>
      <c r="GH6" s="522"/>
      <c r="GI6" s="523"/>
      <c r="GJ6" s="219"/>
    </row>
    <row r="7" spans="1:192" ht="22.5" customHeight="1" thickBot="1" x14ac:dyDescent="0.3">
      <c r="A7" s="511" t="s">
        <v>13</v>
      </c>
      <c r="B7" s="512"/>
      <c r="C7" s="220"/>
      <c r="D7" s="513" t="s">
        <v>14</v>
      </c>
      <c r="E7" s="514"/>
      <c r="F7" s="514"/>
      <c r="G7" s="514"/>
      <c r="H7" s="515"/>
      <c r="I7" s="513" t="s">
        <v>15</v>
      </c>
      <c r="J7" s="516"/>
      <c r="K7" s="517"/>
      <c r="L7" s="517"/>
      <c r="M7" s="517"/>
      <c r="N7" s="517"/>
      <c r="O7" s="517"/>
      <c r="P7" s="517"/>
      <c r="Q7" s="515"/>
      <c r="R7" s="513" t="s">
        <v>16</v>
      </c>
      <c r="S7" s="516"/>
      <c r="T7" s="517"/>
      <c r="U7" s="517"/>
      <c r="V7" s="517"/>
      <c r="W7" s="517"/>
      <c r="X7" s="517"/>
      <c r="Y7" s="515"/>
      <c r="Z7" s="518" t="s">
        <v>17</v>
      </c>
      <c r="AA7" s="519"/>
      <c r="AB7" s="520"/>
      <c r="AC7" s="520"/>
      <c r="AD7" s="520"/>
      <c r="AE7" s="520"/>
      <c r="AF7" s="520"/>
      <c r="AG7" s="520"/>
      <c r="AH7" s="520"/>
      <c r="AI7" s="520"/>
      <c r="AJ7" s="504" t="s">
        <v>276</v>
      </c>
      <c r="AK7" s="505"/>
      <c r="AL7" s="505"/>
      <c r="AM7" s="505"/>
      <c r="AN7" s="505"/>
      <c r="AO7" s="505"/>
      <c r="AP7" s="505"/>
      <c r="AQ7" s="505"/>
      <c r="AR7" s="506"/>
      <c r="AS7" s="504" t="s">
        <v>18</v>
      </c>
      <c r="AT7" s="505"/>
      <c r="AU7" s="505"/>
      <c r="AV7" s="506"/>
      <c r="AW7" s="504" t="s">
        <v>19</v>
      </c>
      <c r="AX7" s="505"/>
      <c r="AY7" s="505"/>
      <c r="AZ7" s="505"/>
      <c r="BA7" s="505"/>
      <c r="BB7" s="505"/>
      <c r="BC7" s="505"/>
      <c r="BD7" s="505"/>
      <c r="BE7" s="505"/>
      <c r="BF7" s="505"/>
      <c r="BG7" s="505"/>
      <c r="BH7" s="505"/>
      <c r="BI7" s="505"/>
      <c r="BJ7" s="505"/>
      <c r="BK7" s="504" t="s">
        <v>20</v>
      </c>
      <c r="BL7" s="505"/>
      <c r="BM7" s="505"/>
      <c r="BN7" s="505"/>
      <c r="BO7" s="505"/>
      <c r="BP7" s="505"/>
      <c r="BQ7" s="505"/>
      <c r="BR7" s="505"/>
      <c r="BS7" s="505"/>
      <c r="BT7" s="505"/>
      <c r="BU7" s="504" t="s">
        <v>21</v>
      </c>
      <c r="BV7" s="505"/>
      <c r="BW7" s="505"/>
      <c r="BX7" s="505"/>
      <c r="BY7" s="505"/>
      <c r="BZ7" s="505"/>
      <c r="CA7" s="505"/>
      <c r="CB7" s="505"/>
      <c r="CC7" s="505"/>
      <c r="CD7" s="505"/>
      <c r="CE7" s="505"/>
      <c r="CF7" s="506"/>
      <c r="CG7" s="504" t="s">
        <v>22</v>
      </c>
      <c r="CH7" s="505"/>
      <c r="CI7" s="505"/>
      <c r="CJ7" s="506"/>
      <c r="CK7" s="504" t="s">
        <v>23</v>
      </c>
      <c r="CL7" s="505"/>
      <c r="CM7" s="505"/>
      <c r="CN7" s="505"/>
      <c r="CO7" s="505"/>
      <c r="CP7" s="505"/>
      <c r="CQ7" s="505"/>
      <c r="CR7" s="505"/>
      <c r="CS7" s="504" t="s">
        <v>24</v>
      </c>
      <c r="CT7" s="505"/>
      <c r="CU7" s="505"/>
      <c r="CV7" s="505"/>
      <c r="CW7" s="505"/>
      <c r="CX7" s="505"/>
      <c r="CY7" s="505"/>
      <c r="CZ7" s="505"/>
      <c r="DA7" s="505"/>
      <c r="DB7" s="505"/>
      <c r="DC7" s="505"/>
      <c r="DD7" s="505"/>
      <c r="DE7" s="505"/>
      <c r="DF7" s="505"/>
      <c r="DG7" s="505"/>
      <c r="DH7" s="505"/>
      <c r="DI7" s="505"/>
      <c r="DJ7" s="505"/>
      <c r="DK7" s="505"/>
      <c r="DL7" s="505"/>
      <c r="DM7" s="505"/>
      <c r="DN7" s="505"/>
      <c r="DO7" s="505"/>
      <c r="DP7" s="505"/>
      <c r="DQ7" s="505"/>
      <c r="DR7" s="505"/>
      <c r="DS7" s="505"/>
      <c r="DT7" s="505"/>
      <c r="DU7" s="505"/>
      <c r="DV7" s="506"/>
      <c r="DW7" s="528" t="s">
        <v>25</v>
      </c>
      <c r="DX7" s="529"/>
      <c r="DY7" s="529"/>
      <c r="DZ7" s="529"/>
      <c r="EA7" s="529"/>
      <c r="EB7" s="529"/>
      <c r="EC7" s="529"/>
      <c r="ED7" s="529"/>
      <c r="EE7" s="529"/>
      <c r="EF7" s="529"/>
      <c r="EG7" s="529"/>
      <c r="EH7" s="529"/>
      <c r="EI7" s="529"/>
      <c r="EJ7" s="529"/>
      <c r="EK7" s="529"/>
      <c r="EL7" s="529"/>
      <c r="EM7" s="530"/>
      <c r="EN7" s="505" t="s">
        <v>313</v>
      </c>
      <c r="EO7" s="505"/>
      <c r="EP7" s="505"/>
      <c r="EQ7" s="505"/>
      <c r="ER7" s="505"/>
      <c r="ES7" s="505"/>
      <c r="ET7" s="505"/>
      <c r="EU7" s="505"/>
      <c r="EV7" s="505"/>
      <c r="EW7" s="504" t="s">
        <v>26</v>
      </c>
      <c r="EX7" s="505"/>
      <c r="EY7" s="505"/>
      <c r="EZ7" s="505"/>
      <c r="FA7" s="505"/>
      <c r="FB7" s="505"/>
      <c r="FC7" s="505"/>
      <c r="FD7" s="505"/>
      <c r="FE7" s="505"/>
      <c r="FF7" s="505"/>
      <c r="FG7" s="505"/>
      <c r="FH7" s="505"/>
      <c r="FI7" s="506"/>
      <c r="FJ7" s="504" t="s">
        <v>719</v>
      </c>
      <c r="FK7" s="505"/>
      <c r="FL7" s="505"/>
      <c r="FM7" s="505"/>
      <c r="FN7" s="506"/>
      <c r="FO7" s="524" t="s">
        <v>27</v>
      </c>
      <c r="FP7" s="526"/>
      <c r="FQ7" s="527"/>
      <c r="FR7" s="527"/>
      <c r="FS7" s="527"/>
      <c r="FT7" s="531"/>
      <c r="FU7" s="524" t="s">
        <v>28</v>
      </c>
      <c r="FV7" s="526"/>
      <c r="FW7" s="527"/>
      <c r="FX7" s="527"/>
      <c r="FY7" s="527"/>
      <c r="FZ7" s="531"/>
      <c r="GA7" s="524" t="s">
        <v>29</v>
      </c>
      <c r="GB7" s="525"/>
      <c r="GC7" s="525"/>
      <c r="GD7" s="526"/>
      <c r="GE7" s="527"/>
      <c r="GF7" s="527"/>
      <c r="GG7" s="527"/>
      <c r="GH7" s="527"/>
      <c r="GI7" s="527"/>
      <c r="GJ7" s="221"/>
    </row>
    <row r="8" spans="1:192" ht="81" customHeight="1" thickBot="1" x14ac:dyDescent="0.3">
      <c r="A8" s="222" t="s">
        <v>168</v>
      </c>
      <c r="B8" s="223" t="s">
        <v>159</v>
      </c>
      <c r="C8" s="224" t="s">
        <v>177</v>
      </c>
      <c r="D8" s="225" t="s">
        <v>31</v>
      </c>
      <c r="E8" s="226" t="s">
        <v>32</v>
      </c>
      <c r="F8" s="226" t="s">
        <v>372</v>
      </c>
      <c r="G8" s="171" t="s">
        <v>286</v>
      </c>
      <c r="H8" s="227" t="s">
        <v>287</v>
      </c>
      <c r="I8" s="225" t="s">
        <v>33</v>
      </c>
      <c r="J8" s="226" t="s">
        <v>34</v>
      </c>
      <c r="K8" s="226" t="s">
        <v>35</v>
      </c>
      <c r="L8" s="226" t="s">
        <v>36</v>
      </c>
      <c r="M8" s="226" t="s">
        <v>37</v>
      </c>
      <c r="N8" s="226" t="s">
        <v>38</v>
      </c>
      <c r="O8" s="226" t="s">
        <v>39</v>
      </c>
      <c r="P8" s="226" t="s">
        <v>40</v>
      </c>
      <c r="Q8" s="228" t="s">
        <v>285</v>
      </c>
      <c r="R8" s="229" t="s">
        <v>41</v>
      </c>
      <c r="S8" s="226" t="s">
        <v>275</v>
      </c>
      <c r="T8" s="226" t="s">
        <v>42</v>
      </c>
      <c r="U8" s="226" t="s">
        <v>551</v>
      </c>
      <c r="V8" s="226" t="s">
        <v>44</v>
      </c>
      <c r="W8" s="226" t="s">
        <v>45</v>
      </c>
      <c r="X8" s="226" t="s">
        <v>552</v>
      </c>
      <c r="Y8" s="228" t="s">
        <v>553</v>
      </c>
      <c r="Z8" s="230" t="s">
        <v>46</v>
      </c>
      <c r="AA8" s="231" t="s">
        <v>47</v>
      </c>
      <c r="AB8" s="231" t="s">
        <v>48</v>
      </c>
      <c r="AC8" s="231" t="s">
        <v>49</v>
      </c>
      <c r="AD8" s="231" t="s">
        <v>50</v>
      </c>
      <c r="AE8" s="231" t="s">
        <v>51</v>
      </c>
      <c r="AF8" s="231" t="s">
        <v>736</v>
      </c>
      <c r="AG8" s="231" t="s">
        <v>737</v>
      </c>
      <c r="AH8" s="231" t="s">
        <v>54</v>
      </c>
      <c r="AI8" s="231" t="s">
        <v>57</v>
      </c>
      <c r="AJ8" s="232" t="s">
        <v>376</v>
      </c>
      <c r="AK8" s="231" t="s">
        <v>59</v>
      </c>
      <c r="AL8" s="231" t="s">
        <v>61</v>
      </c>
      <c r="AM8" s="231" t="s">
        <v>62</v>
      </c>
      <c r="AN8" s="231" t="s">
        <v>63</v>
      </c>
      <c r="AO8" s="231" t="s">
        <v>66</v>
      </c>
      <c r="AP8" s="231" t="s">
        <v>67</v>
      </c>
      <c r="AQ8" s="231" t="s">
        <v>68</v>
      </c>
      <c r="AR8" s="231" t="s">
        <v>69</v>
      </c>
      <c r="AS8" s="232" t="s">
        <v>70</v>
      </c>
      <c r="AT8" s="231" t="s">
        <v>71</v>
      </c>
      <c r="AU8" s="231" t="s">
        <v>72</v>
      </c>
      <c r="AV8" s="233" t="s">
        <v>73</v>
      </c>
      <c r="AW8" s="230" t="s">
        <v>74</v>
      </c>
      <c r="AX8" s="231" t="s">
        <v>75</v>
      </c>
      <c r="AY8" s="231" t="s">
        <v>76</v>
      </c>
      <c r="AZ8" s="231" t="s">
        <v>77</v>
      </c>
      <c r="BA8" s="231" t="s">
        <v>78</v>
      </c>
      <c r="BB8" s="231" t="s">
        <v>79</v>
      </c>
      <c r="BC8" s="231" t="s">
        <v>566</v>
      </c>
      <c r="BD8" s="234" t="s">
        <v>563</v>
      </c>
      <c r="BE8" s="231" t="s">
        <v>564</v>
      </c>
      <c r="BF8" s="231" t="s">
        <v>569</v>
      </c>
      <c r="BG8" s="231" t="s">
        <v>562</v>
      </c>
      <c r="BH8" s="231" t="s">
        <v>568</v>
      </c>
      <c r="BI8" s="231" t="s">
        <v>567</v>
      </c>
      <c r="BJ8" s="231" t="s">
        <v>561</v>
      </c>
      <c r="BK8" s="232" t="s">
        <v>80</v>
      </c>
      <c r="BL8" s="231" t="s">
        <v>81</v>
      </c>
      <c r="BM8" s="231" t="s">
        <v>82</v>
      </c>
      <c r="BN8" s="231" t="s">
        <v>83</v>
      </c>
      <c r="BO8" s="231" t="s">
        <v>84</v>
      </c>
      <c r="BP8" s="231" t="s">
        <v>85</v>
      </c>
      <c r="BQ8" s="231" t="s">
        <v>86</v>
      </c>
      <c r="BR8" s="231" t="s">
        <v>87</v>
      </c>
      <c r="BS8" s="231" t="s">
        <v>88</v>
      </c>
      <c r="BT8" s="231" t="s">
        <v>375</v>
      </c>
      <c r="BU8" s="232" t="s">
        <v>89</v>
      </c>
      <c r="BV8" s="230" t="s">
        <v>91</v>
      </c>
      <c r="BW8" s="230" t="s">
        <v>92</v>
      </c>
      <c r="BX8" s="230" t="s">
        <v>373</v>
      </c>
      <c r="BY8" s="230" t="s">
        <v>94</v>
      </c>
      <c r="BZ8" s="230" t="s">
        <v>95</v>
      </c>
      <c r="CA8" s="231" t="s">
        <v>96</v>
      </c>
      <c r="CB8" s="231" t="s">
        <v>97</v>
      </c>
      <c r="CC8" s="235" t="s">
        <v>98</v>
      </c>
      <c r="CD8" s="235" t="s">
        <v>99</v>
      </c>
      <c r="CE8" s="235" t="s">
        <v>557</v>
      </c>
      <c r="CF8" s="233" t="s">
        <v>101</v>
      </c>
      <c r="CG8" s="230" t="s">
        <v>102</v>
      </c>
      <c r="CH8" s="231" t="s">
        <v>103</v>
      </c>
      <c r="CI8" s="231" t="s">
        <v>104</v>
      </c>
      <c r="CJ8" s="235" t="s">
        <v>105</v>
      </c>
      <c r="CK8" s="232" t="s">
        <v>106</v>
      </c>
      <c r="CL8" s="231" t="s">
        <v>107</v>
      </c>
      <c r="CM8" s="231" t="s">
        <v>108</v>
      </c>
      <c r="CN8" s="231" t="s">
        <v>110</v>
      </c>
      <c r="CO8" s="231" t="s">
        <v>111</v>
      </c>
      <c r="CP8" s="231" t="s">
        <v>112</v>
      </c>
      <c r="CQ8" s="235" t="s">
        <v>565</v>
      </c>
      <c r="CR8" s="235" t="s">
        <v>289</v>
      </c>
      <c r="CS8" s="232" t="s">
        <v>114</v>
      </c>
      <c r="CT8" s="231" t="s">
        <v>115</v>
      </c>
      <c r="CU8" s="231" t="s">
        <v>116</v>
      </c>
      <c r="CV8" s="367" t="s">
        <v>683</v>
      </c>
      <c r="CW8" s="367" t="s">
        <v>684</v>
      </c>
      <c r="CX8" s="367" t="s">
        <v>685</v>
      </c>
      <c r="CY8" s="367" t="s">
        <v>682</v>
      </c>
      <c r="CZ8" s="231" t="s">
        <v>119</v>
      </c>
      <c r="DA8" s="367" t="s">
        <v>686</v>
      </c>
      <c r="DB8" s="231" t="s">
        <v>120</v>
      </c>
      <c r="DC8" s="367" t="s">
        <v>687</v>
      </c>
      <c r="DD8" s="231" t="s">
        <v>121</v>
      </c>
      <c r="DE8" s="367" t="s">
        <v>688</v>
      </c>
      <c r="DF8" s="367" t="s">
        <v>689</v>
      </c>
      <c r="DG8" s="367" t="s">
        <v>690</v>
      </c>
      <c r="DH8" s="367" t="s">
        <v>691</v>
      </c>
      <c r="DI8" s="367" t="s">
        <v>692</v>
      </c>
      <c r="DJ8" s="367" t="s">
        <v>693</v>
      </c>
      <c r="DK8" s="367" t="s">
        <v>694</v>
      </c>
      <c r="DL8" s="367" t="s">
        <v>695</v>
      </c>
      <c r="DM8" s="367" t="s">
        <v>696</v>
      </c>
      <c r="DN8" s="367" t="s">
        <v>697</v>
      </c>
      <c r="DO8" s="367" t="s">
        <v>698</v>
      </c>
      <c r="DP8" s="367" t="s">
        <v>699</v>
      </c>
      <c r="DQ8" s="367" t="s">
        <v>700</v>
      </c>
      <c r="DR8" s="367" t="s">
        <v>701</v>
      </c>
      <c r="DS8" s="231" t="s">
        <v>122</v>
      </c>
      <c r="DT8" s="235" t="s">
        <v>291</v>
      </c>
      <c r="DU8" s="235" t="s">
        <v>292</v>
      </c>
      <c r="DV8" s="233" t="s">
        <v>123</v>
      </c>
      <c r="DW8" s="225" t="s">
        <v>315</v>
      </c>
      <c r="DX8" s="226" t="s">
        <v>316</v>
      </c>
      <c r="DY8" s="226" t="s">
        <v>317</v>
      </c>
      <c r="DZ8" s="226" t="s">
        <v>318</v>
      </c>
      <c r="EA8" s="226" t="s">
        <v>319</v>
      </c>
      <c r="EB8" s="226" t="s">
        <v>320</v>
      </c>
      <c r="EC8" s="226" t="s">
        <v>321</v>
      </c>
      <c r="ED8" s="229" t="s">
        <v>342</v>
      </c>
      <c r="EE8" s="226" t="s">
        <v>323</v>
      </c>
      <c r="EF8" s="226" t="s">
        <v>324</v>
      </c>
      <c r="EG8" s="226" t="s">
        <v>325</v>
      </c>
      <c r="EH8" s="226" t="s">
        <v>326</v>
      </c>
      <c r="EI8" s="226" t="s">
        <v>327</v>
      </c>
      <c r="EJ8" s="226" t="s">
        <v>328</v>
      </c>
      <c r="EK8" s="226" t="s">
        <v>329</v>
      </c>
      <c r="EL8" s="226" t="s">
        <v>330</v>
      </c>
      <c r="EM8" s="228" t="s">
        <v>331</v>
      </c>
      <c r="EN8" s="225" t="s">
        <v>334</v>
      </c>
      <c r="EO8" s="229" t="s">
        <v>335</v>
      </c>
      <c r="EP8" s="229" t="s">
        <v>336</v>
      </c>
      <c r="EQ8" s="229" t="s">
        <v>337</v>
      </c>
      <c r="ER8" s="229" t="s">
        <v>338</v>
      </c>
      <c r="ES8" s="229" t="s">
        <v>339</v>
      </c>
      <c r="ET8" s="229" t="s">
        <v>340</v>
      </c>
      <c r="EU8" s="486" t="s">
        <v>759</v>
      </c>
      <c r="EV8" s="236" t="s">
        <v>346</v>
      </c>
      <c r="EW8" s="225" t="s">
        <v>132</v>
      </c>
      <c r="EX8" s="226" t="s">
        <v>133</v>
      </c>
      <c r="EY8" s="226" t="s">
        <v>134</v>
      </c>
      <c r="EZ8" s="226" t="s">
        <v>135</v>
      </c>
      <c r="FA8" s="226" t="s">
        <v>136</v>
      </c>
      <c r="FB8" s="226" t="s">
        <v>356</v>
      </c>
      <c r="FC8" s="226" t="s">
        <v>357</v>
      </c>
      <c r="FD8" s="226" t="s">
        <v>358</v>
      </c>
      <c r="FE8" s="171" t="s">
        <v>360</v>
      </c>
      <c r="FF8" s="226" t="s">
        <v>137</v>
      </c>
      <c r="FG8" s="226" t="s">
        <v>138</v>
      </c>
      <c r="FH8" s="227" t="s">
        <v>278</v>
      </c>
      <c r="FI8" s="227" t="s">
        <v>279</v>
      </c>
      <c r="FJ8" s="225" t="s">
        <v>280</v>
      </c>
      <c r="FK8" s="226" t="s">
        <v>281</v>
      </c>
      <c r="FL8" s="226" t="s">
        <v>282</v>
      </c>
      <c r="FM8" s="226" t="s">
        <v>283</v>
      </c>
      <c r="FN8" s="228" t="s">
        <v>284</v>
      </c>
      <c r="FO8" s="237" t="s">
        <v>139</v>
      </c>
      <c r="FP8" s="238" t="s">
        <v>140</v>
      </c>
      <c r="FQ8" s="238" t="s">
        <v>141</v>
      </c>
      <c r="FR8" s="238" t="s">
        <v>142</v>
      </c>
      <c r="FS8" s="238" t="s">
        <v>143</v>
      </c>
      <c r="FT8" s="239" t="s">
        <v>144</v>
      </c>
      <c r="FU8" s="240" t="s">
        <v>175</v>
      </c>
      <c r="FV8" s="241" t="s">
        <v>145</v>
      </c>
      <c r="FW8" s="241" t="s">
        <v>146</v>
      </c>
      <c r="FX8" s="241" t="s">
        <v>147</v>
      </c>
      <c r="FY8" s="241" t="s">
        <v>148</v>
      </c>
      <c r="FZ8" s="242" t="s">
        <v>149</v>
      </c>
      <c r="GA8" s="240" t="s">
        <v>150</v>
      </c>
      <c r="GB8" s="243" t="s">
        <v>151</v>
      </c>
      <c r="GC8" s="243" t="s">
        <v>152</v>
      </c>
      <c r="GD8" s="241" t="s">
        <v>153</v>
      </c>
      <c r="GE8" s="241" t="s">
        <v>154</v>
      </c>
      <c r="GF8" s="241" t="s">
        <v>155</v>
      </c>
      <c r="GG8" s="241" t="s">
        <v>156</v>
      </c>
      <c r="GH8" s="241" t="s">
        <v>157</v>
      </c>
      <c r="GI8" s="244" t="s">
        <v>158</v>
      </c>
      <c r="GJ8" s="245" t="s">
        <v>30</v>
      </c>
    </row>
    <row r="9" spans="1:192" ht="25.5" customHeight="1" x14ac:dyDescent="0.25">
      <c r="A9" s="272" t="s">
        <v>14</v>
      </c>
      <c r="B9" s="273" t="s">
        <v>675</v>
      </c>
      <c r="C9" s="246" t="s">
        <v>732</v>
      </c>
      <c r="D9" s="406">
        <v>3</v>
      </c>
      <c r="E9" s="406">
        <v>3</v>
      </c>
      <c r="F9" s="406">
        <v>3</v>
      </c>
      <c r="G9" s="406">
        <v>2</v>
      </c>
      <c r="H9" s="406">
        <v>1</v>
      </c>
      <c r="I9" s="406">
        <v>2</v>
      </c>
      <c r="J9" s="406" t="s">
        <v>176</v>
      </c>
      <c r="K9" s="406" t="s">
        <v>176</v>
      </c>
      <c r="L9" s="406">
        <v>2</v>
      </c>
      <c r="M9" s="406">
        <v>2</v>
      </c>
      <c r="N9" s="406" t="s">
        <v>176</v>
      </c>
      <c r="O9" s="406" t="s">
        <v>176</v>
      </c>
      <c r="P9" s="406" t="s">
        <v>176</v>
      </c>
      <c r="Q9" s="406" t="s">
        <v>176</v>
      </c>
      <c r="R9" s="406" t="s">
        <v>176</v>
      </c>
      <c r="S9" s="406" t="s">
        <v>176</v>
      </c>
      <c r="T9" s="406" t="s">
        <v>176</v>
      </c>
      <c r="U9" s="406" t="s">
        <v>176</v>
      </c>
      <c r="V9" s="406" t="s">
        <v>176</v>
      </c>
      <c r="W9" s="406" t="s">
        <v>176</v>
      </c>
      <c r="X9" s="406" t="s">
        <v>176</v>
      </c>
      <c r="Y9" s="406">
        <v>1</v>
      </c>
      <c r="Z9" s="406">
        <v>1</v>
      </c>
      <c r="AA9" s="406">
        <v>2</v>
      </c>
      <c r="AB9" s="406">
        <v>1</v>
      </c>
      <c r="AC9" s="406">
        <v>1</v>
      </c>
      <c r="AD9" s="406" t="s">
        <v>176</v>
      </c>
      <c r="AE9" s="406" t="s">
        <v>176</v>
      </c>
      <c r="AF9" s="406" t="s">
        <v>176</v>
      </c>
      <c r="AG9" s="406" t="s">
        <v>176</v>
      </c>
      <c r="AH9" s="406" t="s">
        <v>176</v>
      </c>
      <c r="AI9" s="406">
        <v>1</v>
      </c>
      <c r="AJ9" s="406">
        <v>1</v>
      </c>
      <c r="AK9" s="406" t="s">
        <v>176</v>
      </c>
      <c r="AL9" s="406" t="s">
        <v>176</v>
      </c>
      <c r="AM9" s="406">
        <v>2</v>
      </c>
      <c r="AN9" s="406">
        <v>1</v>
      </c>
      <c r="AO9" s="406" t="s">
        <v>176</v>
      </c>
      <c r="AP9" s="406" t="s">
        <v>176</v>
      </c>
      <c r="AQ9" s="406" t="s">
        <v>176</v>
      </c>
      <c r="AR9" s="406" t="s">
        <v>176</v>
      </c>
      <c r="AS9" s="406">
        <v>2</v>
      </c>
      <c r="AT9" s="406" t="s">
        <v>176</v>
      </c>
      <c r="AU9" s="406" t="s">
        <v>176</v>
      </c>
      <c r="AV9" s="406" t="s">
        <v>176</v>
      </c>
      <c r="AW9" s="406" t="s">
        <v>176</v>
      </c>
      <c r="AX9" s="406" t="s">
        <v>176</v>
      </c>
      <c r="AY9" s="406" t="s">
        <v>176</v>
      </c>
      <c r="AZ9" s="406" t="s">
        <v>176</v>
      </c>
      <c r="BA9" s="406" t="s">
        <v>176</v>
      </c>
      <c r="BB9" s="406" t="s">
        <v>176</v>
      </c>
      <c r="BC9" s="406" t="s">
        <v>176</v>
      </c>
      <c r="BD9" s="406" t="s">
        <v>176</v>
      </c>
      <c r="BE9" s="406" t="s">
        <v>176</v>
      </c>
      <c r="BF9" s="406" t="s">
        <v>176</v>
      </c>
      <c r="BG9" s="406" t="s">
        <v>176</v>
      </c>
      <c r="BH9" s="406" t="s">
        <v>176</v>
      </c>
      <c r="BI9" s="406" t="s">
        <v>176</v>
      </c>
      <c r="BJ9" s="406" t="s">
        <v>176</v>
      </c>
      <c r="BK9" s="406" t="s">
        <v>176</v>
      </c>
      <c r="BL9" s="406" t="s">
        <v>176</v>
      </c>
      <c r="BM9" s="406" t="s">
        <v>176</v>
      </c>
      <c r="BN9" s="406" t="s">
        <v>176</v>
      </c>
      <c r="BO9" s="406" t="s">
        <v>176</v>
      </c>
      <c r="BP9" s="406" t="s">
        <v>176</v>
      </c>
      <c r="BQ9" s="406" t="s">
        <v>176</v>
      </c>
      <c r="BR9" s="406" t="s">
        <v>176</v>
      </c>
      <c r="BS9" s="406" t="s">
        <v>176</v>
      </c>
      <c r="BT9" s="406" t="s">
        <v>176</v>
      </c>
      <c r="BU9" s="406" t="s">
        <v>176</v>
      </c>
      <c r="BV9" s="406" t="s">
        <v>176</v>
      </c>
      <c r="BW9" s="406" t="s">
        <v>176</v>
      </c>
      <c r="BX9" s="406" t="s">
        <v>176</v>
      </c>
      <c r="BY9" s="406" t="s">
        <v>176</v>
      </c>
      <c r="BZ9" s="406" t="s">
        <v>176</v>
      </c>
      <c r="CA9" s="406" t="s">
        <v>176</v>
      </c>
      <c r="CB9" s="406" t="s">
        <v>176</v>
      </c>
      <c r="CC9" s="406" t="s">
        <v>176</v>
      </c>
      <c r="CD9" s="406" t="s">
        <v>176</v>
      </c>
      <c r="CE9" s="406" t="s">
        <v>176</v>
      </c>
      <c r="CF9" s="406" t="s">
        <v>176</v>
      </c>
      <c r="CG9" s="406">
        <v>2</v>
      </c>
      <c r="CH9" s="406" t="s">
        <v>176</v>
      </c>
      <c r="CI9" s="406" t="s">
        <v>176</v>
      </c>
      <c r="CJ9" s="406" t="s">
        <v>176</v>
      </c>
      <c r="CK9" s="406" t="s">
        <v>176</v>
      </c>
      <c r="CL9" s="406">
        <v>1</v>
      </c>
      <c r="CM9" s="406" t="s">
        <v>176</v>
      </c>
      <c r="CN9" s="406" t="s">
        <v>176</v>
      </c>
      <c r="CO9" s="406" t="s">
        <v>176</v>
      </c>
      <c r="CP9" s="406" t="s">
        <v>176</v>
      </c>
      <c r="CQ9" s="406" t="s">
        <v>176</v>
      </c>
      <c r="CR9" s="406" t="s">
        <v>176</v>
      </c>
      <c r="CS9" s="406" t="s">
        <v>176</v>
      </c>
      <c r="CT9" s="406" t="s">
        <v>176</v>
      </c>
      <c r="CU9" s="406" t="s">
        <v>176</v>
      </c>
      <c r="CV9" s="406" t="s">
        <v>176</v>
      </c>
      <c r="CW9" s="406" t="s">
        <v>176</v>
      </c>
      <c r="CX9" s="406" t="s">
        <v>176</v>
      </c>
      <c r="CY9" s="406" t="s">
        <v>176</v>
      </c>
      <c r="CZ9" s="406" t="s">
        <v>176</v>
      </c>
      <c r="DA9" s="406" t="s">
        <v>176</v>
      </c>
      <c r="DB9" s="406" t="s">
        <v>176</v>
      </c>
      <c r="DC9" s="406" t="s">
        <v>176</v>
      </c>
      <c r="DD9" s="406" t="s">
        <v>176</v>
      </c>
      <c r="DE9" s="406" t="s">
        <v>176</v>
      </c>
      <c r="DF9" s="406" t="s">
        <v>176</v>
      </c>
      <c r="DG9" s="406" t="s">
        <v>176</v>
      </c>
      <c r="DH9" s="406" t="s">
        <v>176</v>
      </c>
      <c r="DI9" s="406" t="s">
        <v>176</v>
      </c>
      <c r="DJ9" s="406" t="s">
        <v>176</v>
      </c>
      <c r="DK9" s="406" t="s">
        <v>176</v>
      </c>
      <c r="DL9" s="406" t="s">
        <v>176</v>
      </c>
      <c r="DM9" s="406" t="s">
        <v>176</v>
      </c>
      <c r="DN9" s="406" t="s">
        <v>176</v>
      </c>
      <c r="DO9" s="406" t="s">
        <v>176</v>
      </c>
      <c r="DP9" s="406" t="s">
        <v>176</v>
      </c>
      <c r="DQ9" s="406" t="s">
        <v>176</v>
      </c>
      <c r="DR9" s="406" t="s">
        <v>176</v>
      </c>
      <c r="DS9" s="406" t="s">
        <v>176</v>
      </c>
      <c r="DT9" s="406" t="s">
        <v>176</v>
      </c>
      <c r="DU9" s="406" t="s">
        <v>176</v>
      </c>
      <c r="DV9" s="406" t="s">
        <v>176</v>
      </c>
      <c r="DW9" s="406" t="s">
        <v>176</v>
      </c>
      <c r="DX9" s="406" t="s">
        <v>176</v>
      </c>
      <c r="DY9" s="406" t="s">
        <v>176</v>
      </c>
      <c r="DZ9" s="406" t="s">
        <v>176</v>
      </c>
      <c r="EA9" s="406" t="s">
        <v>176</v>
      </c>
      <c r="EB9" s="406" t="s">
        <v>176</v>
      </c>
      <c r="EC9" s="406" t="s">
        <v>176</v>
      </c>
      <c r="ED9" s="406" t="s">
        <v>176</v>
      </c>
      <c r="EE9" s="406" t="s">
        <v>176</v>
      </c>
      <c r="EF9" s="406" t="s">
        <v>176</v>
      </c>
      <c r="EG9" s="406" t="s">
        <v>176</v>
      </c>
      <c r="EH9" s="406" t="s">
        <v>176</v>
      </c>
      <c r="EI9" s="406" t="s">
        <v>176</v>
      </c>
      <c r="EJ9" s="406" t="s">
        <v>176</v>
      </c>
      <c r="EK9" s="406" t="s">
        <v>176</v>
      </c>
      <c r="EL9" s="406" t="s">
        <v>176</v>
      </c>
      <c r="EM9" s="406" t="s">
        <v>176</v>
      </c>
      <c r="EN9" s="406" t="s">
        <v>176</v>
      </c>
      <c r="EO9" s="406" t="s">
        <v>176</v>
      </c>
      <c r="EP9" s="406" t="s">
        <v>176</v>
      </c>
      <c r="EQ9" s="406" t="s">
        <v>176</v>
      </c>
      <c r="ER9" s="406" t="s">
        <v>176</v>
      </c>
      <c r="ES9" s="406" t="s">
        <v>176</v>
      </c>
      <c r="ET9" s="406" t="s">
        <v>176</v>
      </c>
      <c r="EU9" s="406" t="s">
        <v>176</v>
      </c>
      <c r="EV9" s="407" t="s">
        <v>176</v>
      </c>
      <c r="EW9" s="247">
        <v>2</v>
      </c>
      <c r="EX9" s="247">
        <v>2</v>
      </c>
      <c r="EY9" s="247">
        <v>2</v>
      </c>
      <c r="EZ9" s="247">
        <v>2</v>
      </c>
      <c r="FA9" s="407" t="s">
        <v>176</v>
      </c>
      <c r="FB9" s="247">
        <v>2</v>
      </c>
      <c r="FC9" s="247">
        <v>2</v>
      </c>
      <c r="FD9" s="247">
        <v>2</v>
      </c>
      <c r="FE9" s="247">
        <v>1</v>
      </c>
      <c r="FF9" s="247">
        <v>2</v>
      </c>
      <c r="FG9" s="247">
        <v>2</v>
      </c>
      <c r="FH9" s="247">
        <v>2</v>
      </c>
      <c r="FI9" s="247">
        <v>3</v>
      </c>
      <c r="FJ9" s="247">
        <v>1</v>
      </c>
      <c r="FK9" s="247">
        <v>2</v>
      </c>
      <c r="FL9" s="247">
        <v>1</v>
      </c>
      <c r="FM9" s="247">
        <v>2</v>
      </c>
      <c r="FN9" s="247">
        <v>2</v>
      </c>
      <c r="FO9" s="407" t="s">
        <v>176</v>
      </c>
      <c r="FP9" s="407" t="s">
        <v>176</v>
      </c>
      <c r="FQ9" s="248" t="s">
        <v>160</v>
      </c>
      <c r="FR9" s="248" t="s">
        <v>176</v>
      </c>
      <c r="FS9" s="248" t="s">
        <v>176</v>
      </c>
      <c r="FT9" s="248" t="s">
        <v>176</v>
      </c>
      <c r="FU9" s="248" t="s">
        <v>176</v>
      </c>
      <c r="FV9" s="248" t="s">
        <v>176</v>
      </c>
      <c r="FW9" s="252" t="s">
        <v>160</v>
      </c>
      <c r="FX9" s="248" t="s">
        <v>176</v>
      </c>
      <c r="FY9" s="248" t="s">
        <v>176</v>
      </c>
      <c r="FZ9" s="248" t="s">
        <v>176</v>
      </c>
      <c r="GA9" s="247" t="s">
        <v>160</v>
      </c>
      <c r="GB9" s="248" t="s">
        <v>176</v>
      </c>
      <c r="GC9" s="248" t="s">
        <v>176</v>
      </c>
      <c r="GD9" s="248" t="s">
        <v>176</v>
      </c>
      <c r="GE9" s="248" t="s">
        <v>176</v>
      </c>
      <c r="GF9" s="248" t="s">
        <v>176</v>
      </c>
      <c r="GG9" s="248" t="s">
        <v>176</v>
      </c>
      <c r="GH9" s="248" t="s">
        <v>176</v>
      </c>
      <c r="GI9" s="248" t="s">
        <v>176</v>
      </c>
      <c r="GJ9" s="275">
        <f t="shared" ref="GJ9:GJ22" si="0">SUM(D9:FN9)</f>
        <v>66</v>
      </c>
    </row>
    <row r="10" spans="1:192" ht="25.5" customHeight="1" x14ac:dyDescent="0.25">
      <c r="A10" s="250" t="s">
        <v>14</v>
      </c>
      <c r="B10" s="251" t="s">
        <v>638</v>
      </c>
      <c r="C10" s="261" t="s">
        <v>766</v>
      </c>
      <c r="D10" s="252">
        <v>3</v>
      </c>
      <c r="E10" s="252">
        <v>3</v>
      </c>
      <c r="F10" s="247">
        <v>3</v>
      </c>
      <c r="G10" s="252">
        <v>2</v>
      </c>
      <c r="H10" s="252">
        <v>1</v>
      </c>
      <c r="I10" s="247">
        <v>3</v>
      </c>
      <c r="J10" s="247" t="s">
        <v>176</v>
      </c>
      <c r="K10" s="247" t="s">
        <v>176</v>
      </c>
      <c r="L10" s="247">
        <v>2</v>
      </c>
      <c r="M10" s="247">
        <v>2</v>
      </c>
      <c r="N10" s="247" t="s">
        <v>176</v>
      </c>
      <c r="O10" s="247" t="s">
        <v>176</v>
      </c>
      <c r="P10" s="247">
        <v>1</v>
      </c>
      <c r="Q10" s="247" t="s">
        <v>176</v>
      </c>
      <c r="R10" s="247" t="s">
        <v>176</v>
      </c>
      <c r="S10" s="247" t="s">
        <v>176</v>
      </c>
      <c r="T10" s="247" t="s">
        <v>176</v>
      </c>
      <c r="U10" s="247" t="s">
        <v>176</v>
      </c>
      <c r="V10" s="247" t="s">
        <v>176</v>
      </c>
      <c r="W10" s="247" t="s">
        <v>176</v>
      </c>
      <c r="X10" s="247" t="s">
        <v>176</v>
      </c>
      <c r="Y10" s="247">
        <v>1</v>
      </c>
      <c r="Z10" s="247">
        <v>1</v>
      </c>
      <c r="AA10" s="247">
        <v>2</v>
      </c>
      <c r="AB10" s="247">
        <v>1</v>
      </c>
      <c r="AC10" s="247">
        <v>3</v>
      </c>
      <c r="AD10" s="247" t="s">
        <v>176</v>
      </c>
      <c r="AE10" s="247" t="s">
        <v>176</v>
      </c>
      <c r="AF10" s="247" t="s">
        <v>176</v>
      </c>
      <c r="AG10" s="247" t="s">
        <v>176</v>
      </c>
      <c r="AH10" s="247" t="s">
        <v>176</v>
      </c>
      <c r="AI10" s="247">
        <v>1</v>
      </c>
      <c r="AJ10" s="247">
        <v>1</v>
      </c>
      <c r="AK10" s="247" t="s">
        <v>176</v>
      </c>
      <c r="AL10" s="247" t="s">
        <v>176</v>
      </c>
      <c r="AM10" s="247">
        <v>2</v>
      </c>
      <c r="AN10" s="247">
        <v>1</v>
      </c>
      <c r="AO10" s="247" t="s">
        <v>176</v>
      </c>
      <c r="AP10" s="247" t="s">
        <v>176</v>
      </c>
      <c r="AQ10" s="247" t="s">
        <v>176</v>
      </c>
      <c r="AR10" s="247" t="s">
        <v>176</v>
      </c>
      <c r="AS10" s="247">
        <v>2</v>
      </c>
      <c r="AT10" s="247" t="s">
        <v>176</v>
      </c>
      <c r="AU10" s="247" t="s">
        <v>176</v>
      </c>
      <c r="AV10" s="247" t="s">
        <v>176</v>
      </c>
      <c r="AW10" s="247" t="s">
        <v>176</v>
      </c>
      <c r="AX10" s="247" t="s">
        <v>176</v>
      </c>
      <c r="AY10" s="247" t="s">
        <v>176</v>
      </c>
      <c r="AZ10" s="247" t="s">
        <v>176</v>
      </c>
      <c r="BA10" s="247" t="s">
        <v>176</v>
      </c>
      <c r="BB10" s="247" t="s">
        <v>176</v>
      </c>
      <c r="BC10" s="247" t="s">
        <v>176</v>
      </c>
      <c r="BD10" s="253" t="s">
        <v>176</v>
      </c>
      <c r="BE10" s="247" t="s">
        <v>176</v>
      </c>
      <c r="BF10" s="247" t="s">
        <v>176</v>
      </c>
      <c r="BG10" s="247" t="s">
        <v>176</v>
      </c>
      <c r="BH10" s="247" t="s">
        <v>176</v>
      </c>
      <c r="BI10" s="247" t="s">
        <v>176</v>
      </c>
      <c r="BJ10" s="247" t="s">
        <v>176</v>
      </c>
      <c r="BK10" s="247" t="s">
        <v>176</v>
      </c>
      <c r="BL10" s="247" t="s">
        <v>176</v>
      </c>
      <c r="BM10" s="247" t="s">
        <v>176</v>
      </c>
      <c r="BN10" s="247" t="s">
        <v>176</v>
      </c>
      <c r="BO10" s="247" t="s">
        <v>176</v>
      </c>
      <c r="BP10" s="247" t="s">
        <v>176</v>
      </c>
      <c r="BQ10" s="247" t="s">
        <v>176</v>
      </c>
      <c r="BR10" s="247" t="s">
        <v>176</v>
      </c>
      <c r="BS10" s="247" t="s">
        <v>176</v>
      </c>
      <c r="BT10" s="247" t="s">
        <v>176</v>
      </c>
      <c r="BU10" s="247" t="s">
        <v>176</v>
      </c>
      <c r="BV10" s="247" t="s">
        <v>176</v>
      </c>
      <c r="BW10" s="247" t="s">
        <v>176</v>
      </c>
      <c r="BX10" s="247" t="s">
        <v>176</v>
      </c>
      <c r="BY10" s="247" t="s">
        <v>176</v>
      </c>
      <c r="BZ10" s="247" t="s">
        <v>176</v>
      </c>
      <c r="CA10" s="247" t="s">
        <v>176</v>
      </c>
      <c r="CB10" s="247" t="s">
        <v>176</v>
      </c>
      <c r="CC10" s="247" t="s">
        <v>176</v>
      </c>
      <c r="CD10" s="247" t="s">
        <v>176</v>
      </c>
      <c r="CE10" s="247" t="s">
        <v>176</v>
      </c>
      <c r="CF10" s="247" t="s">
        <v>176</v>
      </c>
      <c r="CG10" s="247">
        <v>2</v>
      </c>
      <c r="CH10" s="247" t="s">
        <v>176</v>
      </c>
      <c r="CI10" s="247" t="s">
        <v>176</v>
      </c>
      <c r="CJ10" s="247" t="s">
        <v>176</v>
      </c>
      <c r="CK10" s="247" t="s">
        <v>176</v>
      </c>
      <c r="CL10" s="247">
        <v>3</v>
      </c>
      <c r="CM10" s="247" t="s">
        <v>176</v>
      </c>
      <c r="CN10" s="247" t="s">
        <v>176</v>
      </c>
      <c r="CO10" s="247" t="s">
        <v>176</v>
      </c>
      <c r="CP10" s="247" t="s">
        <v>176</v>
      </c>
      <c r="CQ10" s="247" t="s">
        <v>176</v>
      </c>
      <c r="CR10" s="247" t="s">
        <v>176</v>
      </c>
      <c r="CS10" s="247" t="s">
        <v>176</v>
      </c>
      <c r="CT10" s="247" t="s">
        <v>176</v>
      </c>
      <c r="CU10" s="247" t="s">
        <v>176</v>
      </c>
      <c r="CV10" s="247" t="s">
        <v>176</v>
      </c>
      <c r="CW10" s="247" t="s">
        <v>176</v>
      </c>
      <c r="CX10" s="247" t="s">
        <v>176</v>
      </c>
      <c r="CY10" s="247" t="s">
        <v>176</v>
      </c>
      <c r="CZ10" s="247" t="s">
        <v>176</v>
      </c>
      <c r="DA10" s="247" t="s">
        <v>176</v>
      </c>
      <c r="DB10" s="247" t="s">
        <v>176</v>
      </c>
      <c r="DC10" s="247" t="s">
        <v>176</v>
      </c>
      <c r="DD10" s="247" t="s">
        <v>176</v>
      </c>
      <c r="DE10" s="247" t="s">
        <v>176</v>
      </c>
      <c r="DF10" s="247" t="s">
        <v>176</v>
      </c>
      <c r="DG10" s="247" t="s">
        <v>176</v>
      </c>
      <c r="DH10" s="247" t="s">
        <v>176</v>
      </c>
      <c r="DI10" s="247" t="s">
        <v>176</v>
      </c>
      <c r="DJ10" s="247" t="s">
        <v>176</v>
      </c>
      <c r="DK10" s="247" t="s">
        <v>176</v>
      </c>
      <c r="DL10" s="247" t="s">
        <v>176</v>
      </c>
      <c r="DM10" s="247" t="s">
        <v>176</v>
      </c>
      <c r="DN10" s="247" t="s">
        <v>176</v>
      </c>
      <c r="DO10" s="247" t="s">
        <v>176</v>
      </c>
      <c r="DP10" s="247" t="s">
        <v>176</v>
      </c>
      <c r="DQ10" s="247" t="s">
        <v>176</v>
      </c>
      <c r="DR10" s="247" t="s">
        <v>176</v>
      </c>
      <c r="DS10" s="247" t="s">
        <v>176</v>
      </c>
      <c r="DT10" s="247" t="s">
        <v>176</v>
      </c>
      <c r="DU10" s="247" t="s">
        <v>176</v>
      </c>
      <c r="DV10" s="247" t="s">
        <v>176</v>
      </c>
      <c r="DW10" s="247" t="s">
        <v>176</v>
      </c>
      <c r="DX10" s="247" t="s">
        <v>176</v>
      </c>
      <c r="DY10" s="247" t="s">
        <v>176</v>
      </c>
      <c r="DZ10" s="247" t="s">
        <v>176</v>
      </c>
      <c r="EA10" s="247" t="s">
        <v>176</v>
      </c>
      <c r="EB10" s="247" t="s">
        <v>176</v>
      </c>
      <c r="EC10" s="247" t="s">
        <v>176</v>
      </c>
      <c r="ED10" s="247" t="s">
        <v>176</v>
      </c>
      <c r="EE10" s="247" t="s">
        <v>176</v>
      </c>
      <c r="EF10" s="247" t="s">
        <v>176</v>
      </c>
      <c r="EG10" s="247" t="s">
        <v>176</v>
      </c>
      <c r="EH10" s="247" t="s">
        <v>176</v>
      </c>
      <c r="EI10" s="247" t="s">
        <v>176</v>
      </c>
      <c r="EJ10" s="247" t="s">
        <v>176</v>
      </c>
      <c r="EK10" s="247" t="s">
        <v>176</v>
      </c>
      <c r="EL10" s="247" t="s">
        <v>176</v>
      </c>
      <c r="EM10" s="247" t="s">
        <v>176</v>
      </c>
      <c r="EN10" s="247" t="s">
        <v>176</v>
      </c>
      <c r="EO10" s="247" t="s">
        <v>176</v>
      </c>
      <c r="EP10" s="247" t="s">
        <v>176</v>
      </c>
      <c r="EQ10" s="247" t="s">
        <v>176</v>
      </c>
      <c r="ER10" s="247" t="s">
        <v>176</v>
      </c>
      <c r="ES10" s="247" t="s">
        <v>176</v>
      </c>
      <c r="ET10" s="247" t="s">
        <v>176</v>
      </c>
      <c r="EU10" s="406" t="s">
        <v>176</v>
      </c>
      <c r="EV10" s="247" t="s">
        <v>176</v>
      </c>
      <c r="EW10" s="247">
        <v>2</v>
      </c>
      <c r="EX10" s="247">
        <v>2</v>
      </c>
      <c r="EY10" s="247">
        <v>2</v>
      </c>
      <c r="EZ10" s="247">
        <v>2</v>
      </c>
      <c r="FA10" s="247" t="s">
        <v>176</v>
      </c>
      <c r="FB10" s="247">
        <v>2</v>
      </c>
      <c r="FC10" s="247">
        <v>2</v>
      </c>
      <c r="FD10" s="247">
        <v>2</v>
      </c>
      <c r="FE10" s="247">
        <v>3</v>
      </c>
      <c r="FF10" s="247">
        <v>2</v>
      </c>
      <c r="FG10" s="247">
        <v>2</v>
      </c>
      <c r="FH10" s="247">
        <v>2</v>
      </c>
      <c r="FI10" s="247">
        <v>3</v>
      </c>
      <c r="FJ10" s="247">
        <v>1</v>
      </c>
      <c r="FK10" s="247">
        <v>2</v>
      </c>
      <c r="FL10" s="247">
        <v>1</v>
      </c>
      <c r="FM10" s="247">
        <v>2</v>
      </c>
      <c r="FN10" s="247">
        <v>2</v>
      </c>
      <c r="FO10" s="248" t="s">
        <v>176</v>
      </c>
      <c r="FP10" s="248" t="s">
        <v>176</v>
      </c>
      <c r="FQ10" s="248" t="s">
        <v>160</v>
      </c>
      <c r="FR10" s="248" t="s">
        <v>176</v>
      </c>
      <c r="FS10" s="248" t="s">
        <v>176</v>
      </c>
      <c r="FT10" s="248" t="s">
        <v>176</v>
      </c>
      <c r="FU10" s="248" t="s">
        <v>176</v>
      </c>
      <c r="FV10" s="248" t="s">
        <v>176</v>
      </c>
      <c r="FW10" s="248" t="s">
        <v>176</v>
      </c>
      <c r="FX10" s="247" t="s">
        <v>176</v>
      </c>
      <c r="FY10" s="252" t="s">
        <v>160</v>
      </c>
      <c r="FZ10" s="252" t="s">
        <v>160</v>
      </c>
      <c r="GA10" s="247" t="s">
        <v>160</v>
      </c>
      <c r="GB10" s="252" t="s">
        <v>160</v>
      </c>
      <c r="GC10" s="252" t="s">
        <v>160</v>
      </c>
      <c r="GD10" s="248" t="s">
        <v>176</v>
      </c>
      <c r="GE10" s="248" t="s">
        <v>176</v>
      </c>
      <c r="GF10" s="248" t="s">
        <v>176</v>
      </c>
      <c r="GG10" s="248" t="s">
        <v>176</v>
      </c>
      <c r="GH10" s="248" t="s">
        <v>176</v>
      </c>
      <c r="GI10" s="248" t="s">
        <v>176</v>
      </c>
      <c r="GJ10" s="254">
        <f t="shared" si="0"/>
        <v>74</v>
      </c>
    </row>
    <row r="11" spans="1:192" ht="25.5" customHeight="1" x14ac:dyDescent="0.25">
      <c r="A11" s="255" t="s">
        <v>14</v>
      </c>
      <c r="B11" s="251" t="s">
        <v>202</v>
      </c>
      <c r="C11" s="261" t="s">
        <v>766</v>
      </c>
      <c r="D11" s="252">
        <v>3</v>
      </c>
      <c r="E11" s="252">
        <v>3</v>
      </c>
      <c r="F11" s="252">
        <v>3</v>
      </c>
      <c r="G11" s="252">
        <v>2</v>
      </c>
      <c r="H11" s="252">
        <v>2</v>
      </c>
      <c r="I11" s="252">
        <v>2</v>
      </c>
      <c r="J11" s="252" t="s">
        <v>176</v>
      </c>
      <c r="K11" s="252" t="s">
        <v>176</v>
      </c>
      <c r="L11" s="252">
        <v>2</v>
      </c>
      <c r="M11" s="252">
        <v>2</v>
      </c>
      <c r="N11" s="252" t="s">
        <v>176</v>
      </c>
      <c r="O11" s="252" t="s">
        <v>176</v>
      </c>
      <c r="P11" s="252">
        <v>1</v>
      </c>
      <c r="Q11" s="252" t="s">
        <v>176</v>
      </c>
      <c r="R11" s="252" t="s">
        <v>176</v>
      </c>
      <c r="S11" s="252" t="s">
        <v>176</v>
      </c>
      <c r="T11" s="252" t="s">
        <v>176</v>
      </c>
      <c r="U11" s="252" t="s">
        <v>176</v>
      </c>
      <c r="V11" s="252" t="s">
        <v>176</v>
      </c>
      <c r="W11" s="252" t="s">
        <v>176</v>
      </c>
      <c r="X11" s="252" t="s">
        <v>176</v>
      </c>
      <c r="Y11" s="252">
        <v>1</v>
      </c>
      <c r="Z11" s="252">
        <v>1</v>
      </c>
      <c r="AA11" s="252">
        <v>2</v>
      </c>
      <c r="AB11" s="252">
        <v>1</v>
      </c>
      <c r="AC11" s="252">
        <v>2</v>
      </c>
      <c r="AD11" s="252" t="s">
        <v>176</v>
      </c>
      <c r="AE11" s="252" t="s">
        <v>176</v>
      </c>
      <c r="AF11" s="252" t="s">
        <v>176</v>
      </c>
      <c r="AG11" s="252" t="s">
        <v>176</v>
      </c>
      <c r="AH11" s="252" t="s">
        <v>176</v>
      </c>
      <c r="AI11" s="252" t="s">
        <v>176</v>
      </c>
      <c r="AJ11" s="252" t="s">
        <v>176</v>
      </c>
      <c r="AK11" s="252" t="s">
        <v>176</v>
      </c>
      <c r="AL11" s="252" t="s">
        <v>176</v>
      </c>
      <c r="AM11" s="252">
        <v>2</v>
      </c>
      <c r="AN11" s="252">
        <v>1</v>
      </c>
      <c r="AO11" s="252" t="s">
        <v>176</v>
      </c>
      <c r="AP11" s="252" t="s">
        <v>176</v>
      </c>
      <c r="AQ11" s="252" t="s">
        <v>176</v>
      </c>
      <c r="AR11" s="252" t="s">
        <v>176</v>
      </c>
      <c r="AS11" s="252">
        <v>2</v>
      </c>
      <c r="AT11" s="252" t="s">
        <v>176</v>
      </c>
      <c r="AU11" s="252" t="s">
        <v>176</v>
      </c>
      <c r="AV11" s="252" t="s">
        <v>176</v>
      </c>
      <c r="AW11" s="252" t="s">
        <v>176</v>
      </c>
      <c r="AX11" s="252" t="s">
        <v>176</v>
      </c>
      <c r="AY11" s="252" t="s">
        <v>176</v>
      </c>
      <c r="AZ11" s="252" t="s">
        <v>176</v>
      </c>
      <c r="BA11" s="252" t="s">
        <v>176</v>
      </c>
      <c r="BB11" s="252" t="s">
        <v>176</v>
      </c>
      <c r="BC11" s="252" t="s">
        <v>176</v>
      </c>
      <c r="BD11" s="185" t="s">
        <v>176</v>
      </c>
      <c r="BE11" s="252" t="s">
        <v>176</v>
      </c>
      <c r="BF11" s="252" t="s">
        <v>176</v>
      </c>
      <c r="BG11" s="252" t="s">
        <v>176</v>
      </c>
      <c r="BH11" s="252" t="s">
        <v>176</v>
      </c>
      <c r="BI11" s="252" t="s">
        <v>176</v>
      </c>
      <c r="BJ11" s="252" t="s">
        <v>176</v>
      </c>
      <c r="BK11" s="252" t="s">
        <v>176</v>
      </c>
      <c r="BL11" s="252" t="s">
        <v>176</v>
      </c>
      <c r="BM11" s="252" t="s">
        <v>176</v>
      </c>
      <c r="BN11" s="252" t="s">
        <v>176</v>
      </c>
      <c r="BO11" s="252" t="s">
        <v>176</v>
      </c>
      <c r="BP11" s="252" t="s">
        <v>176</v>
      </c>
      <c r="BQ11" s="252" t="s">
        <v>176</v>
      </c>
      <c r="BR11" s="252" t="s">
        <v>176</v>
      </c>
      <c r="BS11" s="252" t="s">
        <v>176</v>
      </c>
      <c r="BT11" s="252" t="s">
        <v>176</v>
      </c>
      <c r="BU11" s="252" t="s">
        <v>176</v>
      </c>
      <c r="BV11" s="252" t="s">
        <v>176</v>
      </c>
      <c r="BW11" s="252" t="s">
        <v>176</v>
      </c>
      <c r="BX11" s="252" t="s">
        <v>176</v>
      </c>
      <c r="BY11" s="252" t="s">
        <v>176</v>
      </c>
      <c r="BZ11" s="252" t="s">
        <v>176</v>
      </c>
      <c r="CA11" s="252" t="s">
        <v>176</v>
      </c>
      <c r="CB11" s="252" t="s">
        <v>176</v>
      </c>
      <c r="CC11" s="252" t="s">
        <v>176</v>
      </c>
      <c r="CD11" s="252" t="s">
        <v>176</v>
      </c>
      <c r="CE11" s="252" t="s">
        <v>176</v>
      </c>
      <c r="CF11" s="252" t="s">
        <v>176</v>
      </c>
      <c r="CG11" s="252">
        <v>2</v>
      </c>
      <c r="CH11" s="252" t="s">
        <v>176</v>
      </c>
      <c r="CI11" s="252" t="s">
        <v>176</v>
      </c>
      <c r="CJ11" s="252" t="s">
        <v>176</v>
      </c>
      <c r="CK11" s="252" t="s">
        <v>176</v>
      </c>
      <c r="CL11" s="252">
        <v>2</v>
      </c>
      <c r="CM11" s="252">
        <v>2</v>
      </c>
      <c r="CN11" s="252" t="s">
        <v>176</v>
      </c>
      <c r="CO11" s="252" t="s">
        <v>176</v>
      </c>
      <c r="CP11" s="252" t="s">
        <v>176</v>
      </c>
      <c r="CQ11" s="252" t="s">
        <v>176</v>
      </c>
      <c r="CR11" s="252" t="s">
        <v>176</v>
      </c>
      <c r="CS11" s="252" t="s">
        <v>176</v>
      </c>
      <c r="CT11" s="252" t="s">
        <v>176</v>
      </c>
      <c r="CU11" s="252" t="s">
        <v>176</v>
      </c>
      <c r="CV11" s="252" t="s">
        <v>176</v>
      </c>
      <c r="CW11" s="252" t="s">
        <v>176</v>
      </c>
      <c r="CX11" s="252" t="s">
        <v>176</v>
      </c>
      <c r="CY11" s="252" t="s">
        <v>176</v>
      </c>
      <c r="CZ11" s="252" t="s">
        <v>176</v>
      </c>
      <c r="DA11" s="252" t="s">
        <v>176</v>
      </c>
      <c r="DB11" s="252" t="s">
        <v>176</v>
      </c>
      <c r="DC11" s="252" t="s">
        <v>176</v>
      </c>
      <c r="DD11" s="252" t="s">
        <v>176</v>
      </c>
      <c r="DE11" s="252" t="s">
        <v>176</v>
      </c>
      <c r="DF11" s="252" t="s">
        <v>176</v>
      </c>
      <c r="DG11" s="252" t="s">
        <v>176</v>
      </c>
      <c r="DH11" s="252" t="s">
        <v>176</v>
      </c>
      <c r="DI11" s="252" t="s">
        <v>176</v>
      </c>
      <c r="DJ11" s="252" t="s">
        <v>176</v>
      </c>
      <c r="DK11" s="252" t="s">
        <v>176</v>
      </c>
      <c r="DL11" s="252" t="s">
        <v>176</v>
      </c>
      <c r="DM11" s="252" t="s">
        <v>176</v>
      </c>
      <c r="DN11" s="252" t="s">
        <v>176</v>
      </c>
      <c r="DO11" s="252" t="s">
        <v>176</v>
      </c>
      <c r="DP11" s="252" t="s">
        <v>176</v>
      </c>
      <c r="DQ11" s="252" t="s">
        <v>176</v>
      </c>
      <c r="DR11" s="252" t="s">
        <v>176</v>
      </c>
      <c r="DS11" s="252" t="s">
        <v>176</v>
      </c>
      <c r="DT11" s="252" t="s">
        <v>176</v>
      </c>
      <c r="DU11" s="252" t="s">
        <v>176</v>
      </c>
      <c r="DV11" s="252" t="s">
        <v>176</v>
      </c>
      <c r="DW11" s="252" t="s">
        <v>176</v>
      </c>
      <c r="DX11" s="252" t="s">
        <v>176</v>
      </c>
      <c r="DY11" s="252" t="s">
        <v>176</v>
      </c>
      <c r="DZ11" s="252" t="s">
        <v>176</v>
      </c>
      <c r="EA11" s="252" t="s">
        <v>176</v>
      </c>
      <c r="EB11" s="252" t="s">
        <v>176</v>
      </c>
      <c r="EC11" s="252" t="s">
        <v>176</v>
      </c>
      <c r="ED11" s="252" t="s">
        <v>176</v>
      </c>
      <c r="EE11" s="252" t="s">
        <v>176</v>
      </c>
      <c r="EF11" s="252" t="s">
        <v>176</v>
      </c>
      <c r="EG11" s="252" t="s">
        <v>176</v>
      </c>
      <c r="EH11" s="252" t="s">
        <v>176</v>
      </c>
      <c r="EI11" s="252" t="s">
        <v>176</v>
      </c>
      <c r="EJ11" s="252" t="s">
        <v>176</v>
      </c>
      <c r="EK11" s="252" t="s">
        <v>176</v>
      </c>
      <c r="EL11" s="252" t="s">
        <v>176</v>
      </c>
      <c r="EM11" s="252" t="s">
        <v>176</v>
      </c>
      <c r="EN11" s="252" t="s">
        <v>176</v>
      </c>
      <c r="EO11" s="252" t="s">
        <v>176</v>
      </c>
      <c r="EP11" s="252" t="s">
        <v>176</v>
      </c>
      <c r="EQ11" s="252" t="s">
        <v>176</v>
      </c>
      <c r="ER11" s="252" t="s">
        <v>176</v>
      </c>
      <c r="ES11" s="252" t="s">
        <v>176</v>
      </c>
      <c r="ET11" s="252" t="s">
        <v>176</v>
      </c>
      <c r="EU11" s="406" t="s">
        <v>176</v>
      </c>
      <c r="EV11" s="252" t="s">
        <v>176</v>
      </c>
      <c r="EW11" s="252">
        <v>2</v>
      </c>
      <c r="EX11" s="252">
        <v>2</v>
      </c>
      <c r="EY11" s="252">
        <v>2</v>
      </c>
      <c r="EZ11" s="252">
        <v>2</v>
      </c>
      <c r="FA11" s="252" t="s">
        <v>176</v>
      </c>
      <c r="FB11" s="252">
        <v>2</v>
      </c>
      <c r="FC11" s="252">
        <v>2</v>
      </c>
      <c r="FD11" s="252">
        <v>2</v>
      </c>
      <c r="FE11" s="252">
        <v>3</v>
      </c>
      <c r="FF11" s="252">
        <v>2</v>
      </c>
      <c r="FG11" s="252">
        <v>2</v>
      </c>
      <c r="FH11" s="252">
        <v>2</v>
      </c>
      <c r="FI11" s="252">
        <v>2</v>
      </c>
      <c r="FJ11" s="252">
        <v>1</v>
      </c>
      <c r="FK11" s="252">
        <v>2</v>
      </c>
      <c r="FL11" s="252">
        <v>1</v>
      </c>
      <c r="FM11" s="252">
        <v>2</v>
      </c>
      <c r="FN11" s="252">
        <v>2</v>
      </c>
      <c r="FO11" s="256" t="s">
        <v>176</v>
      </c>
      <c r="FP11" s="256" t="s">
        <v>176</v>
      </c>
      <c r="FQ11" s="256" t="s">
        <v>160</v>
      </c>
      <c r="FR11" s="256" t="s">
        <v>176</v>
      </c>
      <c r="FS11" s="256" t="s">
        <v>176</v>
      </c>
      <c r="FT11" s="256" t="s">
        <v>176</v>
      </c>
      <c r="FU11" s="256" t="s">
        <v>176</v>
      </c>
      <c r="FV11" s="256" t="s">
        <v>176</v>
      </c>
      <c r="FW11" s="256" t="s">
        <v>176</v>
      </c>
      <c r="FX11" s="256" t="s">
        <v>176</v>
      </c>
      <c r="FY11" s="256" t="s">
        <v>176</v>
      </c>
      <c r="FZ11" s="252" t="s">
        <v>160</v>
      </c>
      <c r="GA11" s="252" t="s">
        <v>160</v>
      </c>
      <c r="GB11" s="252" t="s">
        <v>160</v>
      </c>
      <c r="GC11" s="252" t="s">
        <v>160</v>
      </c>
      <c r="GD11" s="256" t="s">
        <v>176</v>
      </c>
      <c r="GE11" s="256" t="s">
        <v>176</v>
      </c>
      <c r="GF11" s="256" t="s">
        <v>176</v>
      </c>
      <c r="GG11" s="256" t="s">
        <v>176</v>
      </c>
      <c r="GH11" s="256" t="s">
        <v>176</v>
      </c>
      <c r="GI11" s="256" t="s">
        <v>176</v>
      </c>
      <c r="GJ11" s="254">
        <f t="shared" si="0"/>
        <v>71</v>
      </c>
    </row>
    <row r="12" spans="1:192" ht="25.5" customHeight="1" x14ac:dyDescent="0.25">
      <c r="A12" s="255" t="s">
        <v>14</v>
      </c>
      <c r="B12" s="257" t="s">
        <v>592</v>
      </c>
      <c r="C12" s="261" t="s">
        <v>766</v>
      </c>
      <c r="D12" s="252">
        <v>3</v>
      </c>
      <c r="E12" s="252">
        <v>3</v>
      </c>
      <c r="F12" s="252">
        <v>3</v>
      </c>
      <c r="G12" s="252">
        <v>2</v>
      </c>
      <c r="H12" s="252">
        <v>2</v>
      </c>
      <c r="I12" s="252">
        <v>2</v>
      </c>
      <c r="J12" s="252" t="s">
        <v>176</v>
      </c>
      <c r="K12" s="252" t="s">
        <v>176</v>
      </c>
      <c r="L12" s="252">
        <v>2</v>
      </c>
      <c r="M12" s="252">
        <v>2</v>
      </c>
      <c r="N12" s="252" t="s">
        <v>176</v>
      </c>
      <c r="O12" s="252" t="s">
        <v>176</v>
      </c>
      <c r="P12" s="252">
        <v>1</v>
      </c>
      <c r="Q12" s="252" t="s">
        <v>176</v>
      </c>
      <c r="R12" s="252" t="s">
        <v>176</v>
      </c>
      <c r="S12" s="252" t="s">
        <v>176</v>
      </c>
      <c r="T12" s="252" t="s">
        <v>176</v>
      </c>
      <c r="U12" s="252" t="s">
        <v>176</v>
      </c>
      <c r="V12" s="252" t="s">
        <v>176</v>
      </c>
      <c r="W12" s="252" t="s">
        <v>176</v>
      </c>
      <c r="X12" s="252" t="s">
        <v>176</v>
      </c>
      <c r="Y12" s="252">
        <v>1</v>
      </c>
      <c r="Z12" s="252">
        <v>1</v>
      </c>
      <c r="AA12" s="252">
        <v>2</v>
      </c>
      <c r="AB12" s="252">
        <v>1</v>
      </c>
      <c r="AC12" s="252">
        <v>2</v>
      </c>
      <c r="AD12" s="252" t="s">
        <v>176</v>
      </c>
      <c r="AE12" s="252" t="s">
        <v>176</v>
      </c>
      <c r="AF12" s="252" t="s">
        <v>176</v>
      </c>
      <c r="AG12" s="252" t="s">
        <v>176</v>
      </c>
      <c r="AH12" s="252" t="s">
        <v>176</v>
      </c>
      <c r="AI12" s="252" t="s">
        <v>176</v>
      </c>
      <c r="AJ12" s="252" t="s">
        <v>176</v>
      </c>
      <c r="AK12" s="252" t="s">
        <v>176</v>
      </c>
      <c r="AL12" s="252" t="s">
        <v>176</v>
      </c>
      <c r="AM12" s="252">
        <v>2</v>
      </c>
      <c r="AN12" s="252">
        <v>1</v>
      </c>
      <c r="AO12" s="252" t="s">
        <v>176</v>
      </c>
      <c r="AP12" s="252" t="s">
        <v>176</v>
      </c>
      <c r="AQ12" s="252" t="s">
        <v>176</v>
      </c>
      <c r="AR12" s="252" t="s">
        <v>176</v>
      </c>
      <c r="AS12" s="252">
        <v>2</v>
      </c>
      <c r="AT12" s="252" t="s">
        <v>176</v>
      </c>
      <c r="AU12" s="252" t="s">
        <v>176</v>
      </c>
      <c r="AV12" s="252" t="s">
        <v>176</v>
      </c>
      <c r="AW12" s="252" t="s">
        <v>176</v>
      </c>
      <c r="AX12" s="252" t="s">
        <v>176</v>
      </c>
      <c r="AY12" s="252" t="s">
        <v>176</v>
      </c>
      <c r="AZ12" s="252" t="s">
        <v>176</v>
      </c>
      <c r="BA12" s="252" t="s">
        <v>176</v>
      </c>
      <c r="BB12" s="252" t="s">
        <v>176</v>
      </c>
      <c r="BC12" s="252" t="s">
        <v>176</v>
      </c>
      <c r="BD12" s="189"/>
      <c r="BE12" s="252" t="s">
        <v>176</v>
      </c>
      <c r="BF12" s="252" t="s">
        <v>176</v>
      </c>
      <c r="BG12" s="252" t="s">
        <v>176</v>
      </c>
      <c r="BH12" s="252" t="s">
        <v>176</v>
      </c>
      <c r="BI12" s="252" t="s">
        <v>176</v>
      </c>
      <c r="BJ12" s="252" t="s">
        <v>176</v>
      </c>
      <c r="BK12" s="252" t="s">
        <v>176</v>
      </c>
      <c r="BL12" s="252" t="s">
        <v>176</v>
      </c>
      <c r="BM12" s="252" t="s">
        <v>176</v>
      </c>
      <c r="BN12" s="252" t="s">
        <v>176</v>
      </c>
      <c r="BO12" s="252" t="s">
        <v>176</v>
      </c>
      <c r="BP12" s="252" t="s">
        <v>176</v>
      </c>
      <c r="BQ12" s="252" t="s">
        <v>176</v>
      </c>
      <c r="BR12" s="252" t="s">
        <v>176</v>
      </c>
      <c r="BS12" s="252" t="s">
        <v>176</v>
      </c>
      <c r="BT12" s="252" t="s">
        <v>176</v>
      </c>
      <c r="BU12" s="252" t="s">
        <v>176</v>
      </c>
      <c r="BV12" s="252" t="s">
        <v>176</v>
      </c>
      <c r="BW12" s="252" t="s">
        <v>176</v>
      </c>
      <c r="BX12" s="252" t="s">
        <v>176</v>
      </c>
      <c r="BY12" s="252" t="s">
        <v>176</v>
      </c>
      <c r="BZ12" s="252" t="s">
        <v>176</v>
      </c>
      <c r="CA12" s="252" t="s">
        <v>176</v>
      </c>
      <c r="CB12" s="252" t="s">
        <v>176</v>
      </c>
      <c r="CC12" s="252" t="s">
        <v>176</v>
      </c>
      <c r="CD12" s="252" t="s">
        <v>176</v>
      </c>
      <c r="CE12" s="252" t="s">
        <v>176</v>
      </c>
      <c r="CF12" s="252" t="s">
        <v>176</v>
      </c>
      <c r="CG12" s="252">
        <v>2</v>
      </c>
      <c r="CH12" s="252" t="s">
        <v>176</v>
      </c>
      <c r="CI12" s="252" t="s">
        <v>176</v>
      </c>
      <c r="CJ12" s="252" t="s">
        <v>176</v>
      </c>
      <c r="CK12" s="252" t="s">
        <v>176</v>
      </c>
      <c r="CL12" s="252">
        <v>2</v>
      </c>
      <c r="CM12" s="252">
        <v>2</v>
      </c>
      <c r="CN12" s="252" t="s">
        <v>176</v>
      </c>
      <c r="CO12" s="252" t="s">
        <v>176</v>
      </c>
      <c r="CP12" s="252" t="s">
        <v>176</v>
      </c>
      <c r="CQ12" s="252" t="s">
        <v>176</v>
      </c>
      <c r="CR12" s="252" t="s">
        <v>176</v>
      </c>
      <c r="CS12" s="252" t="s">
        <v>176</v>
      </c>
      <c r="CT12" s="252" t="s">
        <v>176</v>
      </c>
      <c r="CU12" s="252" t="s">
        <v>176</v>
      </c>
      <c r="CV12" s="252" t="s">
        <v>176</v>
      </c>
      <c r="CW12" s="252" t="s">
        <v>176</v>
      </c>
      <c r="CX12" s="252" t="s">
        <v>176</v>
      </c>
      <c r="CY12" s="252" t="s">
        <v>176</v>
      </c>
      <c r="CZ12" s="252" t="s">
        <v>176</v>
      </c>
      <c r="DA12" s="252" t="s">
        <v>176</v>
      </c>
      <c r="DB12" s="252" t="s">
        <v>176</v>
      </c>
      <c r="DC12" s="252" t="s">
        <v>176</v>
      </c>
      <c r="DD12" s="252" t="s">
        <v>176</v>
      </c>
      <c r="DE12" s="252" t="s">
        <v>176</v>
      </c>
      <c r="DF12" s="252" t="s">
        <v>176</v>
      </c>
      <c r="DG12" s="252" t="s">
        <v>176</v>
      </c>
      <c r="DH12" s="252" t="s">
        <v>176</v>
      </c>
      <c r="DI12" s="252" t="s">
        <v>176</v>
      </c>
      <c r="DJ12" s="252" t="s">
        <v>176</v>
      </c>
      <c r="DK12" s="252" t="s">
        <v>176</v>
      </c>
      <c r="DL12" s="252" t="s">
        <v>176</v>
      </c>
      <c r="DM12" s="252" t="s">
        <v>176</v>
      </c>
      <c r="DN12" s="252" t="s">
        <v>176</v>
      </c>
      <c r="DO12" s="252" t="s">
        <v>176</v>
      </c>
      <c r="DP12" s="252" t="s">
        <v>176</v>
      </c>
      <c r="DQ12" s="252" t="s">
        <v>176</v>
      </c>
      <c r="DR12" s="252" t="s">
        <v>176</v>
      </c>
      <c r="DS12" s="252" t="s">
        <v>176</v>
      </c>
      <c r="DT12" s="252" t="s">
        <v>176</v>
      </c>
      <c r="DU12" s="252" t="s">
        <v>176</v>
      </c>
      <c r="DV12" s="252" t="s">
        <v>176</v>
      </c>
      <c r="DW12" s="252" t="s">
        <v>176</v>
      </c>
      <c r="DX12" s="252" t="s">
        <v>176</v>
      </c>
      <c r="DY12" s="252" t="s">
        <v>176</v>
      </c>
      <c r="DZ12" s="252" t="s">
        <v>176</v>
      </c>
      <c r="EA12" s="252" t="s">
        <v>176</v>
      </c>
      <c r="EB12" s="252" t="s">
        <v>176</v>
      </c>
      <c r="EC12" s="252" t="s">
        <v>176</v>
      </c>
      <c r="ED12" s="252" t="s">
        <v>176</v>
      </c>
      <c r="EE12" s="252" t="s">
        <v>176</v>
      </c>
      <c r="EF12" s="252" t="s">
        <v>176</v>
      </c>
      <c r="EG12" s="252" t="s">
        <v>176</v>
      </c>
      <c r="EH12" s="252" t="s">
        <v>176</v>
      </c>
      <c r="EI12" s="252" t="s">
        <v>176</v>
      </c>
      <c r="EJ12" s="252" t="s">
        <v>176</v>
      </c>
      <c r="EK12" s="252" t="s">
        <v>176</v>
      </c>
      <c r="EL12" s="252" t="s">
        <v>176</v>
      </c>
      <c r="EM12" s="252" t="s">
        <v>176</v>
      </c>
      <c r="EN12" s="252" t="s">
        <v>176</v>
      </c>
      <c r="EO12" s="252" t="s">
        <v>176</v>
      </c>
      <c r="EP12" s="252" t="s">
        <v>176</v>
      </c>
      <c r="EQ12" s="252" t="s">
        <v>176</v>
      </c>
      <c r="ER12" s="252" t="s">
        <v>176</v>
      </c>
      <c r="ES12" s="252" t="s">
        <v>176</v>
      </c>
      <c r="ET12" s="252" t="s">
        <v>176</v>
      </c>
      <c r="EU12" s="406" t="s">
        <v>176</v>
      </c>
      <c r="EV12" s="252" t="s">
        <v>176</v>
      </c>
      <c r="EW12" s="252">
        <v>2</v>
      </c>
      <c r="EX12" s="252">
        <v>2</v>
      </c>
      <c r="EY12" s="252">
        <v>2</v>
      </c>
      <c r="EZ12" s="252">
        <v>2</v>
      </c>
      <c r="FA12" s="252" t="s">
        <v>176</v>
      </c>
      <c r="FB12" s="252">
        <v>2</v>
      </c>
      <c r="FC12" s="252">
        <v>2</v>
      </c>
      <c r="FD12" s="252">
        <v>2</v>
      </c>
      <c r="FE12" s="252">
        <v>3</v>
      </c>
      <c r="FF12" s="252">
        <v>2</v>
      </c>
      <c r="FG12" s="252">
        <v>2</v>
      </c>
      <c r="FH12" s="252">
        <v>2</v>
      </c>
      <c r="FI12" s="252">
        <v>2</v>
      </c>
      <c r="FJ12" s="252">
        <v>1</v>
      </c>
      <c r="FK12" s="252">
        <v>2</v>
      </c>
      <c r="FL12" s="252">
        <v>1</v>
      </c>
      <c r="FM12" s="252">
        <v>2</v>
      </c>
      <c r="FN12" s="252">
        <v>2</v>
      </c>
      <c r="FO12" s="256" t="s">
        <v>176</v>
      </c>
      <c r="FP12" s="256" t="s">
        <v>176</v>
      </c>
      <c r="FQ12" s="256" t="s">
        <v>160</v>
      </c>
      <c r="FR12" s="256" t="s">
        <v>176</v>
      </c>
      <c r="FS12" s="256" t="s">
        <v>176</v>
      </c>
      <c r="FT12" s="256" t="s">
        <v>176</v>
      </c>
      <c r="FU12" s="256" t="s">
        <v>176</v>
      </c>
      <c r="FV12" s="256" t="s">
        <v>176</v>
      </c>
      <c r="FW12" s="256" t="s">
        <v>176</v>
      </c>
      <c r="FX12" s="256" t="s">
        <v>176</v>
      </c>
      <c r="FY12" s="256" t="s">
        <v>176</v>
      </c>
      <c r="FZ12" s="252" t="s">
        <v>160</v>
      </c>
      <c r="GA12" s="252" t="s">
        <v>160</v>
      </c>
      <c r="GB12" s="252" t="s">
        <v>160</v>
      </c>
      <c r="GC12" s="252" t="s">
        <v>160</v>
      </c>
      <c r="GD12" s="256" t="s">
        <v>176</v>
      </c>
      <c r="GE12" s="256" t="s">
        <v>176</v>
      </c>
      <c r="GF12" s="256" t="s">
        <v>176</v>
      </c>
      <c r="GG12" s="256" t="s">
        <v>176</v>
      </c>
      <c r="GH12" s="256" t="s">
        <v>176</v>
      </c>
      <c r="GI12" s="256" t="s">
        <v>176</v>
      </c>
      <c r="GJ12" s="254">
        <f t="shared" si="0"/>
        <v>71</v>
      </c>
    </row>
    <row r="13" spans="1:192" s="386" customFormat="1" ht="25.5" customHeight="1" x14ac:dyDescent="0.25">
      <c r="A13" s="258" t="s">
        <v>559</v>
      </c>
      <c r="B13" s="259" t="s">
        <v>225</v>
      </c>
      <c r="C13" s="259" t="s">
        <v>226</v>
      </c>
      <c r="D13" s="185">
        <v>2</v>
      </c>
      <c r="E13" s="185">
        <v>2</v>
      </c>
      <c r="F13" s="185">
        <v>2</v>
      </c>
      <c r="G13" s="185">
        <v>2</v>
      </c>
      <c r="H13" s="185">
        <v>2</v>
      </c>
      <c r="I13" s="185">
        <v>1</v>
      </c>
      <c r="J13" s="185" t="s">
        <v>176</v>
      </c>
      <c r="K13" s="185" t="s">
        <v>176</v>
      </c>
      <c r="L13" s="185">
        <v>1</v>
      </c>
      <c r="M13" s="185">
        <v>1</v>
      </c>
      <c r="N13" s="185" t="s">
        <v>176</v>
      </c>
      <c r="O13" s="185" t="s">
        <v>176</v>
      </c>
      <c r="P13" s="185" t="s">
        <v>176</v>
      </c>
      <c r="Q13" s="185" t="s">
        <v>176</v>
      </c>
      <c r="R13" s="185" t="s">
        <v>176</v>
      </c>
      <c r="S13" s="185" t="s">
        <v>176</v>
      </c>
      <c r="T13" s="185" t="s">
        <v>176</v>
      </c>
      <c r="U13" s="185" t="s">
        <v>176</v>
      </c>
      <c r="V13" s="185" t="s">
        <v>176</v>
      </c>
      <c r="W13" s="185" t="s">
        <v>176</v>
      </c>
      <c r="X13" s="185" t="s">
        <v>176</v>
      </c>
      <c r="Y13" s="185" t="s">
        <v>176</v>
      </c>
      <c r="Z13" s="185">
        <v>1</v>
      </c>
      <c r="AA13" s="185">
        <v>1</v>
      </c>
      <c r="AB13" s="185">
        <v>1</v>
      </c>
      <c r="AC13" s="185">
        <v>1</v>
      </c>
      <c r="AD13" s="185">
        <v>1</v>
      </c>
      <c r="AE13" s="185" t="s">
        <v>176</v>
      </c>
      <c r="AF13" s="185" t="s">
        <v>176</v>
      </c>
      <c r="AG13" s="185" t="s">
        <v>176</v>
      </c>
      <c r="AH13" s="185" t="s">
        <v>176</v>
      </c>
      <c r="AI13" s="185" t="s">
        <v>176</v>
      </c>
      <c r="AJ13" s="185">
        <v>1</v>
      </c>
      <c r="AK13" s="185" t="s">
        <v>176</v>
      </c>
      <c r="AL13" s="185">
        <v>2</v>
      </c>
      <c r="AM13" s="185">
        <v>2</v>
      </c>
      <c r="AN13" s="185">
        <v>2</v>
      </c>
      <c r="AO13" s="185" t="s">
        <v>176</v>
      </c>
      <c r="AP13" s="185" t="s">
        <v>176</v>
      </c>
      <c r="AQ13" s="185" t="s">
        <v>176</v>
      </c>
      <c r="AR13" s="185">
        <v>1</v>
      </c>
      <c r="AS13" s="185">
        <v>2</v>
      </c>
      <c r="AT13" s="185">
        <v>2</v>
      </c>
      <c r="AU13" s="185">
        <v>2</v>
      </c>
      <c r="AV13" s="185">
        <v>2</v>
      </c>
      <c r="AW13" s="185" t="s">
        <v>176</v>
      </c>
      <c r="AX13" s="185" t="s">
        <v>176</v>
      </c>
      <c r="AY13" s="185" t="s">
        <v>176</v>
      </c>
      <c r="AZ13" s="185" t="s">
        <v>176</v>
      </c>
      <c r="BA13" s="185" t="s">
        <v>176</v>
      </c>
      <c r="BB13" s="185" t="s">
        <v>176</v>
      </c>
      <c r="BC13" s="185" t="s">
        <v>176</v>
      </c>
      <c r="BD13" s="185" t="s">
        <v>176</v>
      </c>
      <c r="BE13" s="185" t="s">
        <v>176</v>
      </c>
      <c r="BF13" s="185" t="s">
        <v>176</v>
      </c>
      <c r="BG13" s="185" t="s">
        <v>176</v>
      </c>
      <c r="BH13" s="185" t="s">
        <v>176</v>
      </c>
      <c r="BI13" s="185" t="s">
        <v>176</v>
      </c>
      <c r="BJ13" s="185" t="s">
        <v>176</v>
      </c>
      <c r="BK13" s="185">
        <v>1</v>
      </c>
      <c r="BL13" s="185">
        <v>1</v>
      </c>
      <c r="BM13" s="185">
        <v>1</v>
      </c>
      <c r="BN13" s="185">
        <v>1</v>
      </c>
      <c r="BO13" s="185">
        <v>1</v>
      </c>
      <c r="BP13" s="185">
        <v>1</v>
      </c>
      <c r="BQ13" s="185">
        <v>1</v>
      </c>
      <c r="BR13" s="185">
        <v>1</v>
      </c>
      <c r="BS13" s="185">
        <v>1</v>
      </c>
      <c r="BT13" s="185">
        <v>1</v>
      </c>
      <c r="BU13" s="185">
        <v>1</v>
      </c>
      <c r="BV13" s="185" t="s">
        <v>176</v>
      </c>
      <c r="BW13" s="185" t="s">
        <v>176</v>
      </c>
      <c r="BX13" s="185" t="s">
        <v>176</v>
      </c>
      <c r="BY13" s="185" t="s">
        <v>176</v>
      </c>
      <c r="BZ13" s="185" t="s">
        <v>176</v>
      </c>
      <c r="CA13" s="185" t="s">
        <v>176</v>
      </c>
      <c r="CB13" s="185" t="s">
        <v>176</v>
      </c>
      <c r="CC13" s="185" t="s">
        <v>176</v>
      </c>
      <c r="CD13" s="185" t="s">
        <v>176</v>
      </c>
      <c r="CE13" s="185" t="s">
        <v>176</v>
      </c>
      <c r="CF13" s="185" t="s">
        <v>176</v>
      </c>
      <c r="CG13" s="185">
        <v>2</v>
      </c>
      <c r="CH13" s="185" t="s">
        <v>176</v>
      </c>
      <c r="CI13" s="185" t="s">
        <v>176</v>
      </c>
      <c r="CJ13" s="185" t="s">
        <v>176</v>
      </c>
      <c r="CK13" s="185">
        <v>2</v>
      </c>
      <c r="CL13" s="185">
        <v>2</v>
      </c>
      <c r="CM13" s="185">
        <v>2</v>
      </c>
      <c r="CN13" s="185">
        <v>2</v>
      </c>
      <c r="CO13" s="185" t="s">
        <v>176</v>
      </c>
      <c r="CP13" s="185" t="s">
        <v>176</v>
      </c>
      <c r="CQ13" s="185" t="s">
        <v>176</v>
      </c>
      <c r="CR13" s="185" t="s">
        <v>176</v>
      </c>
      <c r="CS13" s="185">
        <v>2</v>
      </c>
      <c r="CT13" s="185" t="s">
        <v>176</v>
      </c>
      <c r="CU13" s="185" t="s">
        <v>176</v>
      </c>
      <c r="CV13" s="185" t="s">
        <v>176</v>
      </c>
      <c r="CW13" s="185" t="s">
        <v>176</v>
      </c>
      <c r="CX13" s="185" t="s">
        <v>176</v>
      </c>
      <c r="CY13" s="185" t="s">
        <v>176</v>
      </c>
      <c r="CZ13" s="185" t="s">
        <v>176</v>
      </c>
      <c r="DA13" s="185" t="s">
        <v>176</v>
      </c>
      <c r="DB13" s="185" t="s">
        <v>176</v>
      </c>
      <c r="DC13" s="185" t="s">
        <v>176</v>
      </c>
      <c r="DD13" s="185" t="s">
        <v>176</v>
      </c>
      <c r="DE13" s="185" t="s">
        <v>176</v>
      </c>
      <c r="DF13" s="185" t="s">
        <v>176</v>
      </c>
      <c r="DG13" s="185" t="s">
        <v>176</v>
      </c>
      <c r="DH13" s="185" t="s">
        <v>176</v>
      </c>
      <c r="DI13" s="185" t="s">
        <v>176</v>
      </c>
      <c r="DJ13" s="185" t="s">
        <v>176</v>
      </c>
      <c r="DK13" s="185" t="s">
        <v>176</v>
      </c>
      <c r="DL13" s="185" t="s">
        <v>176</v>
      </c>
      <c r="DM13" s="185" t="s">
        <v>176</v>
      </c>
      <c r="DN13" s="185" t="s">
        <v>176</v>
      </c>
      <c r="DO13" s="185" t="s">
        <v>176</v>
      </c>
      <c r="DP13" s="185" t="s">
        <v>176</v>
      </c>
      <c r="DQ13" s="185" t="s">
        <v>176</v>
      </c>
      <c r="DR13" s="185" t="s">
        <v>176</v>
      </c>
      <c r="DS13" s="185" t="s">
        <v>176</v>
      </c>
      <c r="DT13" s="185" t="s">
        <v>176</v>
      </c>
      <c r="DU13" s="185" t="s">
        <v>176</v>
      </c>
      <c r="DV13" s="185" t="s">
        <v>176</v>
      </c>
      <c r="DW13" s="185" t="s">
        <v>176</v>
      </c>
      <c r="DX13" s="185" t="s">
        <v>176</v>
      </c>
      <c r="DY13" s="185" t="s">
        <v>176</v>
      </c>
      <c r="DZ13" s="185" t="s">
        <v>176</v>
      </c>
      <c r="EA13" s="185" t="s">
        <v>176</v>
      </c>
      <c r="EB13" s="185" t="s">
        <v>176</v>
      </c>
      <c r="EC13" s="185" t="s">
        <v>176</v>
      </c>
      <c r="ED13" s="185" t="s">
        <v>176</v>
      </c>
      <c r="EE13" s="185" t="s">
        <v>176</v>
      </c>
      <c r="EF13" s="185" t="s">
        <v>176</v>
      </c>
      <c r="EG13" s="185" t="s">
        <v>176</v>
      </c>
      <c r="EH13" s="185" t="s">
        <v>176</v>
      </c>
      <c r="EI13" s="185" t="s">
        <v>176</v>
      </c>
      <c r="EJ13" s="185" t="s">
        <v>176</v>
      </c>
      <c r="EK13" s="185" t="s">
        <v>176</v>
      </c>
      <c r="EL13" s="185" t="s">
        <v>176</v>
      </c>
      <c r="EM13" s="185">
        <v>2</v>
      </c>
      <c r="EN13" s="185" t="s">
        <v>176</v>
      </c>
      <c r="EO13" s="185" t="s">
        <v>176</v>
      </c>
      <c r="EP13" s="185" t="s">
        <v>176</v>
      </c>
      <c r="EQ13" s="185" t="s">
        <v>176</v>
      </c>
      <c r="ER13" s="185" t="s">
        <v>176</v>
      </c>
      <c r="ES13" s="185" t="s">
        <v>176</v>
      </c>
      <c r="ET13" s="185" t="s">
        <v>176</v>
      </c>
      <c r="EU13" s="406" t="s">
        <v>176</v>
      </c>
      <c r="EV13" s="185" t="s">
        <v>176</v>
      </c>
      <c r="EW13" s="185">
        <v>2</v>
      </c>
      <c r="EX13" s="185">
        <v>2</v>
      </c>
      <c r="EY13" s="185">
        <v>2</v>
      </c>
      <c r="EZ13" s="185">
        <v>1</v>
      </c>
      <c r="FA13" s="185">
        <v>1</v>
      </c>
      <c r="FB13" s="185">
        <v>2</v>
      </c>
      <c r="FC13" s="185">
        <v>2</v>
      </c>
      <c r="FD13" s="185">
        <v>2</v>
      </c>
      <c r="FE13" s="185">
        <v>2</v>
      </c>
      <c r="FF13" s="185">
        <v>2</v>
      </c>
      <c r="FG13" s="185">
        <v>2</v>
      </c>
      <c r="FH13" s="185">
        <v>2</v>
      </c>
      <c r="FI13" s="185">
        <v>2</v>
      </c>
      <c r="FJ13" s="185">
        <v>1</v>
      </c>
      <c r="FK13" s="185">
        <v>2</v>
      </c>
      <c r="FL13" s="185">
        <v>2</v>
      </c>
      <c r="FM13" s="185">
        <v>2</v>
      </c>
      <c r="FN13" s="185">
        <v>1</v>
      </c>
      <c r="FO13" s="186" t="s">
        <v>176</v>
      </c>
      <c r="FP13" s="186" t="s">
        <v>160</v>
      </c>
      <c r="FQ13" s="186" t="s">
        <v>176</v>
      </c>
      <c r="FR13" s="186" t="s">
        <v>176</v>
      </c>
      <c r="FS13" s="186" t="s">
        <v>176</v>
      </c>
      <c r="FT13" s="186" t="s">
        <v>176</v>
      </c>
      <c r="FU13" s="185" t="s">
        <v>160</v>
      </c>
      <c r="FV13" s="186" t="s">
        <v>176</v>
      </c>
      <c r="FW13" s="186" t="s">
        <v>176</v>
      </c>
      <c r="FX13" s="186" t="s">
        <v>176</v>
      </c>
      <c r="FY13" s="186" t="s">
        <v>176</v>
      </c>
      <c r="FZ13" s="186" t="s">
        <v>176</v>
      </c>
      <c r="GA13" s="185" t="s">
        <v>160</v>
      </c>
      <c r="GB13" s="186" t="s">
        <v>176</v>
      </c>
      <c r="GC13" s="186" t="s">
        <v>176</v>
      </c>
      <c r="GD13" s="186" t="s">
        <v>176</v>
      </c>
      <c r="GE13" s="186" t="s">
        <v>176</v>
      </c>
      <c r="GF13" s="186" t="s">
        <v>176</v>
      </c>
      <c r="GG13" s="186" t="s">
        <v>176</v>
      </c>
      <c r="GH13" s="186" t="s">
        <v>176</v>
      </c>
      <c r="GI13" s="186" t="s">
        <v>176</v>
      </c>
      <c r="GJ13" s="260">
        <f t="shared" si="0"/>
        <v>91</v>
      </c>
    </row>
    <row r="14" spans="1:192" s="386" customFormat="1" ht="25.5" customHeight="1" x14ac:dyDescent="0.25">
      <c r="A14" s="258" t="s">
        <v>559</v>
      </c>
      <c r="B14" s="261" t="s">
        <v>560</v>
      </c>
      <c r="C14" s="261" t="s">
        <v>226</v>
      </c>
      <c r="D14" s="185">
        <v>2</v>
      </c>
      <c r="E14" s="185">
        <v>2</v>
      </c>
      <c r="F14" s="185">
        <v>2</v>
      </c>
      <c r="G14" s="185">
        <v>2</v>
      </c>
      <c r="H14" s="185">
        <v>2</v>
      </c>
      <c r="I14" s="185">
        <v>1</v>
      </c>
      <c r="J14" s="185" t="s">
        <v>176</v>
      </c>
      <c r="K14" s="185" t="s">
        <v>176</v>
      </c>
      <c r="L14" s="185">
        <v>1</v>
      </c>
      <c r="M14" s="185">
        <v>1</v>
      </c>
      <c r="N14" s="185" t="s">
        <v>176</v>
      </c>
      <c r="O14" s="185" t="s">
        <v>176</v>
      </c>
      <c r="P14" s="185" t="s">
        <v>176</v>
      </c>
      <c r="Q14" s="185" t="s">
        <v>176</v>
      </c>
      <c r="R14" s="185" t="s">
        <v>176</v>
      </c>
      <c r="S14" s="185" t="s">
        <v>176</v>
      </c>
      <c r="T14" s="185" t="s">
        <v>176</v>
      </c>
      <c r="U14" s="185" t="s">
        <v>176</v>
      </c>
      <c r="V14" s="185" t="s">
        <v>176</v>
      </c>
      <c r="W14" s="185" t="s">
        <v>176</v>
      </c>
      <c r="X14" s="185" t="s">
        <v>176</v>
      </c>
      <c r="Y14" s="185">
        <v>2</v>
      </c>
      <c r="Z14" s="185">
        <v>1</v>
      </c>
      <c r="AA14" s="185">
        <v>1</v>
      </c>
      <c r="AB14" s="185" t="s">
        <v>176</v>
      </c>
      <c r="AC14" s="185" t="s">
        <v>176</v>
      </c>
      <c r="AD14" s="185">
        <v>1</v>
      </c>
      <c r="AE14" s="185">
        <v>1</v>
      </c>
      <c r="AF14" s="185" t="s">
        <v>176</v>
      </c>
      <c r="AG14" s="185" t="s">
        <v>176</v>
      </c>
      <c r="AH14" s="185" t="s">
        <v>176</v>
      </c>
      <c r="AI14" s="185">
        <v>1</v>
      </c>
      <c r="AJ14" s="185">
        <v>2</v>
      </c>
      <c r="AK14" s="185">
        <v>2</v>
      </c>
      <c r="AL14" s="185">
        <v>2</v>
      </c>
      <c r="AM14" s="185">
        <v>2</v>
      </c>
      <c r="AN14" s="185">
        <v>2</v>
      </c>
      <c r="AO14" s="185">
        <v>1</v>
      </c>
      <c r="AP14" s="185">
        <v>2</v>
      </c>
      <c r="AQ14" s="185">
        <v>2</v>
      </c>
      <c r="AR14" s="185">
        <v>2</v>
      </c>
      <c r="AS14" s="185">
        <v>2</v>
      </c>
      <c r="AT14" s="185">
        <v>2</v>
      </c>
      <c r="AU14" s="185">
        <v>2</v>
      </c>
      <c r="AV14" s="185">
        <v>1</v>
      </c>
      <c r="AW14" s="185">
        <v>1</v>
      </c>
      <c r="AX14" s="185" t="s">
        <v>176</v>
      </c>
      <c r="AY14" s="185" t="s">
        <v>176</v>
      </c>
      <c r="AZ14" s="185" t="s">
        <v>176</v>
      </c>
      <c r="BA14" s="185" t="s">
        <v>176</v>
      </c>
      <c r="BB14" s="185" t="s">
        <v>176</v>
      </c>
      <c r="BC14" s="185" t="s">
        <v>176</v>
      </c>
      <c r="BD14" s="413" t="s">
        <v>176</v>
      </c>
      <c r="BE14" s="185" t="s">
        <v>176</v>
      </c>
      <c r="BF14" s="185" t="s">
        <v>176</v>
      </c>
      <c r="BG14" s="185" t="s">
        <v>176</v>
      </c>
      <c r="BH14" s="185" t="s">
        <v>176</v>
      </c>
      <c r="BI14" s="185" t="s">
        <v>176</v>
      </c>
      <c r="BJ14" s="185" t="s">
        <v>176</v>
      </c>
      <c r="BK14" s="185">
        <v>1</v>
      </c>
      <c r="BL14" s="185">
        <v>2</v>
      </c>
      <c r="BM14" s="185">
        <v>2</v>
      </c>
      <c r="BN14" s="185">
        <v>2</v>
      </c>
      <c r="BO14" s="185">
        <v>2</v>
      </c>
      <c r="BP14" s="185">
        <v>2</v>
      </c>
      <c r="BQ14" s="185">
        <v>2</v>
      </c>
      <c r="BR14" s="185">
        <v>2</v>
      </c>
      <c r="BS14" s="185">
        <v>2</v>
      </c>
      <c r="BT14" s="185">
        <v>1</v>
      </c>
      <c r="BU14" s="185">
        <v>1</v>
      </c>
      <c r="BV14" s="185">
        <v>1</v>
      </c>
      <c r="BW14" s="185">
        <v>1</v>
      </c>
      <c r="BX14" s="185" t="s">
        <v>176</v>
      </c>
      <c r="BY14" s="185" t="s">
        <v>176</v>
      </c>
      <c r="BZ14" s="185" t="s">
        <v>176</v>
      </c>
      <c r="CA14" s="185" t="s">
        <v>176</v>
      </c>
      <c r="CB14" s="185" t="s">
        <v>176</v>
      </c>
      <c r="CC14" s="185" t="s">
        <v>176</v>
      </c>
      <c r="CD14" s="185" t="s">
        <v>176</v>
      </c>
      <c r="CE14" s="185" t="s">
        <v>176</v>
      </c>
      <c r="CF14" s="185" t="s">
        <v>176</v>
      </c>
      <c r="CG14" s="185">
        <v>2</v>
      </c>
      <c r="CH14" s="185">
        <v>1</v>
      </c>
      <c r="CI14" s="185" t="s">
        <v>176</v>
      </c>
      <c r="CJ14" s="185">
        <v>2</v>
      </c>
      <c r="CK14" s="185">
        <v>1</v>
      </c>
      <c r="CL14" s="185">
        <v>2</v>
      </c>
      <c r="CM14" s="185">
        <v>2</v>
      </c>
      <c r="CN14" s="185">
        <v>2</v>
      </c>
      <c r="CO14" s="185">
        <v>1</v>
      </c>
      <c r="CP14" s="185">
        <v>1</v>
      </c>
      <c r="CQ14" s="185">
        <v>2</v>
      </c>
      <c r="CR14" s="185" t="s">
        <v>176</v>
      </c>
      <c r="CS14" s="185">
        <v>2</v>
      </c>
      <c r="CT14" s="185">
        <v>2</v>
      </c>
      <c r="CU14" s="185" t="s">
        <v>176</v>
      </c>
      <c r="CV14" s="247" t="s">
        <v>176</v>
      </c>
      <c r="CW14" s="247" t="s">
        <v>176</v>
      </c>
      <c r="CX14" s="247" t="s">
        <v>176</v>
      </c>
      <c r="CY14" s="247" t="s">
        <v>176</v>
      </c>
      <c r="CZ14" s="185" t="s">
        <v>176</v>
      </c>
      <c r="DA14" s="185" t="s">
        <v>176</v>
      </c>
      <c r="DB14" s="185" t="s">
        <v>176</v>
      </c>
      <c r="DC14" s="185" t="s">
        <v>176</v>
      </c>
      <c r="DD14" s="185" t="s">
        <v>176</v>
      </c>
      <c r="DE14" s="185" t="s">
        <v>176</v>
      </c>
      <c r="DF14" s="185" t="s">
        <v>176</v>
      </c>
      <c r="DG14" s="185" t="s">
        <v>176</v>
      </c>
      <c r="DH14" s="185" t="s">
        <v>176</v>
      </c>
      <c r="DI14" s="185" t="s">
        <v>176</v>
      </c>
      <c r="DJ14" s="185" t="s">
        <v>176</v>
      </c>
      <c r="DK14" s="185" t="s">
        <v>176</v>
      </c>
      <c r="DL14" s="185" t="s">
        <v>176</v>
      </c>
      <c r="DM14" s="185" t="s">
        <v>176</v>
      </c>
      <c r="DN14" s="185" t="s">
        <v>176</v>
      </c>
      <c r="DO14" s="185" t="s">
        <v>176</v>
      </c>
      <c r="DP14" s="185" t="s">
        <v>176</v>
      </c>
      <c r="DQ14" s="185" t="s">
        <v>176</v>
      </c>
      <c r="DR14" s="185" t="s">
        <v>176</v>
      </c>
      <c r="DS14" s="185">
        <v>2</v>
      </c>
      <c r="DT14" s="185">
        <v>1</v>
      </c>
      <c r="DU14" s="185">
        <v>1</v>
      </c>
      <c r="DV14" s="185" t="s">
        <v>176</v>
      </c>
      <c r="DW14" s="185" t="s">
        <v>176</v>
      </c>
      <c r="DX14" s="185" t="s">
        <v>176</v>
      </c>
      <c r="DY14" s="185" t="s">
        <v>176</v>
      </c>
      <c r="DZ14" s="185" t="s">
        <v>176</v>
      </c>
      <c r="EA14" s="185" t="s">
        <v>176</v>
      </c>
      <c r="EB14" s="185" t="s">
        <v>176</v>
      </c>
      <c r="EC14" s="185" t="s">
        <v>176</v>
      </c>
      <c r="ED14" s="185">
        <v>2</v>
      </c>
      <c r="EE14" s="185">
        <v>1</v>
      </c>
      <c r="EF14" s="185">
        <v>1</v>
      </c>
      <c r="EG14" s="185">
        <v>1</v>
      </c>
      <c r="EH14" s="185">
        <v>1</v>
      </c>
      <c r="EI14" s="185">
        <v>1</v>
      </c>
      <c r="EJ14" s="185">
        <v>1</v>
      </c>
      <c r="EK14" s="185">
        <v>1</v>
      </c>
      <c r="EL14" s="185">
        <v>2</v>
      </c>
      <c r="EM14" s="185">
        <v>1</v>
      </c>
      <c r="EN14" s="185">
        <v>2</v>
      </c>
      <c r="EO14" s="185">
        <v>2</v>
      </c>
      <c r="EP14" s="185" t="s">
        <v>176</v>
      </c>
      <c r="EQ14" s="185" t="s">
        <v>176</v>
      </c>
      <c r="ER14" s="185" t="s">
        <v>176</v>
      </c>
      <c r="ES14" s="185" t="s">
        <v>176</v>
      </c>
      <c r="ET14" s="185" t="s">
        <v>176</v>
      </c>
      <c r="EU14" s="406" t="s">
        <v>176</v>
      </c>
      <c r="EV14" s="185" t="s">
        <v>176</v>
      </c>
      <c r="EW14" s="185">
        <v>2</v>
      </c>
      <c r="EX14" s="185">
        <v>2</v>
      </c>
      <c r="EY14" s="185">
        <v>2</v>
      </c>
      <c r="EZ14" s="185">
        <v>2</v>
      </c>
      <c r="FA14" s="185" t="s">
        <v>176</v>
      </c>
      <c r="FB14" s="185">
        <v>1</v>
      </c>
      <c r="FC14" s="185">
        <v>2</v>
      </c>
      <c r="FD14" s="185">
        <v>2</v>
      </c>
      <c r="FE14" s="185">
        <v>2</v>
      </c>
      <c r="FF14" s="185">
        <v>2</v>
      </c>
      <c r="FG14" s="185">
        <v>2</v>
      </c>
      <c r="FH14" s="185">
        <v>2</v>
      </c>
      <c r="FI14" s="185">
        <v>2</v>
      </c>
      <c r="FJ14" s="185">
        <v>1</v>
      </c>
      <c r="FK14" s="185">
        <v>2</v>
      </c>
      <c r="FL14" s="185">
        <v>2</v>
      </c>
      <c r="FM14" s="185">
        <v>2</v>
      </c>
      <c r="FN14" s="185">
        <v>2</v>
      </c>
      <c r="FO14" s="185" t="s">
        <v>176</v>
      </c>
      <c r="FP14" s="185" t="s">
        <v>387</v>
      </c>
      <c r="FQ14" s="185" t="s">
        <v>176</v>
      </c>
      <c r="FR14" s="185" t="s">
        <v>176</v>
      </c>
      <c r="FS14" s="185" t="s">
        <v>176</v>
      </c>
      <c r="FT14" s="185" t="s">
        <v>176</v>
      </c>
      <c r="FU14" s="185" t="s">
        <v>176</v>
      </c>
      <c r="FV14" s="185" t="s">
        <v>176</v>
      </c>
      <c r="FW14" s="185" t="s">
        <v>176</v>
      </c>
      <c r="FX14" s="185" t="s">
        <v>176</v>
      </c>
      <c r="FY14" s="185" t="s">
        <v>176</v>
      </c>
      <c r="FZ14" s="185" t="s">
        <v>387</v>
      </c>
      <c r="GA14" s="185" t="s">
        <v>160</v>
      </c>
      <c r="GB14" s="185" t="s">
        <v>176</v>
      </c>
      <c r="GC14" s="185" t="s">
        <v>176</v>
      </c>
      <c r="GD14" s="185" t="s">
        <v>176</v>
      </c>
      <c r="GE14" s="185" t="s">
        <v>176</v>
      </c>
      <c r="GF14" s="185" t="s">
        <v>176</v>
      </c>
      <c r="GG14" s="185" t="s">
        <v>176</v>
      </c>
      <c r="GH14" s="185" t="s">
        <v>176</v>
      </c>
      <c r="GI14" s="185" t="s">
        <v>176</v>
      </c>
      <c r="GJ14" s="260">
        <f t="shared" si="0"/>
        <v>138</v>
      </c>
    </row>
    <row r="15" spans="1:192" ht="25.5" customHeight="1" x14ac:dyDescent="0.25">
      <c r="A15" s="272" t="s">
        <v>21</v>
      </c>
      <c r="B15" s="274" t="s">
        <v>735</v>
      </c>
      <c r="C15" s="274" t="s">
        <v>230</v>
      </c>
      <c r="D15" s="189">
        <v>2</v>
      </c>
      <c r="E15" s="189">
        <v>2</v>
      </c>
      <c r="F15" s="189">
        <v>2</v>
      </c>
      <c r="G15" s="185" t="s">
        <v>176</v>
      </c>
      <c r="H15" s="185" t="s">
        <v>176</v>
      </c>
      <c r="I15" s="189">
        <v>2</v>
      </c>
      <c r="J15" s="185" t="s">
        <v>176</v>
      </c>
      <c r="K15" s="185" t="s">
        <v>176</v>
      </c>
      <c r="L15" s="189">
        <v>1</v>
      </c>
      <c r="M15" s="189">
        <v>1</v>
      </c>
      <c r="N15" s="185" t="s">
        <v>176</v>
      </c>
      <c r="O15" s="185" t="s">
        <v>176</v>
      </c>
      <c r="P15" s="185" t="s">
        <v>176</v>
      </c>
      <c r="Q15" s="185" t="s">
        <v>176</v>
      </c>
      <c r="R15" s="185" t="s">
        <v>176</v>
      </c>
      <c r="S15" s="185" t="s">
        <v>176</v>
      </c>
      <c r="T15" s="185" t="s">
        <v>176</v>
      </c>
      <c r="U15" s="185" t="s">
        <v>176</v>
      </c>
      <c r="V15" s="185" t="s">
        <v>176</v>
      </c>
      <c r="W15" s="185" t="s">
        <v>176</v>
      </c>
      <c r="X15" s="185" t="s">
        <v>176</v>
      </c>
      <c r="Y15" s="185">
        <v>2</v>
      </c>
      <c r="Z15" s="185">
        <v>1</v>
      </c>
      <c r="AA15" s="185">
        <v>1</v>
      </c>
      <c r="AB15" s="185" t="s">
        <v>176</v>
      </c>
      <c r="AC15" s="185" t="s">
        <v>176</v>
      </c>
      <c r="AD15" s="185" t="s">
        <v>176</v>
      </c>
      <c r="AE15" s="185" t="s">
        <v>176</v>
      </c>
      <c r="AF15" s="185" t="s">
        <v>176</v>
      </c>
      <c r="AG15" s="185" t="s">
        <v>176</v>
      </c>
      <c r="AH15" s="185" t="s">
        <v>176</v>
      </c>
      <c r="AI15" s="185">
        <v>1</v>
      </c>
      <c r="AJ15" s="185" t="s">
        <v>176</v>
      </c>
      <c r="AK15" s="185" t="s">
        <v>176</v>
      </c>
      <c r="AL15" s="185" t="s">
        <v>176</v>
      </c>
      <c r="AM15" s="185" t="s">
        <v>176</v>
      </c>
      <c r="AN15" s="185" t="s">
        <v>176</v>
      </c>
      <c r="AO15" s="185" t="s">
        <v>176</v>
      </c>
      <c r="AP15" s="185" t="s">
        <v>176</v>
      </c>
      <c r="AQ15" s="185" t="s">
        <v>176</v>
      </c>
      <c r="AR15" s="185" t="s">
        <v>176</v>
      </c>
      <c r="AS15" s="185">
        <v>2</v>
      </c>
      <c r="AT15" s="185" t="s">
        <v>176</v>
      </c>
      <c r="AU15" s="185" t="s">
        <v>176</v>
      </c>
      <c r="AV15" s="185" t="s">
        <v>176</v>
      </c>
      <c r="AW15" s="185" t="s">
        <v>176</v>
      </c>
      <c r="AX15" s="185">
        <v>1</v>
      </c>
      <c r="AY15" s="185">
        <v>1</v>
      </c>
      <c r="AZ15" s="185" t="s">
        <v>176</v>
      </c>
      <c r="BA15" s="185" t="s">
        <v>176</v>
      </c>
      <c r="BB15" s="185" t="s">
        <v>176</v>
      </c>
      <c r="BC15" s="185" t="s">
        <v>176</v>
      </c>
      <c r="BD15" s="189"/>
      <c r="BE15" s="185" t="s">
        <v>176</v>
      </c>
      <c r="BF15" s="185" t="s">
        <v>176</v>
      </c>
      <c r="BG15" s="185" t="s">
        <v>176</v>
      </c>
      <c r="BH15" s="185" t="s">
        <v>176</v>
      </c>
      <c r="BI15" s="185" t="s">
        <v>176</v>
      </c>
      <c r="BJ15" s="185" t="s">
        <v>176</v>
      </c>
      <c r="BK15" s="185" t="s">
        <v>176</v>
      </c>
      <c r="BL15" s="185" t="s">
        <v>176</v>
      </c>
      <c r="BM15" s="185" t="s">
        <v>176</v>
      </c>
      <c r="BN15" s="185" t="s">
        <v>176</v>
      </c>
      <c r="BO15" s="185" t="s">
        <v>176</v>
      </c>
      <c r="BP15" s="185" t="s">
        <v>176</v>
      </c>
      <c r="BQ15" s="185" t="s">
        <v>176</v>
      </c>
      <c r="BR15" s="185" t="s">
        <v>176</v>
      </c>
      <c r="BS15" s="185" t="s">
        <v>176</v>
      </c>
      <c r="BT15" s="185" t="s">
        <v>176</v>
      </c>
      <c r="BU15" s="189">
        <v>3</v>
      </c>
      <c r="BV15" s="189">
        <v>3</v>
      </c>
      <c r="BW15" s="189">
        <v>3</v>
      </c>
      <c r="BX15" s="189">
        <v>3</v>
      </c>
      <c r="BY15" s="189">
        <v>1</v>
      </c>
      <c r="BZ15" s="185" t="s">
        <v>176</v>
      </c>
      <c r="CA15" s="189">
        <v>3</v>
      </c>
      <c r="CB15" s="189">
        <v>2</v>
      </c>
      <c r="CC15" s="189">
        <v>3</v>
      </c>
      <c r="CD15" s="189">
        <v>2</v>
      </c>
      <c r="CE15" s="189">
        <v>3</v>
      </c>
      <c r="CF15" s="189">
        <v>2</v>
      </c>
      <c r="CG15" s="189">
        <v>2</v>
      </c>
      <c r="CH15" s="185" t="s">
        <v>176</v>
      </c>
      <c r="CI15" s="185" t="s">
        <v>176</v>
      </c>
      <c r="CJ15" s="185" t="s">
        <v>176</v>
      </c>
      <c r="CK15" s="185">
        <v>1</v>
      </c>
      <c r="CL15" s="185">
        <v>1</v>
      </c>
      <c r="CM15" s="185">
        <v>1</v>
      </c>
      <c r="CN15" s="185" t="s">
        <v>176</v>
      </c>
      <c r="CO15" s="185" t="s">
        <v>176</v>
      </c>
      <c r="CP15" s="185" t="s">
        <v>176</v>
      </c>
      <c r="CQ15" s="185" t="s">
        <v>176</v>
      </c>
      <c r="CR15" s="185" t="s">
        <v>176</v>
      </c>
      <c r="CS15" s="185" t="s">
        <v>176</v>
      </c>
      <c r="CT15" s="185" t="s">
        <v>176</v>
      </c>
      <c r="CU15" s="185" t="s">
        <v>176</v>
      </c>
      <c r="CV15" s="185" t="s">
        <v>176</v>
      </c>
      <c r="CW15" s="185" t="s">
        <v>176</v>
      </c>
      <c r="CX15" s="185" t="s">
        <v>176</v>
      </c>
      <c r="CY15" s="185" t="s">
        <v>176</v>
      </c>
      <c r="CZ15" s="185" t="s">
        <v>176</v>
      </c>
      <c r="DA15" s="185" t="s">
        <v>176</v>
      </c>
      <c r="DB15" s="185" t="s">
        <v>176</v>
      </c>
      <c r="DC15" s="185" t="s">
        <v>176</v>
      </c>
      <c r="DD15" s="185" t="s">
        <v>176</v>
      </c>
      <c r="DE15" s="185" t="s">
        <v>176</v>
      </c>
      <c r="DF15" s="185" t="s">
        <v>176</v>
      </c>
      <c r="DG15" s="185" t="s">
        <v>176</v>
      </c>
      <c r="DH15" s="185" t="s">
        <v>176</v>
      </c>
      <c r="DI15" s="185" t="s">
        <v>176</v>
      </c>
      <c r="DJ15" s="185" t="s">
        <v>176</v>
      </c>
      <c r="DK15" s="185" t="s">
        <v>176</v>
      </c>
      <c r="DL15" s="185" t="s">
        <v>176</v>
      </c>
      <c r="DM15" s="185" t="s">
        <v>176</v>
      </c>
      <c r="DN15" s="185" t="s">
        <v>176</v>
      </c>
      <c r="DO15" s="185" t="s">
        <v>176</v>
      </c>
      <c r="DP15" s="185" t="s">
        <v>176</v>
      </c>
      <c r="DQ15" s="185" t="s">
        <v>176</v>
      </c>
      <c r="DR15" s="185" t="s">
        <v>176</v>
      </c>
      <c r="DS15" s="185" t="s">
        <v>176</v>
      </c>
      <c r="DT15" s="185" t="s">
        <v>176</v>
      </c>
      <c r="DU15" s="185" t="s">
        <v>176</v>
      </c>
      <c r="DV15" s="185" t="s">
        <v>176</v>
      </c>
      <c r="DW15" s="185" t="s">
        <v>176</v>
      </c>
      <c r="DX15" s="185" t="s">
        <v>176</v>
      </c>
      <c r="DY15" s="185" t="s">
        <v>176</v>
      </c>
      <c r="DZ15" s="185" t="s">
        <v>176</v>
      </c>
      <c r="EA15" s="185" t="s">
        <v>176</v>
      </c>
      <c r="EB15" s="185" t="s">
        <v>176</v>
      </c>
      <c r="EC15" s="185" t="s">
        <v>176</v>
      </c>
      <c r="ED15" s="185" t="s">
        <v>176</v>
      </c>
      <c r="EE15" s="185" t="s">
        <v>176</v>
      </c>
      <c r="EF15" s="185" t="s">
        <v>176</v>
      </c>
      <c r="EG15" s="185" t="s">
        <v>176</v>
      </c>
      <c r="EH15" s="185" t="s">
        <v>176</v>
      </c>
      <c r="EI15" s="185" t="s">
        <v>176</v>
      </c>
      <c r="EJ15" s="185" t="s">
        <v>176</v>
      </c>
      <c r="EK15" s="185" t="s">
        <v>176</v>
      </c>
      <c r="EL15" s="185" t="s">
        <v>176</v>
      </c>
      <c r="EM15" s="185" t="s">
        <v>176</v>
      </c>
      <c r="EN15" s="185" t="s">
        <v>176</v>
      </c>
      <c r="EO15" s="185" t="s">
        <v>176</v>
      </c>
      <c r="EP15" s="185" t="s">
        <v>176</v>
      </c>
      <c r="EQ15" s="185" t="s">
        <v>176</v>
      </c>
      <c r="ER15" s="185" t="s">
        <v>176</v>
      </c>
      <c r="ES15" s="185" t="s">
        <v>176</v>
      </c>
      <c r="ET15" s="185" t="s">
        <v>176</v>
      </c>
      <c r="EU15" s="406" t="s">
        <v>176</v>
      </c>
      <c r="EV15" s="185" t="s">
        <v>176</v>
      </c>
      <c r="EW15" s="189">
        <v>3</v>
      </c>
      <c r="EX15" s="189">
        <v>3</v>
      </c>
      <c r="EY15" s="189">
        <v>2</v>
      </c>
      <c r="EZ15" s="189">
        <v>2</v>
      </c>
      <c r="FA15" s="185" t="s">
        <v>176</v>
      </c>
      <c r="FB15" s="189">
        <v>1</v>
      </c>
      <c r="FC15" s="189">
        <v>3</v>
      </c>
      <c r="FD15" s="189">
        <v>3</v>
      </c>
      <c r="FE15" s="189">
        <v>3</v>
      </c>
      <c r="FF15" s="189">
        <v>3</v>
      </c>
      <c r="FG15" s="189">
        <v>3</v>
      </c>
      <c r="FH15" s="189">
        <v>3</v>
      </c>
      <c r="FI15" s="189">
        <v>3</v>
      </c>
      <c r="FJ15" s="189">
        <v>3</v>
      </c>
      <c r="FK15" s="189">
        <v>3</v>
      </c>
      <c r="FL15" s="189">
        <v>3</v>
      </c>
      <c r="FM15" s="189">
        <v>3</v>
      </c>
      <c r="FN15" s="189">
        <v>3</v>
      </c>
      <c r="FO15" s="189"/>
      <c r="FP15" s="189"/>
      <c r="FQ15" s="189"/>
      <c r="FR15" s="189" t="s">
        <v>160</v>
      </c>
      <c r="FS15" s="189"/>
      <c r="FT15" s="189"/>
      <c r="FU15" s="189"/>
      <c r="FV15" s="189"/>
      <c r="FW15" s="189"/>
      <c r="FX15" s="189" t="s">
        <v>160</v>
      </c>
      <c r="FY15" s="189"/>
      <c r="FZ15" s="189"/>
      <c r="GA15" s="186" t="s">
        <v>176</v>
      </c>
      <c r="GB15" s="186" t="s">
        <v>176</v>
      </c>
      <c r="GC15" s="186" t="s">
        <v>176</v>
      </c>
      <c r="GD15" s="186" t="s">
        <v>176</v>
      </c>
      <c r="GE15" s="186" t="s">
        <v>176</v>
      </c>
      <c r="GF15" s="186" t="s">
        <v>176</v>
      </c>
      <c r="GG15" s="186" t="s">
        <v>176</v>
      </c>
      <c r="GH15" s="186" t="s">
        <v>176</v>
      </c>
      <c r="GI15" s="186" t="s">
        <v>176</v>
      </c>
      <c r="GJ15" s="275">
        <f t="shared" si="0"/>
        <v>99</v>
      </c>
    </row>
    <row r="16" spans="1:192" ht="25.5" customHeight="1" x14ac:dyDescent="0.25">
      <c r="A16" s="272" t="s">
        <v>21</v>
      </c>
      <c r="B16" s="274" t="s">
        <v>734</v>
      </c>
      <c r="C16" s="274" t="s">
        <v>230</v>
      </c>
      <c r="D16" s="189">
        <v>2</v>
      </c>
      <c r="E16" s="189">
        <v>2</v>
      </c>
      <c r="F16" s="189">
        <v>2</v>
      </c>
      <c r="G16" s="185" t="s">
        <v>176</v>
      </c>
      <c r="H16" s="185" t="s">
        <v>176</v>
      </c>
      <c r="I16" s="189">
        <v>1</v>
      </c>
      <c r="J16" s="185" t="s">
        <v>176</v>
      </c>
      <c r="K16" s="185" t="s">
        <v>176</v>
      </c>
      <c r="L16" s="189">
        <v>1</v>
      </c>
      <c r="M16" s="189">
        <v>1</v>
      </c>
      <c r="N16" s="185" t="s">
        <v>176</v>
      </c>
      <c r="O16" s="185" t="s">
        <v>176</v>
      </c>
      <c r="P16" s="185" t="s">
        <v>176</v>
      </c>
      <c r="Q16" s="185" t="s">
        <v>176</v>
      </c>
      <c r="R16" s="185" t="s">
        <v>176</v>
      </c>
      <c r="S16" s="185" t="s">
        <v>176</v>
      </c>
      <c r="T16" s="185" t="s">
        <v>176</v>
      </c>
      <c r="U16" s="185" t="s">
        <v>176</v>
      </c>
      <c r="V16" s="185" t="s">
        <v>176</v>
      </c>
      <c r="W16" s="185" t="s">
        <v>176</v>
      </c>
      <c r="X16" s="185" t="s">
        <v>176</v>
      </c>
      <c r="Y16" s="185">
        <v>2</v>
      </c>
      <c r="Z16" s="185">
        <v>1</v>
      </c>
      <c r="AA16" s="185">
        <v>1</v>
      </c>
      <c r="AB16" s="185" t="s">
        <v>176</v>
      </c>
      <c r="AC16" s="185" t="s">
        <v>176</v>
      </c>
      <c r="AD16" s="185" t="s">
        <v>176</v>
      </c>
      <c r="AE16" s="185" t="s">
        <v>176</v>
      </c>
      <c r="AF16" s="185" t="s">
        <v>176</v>
      </c>
      <c r="AG16" s="185" t="s">
        <v>176</v>
      </c>
      <c r="AH16" s="185" t="s">
        <v>176</v>
      </c>
      <c r="AI16" s="185">
        <v>1</v>
      </c>
      <c r="AJ16" s="185" t="s">
        <v>176</v>
      </c>
      <c r="AK16" s="185" t="s">
        <v>176</v>
      </c>
      <c r="AL16" s="185" t="s">
        <v>176</v>
      </c>
      <c r="AM16" s="185" t="s">
        <v>176</v>
      </c>
      <c r="AN16" s="185" t="s">
        <v>176</v>
      </c>
      <c r="AO16" s="185" t="s">
        <v>176</v>
      </c>
      <c r="AP16" s="185" t="s">
        <v>176</v>
      </c>
      <c r="AQ16" s="185" t="s">
        <v>176</v>
      </c>
      <c r="AR16" s="185" t="s">
        <v>176</v>
      </c>
      <c r="AS16" s="185">
        <v>2</v>
      </c>
      <c r="AT16" s="185" t="s">
        <v>176</v>
      </c>
      <c r="AU16" s="185" t="s">
        <v>176</v>
      </c>
      <c r="AV16" s="185" t="s">
        <v>176</v>
      </c>
      <c r="AW16" s="185" t="s">
        <v>176</v>
      </c>
      <c r="AX16" s="185">
        <v>1</v>
      </c>
      <c r="AY16" s="185">
        <v>1</v>
      </c>
      <c r="AZ16" s="185" t="s">
        <v>176</v>
      </c>
      <c r="BA16" s="185" t="s">
        <v>176</v>
      </c>
      <c r="BB16" s="185" t="s">
        <v>176</v>
      </c>
      <c r="BC16" s="185" t="s">
        <v>176</v>
      </c>
      <c r="BD16" s="281"/>
      <c r="BE16" s="185" t="s">
        <v>176</v>
      </c>
      <c r="BF16" s="185" t="s">
        <v>176</v>
      </c>
      <c r="BG16" s="185" t="s">
        <v>176</v>
      </c>
      <c r="BH16" s="185" t="s">
        <v>176</v>
      </c>
      <c r="BI16" s="185" t="s">
        <v>176</v>
      </c>
      <c r="BJ16" s="185" t="s">
        <v>176</v>
      </c>
      <c r="BK16" s="185" t="s">
        <v>176</v>
      </c>
      <c r="BL16" s="185" t="s">
        <v>176</v>
      </c>
      <c r="BM16" s="185" t="s">
        <v>176</v>
      </c>
      <c r="BN16" s="185" t="s">
        <v>176</v>
      </c>
      <c r="BO16" s="185" t="s">
        <v>176</v>
      </c>
      <c r="BP16" s="185" t="s">
        <v>176</v>
      </c>
      <c r="BQ16" s="185" t="s">
        <v>176</v>
      </c>
      <c r="BR16" s="185" t="s">
        <v>176</v>
      </c>
      <c r="BS16" s="185" t="s">
        <v>176</v>
      </c>
      <c r="BT16" s="185" t="s">
        <v>176</v>
      </c>
      <c r="BU16" s="189">
        <v>2</v>
      </c>
      <c r="BV16" s="189">
        <v>2</v>
      </c>
      <c r="BW16" s="189">
        <v>2</v>
      </c>
      <c r="BX16" s="189">
        <v>2</v>
      </c>
      <c r="BY16" s="189">
        <v>1</v>
      </c>
      <c r="BZ16" s="185" t="s">
        <v>176</v>
      </c>
      <c r="CA16" s="189">
        <v>2</v>
      </c>
      <c r="CB16" s="189">
        <v>2</v>
      </c>
      <c r="CC16" s="189">
        <v>2</v>
      </c>
      <c r="CD16" s="189">
        <v>2</v>
      </c>
      <c r="CE16" s="189">
        <v>2</v>
      </c>
      <c r="CF16" s="189">
        <v>2</v>
      </c>
      <c r="CG16" s="189">
        <v>2</v>
      </c>
      <c r="CH16" s="185" t="s">
        <v>176</v>
      </c>
      <c r="CI16" s="185" t="s">
        <v>176</v>
      </c>
      <c r="CJ16" s="185" t="s">
        <v>176</v>
      </c>
      <c r="CK16" s="185">
        <v>1</v>
      </c>
      <c r="CL16" s="185">
        <v>1</v>
      </c>
      <c r="CM16" s="185">
        <v>1</v>
      </c>
      <c r="CN16" s="185" t="s">
        <v>176</v>
      </c>
      <c r="CO16" s="185" t="s">
        <v>176</v>
      </c>
      <c r="CP16" s="185" t="s">
        <v>176</v>
      </c>
      <c r="CQ16" s="185" t="s">
        <v>176</v>
      </c>
      <c r="CR16" s="185" t="s">
        <v>176</v>
      </c>
      <c r="CS16" s="185" t="s">
        <v>176</v>
      </c>
      <c r="CT16" s="185" t="s">
        <v>176</v>
      </c>
      <c r="CU16" s="185" t="s">
        <v>176</v>
      </c>
      <c r="CV16" s="185" t="s">
        <v>176</v>
      </c>
      <c r="CW16" s="185" t="s">
        <v>176</v>
      </c>
      <c r="CX16" s="185" t="s">
        <v>176</v>
      </c>
      <c r="CY16" s="185" t="s">
        <v>176</v>
      </c>
      <c r="CZ16" s="185" t="s">
        <v>176</v>
      </c>
      <c r="DA16" s="185" t="s">
        <v>176</v>
      </c>
      <c r="DB16" s="185" t="s">
        <v>176</v>
      </c>
      <c r="DC16" s="185" t="s">
        <v>176</v>
      </c>
      <c r="DD16" s="185" t="s">
        <v>176</v>
      </c>
      <c r="DE16" s="185" t="s">
        <v>176</v>
      </c>
      <c r="DF16" s="185" t="s">
        <v>176</v>
      </c>
      <c r="DG16" s="185" t="s">
        <v>176</v>
      </c>
      <c r="DH16" s="185" t="s">
        <v>176</v>
      </c>
      <c r="DI16" s="185" t="s">
        <v>176</v>
      </c>
      <c r="DJ16" s="185" t="s">
        <v>176</v>
      </c>
      <c r="DK16" s="185" t="s">
        <v>176</v>
      </c>
      <c r="DL16" s="185" t="s">
        <v>176</v>
      </c>
      <c r="DM16" s="185" t="s">
        <v>176</v>
      </c>
      <c r="DN16" s="185" t="s">
        <v>176</v>
      </c>
      <c r="DO16" s="185" t="s">
        <v>176</v>
      </c>
      <c r="DP16" s="185" t="s">
        <v>176</v>
      </c>
      <c r="DQ16" s="185" t="s">
        <v>176</v>
      </c>
      <c r="DR16" s="185" t="s">
        <v>176</v>
      </c>
      <c r="DS16" s="185" t="s">
        <v>176</v>
      </c>
      <c r="DT16" s="185" t="s">
        <v>176</v>
      </c>
      <c r="DU16" s="185" t="s">
        <v>176</v>
      </c>
      <c r="DV16" s="185" t="s">
        <v>176</v>
      </c>
      <c r="DW16" s="185" t="s">
        <v>176</v>
      </c>
      <c r="DX16" s="185" t="s">
        <v>176</v>
      </c>
      <c r="DY16" s="185" t="s">
        <v>176</v>
      </c>
      <c r="DZ16" s="185" t="s">
        <v>176</v>
      </c>
      <c r="EA16" s="185" t="s">
        <v>176</v>
      </c>
      <c r="EB16" s="185" t="s">
        <v>176</v>
      </c>
      <c r="EC16" s="185" t="s">
        <v>176</v>
      </c>
      <c r="ED16" s="185" t="s">
        <v>176</v>
      </c>
      <c r="EE16" s="185" t="s">
        <v>176</v>
      </c>
      <c r="EF16" s="185" t="s">
        <v>176</v>
      </c>
      <c r="EG16" s="185" t="s">
        <v>176</v>
      </c>
      <c r="EH16" s="185" t="s">
        <v>176</v>
      </c>
      <c r="EI16" s="185" t="s">
        <v>176</v>
      </c>
      <c r="EJ16" s="185" t="s">
        <v>176</v>
      </c>
      <c r="EK16" s="185" t="s">
        <v>176</v>
      </c>
      <c r="EL16" s="185" t="s">
        <v>176</v>
      </c>
      <c r="EM16" s="185" t="s">
        <v>176</v>
      </c>
      <c r="EN16" s="185" t="s">
        <v>176</v>
      </c>
      <c r="EO16" s="185" t="s">
        <v>176</v>
      </c>
      <c r="EP16" s="185" t="s">
        <v>176</v>
      </c>
      <c r="EQ16" s="185" t="s">
        <v>176</v>
      </c>
      <c r="ER16" s="185" t="s">
        <v>176</v>
      </c>
      <c r="ES16" s="185" t="s">
        <v>176</v>
      </c>
      <c r="ET16" s="185" t="s">
        <v>176</v>
      </c>
      <c r="EU16" s="406" t="s">
        <v>176</v>
      </c>
      <c r="EV16" s="185" t="s">
        <v>176</v>
      </c>
      <c r="EW16" s="189">
        <v>2</v>
      </c>
      <c r="EX16" s="189">
        <v>2</v>
      </c>
      <c r="EY16" s="189">
        <v>2</v>
      </c>
      <c r="EZ16" s="189">
        <v>2</v>
      </c>
      <c r="FA16" s="185" t="s">
        <v>176</v>
      </c>
      <c r="FB16" s="189">
        <v>1</v>
      </c>
      <c r="FC16" s="189">
        <v>2</v>
      </c>
      <c r="FD16" s="189">
        <v>2</v>
      </c>
      <c r="FE16" s="189">
        <v>2</v>
      </c>
      <c r="FF16" s="189">
        <v>3</v>
      </c>
      <c r="FG16" s="189">
        <v>3</v>
      </c>
      <c r="FH16" s="189">
        <v>2</v>
      </c>
      <c r="FI16" s="189">
        <v>2</v>
      </c>
      <c r="FJ16" s="189">
        <v>2</v>
      </c>
      <c r="FK16" s="189">
        <v>2</v>
      </c>
      <c r="FL16" s="189">
        <v>2</v>
      </c>
      <c r="FM16" s="189">
        <v>2</v>
      </c>
      <c r="FN16" s="189">
        <v>2</v>
      </c>
      <c r="FO16" s="189"/>
      <c r="FP16" s="189" t="s">
        <v>160</v>
      </c>
      <c r="FQ16" s="189"/>
      <c r="FR16" s="189"/>
      <c r="FS16" s="189"/>
      <c r="FT16" s="189"/>
      <c r="FU16" s="189"/>
      <c r="FV16" s="189" t="s">
        <v>160</v>
      </c>
      <c r="FW16" s="189"/>
      <c r="FX16" s="189"/>
      <c r="FY16" s="189"/>
      <c r="FZ16" s="189"/>
      <c r="GA16" s="186" t="s">
        <v>176</v>
      </c>
      <c r="GB16" s="186" t="s">
        <v>176</v>
      </c>
      <c r="GC16" s="186" t="s">
        <v>176</v>
      </c>
      <c r="GD16" s="186" t="s">
        <v>176</v>
      </c>
      <c r="GE16" s="186" t="s">
        <v>176</v>
      </c>
      <c r="GF16" s="186" t="s">
        <v>176</v>
      </c>
      <c r="GG16" s="186" t="s">
        <v>176</v>
      </c>
      <c r="GH16" s="186" t="s">
        <v>176</v>
      </c>
      <c r="GI16" s="186" t="s">
        <v>176</v>
      </c>
      <c r="GJ16" s="275">
        <f t="shared" si="0"/>
        <v>79</v>
      </c>
    </row>
    <row r="17" spans="1:192" ht="25.5" customHeight="1" x14ac:dyDescent="0.25">
      <c r="A17" s="264" t="s">
        <v>259</v>
      </c>
      <c r="B17" s="265" t="s">
        <v>630</v>
      </c>
      <c r="C17" s="266" t="s">
        <v>750</v>
      </c>
      <c r="D17" s="247">
        <v>2</v>
      </c>
      <c r="E17" s="247">
        <v>2</v>
      </c>
      <c r="F17" s="247">
        <v>2</v>
      </c>
      <c r="G17" s="247">
        <v>1</v>
      </c>
      <c r="H17" s="247">
        <v>2</v>
      </c>
      <c r="I17" s="247">
        <v>1</v>
      </c>
      <c r="J17" s="247" t="s">
        <v>176</v>
      </c>
      <c r="K17" s="247" t="s">
        <v>176</v>
      </c>
      <c r="L17" s="247">
        <v>1</v>
      </c>
      <c r="M17" s="247">
        <v>1</v>
      </c>
      <c r="N17" s="247" t="s">
        <v>176</v>
      </c>
      <c r="O17" s="247" t="s">
        <v>176</v>
      </c>
      <c r="P17" s="247" t="s">
        <v>176</v>
      </c>
      <c r="Q17" s="247" t="s">
        <v>176</v>
      </c>
      <c r="R17" s="247" t="s">
        <v>176</v>
      </c>
      <c r="S17" s="247" t="s">
        <v>176</v>
      </c>
      <c r="T17" s="247" t="s">
        <v>176</v>
      </c>
      <c r="U17" s="247" t="s">
        <v>176</v>
      </c>
      <c r="V17" s="247" t="s">
        <v>176</v>
      </c>
      <c r="W17" s="247" t="s">
        <v>176</v>
      </c>
      <c r="X17" s="247" t="s">
        <v>176</v>
      </c>
      <c r="Y17" s="247">
        <v>2</v>
      </c>
      <c r="Z17" s="247">
        <v>2</v>
      </c>
      <c r="AA17" s="247">
        <v>2</v>
      </c>
      <c r="AB17" s="247">
        <v>2</v>
      </c>
      <c r="AC17" s="247">
        <v>2</v>
      </c>
      <c r="AD17" s="247">
        <v>2</v>
      </c>
      <c r="AE17" s="247">
        <v>2</v>
      </c>
      <c r="AF17" s="247" t="s">
        <v>176</v>
      </c>
      <c r="AG17" s="247">
        <v>1</v>
      </c>
      <c r="AH17" s="247">
        <v>1</v>
      </c>
      <c r="AI17" s="247">
        <v>2</v>
      </c>
      <c r="AJ17" s="247">
        <v>2</v>
      </c>
      <c r="AK17" s="247" t="s">
        <v>176</v>
      </c>
      <c r="AL17" s="247">
        <v>2</v>
      </c>
      <c r="AM17" s="247">
        <v>2</v>
      </c>
      <c r="AN17" s="247">
        <v>2</v>
      </c>
      <c r="AO17" s="247">
        <v>1</v>
      </c>
      <c r="AP17" s="247">
        <v>2</v>
      </c>
      <c r="AQ17" s="247">
        <v>2</v>
      </c>
      <c r="AR17" s="247">
        <v>2</v>
      </c>
      <c r="AS17" s="247">
        <v>2</v>
      </c>
      <c r="AT17" s="247">
        <v>1</v>
      </c>
      <c r="AU17" s="247">
        <v>1</v>
      </c>
      <c r="AV17" s="247" t="s">
        <v>176</v>
      </c>
      <c r="AW17" s="247">
        <v>2</v>
      </c>
      <c r="AX17" s="247" t="s">
        <v>176</v>
      </c>
      <c r="AY17" s="247" t="s">
        <v>176</v>
      </c>
      <c r="AZ17" s="247" t="s">
        <v>176</v>
      </c>
      <c r="BA17" s="247" t="s">
        <v>176</v>
      </c>
      <c r="BB17" s="247" t="s">
        <v>176</v>
      </c>
      <c r="BC17" s="247" t="s">
        <v>176</v>
      </c>
      <c r="BD17" s="267" t="s">
        <v>176</v>
      </c>
      <c r="BE17" s="247" t="s">
        <v>176</v>
      </c>
      <c r="BF17" s="247" t="s">
        <v>176</v>
      </c>
      <c r="BG17" s="247" t="s">
        <v>176</v>
      </c>
      <c r="BH17" s="247" t="s">
        <v>176</v>
      </c>
      <c r="BI17" s="247" t="s">
        <v>176</v>
      </c>
      <c r="BJ17" s="247" t="s">
        <v>176</v>
      </c>
      <c r="BK17" s="247">
        <v>1</v>
      </c>
      <c r="BL17" s="247" t="s">
        <v>176</v>
      </c>
      <c r="BM17" s="247" t="s">
        <v>176</v>
      </c>
      <c r="BN17" s="247" t="s">
        <v>176</v>
      </c>
      <c r="BO17" s="247" t="s">
        <v>176</v>
      </c>
      <c r="BP17" s="247" t="s">
        <v>176</v>
      </c>
      <c r="BQ17" s="247" t="s">
        <v>176</v>
      </c>
      <c r="BR17" s="247" t="s">
        <v>176</v>
      </c>
      <c r="BS17" s="247" t="s">
        <v>176</v>
      </c>
      <c r="BT17" s="247" t="s">
        <v>176</v>
      </c>
      <c r="BU17" s="247" t="s">
        <v>176</v>
      </c>
      <c r="BV17" s="247" t="s">
        <v>176</v>
      </c>
      <c r="BW17" s="247" t="s">
        <v>176</v>
      </c>
      <c r="BX17" s="247" t="s">
        <v>176</v>
      </c>
      <c r="BY17" s="247" t="s">
        <v>176</v>
      </c>
      <c r="BZ17" s="247" t="s">
        <v>176</v>
      </c>
      <c r="CA17" s="247" t="s">
        <v>176</v>
      </c>
      <c r="CB17" s="247" t="s">
        <v>176</v>
      </c>
      <c r="CC17" s="247" t="s">
        <v>176</v>
      </c>
      <c r="CD17" s="247" t="s">
        <v>176</v>
      </c>
      <c r="CE17" s="247" t="s">
        <v>176</v>
      </c>
      <c r="CF17" s="247" t="s">
        <v>176</v>
      </c>
      <c r="CG17" s="247">
        <v>2</v>
      </c>
      <c r="CH17" s="247">
        <v>2</v>
      </c>
      <c r="CI17" s="247" t="s">
        <v>176</v>
      </c>
      <c r="CJ17" s="247" t="s">
        <v>176</v>
      </c>
      <c r="CK17" s="247">
        <v>3</v>
      </c>
      <c r="CL17" s="247">
        <v>3</v>
      </c>
      <c r="CM17" s="247">
        <v>3</v>
      </c>
      <c r="CN17" s="247">
        <v>3</v>
      </c>
      <c r="CO17" s="247">
        <v>3</v>
      </c>
      <c r="CP17" s="247">
        <v>3</v>
      </c>
      <c r="CQ17" s="247">
        <v>3</v>
      </c>
      <c r="CR17" s="247">
        <v>2</v>
      </c>
      <c r="CS17" s="247">
        <v>2</v>
      </c>
      <c r="CT17" s="247" t="s">
        <v>176</v>
      </c>
      <c r="CU17" s="247">
        <v>2</v>
      </c>
      <c r="CV17" s="252" t="s">
        <v>176</v>
      </c>
      <c r="CW17" s="252" t="s">
        <v>176</v>
      </c>
      <c r="CX17" s="252" t="s">
        <v>176</v>
      </c>
      <c r="CY17" s="252" t="s">
        <v>176</v>
      </c>
      <c r="CZ17" s="247" t="s">
        <v>176</v>
      </c>
      <c r="DA17" s="252" t="s">
        <v>176</v>
      </c>
      <c r="DB17" s="247" t="s">
        <v>176</v>
      </c>
      <c r="DC17" s="252" t="s">
        <v>176</v>
      </c>
      <c r="DD17" s="247" t="s">
        <v>176</v>
      </c>
      <c r="DE17" s="247" t="s">
        <v>176</v>
      </c>
      <c r="DF17" s="247" t="s">
        <v>176</v>
      </c>
      <c r="DG17" s="247" t="s">
        <v>176</v>
      </c>
      <c r="DH17" s="247" t="s">
        <v>176</v>
      </c>
      <c r="DI17" s="247" t="s">
        <v>176</v>
      </c>
      <c r="DJ17" s="247" t="s">
        <v>176</v>
      </c>
      <c r="DK17" s="247" t="s">
        <v>176</v>
      </c>
      <c r="DL17" s="247" t="s">
        <v>176</v>
      </c>
      <c r="DM17" s="247" t="s">
        <v>176</v>
      </c>
      <c r="DN17" s="247" t="s">
        <v>176</v>
      </c>
      <c r="DO17" s="247" t="s">
        <v>176</v>
      </c>
      <c r="DP17" s="247" t="s">
        <v>176</v>
      </c>
      <c r="DQ17" s="247" t="s">
        <v>176</v>
      </c>
      <c r="DR17" s="247" t="s">
        <v>176</v>
      </c>
      <c r="DS17" s="247" t="s">
        <v>176</v>
      </c>
      <c r="DT17" s="247" t="s">
        <v>176</v>
      </c>
      <c r="DU17" s="247" t="s">
        <v>176</v>
      </c>
      <c r="DV17" s="247" t="s">
        <v>176</v>
      </c>
      <c r="DW17" s="247" t="s">
        <v>176</v>
      </c>
      <c r="DX17" s="247" t="s">
        <v>176</v>
      </c>
      <c r="DY17" s="247" t="s">
        <v>176</v>
      </c>
      <c r="DZ17" s="247" t="s">
        <v>176</v>
      </c>
      <c r="EA17" s="247" t="s">
        <v>176</v>
      </c>
      <c r="EB17" s="247" t="s">
        <v>176</v>
      </c>
      <c r="EC17" s="247" t="s">
        <v>176</v>
      </c>
      <c r="ED17" s="247" t="s">
        <v>176</v>
      </c>
      <c r="EE17" s="247" t="s">
        <v>176</v>
      </c>
      <c r="EF17" s="247" t="s">
        <v>176</v>
      </c>
      <c r="EG17" s="247" t="s">
        <v>176</v>
      </c>
      <c r="EH17" s="247" t="s">
        <v>176</v>
      </c>
      <c r="EI17" s="247" t="s">
        <v>176</v>
      </c>
      <c r="EJ17" s="247" t="s">
        <v>176</v>
      </c>
      <c r="EK17" s="247" t="s">
        <v>176</v>
      </c>
      <c r="EL17" s="247" t="s">
        <v>176</v>
      </c>
      <c r="EM17" s="247" t="s">
        <v>176</v>
      </c>
      <c r="EN17" s="247" t="s">
        <v>176</v>
      </c>
      <c r="EO17" s="247" t="s">
        <v>176</v>
      </c>
      <c r="EP17" s="247" t="s">
        <v>176</v>
      </c>
      <c r="EQ17" s="247" t="s">
        <v>176</v>
      </c>
      <c r="ER17" s="247" t="s">
        <v>176</v>
      </c>
      <c r="ES17" s="247" t="s">
        <v>176</v>
      </c>
      <c r="ET17" s="247" t="s">
        <v>176</v>
      </c>
      <c r="EU17" s="406" t="s">
        <v>176</v>
      </c>
      <c r="EV17" s="247" t="s">
        <v>176</v>
      </c>
      <c r="EW17" s="247">
        <v>2</v>
      </c>
      <c r="EX17" s="247">
        <v>2</v>
      </c>
      <c r="EY17" s="247">
        <v>2</v>
      </c>
      <c r="EZ17" s="247">
        <v>2</v>
      </c>
      <c r="FA17" s="247" t="s">
        <v>176</v>
      </c>
      <c r="FB17" s="247">
        <v>2</v>
      </c>
      <c r="FC17" s="247">
        <v>3</v>
      </c>
      <c r="FD17" s="247">
        <v>1</v>
      </c>
      <c r="FE17" s="247">
        <v>2</v>
      </c>
      <c r="FF17" s="247">
        <v>2</v>
      </c>
      <c r="FG17" s="247">
        <v>3</v>
      </c>
      <c r="FH17" s="247">
        <v>2</v>
      </c>
      <c r="FI17" s="247">
        <v>3</v>
      </c>
      <c r="FJ17" s="247">
        <v>3</v>
      </c>
      <c r="FK17" s="247">
        <v>3</v>
      </c>
      <c r="FL17" s="247">
        <v>2</v>
      </c>
      <c r="FM17" s="247">
        <v>3</v>
      </c>
      <c r="FN17" s="247">
        <v>3</v>
      </c>
      <c r="FO17" s="247" t="s">
        <v>176</v>
      </c>
      <c r="FP17" s="247" t="s">
        <v>176</v>
      </c>
      <c r="FQ17" s="247" t="s">
        <v>160</v>
      </c>
      <c r="FR17" s="247" t="s">
        <v>176</v>
      </c>
      <c r="FS17" s="247" t="s">
        <v>176</v>
      </c>
      <c r="FT17" s="247" t="s">
        <v>176</v>
      </c>
      <c r="FU17" s="247" t="s">
        <v>176</v>
      </c>
      <c r="FV17" s="247" t="s">
        <v>176</v>
      </c>
      <c r="FW17" s="247" t="s">
        <v>176</v>
      </c>
      <c r="FX17" s="247" t="s">
        <v>176</v>
      </c>
      <c r="FY17" s="247" t="s">
        <v>176</v>
      </c>
      <c r="FZ17" s="247" t="s">
        <v>160</v>
      </c>
      <c r="GA17" s="247" t="s">
        <v>176</v>
      </c>
      <c r="GB17" s="247" t="s">
        <v>176</v>
      </c>
      <c r="GC17" s="247" t="s">
        <v>176</v>
      </c>
      <c r="GD17" s="247" t="s">
        <v>176</v>
      </c>
      <c r="GE17" s="247" t="s">
        <v>176</v>
      </c>
      <c r="GF17" s="247" t="s">
        <v>176</v>
      </c>
      <c r="GG17" s="247" t="s">
        <v>176</v>
      </c>
      <c r="GH17" s="247" t="s">
        <v>176</v>
      </c>
      <c r="GI17" s="247" t="s">
        <v>176</v>
      </c>
      <c r="GJ17" s="249">
        <f t="shared" si="0"/>
        <v>123</v>
      </c>
    </row>
    <row r="18" spans="1:192" ht="25.5" customHeight="1" x14ac:dyDescent="0.25">
      <c r="A18" s="264" t="s">
        <v>259</v>
      </c>
      <c r="B18" s="265" t="s">
        <v>595</v>
      </c>
      <c r="C18" s="266" t="s">
        <v>750</v>
      </c>
      <c r="D18" s="247">
        <v>2</v>
      </c>
      <c r="E18" s="247">
        <v>2</v>
      </c>
      <c r="F18" s="247">
        <v>2</v>
      </c>
      <c r="G18" s="247">
        <v>1</v>
      </c>
      <c r="H18" s="247">
        <v>2</v>
      </c>
      <c r="I18" s="247">
        <v>1</v>
      </c>
      <c r="J18" s="247" t="s">
        <v>176</v>
      </c>
      <c r="K18" s="247" t="s">
        <v>176</v>
      </c>
      <c r="L18" s="247">
        <v>1</v>
      </c>
      <c r="M18" s="247">
        <v>1</v>
      </c>
      <c r="N18" s="247" t="s">
        <v>176</v>
      </c>
      <c r="O18" s="247" t="s">
        <v>176</v>
      </c>
      <c r="P18" s="247" t="s">
        <v>176</v>
      </c>
      <c r="Q18" s="247" t="s">
        <v>176</v>
      </c>
      <c r="R18" s="247" t="s">
        <v>176</v>
      </c>
      <c r="S18" s="247" t="s">
        <v>176</v>
      </c>
      <c r="T18" s="247" t="s">
        <v>176</v>
      </c>
      <c r="U18" s="247" t="s">
        <v>176</v>
      </c>
      <c r="V18" s="247" t="s">
        <v>176</v>
      </c>
      <c r="W18" s="247" t="s">
        <v>176</v>
      </c>
      <c r="X18" s="247" t="s">
        <v>176</v>
      </c>
      <c r="Y18" s="247">
        <v>2</v>
      </c>
      <c r="Z18" s="247">
        <v>2</v>
      </c>
      <c r="AA18" s="247">
        <v>2</v>
      </c>
      <c r="AB18" s="247">
        <v>2</v>
      </c>
      <c r="AC18" s="247">
        <v>2</v>
      </c>
      <c r="AD18" s="247">
        <v>2</v>
      </c>
      <c r="AE18" s="247">
        <v>2</v>
      </c>
      <c r="AF18" s="247" t="s">
        <v>176</v>
      </c>
      <c r="AG18" s="247">
        <v>1</v>
      </c>
      <c r="AH18" s="247">
        <v>1</v>
      </c>
      <c r="AI18" s="247">
        <v>2</v>
      </c>
      <c r="AJ18" s="247">
        <v>2</v>
      </c>
      <c r="AK18" s="247" t="s">
        <v>176</v>
      </c>
      <c r="AL18" s="247">
        <v>2</v>
      </c>
      <c r="AM18" s="247">
        <v>2</v>
      </c>
      <c r="AN18" s="247">
        <v>2</v>
      </c>
      <c r="AO18" s="247">
        <v>1</v>
      </c>
      <c r="AP18" s="247">
        <v>2</v>
      </c>
      <c r="AQ18" s="247">
        <v>2</v>
      </c>
      <c r="AR18" s="247">
        <v>2</v>
      </c>
      <c r="AS18" s="247">
        <v>2</v>
      </c>
      <c r="AT18" s="247">
        <v>1</v>
      </c>
      <c r="AU18" s="247">
        <v>1</v>
      </c>
      <c r="AV18" s="247" t="s">
        <v>176</v>
      </c>
      <c r="AW18" s="247">
        <v>2</v>
      </c>
      <c r="AX18" s="247" t="s">
        <v>176</v>
      </c>
      <c r="AY18" s="247" t="s">
        <v>176</v>
      </c>
      <c r="AZ18" s="247" t="s">
        <v>176</v>
      </c>
      <c r="BA18" s="247" t="s">
        <v>176</v>
      </c>
      <c r="BB18" s="247" t="s">
        <v>176</v>
      </c>
      <c r="BC18" s="247" t="s">
        <v>176</v>
      </c>
      <c r="BD18" s="267" t="s">
        <v>176</v>
      </c>
      <c r="BE18" s="247" t="s">
        <v>176</v>
      </c>
      <c r="BF18" s="247" t="s">
        <v>176</v>
      </c>
      <c r="BG18" s="247" t="s">
        <v>176</v>
      </c>
      <c r="BH18" s="247" t="s">
        <v>176</v>
      </c>
      <c r="BI18" s="247" t="s">
        <v>176</v>
      </c>
      <c r="BJ18" s="247" t="s">
        <v>176</v>
      </c>
      <c r="BK18" s="247">
        <v>1</v>
      </c>
      <c r="BL18" s="247" t="s">
        <v>176</v>
      </c>
      <c r="BM18" s="247" t="s">
        <v>176</v>
      </c>
      <c r="BN18" s="247" t="s">
        <v>176</v>
      </c>
      <c r="BO18" s="247" t="s">
        <v>176</v>
      </c>
      <c r="BP18" s="247" t="s">
        <v>176</v>
      </c>
      <c r="BQ18" s="247" t="s">
        <v>176</v>
      </c>
      <c r="BR18" s="247" t="s">
        <v>176</v>
      </c>
      <c r="BS18" s="247" t="s">
        <v>176</v>
      </c>
      <c r="BT18" s="247" t="s">
        <v>176</v>
      </c>
      <c r="BU18" s="247" t="s">
        <v>176</v>
      </c>
      <c r="BV18" s="247" t="s">
        <v>176</v>
      </c>
      <c r="BW18" s="247" t="s">
        <v>176</v>
      </c>
      <c r="BX18" s="247" t="s">
        <v>176</v>
      </c>
      <c r="BY18" s="247" t="s">
        <v>176</v>
      </c>
      <c r="BZ18" s="247" t="s">
        <v>176</v>
      </c>
      <c r="CA18" s="247" t="s">
        <v>176</v>
      </c>
      <c r="CB18" s="247" t="s">
        <v>176</v>
      </c>
      <c r="CC18" s="247" t="s">
        <v>176</v>
      </c>
      <c r="CD18" s="247" t="s">
        <v>176</v>
      </c>
      <c r="CE18" s="247" t="s">
        <v>176</v>
      </c>
      <c r="CF18" s="247" t="s">
        <v>176</v>
      </c>
      <c r="CG18" s="247">
        <v>2</v>
      </c>
      <c r="CH18" s="247">
        <v>2</v>
      </c>
      <c r="CI18" s="247" t="s">
        <v>176</v>
      </c>
      <c r="CJ18" s="247" t="s">
        <v>176</v>
      </c>
      <c r="CK18" s="247">
        <v>3</v>
      </c>
      <c r="CL18" s="247">
        <v>3</v>
      </c>
      <c r="CM18" s="247">
        <v>3</v>
      </c>
      <c r="CN18" s="247">
        <v>3</v>
      </c>
      <c r="CO18" s="247">
        <v>3</v>
      </c>
      <c r="CP18" s="247">
        <v>3</v>
      </c>
      <c r="CQ18" s="247">
        <v>3</v>
      </c>
      <c r="CR18" s="247">
        <v>2</v>
      </c>
      <c r="CS18" s="247">
        <v>2</v>
      </c>
      <c r="CT18" s="247" t="s">
        <v>176</v>
      </c>
      <c r="CU18" s="247">
        <v>2</v>
      </c>
      <c r="CV18" s="185" t="s">
        <v>176</v>
      </c>
      <c r="CW18" s="185" t="s">
        <v>176</v>
      </c>
      <c r="CX18" s="185" t="s">
        <v>176</v>
      </c>
      <c r="CY18" s="185" t="s">
        <v>176</v>
      </c>
      <c r="CZ18" s="247" t="s">
        <v>176</v>
      </c>
      <c r="DA18" s="252" t="s">
        <v>176</v>
      </c>
      <c r="DB18" s="247" t="s">
        <v>176</v>
      </c>
      <c r="DC18" s="252" t="s">
        <v>176</v>
      </c>
      <c r="DD18" s="247" t="s">
        <v>176</v>
      </c>
      <c r="DE18" s="247" t="s">
        <v>176</v>
      </c>
      <c r="DF18" s="247" t="s">
        <v>176</v>
      </c>
      <c r="DG18" s="247" t="s">
        <v>176</v>
      </c>
      <c r="DH18" s="247" t="s">
        <v>176</v>
      </c>
      <c r="DI18" s="247" t="s">
        <v>176</v>
      </c>
      <c r="DJ18" s="247" t="s">
        <v>176</v>
      </c>
      <c r="DK18" s="247" t="s">
        <v>176</v>
      </c>
      <c r="DL18" s="247" t="s">
        <v>176</v>
      </c>
      <c r="DM18" s="247" t="s">
        <v>176</v>
      </c>
      <c r="DN18" s="247" t="s">
        <v>176</v>
      </c>
      <c r="DO18" s="247" t="s">
        <v>176</v>
      </c>
      <c r="DP18" s="247" t="s">
        <v>176</v>
      </c>
      <c r="DQ18" s="247" t="s">
        <v>176</v>
      </c>
      <c r="DR18" s="247" t="s">
        <v>176</v>
      </c>
      <c r="DS18" s="247" t="s">
        <v>176</v>
      </c>
      <c r="DT18" s="247" t="s">
        <v>176</v>
      </c>
      <c r="DU18" s="247" t="s">
        <v>176</v>
      </c>
      <c r="DV18" s="247" t="s">
        <v>176</v>
      </c>
      <c r="DW18" s="247" t="s">
        <v>176</v>
      </c>
      <c r="DX18" s="247" t="s">
        <v>176</v>
      </c>
      <c r="DY18" s="247" t="s">
        <v>176</v>
      </c>
      <c r="DZ18" s="247" t="s">
        <v>176</v>
      </c>
      <c r="EA18" s="247" t="s">
        <v>176</v>
      </c>
      <c r="EB18" s="247" t="s">
        <v>176</v>
      </c>
      <c r="EC18" s="247" t="s">
        <v>176</v>
      </c>
      <c r="ED18" s="247" t="s">
        <v>176</v>
      </c>
      <c r="EE18" s="247" t="s">
        <v>176</v>
      </c>
      <c r="EF18" s="247" t="s">
        <v>176</v>
      </c>
      <c r="EG18" s="247" t="s">
        <v>176</v>
      </c>
      <c r="EH18" s="247" t="s">
        <v>176</v>
      </c>
      <c r="EI18" s="247" t="s">
        <v>176</v>
      </c>
      <c r="EJ18" s="247" t="s">
        <v>176</v>
      </c>
      <c r="EK18" s="247" t="s">
        <v>176</v>
      </c>
      <c r="EL18" s="247" t="s">
        <v>176</v>
      </c>
      <c r="EM18" s="247" t="s">
        <v>176</v>
      </c>
      <c r="EN18" s="247" t="s">
        <v>176</v>
      </c>
      <c r="EO18" s="247" t="s">
        <v>176</v>
      </c>
      <c r="EP18" s="247" t="s">
        <v>176</v>
      </c>
      <c r="EQ18" s="247" t="s">
        <v>176</v>
      </c>
      <c r="ER18" s="247" t="s">
        <v>176</v>
      </c>
      <c r="ES18" s="247" t="s">
        <v>176</v>
      </c>
      <c r="ET18" s="247" t="s">
        <v>176</v>
      </c>
      <c r="EU18" s="406" t="s">
        <v>176</v>
      </c>
      <c r="EV18" s="247" t="s">
        <v>176</v>
      </c>
      <c r="EW18" s="247">
        <v>2</v>
      </c>
      <c r="EX18" s="247">
        <v>2</v>
      </c>
      <c r="EY18" s="247">
        <v>2</v>
      </c>
      <c r="EZ18" s="247">
        <v>2</v>
      </c>
      <c r="FA18" s="247" t="s">
        <v>176</v>
      </c>
      <c r="FB18" s="247">
        <v>2</v>
      </c>
      <c r="FC18" s="247">
        <v>3</v>
      </c>
      <c r="FD18" s="247">
        <v>1</v>
      </c>
      <c r="FE18" s="247">
        <v>2</v>
      </c>
      <c r="FF18" s="247">
        <v>2</v>
      </c>
      <c r="FG18" s="247">
        <v>3</v>
      </c>
      <c r="FH18" s="247">
        <v>2</v>
      </c>
      <c r="FI18" s="247">
        <v>3</v>
      </c>
      <c r="FJ18" s="247">
        <v>3</v>
      </c>
      <c r="FK18" s="247">
        <v>3</v>
      </c>
      <c r="FL18" s="247">
        <v>2</v>
      </c>
      <c r="FM18" s="247">
        <v>3</v>
      </c>
      <c r="FN18" s="247">
        <v>3</v>
      </c>
      <c r="FO18" s="247" t="s">
        <v>176</v>
      </c>
      <c r="FP18" s="247" t="s">
        <v>176</v>
      </c>
      <c r="FQ18" s="247" t="s">
        <v>160</v>
      </c>
      <c r="FR18" s="247" t="s">
        <v>176</v>
      </c>
      <c r="FS18" s="247" t="s">
        <v>176</v>
      </c>
      <c r="FT18" s="247" t="s">
        <v>176</v>
      </c>
      <c r="FU18" s="247" t="s">
        <v>176</v>
      </c>
      <c r="FV18" s="247" t="s">
        <v>176</v>
      </c>
      <c r="FW18" s="247" t="s">
        <v>176</v>
      </c>
      <c r="FX18" s="247" t="s">
        <v>176</v>
      </c>
      <c r="FY18" s="247" t="s">
        <v>176</v>
      </c>
      <c r="FZ18" s="247" t="s">
        <v>160</v>
      </c>
      <c r="GA18" s="247" t="s">
        <v>176</v>
      </c>
      <c r="GB18" s="247" t="s">
        <v>176</v>
      </c>
      <c r="GC18" s="247" t="s">
        <v>176</v>
      </c>
      <c r="GD18" s="247" t="s">
        <v>176</v>
      </c>
      <c r="GE18" s="247" t="s">
        <v>176</v>
      </c>
      <c r="GF18" s="247" t="s">
        <v>176</v>
      </c>
      <c r="GG18" s="247" t="s">
        <v>176</v>
      </c>
      <c r="GH18" s="247" t="s">
        <v>176</v>
      </c>
      <c r="GI18" s="247" t="s">
        <v>176</v>
      </c>
      <c r="GJ18" s="249">
        <f t="shared" si="0"/>
        <v>123</v>
      </c>
    </row>
    <row r="19" spans="1:192" ht="25.5" customHeight="1" x14ac:dyDescent="0.25">
      <c r="A19" s="264" t="s">
        <v>259</v>
      </c>
      <c r="B19" s="265" t="s">
        <v>594</v>
      </c>
      <c r="C19" s="266" t="s">
        <v>750</v>
      </c>
      <c r="D19" s="247">
        <v>2</v>
      </c>
      <c r="E19" s="247">
        <v>2</v>
      </c>
      <c r="F19" s="247">
        <v>2</v>
      </c>
      <c r="G19" s="247">
        <v>1</v>
      </c>
      <c r="H19" s="247">
        <v>2</v>
      </c>
      <c r="I19" s="247">
        <v>1</v>
      </c>
      <c r="J19" s="247" t="s">
        <v>176</v>
      </c>
      <c r="K19" s="247" t="s">
        <v>176</v>
      </c>
      <c r="L19" s="247">
        <v>1</v>
      </c>
      <c r="M19" s="247">
        <v>1</v>
      </c>
      <c r="N19" s="247" t="s">
        <v>176</v>
      </c>
      <c r="O19" s="247" t="s">
        <v>176</v>
      </c>
      <c r="P19" s="247" t="s">
        <v>176</v>
      </c>
      <c r="Q19" s="247" t="s">
        <v>176</v>
      </c>
      <c r="R19" s="247" t="s">
        <v>176</v>
      </c>
      <c r="S19" s="247" t="s">
        <v>176</v>
      </c>
      <c r="T19" s="247" t="s">
        <v>176</v>
      </c>
      <c r="U19" s="247" t="s">
        <v>176</v>
      </c>
      <c r="V19" s="247" t="s">
        <v>176</v>
      </c>
      <c r="W19" s="247" t="s">
        <v>176</v>
      </c>
      <c r="X19" s="247" t="s">
        <v>176</v>
      </c>
      <c r="Y19" s="247">
        <v>2</v>
      </c>
      <c r="Z19" s="247">
        <v>3</v>
      </c>
      <c r="AA19" s="247">
        <v>3</v>
      </c>
      <c r="AB19" s="247">
        <v>2</v>
      </c>
      <c r="AC19" s="247">
        <v>2</v>
      </c>
      <c r="AD19" s="247">
        <v>2</v>
      </c>
      <c r="AE19" s="247">
        <v>2</v>
      </c>
      <c r="AF19" s="247">
        <v>1</v>
      </c>
      <c r="AG19" s="247">
        <v>2</v>
      </c>
      <c r="AH19" s="247">
        <v>3</v>
      </c>
      <c r="AI19" s="247">
        <v>3</v>
      </c>
      <c r="AJ19" s="247">
        <v>2</v>
      </c>
      <c r="AK19" s="247" t="s">
        <v>176</v>
      </c>
      <c r="AL19" s="247">
        <v>2</v>
      </c>
      <c r="AM19" s="247">
        <v>2</v>
      </c>
      <c r="AN19" s="247">
        <v>2</v>
      </c>
      <c r="AO19" s="247" t="s">
        <v>176</v>
      </c>
      <c r="AP19" s="247">
        <v>1</v>
      </c>
      <c r="AQ19" s="247">
        <v>1</v>
      </c>
      <c r="AR19" s="247">
        <v>2</v>
      </c>
      <c r="AS19" s="247">
        <v>2</v>
      </c>
      <c r="AT19" s="247">
        <v>1</v>
      </c>
      <c r="AU19" s="247">
        <v>1</v>
      </c>
      <c r="AV19" s="247" t="s">
        <v>176</v>
      </c>
      <c r="AW19" s="247">
        <v>1</v>
      </c>
      <c r="AX19" s="247" t="s">
        <v>176</v>
      </c>
      <c r="AY19" s="247" t="s">
        <v>176</v>
      </c>
      <c r="AZ19" s="247" t="s">
        <v>176</v>
      </c>
      <c r="BA19" s="247" t="s">
        <v>176</v>
      </c>
      <c r="BB19" s="247" t="s">
        <v>176</v>
      </c>
      <c r="BC19" s="247" t="s">
        <v>176</v>
      </c>
      <c r="BD19" s="268" t="s">
        <v>176</v>
      </c>
      <c r="BE19" s="247" t="s">
        <v>176</v>
      </c>
      <c r="BF19" s="247" t="s">
        <v>176</v>
      </c>
      <c r="BG19" s="247" t="s">
        <v>176</v>
      </c>
      <c r="BH19" s="247" t="s">
        <v>176</v>
      </c>
      <c r="BI19" s="247" t="s">
        <v>176</v>
      </c>
      <c r="BJ19" s="247" t="s">
        <v>176</v>
      </c>
      <c r="BK19" s="247">
        <v>1</v>
      </c>
      <c r="BL19" s="247" t="s">
        <v>176</v>
      </c>
      <c r="BM19" s="247" t="s">
        <v>176</v>
      </c>
      <c r="BN19" s="247" t="s">
        <v>176</v>
      </c>
      <c r="BO19" s="247" t="s">
        <v>176</v>
      </c>
      <c r="BP19" s="247" t="s">
        <v>176</v>
      </c>
      <c r="BQ19" s="247" t="s">
        <v>176</v>
      </c>
      <c r="BR19" s="247" t="s">
        <v>176</v>
      </c>
      <c r="BS19" s="247" t="s">
        <v>176</v>
      </c>
      <c r="BT19" s="247" t="s">
        <v>176</v>
      </c>
      <c r="BU19" s="247" t="s">
        <v>176</v>
      </c>
      <c r="BV19" s="247" t="s">
        <v>176</v>
      </c>
      <c r="BW19" s="247" t="s">
        <v>176</v>
      </c>
      <c r="BX19" s="247" t="s">
        <v>176</v>
      </c>
      <c r="BY19" s="247" t="s">
        <v>176</v>
      </c>
      <c r="BZ19" s="247" t="s">
        <v>176</v>
      </c>
      <c r="CA19" s="247" t="s">
        <v>176</v>
      </c>
      <c r="CB19" s="247" t="s">
        <v>176</v>
      </c>
      <c r="CC19" s="247" t="s">
        <v>176</v>
      </c>
      <c r="CD19" s="247" t="s">
        <v>176</v>
      </c>
      <c r="CE19" s="247" t="s">
        <v>176</v>
      </c>
      <c r="CF19" s="247" t="s">
        <v>176</v>
      </c>
      <c r="CG19" s="247">
        <v>2</v>
      </c>
      <c r="CH19" s="247">
        <v>2</v>
      </c>
      <c r="CI19" s="247" t="s">
        <v>176</v>
      </c>
      <c r="CJ19" s="247" t="s">
        <v>176</v>
      </c>
      <c r="CK19" s="247">
        <v>3</v>
      </c>
      <c r="CL19" s="247">
        <v>3</v>
      </c>
      <c r="CM19" s="247">
        <v>3</v>
      </c>
      <c r="CN19" s="247">
        <v>3</v>
      </c>
      <c r="CO19" s="247">
        <v>2</v>
      </c>
      <c r="CP19" s="247">
        <v>2</v>
      </c>
      <c r="CQ19" s="247">
        <v>1</v>
      </c>
      <c r="CR19" s="247">
        <v>2</v>
      </c>
      <c r="CS19" s="247">
        <v>2</v>
      </c>
      <c r="CT19" s="247" t="s">
        <v>176</v>
      </c>
      <c r="CU19" s="247">
        <v>2</v>
      </c>
      <c r="CV19" s="247" t="s">
        <v>176</v>
      </c>
      <c r="CW19" s="247" t="s">
        <v>176</v>
      </c>
      <c r="CX19" s="247" t="s">
        <v>176</v>
      </c>
      <c r="CY19" s="247" t="s">
        <v>176</v>
      </c>
      <c r="CZ19" s="247" t="s">
        <v>176</v>
      </c>
      <c r="DA19" s="185" t="s">
        <v>176</v>
      </c>
      <c r="DB19" s="247" t="s">
        <v>176</v>
      </c>
      <c r="DC19" s="185" t="s">
        <v>176</v>
      </c>
      <c r="DD19" s="247" t="s">
        <v>176</v>
      </c>
      <c r="DE19" s="247" t="s">
        <v>176</v>
      </c>
      <c r="DF19" s="247" t="s">
        <v>176</v>
      </c>
      <c r="DG19" s="247" t="s">
        <v>176</v>
      </c>
      <c r="DH19" s="247" t="s">
        <v>176</v>
      </c>
      <c r="DI19" s="247" t="s">
        <v>176</v>
      </c>
      <c r="DJ19" s="247" t="s">
        <v>176</v>
      </c>
      <c r="DK19" s="247" t="s">
        <v>176</v>
      </c>
      <c r="DL19" s="247" t="s">
        <v>176</v>
      </c>
      <c r="DM19" s="247" t="s">
        <v>176</v>
      </c>
      <c r="DN19" s="247" t="s">
        <v>176</v>
      </c>
      <c r="DO19" s="247" t="s">
        <v>176</v>
      </c>
      <c r="DP19" s="247" t="s">
        <v>176</v>
      </c>
      <c r="DQ19" s="247" t="s">
        <v>176</v>
      </c>
      <c r="DR19" s="247" t="s">
        <v>176</v>
      </c>
      <c r="DS19" s="247" t="s">
        <v>176</v>
      </c>
      <c r="DT19" s="247" t="s">
        <v>176</v>
      </c>
      <c r="DU19" s="247" t="s">
        <v>176</v>
      </c>
      <c r="DV19" s="247" t="s">
        <v>176</v>
      </c>
      <c r="DW19" s="247" t="s">
        <v>176</v>
      </c>
      <c r="DX19" s="247" t="s">
        <v>176</v>
      </c>
      <c r="DY19" s="247" t="s">
        <v>176</v>
      </c>
      <c r="DZ19" s="247" t="s">
        <v>176</v>
      </c>
      <c r="EA19" s="247" t="s">
        <v>176</v>
      </c>
      <c r="EB19" s="247" t="s">
        <v>176</v>
      </c>
      <c r="EC19" s="247" t="s">
        <v>176</v>
      </c>
      <c r="ED19" s="247" t="s">
        <v>176</v>
      </c>
      <c r="EE19" s="247" t="s">
        <v>176</v>
      </c>
      <c r="EF19" s="247" t="s">
        <v>176</v>
      </c>
      <c r="EG19" s="247" t="s">
        <v>176</v>
      </c>
      <c r="EH19" s="247" t="s">
        <v>176</v>
      </c>
      <c r="EI19" s="247" t="s">
        <v>176</v>
      </c>
      <c r="EJ19" s="247" t="s">
        <v>176</v>
      </c>
      <c r="EK19" s="247" t="s">
        <v>176</v>
      </c>
      <c r="EL19" s="247" t="s">
        <v>176</v>
      </c>
      <c r="EM19" s="247" t="s">
        <v>176</v>
      </c>
      <c r="EN19" s="247" t="s">
        <v>176</v>
      </c>
      <c r="EO19" s="247" t="s">
        <v>176</v>
      </c>
      <c r="EP19" s="247" t="s">
        <v>176</v>
      </c>
      <c r="EQ19" s="247" t="s">
        <v>176</v>
      </c>
      <c r="ER19" s="247" t="s">
        <v>176</v>
      </c>
      <c r="ES19" s="247" t="s">
        <v>176</v>
      </c>
      <c r="ET19" s="247" t="s">
        <v>176</v>
      </c>
      <c r="EU19" s="406" t="s">
        <v>176</v>
      </c>
      <c r="EV19" s="247" t="s">
        <v>176</v>
      </c>
      <c r="EW19" s="247">
        <v>2</v>
      </c>
      <c r="EX19" s="247">
        <v>2</v>
      </c>
      <c r="EY19" s="247">
        <v>2</v>
      </c>
      <c r="EZ19" s="247">
        <v>2</v>
      </c>
      <c r="FA19" s="247" t="s">
        <v>176</v>
      </c>
      <c r="FB19" s="247">
        <v>2</v>
      </c>
      <c r="FC19" s="247">
        <v>3</v>
      </c>
      <c r="FD19" s="247">
        <v>1</v>
      </c>
      <c r="FE19" s="247">
        <v>2</v>
      </c>
      <c r="FF19" s="247">
        <v>2</v>
      </c>
      <c r="FG19" s="247">
        <v>3</v>
      </c>
      <c r="FH19" s="247">
        <v>2</v>
      </c>
      <c r="FI19" s="247">
        <v>3</v>
      </c>
      <c r="FJ19" s="247">
        <v>3</v>
      </c>
      <c r="FK19" s="247">
        <v>3</v>
      </c>
      <c r="FL19" s="247">
        <v>2</v>
      </c>
      <c r="FM19" s="247">
        <v>3</v>
      </c>
      <c r="FN19" s="247">
        <v>3</v>
      </c>
      <c r="FO19" s="247" t="s">
        <v>176</v>
      </c>
      <c r="FP19" s="247" t="s">
        <v>176</v>
      </c>
      <c r="FQ19" s="247" t="s">
        <v>160</v>
      </c>
      <c r="FR19" s="247" t="s">
        <v>176</v>
      </c>
      <c r="FS19" s="247" t="s">
        <v>176</v>
      </c>
      <c r="FT19" s="247" t="s">
        <v>176</v>
      </c>
      <c r="FU19" s="247" t="s">
        <v>176</v>
      </c>
      <c r="FV19" s="247" t="s">
        <v>176</v>
      </c>
      <c r="FW19" s="247" t="s">
        <v>176</v>
      </c>
      <c r="FX19" s="247" t="s">
        <v>176</v>
      </c>
      <c r="FY19" s="247" t="s">
        <v>176</v>
      </c>
      <c r="FZ19" s="247" t="s">
        <v>160</v>
      </c>
      <c r="GA19" s="247" t="s">
        <v>176</v>
      </c>
      <c r="GB19" s="247" t="s">
        <v>176</v>
      </c>
      <c r="GC19" s="247" t="s">
        <v>176</v>
      </c>
      <c r="GD19" s="247" t="s">
        <v>176</v>
      </c>
      <c r="GE19" s="247" t="s">
        <v>176</v>
      </c>
      <c r="GF19" s="247" t="s">
        <v>176</v>
      </c>
      <c r="GG19" s="247" t="s">
        <v>176</v>
      </c>
      <c r="GH19" s="247" t="s">
        <v>176</v>
      </c>
      <c r="GI19" s="247" t="s">
        <v>176</v>
      </c>
      <c r="GJ19" s="249">
        <f t="shared" si="0"/>
        <v>122</v>
      </c>
    </row>
    <row r="20" spans="1:192" ht="25.5" customHeight="1" x14ac:dyDescent="0.25">
      <c r="A20" s="264" t="s">
        <v>259</v>
      </c>
      <c r="B20" s="269" t="s">
        <v>220</v>
      </c>
      <c r="C20" s="266" t="s">
        <v>750</v>
      </c>
      <c r="D20" s="247">
        <v>3</v>
      </c>
      <c r="E20" s="247">
        <v>3</v>
      </c>
      <c r="F20" s="247">
        <v>3</v>
      </c>
      <c r="G20" s="247">
        <v>3</v>
      </c>
      <c r="H20" s="247">
        <v>3</v>
      </c>
      <c r="I20" s="247">
        <v>1</v>
      </c>
      <c r="J20" s="247" t="s">
        <v>176</v>
      </c>
      <c r="K20" s="247" t="s">
        <v>176</v>
      </c>
      <c r="L20" s="247">
        <v>2</v>
      </c>
      <c r="M20" s="247">
        <v>2</v>
      </c>
      <c r="N20" s="247" t="s">
        <v>176</v>
      </c>
      <c r="O20" s="247" t="s">
        <v>176</v>
      </c>
      <c r="P20" s="247">
        <v>2</v>
      </c>
      <c r="Q20" s="247" t="s">
        <v>176</v>
      </c>
      <c r="R20" s="247" t="s">
        <v>176</v>
      </c>
      <c r="S20" s="247" t="s">
        <v>176</v>
      </c>
      <c r="T20" s="247" t="s">
        <v>176</v>
      </c>
      <c r="U20" s="247" t="s">
        <v>176</v>
      </c>
      <c r="V20" s="247" t="s">
        <v>176</v>
      </c>
      <c r="W20" s="247" t="s">
        <v>176</v>
      </c>
      <c r="X20" s="247" t="s">
        <v>176</v>
      </c>
      <c r="Y20" s="247">
        <v>2</v>
      </c>
      <c r="Z20" s="247">
        <v>2</v>
      </c>
      <c r="AA20" s="247">
        <v>2</v>
      </c>
      <c r="AB20" s="247">
        <v>3</v>
      </c>
      <c r="AC20" s="247">
        <v>3</v>
      </c>
      <c r="AD20" s="247">
        <v>2</v>
      </c>
      <c r="AE20" s="247">
        <v>2</v>
      </c>
      <c r="AF20" s="247">
        <v>2</v>
      </c>
      <c r="AG20" s="247">
        <v>2</v>
      </c>
      <c r="AH20" s="247">
        <v>2</v>
      </c>
      <c r="AI20" s="247">
        <v>3</v>
      </c>
      <c r="AJ20" s="247">
        <v>2</v>
      </c>
      <c r="AK20" s="247" t="s">
        <v>176</v>
      </c>
      <c r="AL20" s="247">
        <v>2</v>
      </c>
      <c r="AM20" s="247">
        <v>2</v>
      </c>
      <c r="AN20" s="247">
        <v>2</v>
      </c>
      <c r="AO20" s="247">
        <v>1</v>
      </c>
      <c r="AP20" s="247">
        <v>2</v>
      </c>
      <c r="AQ20" s="247">
        <v>2</v>
      </c>
      <c r="AR20" s="247">
        <v>2</v>
      </c>
      <c r="AS20" s="247">
        <v>3</v>
      </c>
      <c r="AT20" s="247">
        <v>1</v>
      </c>
      <c r="AU20" s="247">
        <v>1</v>
      </c>
      <c r="AV20" s="247" t="s">
        <v>176</v>
      </c>
      <c r="AW20" s="247" t="s">
        <v>176</v>
      </c>
      <c r="AX20" s="247" t="s">
        <v>176</v>
      </c>
      <c r="AY20" s="247" t="s">
        <v>176</v>
      </c>
      <c r="AZ20" s="247" t="s">
        <v>176</v>
      </c>
      <c r="BA20" s="247" t="s">
        <v>176</v>
      </c>
      <c r="BB20" s="247" t="s">
        <v>176</v>
      </c>
      <c r="BC20" s="247" t="s">
        <v>176</v>
      </c>
      <c r="BD20" s="185" t="s">
        <v>176</v>
      </c>
      <c r="BE20" s="247" t="s">
        <v>176</v>
      </c>
      <c r="BF20" s="247" t="s">
        <v>176</v>
      </c>
      <c r="BG20" s="247" t="s">
        <v>176</v>
      </c>
      <c r="BH20" s="247" t="s">
        <v>176</v>
      </c>
      <c r="BI20" s="247" t="s">
        <v>176</v>
      </c>
      <c r="BJ20" s="247" t="s">
        <v>176</v>
      </c>
      <c r="BK20" s="247" t="s">
        <v>176</v>
      </c>
      <c r="BL20" s="247" t="s">
        <v>176</v>
      </c>
      <c r="BM20" s="247" t="s">
        <v>176</v>
      </c>
      <c r="BN20" s="247" t="s">
        <v>176</v>
      </c>
      <c r="BO20" s="247" t="s">
        <v>176</v>
      </c>
      <c r="BP20" s="247" t="s">
        <v>176</v>
      </c>
      <c r="BQ20" s="247" t="s">
        <v>176</v>
      </c>
      <c r="BR20" s="247" t="s">
        <v>176</v>
      </c>
      <c r="BS20" s="247" t="s">
        <v>176</v>
      </c>
      <c r="BT20" s="247" t="s">
        <v>176</v>
      </c>
      <c r="BU20" s="247" t="s">
        <v>176</v>
      </c>
      <c r="BV20" s="247" t="s">
        <v>176</v>
      </c>
      <c r="BW20" s="247" t="s">
        <v>176</v>
      </c>
      <c r="BX20" s="247" t="s">
        <v>176</v>
      </c>
      <c r="BY20" s="247" t="s">
        <v>176</v>
      </c>
      <c r="BZ20" s="247" t="s">
        <v>176</v>
      </c>
      <c r="CA20" s="247" t="s">
        <v>176</v>
      </c>
      <c r="CB20" s="247" t="s">
        <v>176</v>
      </c>
      <c r="CC20" s="247" t="s">
        <v>176</v>
      </c>
      <c r="CD20" s="247" t="s">
        <v>176</v>
      </c>
      <c r="CE20" s="247" t="s">
        <v>176</v>
      </c>
      <c r="CF20" s="247" t="s">
        <v>176</v>
      </c>
      <c r="CG20" s="247">
        <v>2</v>
      </c>
      <c r="CH20" s="247">
        <v>1</v>
      </c>
      <c r="CI20" s="247" t="s">
        <v>176</v>
      </c>
      <c r="CJ20" s="247" t="s">
        <v>176</v>
      </c>
      <c r="CK20" s="247">
        <v>2</v>
      </c>
      <c r="CL20" s="247">
        <v>3</v>
      </c>
      <c r="CM20" s="247">
        <v>2</v>
      </c>
      <c r="CN20" s="247">
        <v>2</v>
      </c>
      <c r="CO20" s="247">
        <v>1</v>
      </c>
      <c r="CP20" s="247">
        <v>1</v>
      </c>
      <c r="CQ20" s="247" t="s">
        <v>176</v>
      </c>
      <c r="CR20" s="247">
        <v>2</v>
      </c>
      <c r="CS20" s="247">
        <v>2</v>
      </c>
      <c r="CT20" s="247" t="s">
        <v>176</v>
      </c>
      <c r="CU20" s="247">
        <v>1</v>
      </c>
      <c r="CV20" s="247" t="s">
        <v>176</v>
      </c>
      <c r="CW20" s="247" t="s">
        <v>176</v>
      </c>
      <c r="CX20" s="247" t="s">
        <v>176</v>
      </c>
      <c r="CY20" s="247" t="s">
        <v>176</v>
      </c>
      <c r="CZ20" s="247" t="s">
        <v>176</v>
      </c>
      <c r="DA20" s="185" t="s">
        <v>176</v>
      </c>
      <c r="DB20" s="247" t="s">
        <v>176</v>
      </c>
      <c r="DC20" s="185" t="s">
        <v>176</v>
      </c>
      <c r="DD20" s="247" t="s">
        <v>176</v>
      </c>
      <c r="DE20" s="185" t="s">
        <v>176</v>
      </c>
      <c r="DF20" s="185" t="s">
        <v>176</v>
      </c>
      <c r="DG20" s="247" t="s">
        <v>176</v>
      </c>
      <c r="DH20" s="185" t="s">
        <v>176</v>
      </c>
      <c r="DI20" s="185" t="s">
        <v>176</v>
      </c>
      <c r="DJ20" s="247" t="s">
        <v>176</v>
      </c>
      <c r="DK20" s="185" t="s">
        <v>176</v>
      </c>
      <c r="DL20" s="185" t="s">
        <v>176</v>
      </c>
      <c r="DM20" s="247" t="s">
        <v>176</v>
      </c>
      <c r="DN20" s="185" t="s">
        <v>176</v>
      </c>
      <c r="DO20" s="185" t="s">
        <v>176</v>
      </c>
      <c r="DP20" s="247" t="s">
        <v>176</v>
      </c>
      <c r="DQ20" s="185" t="s">
        <v>176</v>
      </c>
      <c r="DR20" s="185" t="s">
        <v>176</v>
      </c>
      <c r="DS20" s="247" t="s">
        <v>176</v>
      </c>
      <c r="DT20" s="185" t="s">
        <v>176</v>
      </c>
      <c r="DU20" s="247" t="s">
        <v>176</v>
      </c>
      <c r="DV20" s="247" t="s">
        <v>176</v>
      </c>
      <c r="DW20" s="247" t="s">
        <v>176</v>
      </c>
      <c r="DX20" s="247" t="s">
        <v>176</v>
      </c>
      <c r="DY20" s="247" t="s">
        <v>176</v>
      </c>
      <c r="DZ20" s="247" t="s">
        <v>176</v>
      </c>
      <c r="EA20" s="247" t="s">
        <v>176</v>
      </c>
      <c r="EB20" s="247" t="s">
        <v>176</v>
      </c>
      <c r="EC20" s="247" t="s">
        <v>176</v>
      </c>
      <c r="ED20" s="247" t="s">
        <v>176</v>
      </c>
      <c r="EE20" s="247" t="s">
        <v>176</v>
      </c>
      <c r="EF20" s="247" t="s">
        <v>176</v>
      </c>
      <c r="EG20" s="247" t="s">
        <v>176</v>
      </c>
      <c r="EH20" s="247" t="s">
        <v>176</v>
      </c>
      <c r="EI20" s="247" t="s">
        <v>176</v>
      </c>
      <c r="EJ20" s="247" t="s">
        <v>176</v>
      </c>
      <c r="EK20" s="247" t="s">
        <v>176</v>
      </c>
      <c r="EL20" s="247" t="s">
        <v>176</v>
      </c>
      <c r="EM20" s="247" t="s">
        <v>176</v>
      </c>
      <c r="EN20" s="247" t="s">
        <v>176</v>
      </c>
      <c r="EO20" s="247" t="s">
        <v>176</v>
      </c>
      <c r="EP20" s="247" t="s">
        <v>176</v>
      </c>
      <c r="EQ20" s="247" t="s">
        <v>176</v>
      </c>
      <c r="ER20" s="247" t="s">
        <v>176</v>
      </c>
      <c r="ES20" s="247" t="s">
        <v>176</v>
      </c>
      <c r="ET20" s="247" t="s">
        <v>176</v>
      </c>
      <c r="EU20" s="406" t="s">
        <v>176</v>
      </c>
      <c r="EV20" s="247" t="s">
        <v>176</v>
      </c>
      <c r="EW20" s="247">
        <v>2</v>
      </c>
      <c r="EX20" s="247">
        <v>2</v>
      </c>
      <c r="EY20" s="247">
        <v>2</v>
      </c>
      <c r="EZ20" s="247">
        <v>2</v>
      </c>
      <c r="FA20" s="247" t="s">
        <v>176</v>
      </c>
      <c r="FB20" s="247">
        <v>2</v>
      </c>
      <c r="FC20" s="247">
        <v>2</v>
      </c>
      <c r="FD20" s="247" t="s">
        <v>176</v>
      </c>
      <c r="FE20" s="247">
        <v>2</v>
      </c>
      <c r="FF20" s="247">
        <v>2</v>
      </c>
      <c r="FG20" s="247">
        <v>2</v>
      </c>
      <c r="FH20" s="247">
        <v>2</v>
      </c>
      <c r="FI20" s="247">
        <v>2</v>
      </c>
      <c r="FJ20" s="247">
        <v>2</v>
      </c>
      <c r="FK20" s="247">
        <v>2</v>
      </c>
      <c r="FL20" s="247">
        <v>2</v>
      </c>
      <c r="FM20" s="247">
        <v>2</v>
      </c>
      <c r="FN20" s="247">
        <v>2</v>
      </c>
      <c r="FO20" s="247" t="s">
        <v>176</v>
      </c>
      <c r="FP20" s="247" t="s">
        <v>176</v>
      </c>
      <c r="FQ20" s="247" t="s">
        <v>160</v>
      </c>
      <c r="FR20" s="247" t="s">
        <v>176</v>
      </c>
      <c r="FS20" s="247" t="s">
        <v>176</v>
      </c>
      <c r="FT20" s="247" t="s">
        <v>176</v>
      </c>
      <c r="FU20" s="247" t="s">
        <v>176</v>
      </c>
      <c r="FV20" s="247" t="s">
        <v>176</v>
      </c>
      <c r="FW20" s="247" t="s">
        <v>176</v>
      </c>
      <c r="FX20" s="247" t="s">
        <v>176</v>
      </c>
      <c r="FY20" s="247" t="s">
        <v>176</v>
      </c>
      <c r="FZ20" s="247" t="s">
        <v>160</v>
      </c>
      <c r="GA20" s="247" t="s">
        <v>176</v>
      </c>
      <c r="GB20" s="247" t="s">
        <v>176</v>
      </c>
      <c r="GC20" s="247" t="s">
        <v>176</v>
      </c>
      <c r="GD20" s="247" t="s">
        <v>176</v>
      </c>
      <c r="GE20" s="247" t="s">
        <v>176</v>
      </c>
      <c r="GF20" s="247" t="s">
        <v>176</v>
      </c>
      <c r="GG20" s="247" t="s">
        <v>176</v>
      </c>
      <c r="GH20" s="247" t="s">
        <v>176</v>
      </c>
      <c r="GI20" s="247" t="s">
        <v>176</v>
      </c>
      <c r="GJ20" s="249">
        <f t="shared" si="0"/>
        <v>118</v>
      </c>
    </row>
    <row r="21" spans="1:192" ht="25.5" customHeight="1" x14ac:dyDescent="0.25">
      <c r="A21" s="264" t="s">
        <v>259</v>
      </c>
      <c r="B21" s="270" t="s">
        <v>208</v>
      </c>
      <c r="C21" s="266" t="s">
        <v>750</v>
      </c>
      <c r="D21" s="247">
        <v>2</v>
      </c>
      <c r="E21" s="247">
        <v>2</v>
      </c>
      <c r="F21" s="247">
        <v>2</v>
      </c>
      <c r="G21" s="247">
        <v>1</v>
      </c>
      <c r="H21" s="247">
        <v>2</v>
      </c>
      <c r="I21" s="247">
        <v>1</v>
      </c>
      <c r="J21" s="247" t="s">
        <v>176</v>
      </c>
      <c r="K21" s="247" t="s">
        <v>176</v>
      </c>
      <c r="L21" s="247">
        <v>1</v>
      </c>
      <c r="M21" s="247">
        <v>1</v>
      </c>
      <c r="N21" s="247" t="s">
        <v>176</v>
      </c>
      <c r="O21" s="247" t="s">
        <v>176</v>
      </c>
      <c r="P21" s="247" t="s">
        <v>176</v>
      </c>
      <c r="Q21" s="247" t="s">
        <v>176</v>
      </c>
      <c r="R21" s="247" t="s">
        <v>176</v>
      </c>
      <c r="S21" s="247" t="s">
        <v>176</v>
      </c>
      <c r="T21" s="247" t="s">
        <v>176</v>
      </c>
      <c r="U21" s="247" t="s">
        <v>176</v>
      </c>
      <c r="V21" s="247" t="s">
        <v>176</v>
      </c>
      <c r="W21" s="247" t="s">
        <v>176</v>
      </c>
      <c r="X21" s="247" t="s">
        <v>176</v>
      </c>
      <c r="Y21" s="247">
        <v>2</v>
      </c>
      <c r="Z21" s="247">
        <v>2</v>
      </c>
      <c r="AA21" s="247">
        <v>2</v>
      </c>
      <c r="AB21" s="247">
        <v>1</v>
      </c>
      <c r="AC21" s="247">
        <v>1</v>
      </c>
      <c r="AD21" s="247">
        <v>1</v>
      </c>
      <c r="AE21" s="247">
        <v>1</v>
      </c>
      <c r="AF21" s="247" t="s">
        <v>176</v>
      </c>
      <c r="AG21" s="247" t="s">
        <v>176</v>
      </c>
      <c r="AH21" s="247" t="s">
        <v>176</v>
      </c>
      <c r="AI21" s="247">
        <v>2</v>
      </c>
      <c r="AJ21" s="247">
        <v>1</v>
      </c>
      <c r="AK21" s="247">
        <v>1</v>
      </c>
      <c r="AL21" s="247">
        <v>2</v>
      </c>
      <c r="AM21" s="247">
        <v>2</v>
      </c>
      <c r="AN21" s="247">
        <v>2</v>
      </c>
      <c r="AO21" s="247">
        <v>2</v>
      </c>
      <c r="AP21" s="247">
        <v>2</v>
      </c>
      <c r="AQ21" s="247">
        <v>2</v>
      </c>
      <c r="AR21" s="247">
        <v>3</v>
      </c>
      <c r="AS21" s="247">
        <v>2</v>
      </c>
      <c r="AT21" s="247">
        <v>1</v>
      </c>
      <c r="AU21" s="247">
        <v>2</v>
      </c>
      <c r="AV21" s="247" t="s">
        <v>176</v>
      </c>
      <c r="AW21" s="247">
        <v>1</v>
      </c>
      <c r="AX21" s="247" t="s">
        <v>176</v>
      </c>
      <c r="AY21" s="247" t="s">
        <v>176</v>
      </c>
      <c r="AZ21" s="247" t="s">
        <v>176</v>
      </c>
      <c r="BA21" s="247" t="s">
        <v>176</v>
      </c>
      <c r="BB21" s="247" t="s">
        <v>176</v>
      </c>
      <c r="BC21" s="247" t="s">
        <v>176</v>
      </c>
      <c r="BD21" s="185" t="s">
        <v>176</v>
      </c>
      <c r="BE21" s="247" t="s">
        <v>176</v>
      </c>
      <c r="BF21" s="247" t="s">
        <v>176</v>
      </c>
      <c r="BG21" s="247" t="s">
        <v>176</v>
      </c>
      <c r="BH21" s="247" t="s">
        <v>176</v>
      </c>
      <c r="BI21" s="247" t="s">
        <v>176</v>
      </c>
      <c r="BJ21" s="247" t="s">
        <v>176</v>
      </c>
      <c r="BK21" s="247" t="s">
        <v>176</v>
      </c>
      <c r="BL21" s="247" t="s">
        <v>176</v>
      </c>
      <c r="BM21" s="247" t="s">
        <v>176</v>
      </c>
      <c r="BN21" s="247" t="s">
        <v>176</v>
      </c>
      <c r="BO21" s="247" t="s">
        <v>176</v>
      </c>
      <c r="BP21" s="247" t="s">
        <v>176</v>
      </c>
      <c r="BQ21" s="247" t="s">
        <v>176</v>
      </c>
      <c r="BR21" s="247" t="s">
        <v>176</v>
      </c>
      <c r="BS21" s="247" t="s">
        <v>176</v>
      </c>
      <c r="BT21" s="247" t="s">
        <v>176</v>
      </c>
      <c r="BU21" s="247" t="s">
        <v>176</v>
      </c>
      <c r="BV21" s="247" t="s">
        <v>176</v>
      </c>
      <c r="BW21" s="247" t="s">
        <v>176</v>
      </c>
      <c r="BX21" s="247" t="s">
        <v>176</v>
      </c>
      <c r="BY21" s="247" t="s">
        <v>176</v>
      </c>
      <c r="BZ21" s="247" t="s">
        <v>176</v>
      </c>
      <c r="CA21" s="247" t="s">
        <v>176</v>
      </c>
      <c r="CB21" s="247" t="s">
        <v>176</v>
      </c>
      <c r="CC21" s="247" t="s">
        <v>176</v>
      </c>
      <c r="CD21" s="247" t="s">
        <v>176</v>
      </c>
      <c r="CE21" s="247" t="s">
        <v>176</v>
      </c>
      <c r="CF21" s="247" t="s">
        <v>176</v>
      </c>
      <c r="CG21" s="247">
        <v>2</v>
      </c>
      <c r="CH21" s="247">
        <v>2</v>
      </c>
      <c r="CI21" s="247" t="s">
        <v>176</v>
      </c>
      <c r="CJ21" s="247" t="s">
        <v>176</v>
      </c>
      <c r="CK21" s="247">
        <v>2</v>
      </c>
      <c r="CL21" s="247">
        <v>2</v>
      </c>
      <c r="CM21" s="247">
        <v>2</v>
      </c>
      <c r="CN21" s="247">
        <v>2</v>
      </c>
      <c r="CO21" s="247">
        <v>2</v>
      </c>
      <c r="CP21" s="247">
        <v>1</v>
      </c>
      <c r="CQ21" s="247">
        <v>2</v>
      </c>
      <c r="CR21" s="247">
        <v>2</v>
      </c>
      <c r="CS21" s="247">
        <v>2</v>
      </c>
      <c r="CT21" s="247" t="s">
        <v>176</v>
      </c>
      <c r="CU21" s="247">
        <v>2</v>
      </c>
      <c r="CV21" s="252" t="s">
        <v>176</v>
      </c>
      <c r="CW21" s="252" t="s">
        <v>176</v>
      </c>
      <c r="CX21" s="252" t="s">
        <v>176</v>
      </c>
      <c r="CY21" s="252" t="s">
        <v>176</v>
      </c>
      <c r="CZ21" s="247" t="s">
        <v>176</v>
      </c>
      <c r="DA21" s="185" t="s">
        <v>176</v>
      </c>
      <c r="DB21" s="247" t="s">
        <v>176</v>
      </c>
      <c r="DC21" s="185" t="s">
        <v>176</v>
      </c>
      <c r="DD21" s="247" t="s">
        <v>176</v>
      </c>
      <c r="DE21" s="185" t="s">
        <v>176</v>
      </c>
      <c r="DF21" s="185" t="s">
        <v>176</v>
      </c>
      <c r="DG21" s="247" t="s">
        <v>176</v>
      </c>
      <c r="DH21" s="185" t="s">
        <v>176</v>
      </c>
      <c r="DI21" s="185" t="s">
        <v>176</v>
      </c>
      <c r="DJ21" s="247" t="s">
        <v>176</v>
      </c>
      <c r="DK21" s="185" t="s">
        <v>176</v>
      </c>
      <c r="DL21" s="185" t="s">
        <v>176</v>
      </c>
      <c r="DM21" s="247" t="s">
        <v>176</v>
      </c>
      <c r="DN21" s="185" t="s">
        <v>176</v>
      </c>
      <c r="DO21" s="185" t="s">
        <v>176</v>
      </c>
      <c r="DP21" s="247" t="s">
        <v>176</v>
      </c>
      <c r="DQ21" s="185" t="s">
        <v>176</v>
      </c>
      <c r="DR21" s="185" t="s">
        <v>176</v>
      </c>
      <c r="DS21" s="247" t="s">
        <v>176</v>
      </c>
      <c r="DT21" s="247" t="s">
        <v>176</v>
      </c>
      <c r="DU21" s="247" t="s">
        <v>176</v>
      </c>
      <c r="DV21" s="247" t="s">
        <v>176</v>
      </c>
      <c r="DW21" s="247" t="s">
        <v>176</v>
      </c>
      <c r="DX21" s="247" t="s">
        <v>176</v>
      </c>
      <c r="DY21" s="247" t="s">
        <v>176</v>
      </c>
      <c r="DZ21" s="247" t="s">
        <v>176</v>
      </c>
      <c r="EA21" s="247" t="s">
        <v>176</v>
      </c>
      <c r="EB21" s="247" t="s">
        <v>176</v>
      </c>
      <c r="EC21" s="247" t="s">
        <v>176</v>
      </c>
      <c r="ED21" s="247" t="s">
        <v>176</v>
      </c>
      <c r="EE21" s="247" t="s">
        <v>176</v>
      </c>
      <c r="EF21" s="247" t="s">
        <v>176</v>
      </c>
      <c r="EG21" s="247" t="s">
        <v>176</v>
      </c>
      <c r="EH21" s="247" t="s">
        <v>176</v>
      </c>
      <c r="EI21" s="247" t="s">
        <v>176</v>
      </c>
      <c r="EJ21" s="247" t="s">
        <v>176</v>
      </c>
      <c r="EK21" s="247" t="s">
        <v>176</v>
      </c>
      <c r="EL21" s="247" t="s">
        <v>176</v>
      </c>
      <c r="EM21" s="247" t="s">
        <v>176</v>
      </c>
      <c r="EN21" s="247" t="s">
        <v>176</v>
      </c>
      <c r="EO21" s="247" t="s">
        <v>176</v>
      </c>
      <c r="EP21" s="247" t="s">
        <v>176</v>
      </c>
      <c r="EQ21" s="247" t="s">
        <v>176</v>
      </c>
      <c r="ER21" s="247" t="s">
        <v>176</v>
      </c>
      <c r="ES21" s="247" t="s">
        <v>176</v>
      </c>
      <c r="ET21" s="247" t="s">
        <v>176</v>
      </c>
      <c r="EU21" s="406" t="s">
        <v>176</v>
      </c>
      <c r="EV21" s="247" t="s">
        <v>176</v>
      </c>
      <c r="EW21" s="247">
        <v>2</v>
      </c>
      <c r="EX21" s="247">
        <v>2</v>
      </c>
      <c r="EY21" s="247">
        <v>2</v>
      </c>
      <c r="EZ21" s="247">
        <v>2</v>
      </c>
      <c r="FA21" s="247" t="s">
        <v>176</v>
      </c>
      <c r="FB21" s="247">
        <v>2</v>
      </c>
      <c r="FC21" s="247">
        <v>2</v>
      </c>
      <c r="FD21" s="247">
        <v>1</v>
      </c>
      <c r="FE21" s="247">
        <v>2</v>
      </c>
      <c r="FF21" s="247">
        <v>1</v>
      </c>
      <c r="FG21" s="247">
        <v>1</v>
      </c>
      <c r="FH21" s="247">
        <v>1</v>
      </c>
      <c r="FI21" s="247">
        <v>1</v>
      </c>
      <c r="FJ21" s="247">
        <v>1</v>
      </c>
      <c r="FK21" s="247">
        <v>1</v>
      </c>
      <c r="FL21" s="247">
        <v>1</v>
      </c>
      <c r="FM21" s="247">
        <v>2</v>
      </c>
      <c r="FN21" s="247">
        <v>1</v>
      </c>
      <c r="FO21" s="247" t="s">
        <v>176</v>
      </c>
      <c r="FP21" s="247" t="s">
        <v>160</v>
      </c>
      <c r="FQ21" s="247" t="s">
        <v>176</v>
      </c>
      <c r="FR21" s="247" t="s">
        <v>176</v>
      </c>
      <c r="FS21" s="247" t="s">
        <v>176</v>
      </c>
      <c r="FT21" s="247" t="s">
        <v>176</v>
      </c>
      <c r="FU21" s="247" t="s">
        <v>176</v>
      </c>
      <c r="FV21" s="247" t="s">
        <v>176</v>
      </c>
      <c r="FW21" s="247" t="s">
        <v>176</v>
      </c>
      <c r="FX21" s="247" t="s">
        <v>176</v>
      </c>
      <c r="FY21" s="247" t="s">
        <v>176</v>
      </c>
      <c r="FZ21" s="247" t="s">
        <v>160</v>
      </c>
      <c r="GA21" s="247" t="s">
        <v>176</v>
      </c>
      <c r="GB21" s="247" t="s">
        <v>176</v>
      </c>
      <c r="GC21" s="247" t="s">
        <v>176</v>
      </c>
      <c r="GD21" s="247" t="s">
        <v>176</v>
      </c>
      <c r="GE21" s="247" t="s">
        <v>176</v>
      </c>
      <c r="GF21" s="247" t="s">
        <v>176</v>
      </c>
      <c r="GG21" s="247" t="s">
        <v>176</v>
      </c>
      <c r="GH21" s="247" t="s">
        <v>176</v>
      </c>
      <c r="GI21" s="247" t="s">
        <v>176</v>
      </c>
      <c r="GJ21" s="249">
        <f t="shared" si="0"/>
        <v>95</v>
      </c>
    </row>
    <row r="22" spans="1:192" ht="25.5" customHeight="1" x14ac:dyDescent="0.25">
      <c r="A22" s="264" t="s">
        <v>259</v>
      </c>
      <c r="B22" s="270" t="s">
        <v>210</v>
      </c>
      <c r="C22" s="266" t="s">
        <v>750</v>
      </c>
      <c r="D22" s="247">
        <v>2</v>
      </c>
      <c r="E22" s="247">
        <v>2</v>
      </c>
      <c r="F22" s="247">
        <v>1</v>
      </c>
      <c r="G22" s="247">
        <v>1</v>
      </c>
      <c r="H22" s="247">
        <v>2</v>
      </c>
      <c r="I22" s="247">
        <v>1</v>
      </c>
      <c r="J22" s="247" t="s">
        <v>176</v>
      </c>
      <c r="K22" s="247" t="s">
        <v>176</v>
      </c>
      <c r="L22" s="247">
        <v>1</v>
      </c>
      <c r="M22" s="247">
        <v>1</v>
      </c>
      <c r="N22" s="247" t="s">
        <v>176</v>
      </c>
      <c r="O22" s="247" t="s">
        <v>176</v>
      </c>
      <c r="P22" s="247" t="s">
        <v>176</v>
      </c>
      <c r="Q22" s="247" t="s">
        <v>176</v>
      </c>
      <c r="R22" s="247" t="s">
        <v>176</v>
      </c>
      <c r="S22" s="247" t="s">
        <v>176</v>
      </c>
      <c r="T22" s="247" t="s">
        <v>176</v>
      </c>
      <c r="U22" s="247" t="s">
        <v>176</v>
      </c>
      <c r="V22" s="247" t="s">
        <v>176</v>
      </c>
      <c r="W22" s="247" t="s">
        <v>176</v>
      </c>
      <c r="X22" s="247" t="s">
        <v>176</v>
      </c>
      <c r="Y22" s="247">
        <v>2</v>
      </c>
      <c r="Z22" s="247">
        <v>2</v>
      </c>
      <c r="AA22" s="247">
        <v>2</v>
      </c>
      <c r="AB22" s="247">
        <v>1</v>
      </c>
      <c r="AC22" s="247">
        <v>1</v>
      </c>
      <c r="AD22" s="247">
        <v>1</v>
      </c>
      <c r="AE22" s="247">
        <v>1</v>
      </c>
      <c r="AF22" s="247" t="s">
        <v>176</v>
      </c>
      <c r="AG22" s="247" t="s">
        <v>176</v>
      </c>
      <c r="AH22" s="247" t="s">
        <v>176</v>
      </c>
      <c r="AI22" s="247">
        <v>2</v>
      </c>
      <c r="AJ22" s="247">
        <v>2</v>
      </c>
      <c r="AK22" s="247">
        <v>2</v>
      </c>
      <c r="AL22" s="247">
        <v>2</v>
      </c>
      <c r="AM22" s="247">
        <v>2</v>
      </c>
      <c r="AN22" s="247">
        <v>2</v>
      </c>
      <c r="AO22" s="247">
        <v>2</v>
      </c>
      <c r="AP22" s="247">
        <v>2</v>
      </c>
      <c r="AQ22" s="247">
        <v>2</v>
      </c>
      <c r="AR22" s="247">
        <v>3</v>
      </c>
      <c r="AS22" s="247">
        <v>2</v>
      </c>
      <c r="AT22" s="247">
        <v>1</v>
      </c>
      <c r="AU22" s="247">
        <v>2</v>
      </c>
      <c r="AV22" s="247" t="s">
        <v>176</v>
      </c>
      <c r="AW22" s="247">
        <v>2</v>
      </c>
      <c r="AX22" s="247" t="s">
        <v>176</v>
      </c>
      <c r="AY22" s="247" t="s">
        <v>176</v>
      </c>
      <c r="AZ22" s="247" t="s">
        <v>176</v>
      </c>
      <c r="BA22" s="247" t="s">
        <v>176</v>
      </c>
      <c r="BB22" s="247" t="s">
        <v>176</v>
      </c>
      <c r="BC22" s="247" t="s">
        <v>176</v>
      </c>
      <c r="BD22" s="185" t="s">
        <v>176</v>
      </c>
      <c r="BE22" s="247" t="s">
        <v>176</v>
      </c>
      <c r="BF22" s="247" t="s">
        <v>176</v>
      </c>
      <c r="BG22" s="247" t="s">
        <v>176</v>
      </c>
      <c r="BH22" s="247" t="s">
        <v>176</v>
      </c>
      <c r="BI22" s="247" t="s">
        <v>176</v>
      </c>
      <c r="BJ22" s="247" t="s">
        <v>176</v>
      </c>
      <c r="BK22" s="247" t="s">
        <v>176</v>
      </c>
      <c r="BL22" s="247" t="s">
        <v>176</v>
      </c>
      <c r="BM22" s="247" t="s">
        <v>176</v>
      </c>
      <c r="BN22" s="247" t="s">
        <v>176</v>
      </c>
      <c r="BO22" s="247" t="s">
        <v>176</v>
      </c>
      <c r="BP22" s="247" t="s">
        <v>176</v>
      </c>
      <c r="BQ22" s="247" t="s">
        <v>176</v>
      </c>
      <c r="BR22" s="247" t="s">
        <v>176</v>
      </c>
      <c r="BS22" s="247" t="s">
        <v>176</v>
      </c>
      <c r="BT22" s="247" t="s">
        <v>176</v>
      </c>
      <c r="BU22" s="247" t="s">
        <v>176</v>
      </c>
      <c r="BV22" s="247" t="s">
        <v>176</v>
      </c>
      <c r="BW22" s="247" t="s">
        <v>176</v>
      </c>
      <c r="BX22" s="247" t="s">
        <v>176</v>
      </c>
      <c r="BY22" s="247" t="s">
        <v>176</v>
      </c>
      <c r="BZ22" s="247" t="s">
        <v>176</v>
      </c>
      <c r="CA22" s="247" t="s">
        <v>176</v>
      </c>
      <c r="CB22" s="247" t="s">
        <v>176</v>
      </c>
      <c r="CC22" s="247" t="s">
        <v>176</v>
      </c>
      <c r="CD22" s="247" t="s">
        <v>176</v>
      </c>
      <c r="CE22" s="247" t="s">
        <v>176</v>
      </c>
      <c r="CF22" s="247" t="s">
        <v>176</v>
      </c>
      <c r="CG22" s="247">
        <v>2</v>
      </c>
      <c r="CH22" s="247">
        <v>2</v>
      </c>
      <c r="CI22" s="247" t="s">
        <v>176</v>
      </c>
      <c r="CJ22" s="247" t="s">
        <v>176</v>
      </c>
      <c r="CK22" s="247">
        <v>3</v>
      </c>
      <c r="CL22" s="247">
        <v>3</v>
      </c>
      <c r="CM22" s="247">
        <v>3</v>
      </c>
      <c r="CN22" s="247">
        <v>3</v>
      </c>
      <c r="CO22" s="247">
        <v>3</v>
      </c>
      <c r="CP22" s="247">
        <v>1</v>
      </c>
      <c r="CQ22" s="247">
        <v>3</v>
      </c>
      <c r="CR22" s="247">
        <v>3</v>
      </c>
      <c r="CS22" s="247">
        <v>2</v>
      </c>
      <c r="CT22" s="247" t="s">
        <v>176</v>
      </c>
      <c r="CU22" s="247">
        <v>2</v>
      </c>
      <c r="CV22" s="252" t="s">
        <v>176</v>
      </c>
      <c r="CW22" s="252" t="s">
        <v>176</v>
      </c>
      <c r="CX22" s="252" t="s">
        <v>176</v>
      </c>
      <c r="CY22" s="252" t="s">
        <v>176</v>
      </c>
      <c r="CZ22" s="247" t="s">
        <v>176</v>
      </c>
      <c r="DA22" s="185" t="s">
        <v>176</v>
      </c>
      <c r="DB22" s="247" t="s">
        <v>176</v>
      </c>
      <c r="DC22" s="185" t="s">
        <v>176</v>
      </c>
      <c r="DD22" s="247" t="s">
        <v>176</v>
      </c>
      <c r="DE22" s="185" t="s">
        <v>176</v>
      </c>
      <c r="DF22" s="185" t="s">
        <v>176</v>
      </c>
      <c r="DG22" s="247" t="s">
        <v>176</v>
      </c>
      <c r="DH22" s="185" t="s">
        <v>176</v>
      </c>
      <c r="DI22" s="185" t="s">
        <v>176</v>
      </c>
      <c r="DJ22" s="247" t="s">
        <v>176</v>
      </c>
      <c r="DK22" s="185" t="s">
        <v>176</v>
      </c>
      <c r="DL22" s="185" t="s">
        <v>176</v>
      </c>
      <c r="DM22" s="247" t="s">
        <v>176</v>
      </c>
      <c r="DN22" s="185" t="s">
        <v>176</v>
      </c>
      <c r="DO22" s="185" t="s">
        <v>176</v>
      </c>
      <c r="DP22" s="247" t="s">
        <v>176</v>
      </c>
      <c r="DQ22" s="185" t="s">
        <v>176</v>
      </c>
      <c r="DR22" s="185" t="s">
        <v>176</v>
      </c>
      <c r="DS22" s="247" t="s">
        <v>176</v>
      </c>
      <c r="DT22" s="247" t="s">
        <v>176</v>
      </c>
      <c r="DU22" s="247" t="s">
        <v>176</v>
      </c>
      <c r="DV22" s="247" t="s">
        <v>176</v>
      </c>
      <c r="DW22" s="247" t="s">
        <v>176</v>
      </c>
      <c r="DX22" s="247" t="s">
        <v>176</v>
      </c>
      <c r="DY22" s="247" t="s">
        <v>176</v>
      </c>
      <c r="DZ22" s="247" t="s">
        <v>176</v>
      </c>
      <c r="EA22" s="247" t="s">
        <v>176</v>
      </c>
      <c r="EB22" s="247" t="s">
        <v>176</v>
      </c>
      <c r="EC22" s="247" t="s">
        <v>176</v>
      </c>
      <c r="ED22" s="247" t="s">
        <v>176</v>
      </c>
      <c r="EE22" s="247" t="s">
        <v>176</v>
      </c>
      <c r="EF22" s="247" t="s">
        <v>176</v>
      </c>
      <c r="EG22" s="247" t="s">
        <v>176</v>
      </c>
      <c r="EH22" s="247" t="s">
        <v>176</v>
      </c>
      <c r="EI22" s="247" t="s">
        <v>176</v>
      </c>
      <c r="EJ22" s="247" t="s">
        <v>176</v>
      </c>
      <c r="EK22" s="247" t="s">
        <v>176</v>
      </c>
      <c r="EL22" s="247" t="s">
        <v>176</v>
      </c>
      <c r="EM22" s="247" t="s">
        <v>176</v>
      </c>
      <c r="EN22" s="247" t="s">
        <v>176</v>
      </c>
      <c r="EO22" s="247" t="s">
        <v>176</v>
      </c>
      <c r="EP22" s="247" t="s">
        <v>176</v>
      </c>
      <c r="EQ22" s="247" t="s">
        <v>176</v>
      </c>
      <c r="ER22" s="247" t="s">
        <v>176</v>
      </c>
      <c r="ES22" s="247" t="s">
        <v>176</v>
      </c>
      <c r="ET22" s="247" t="s">
        <v>176</v>
      </c>
      <c r="EU22" s="406" t="s">
        <v>176</v>
      </c>
      <c r="EV22" s="247" t="s">
        <v>176</v>
      </c>
      <c r="EW22" s="247">
        <v>2</v>
      </c>
      <c r="EX22" s="247">
        <v>2</v>
      </c>
      <c r="EY22" s="247">
        <v>2</v>
      </c>
      <c r="EZ22" s="247">
        <v>2</v>
      </c>
      <c r="FA22" s="247" t="s">
        <v>176</v>
      </c>
      <c r="FB22" s="247">
        <v>2</v>
      </c>
      <c r="FC22" s="247">
        <v>2</v>
      </c>
      <c r="FD22" s="247">
        <v>2</v>
      </c>
      <c r="FE22" s="247">
        <v>2</v>
      </c>
      <c r="FF22" s="247">
        <v>2</v>
      </c>
      <c r="FG22" s="247">
        <v>2</v>
      </c>
      <c r="FH22" s="247">
        <v>2</v>
      </c>
      <c r="FI22" s="247">
        <v>2</v>
      </c>
      <c r="FJ22" s="247">
        <v>2</v>
      </c>
      <c r="FK22" s="247">
        <v>2</v>
      </c>
      <c r="FL22" s="247">
        <v>2</v>
      </c>
      <c r="FM22" s="247">
        <v>2</v>
      </c>
      <c r="FN22" s="247">
        <v>2</v>
      </c>
      <c r="FO22" s="247" t="s">
        <v>176</v>
      </c>
      <c r="FP22" s="247" t="s">
        <v>176</v>
      </c>
      <c r="FQ22" s="247" t="s">
        <v>160</v>
      </c>
      <c r="FR22" s="247" t="s">
        <v>176</v>
      </c>
      <c r="FS22" s="247" t="s">
        <v>176</v>
      </c>
      <c r="FT22" s="247" t="s">
        <v>176</v>
      </c>
      <c r="FU22" s="247" t="s">
        <v>176</v>
      </c>
      <c r="FV22" s="247" t="s">
        <v>176</v>
      </c>
      <c r="FW22" s="247" t="s">
        <v>176</v>
      </c>
      <c r="FX22" s="247" t="s">
        <v>176</v>
      </c>
      <c r="FY22" s="247" t="s">
        <v>176</v>
      </c>
      <c r="FZ22" s="247" t="s">
        <v>160</v>
      </c>
      <c r="GA22" s="247" t="s">
        <v>176</v>
      </c>
      <c r="GB22" s="247" t="s">
        <v>176</v>
      </c>
      <c r="GC22" s="247" t="s">
        <v>176</v>
      </c>
      <c r="GD22" s="247" t="s">
        <v>176</v>
      </c>
      <c r="GE22" s="247" t="s">
        <v>176</v>
      </c>
      <c r="GF22" s="247" t="s">
        <v>176</v>
      </c>
      <c r="GG22" s="247" t="s">
        <v>176</v>
      </c>
      <c r="GH22" s="247" t="s">
        <v>176</v>
      </c>
      <c r="GI22" s="247" t="s">
        <v>176</v>
      </c>
      <c r="GJ22" s="249">
        <f t="shared" si="0"/>
        <v>113</v>
      </c>
    </row>
    <row r="23" spans="1:192" ht="27" customHeight="1" x14ac:dyDescent="0.25">
      <c r="A23" s="264" t="s">
        <v>259</v>
      </c>
      <c r="B23" s="270" t="s">
        <v>653</v>
      </c>
      <c r="C23" s="266" t="s">
        <v>750</v>
      </c>
      <c r="D23" s="185">
        <v>2</v>
      </c>
      <c r="E23" s="185">
        <v>2</v>
      </c>
      <c r="F23" s="185">
        <v>2</v>
      </c>
      <c r="G23" s="185">
        <v>1</v>
      </c>
      <c r="H23" s="185">
        <v>2</v>
      </c>
      <c r="I23" s="185">
        <v>1</v>
      </c>
      <c r="J23" s="185" t="s">
        <v>176</v>
      </c>
      <c r="K23" s="185" t="s">
        <v>176</v>
      </c>
      <c r="L23" s="185">
        <v>1</v>
      </c>
      <c r="M23" s="185">
        <v>1</v>
      </c>
      <c r="N23" s="185" t="s">
        <v>176</v>
      </c>
      <c r="O23" s="185" t="s">
        <v>176</v>
      </c>
      <c r="P23" s="185" t="s">
        <v>176</v>
      </c>
      <c r="Q23" s="185" t="s">
        <v>176</v>
      </c>
      <c r="R23" s="185" t="s">
        <v>176</v>
      </c>
      <c r="S23" s="185" t="s">
        <v>176</v>
      </c>
      <c r="T23" s="185" t="s">
        <v>176</v>
      </c>
      <c r="U23" s="185" t="s">
        <v>176</v>
      </c>
      <c r="V23" s="185" t="s">
        <v>176</v>
      </c>
      <c r="W23" s="185" t="s">
        <v>176</v>
      </c>
      <c r="X23" s="185" t="s">
        <v>176</v>
      </c>
      <c r="Y23" s="185">
        <v>2</v>
      </c>
      <c r="Z23" s="185">
        <v>2</v>
      </c>
      <c r="AA23" s="185">
        <v>2</v>
      </c>
      <c r="AB23" s="185">
        <v>1</v>
      </c>
      <c r="AC23" s="185">
        <v>1</v>
      </c>
      <c r="AD23" s="185">
        <v>2</v>
      </c>
      <c r="AE23" s="185">
        <v>2</v>
      </c>
      <c r="AF23" s="185" t="s">
        <v>176</v>
      </c>
      <c r="AG23" s="185" t="s">
        <v>176</v>
      </c>
      <c r="AH23" s="185" t="s">
        <v>176</v>
      </c>
      <c r="AI23" s="185">
        <v>2</v>
      </c>
      <c r="AJ23" s="185">
        <v>2</v>
      </c>
      <c r="AK23" s="185">
        <v>2</v>
      </c>
      <c r="AL23" s="185">
        <v>2</v>
      </c>
      <c r="AM23" s="185">
        <v>2</v>
      </c>
      <c r="AN23" s="185">
        <v>2</v>
      </c>
      <c r="AO23" s="185">
        <v>2</v>
      </c>
      <c r="AP23" s="185">
        <v>2</v>
      </c>
      <c r="AQ23" s="185">
        <v>2</v>
      </c>
      <c r="AR23" s="185">
        <v>2</v>
      </c>
      <c r="AS23" s="185">
        <v>2</v>
      </c>
      <c r="AT23" s="185">
        <v>1</v>
      </c>
      <c r="AU23" s="185">
        <v>2</v>
      </c>
      <c r="AV23" s="185" t="s">
        <v>176</v>
      </c>
      <c r="AW23" s="185">
        <v>2</v>
      </c>
      <c r="AX23" s="185" t="s">
        <v>176</v>
      </c>
      <c r="AY23" s="185" t="s">
        <v>176</v>
      </c>
      <c r="AZ23" s="185" t="s">
        <v>176</v>
      </c>
      <c r="BA23" s="185" t="s">
        <v>176</v>
      </c>
      <c r="BB23" s="185" t="s">
        <v>176</v>
      </c>
      <c r="BC23" s="185" t="s">
        <v>176</v>
      </c>
      <c r="BD23" s="185" t="s">
        <v>176</v>
      </c>
      <c r="BE23" s="185" t="s">
        <v>176</v>
      </c>
      <c r="BF23" s="185" t="s">
        <v>176</v>
      </c>
      <c r="BG23" s="185" t="s">
        <v>176</v>
      </c>
      <c r="BH23" s="185" t="s">
        <v>176</v>
      </c>
      <c r="BI23" s="185" t="s">
        <v>176</v>
      </c>
      <c r="BJ23" s="185" t="s">
        <v>176</v>
      </c>
      <c r="BK23" s="185">
        <v>1</v>
      </c>
      <c r="BL23" s="185" t="s">
        <v>176</v>
      </c>
      <c r="BM23" s="185" t="s">
        <v>176</v>
      </c>
      <c r="BN23" s="185" t="s">
        <v>176</v>
      </c>
      <c r="BO23" s="185" t="s">
        <v>176</v>
      </c>
      <c r="BP23" s="185" t="s">
        <v>176</v>
      </c>
      <c r="BQ23" s="185" t="s">
        <v>176</v>
      </c>
      <c r="BR23" s="185" t="s">
        <v>176</v>
      </c>
      <c r="BS23" s="185" t="s">
        <v>176</v>
      </c>
      <c r="BT23" s="185" t="s">
        <v>176</v>
      </c>
      <c r="BU23" s="185" t="s">
        <v>176</v>
      </c>
      <c r="BV23" s="185" t="s">
        <v>176</v>
      </c>
      <c r="BW23" s="185" t="s">
        <v>176</v>
      </c>
      <c r="BX23" s="185" t="s">
        <v>176</v>
      </c>
      <c r="BY23" s="185" t="s">
        <v>176</v>
      </c>
      <c r="BZ23" s="185" t="s">
        <v>176</v>
      </c>
      <c r="CA23" s="185" t="s">
        <v>176</v>
      </c>
      <c r="CB23" s="185" t="s">
        <v>176</v>
      </c>
      <c r="CC23" s="185" t="s">
        <v>176</v>
      </c>
      <c r="CD23" s="185" t="s">
        <v>176</v>
      </c>
      <c r="CE23" s="185" t="s">
        <v>176</v>
      </c>
      <c r="CF23" s="185" t="s">
        <v>176</v>
      </c>
      <c r="CG23" s="185">
        <v>2</v>
      </c>
      <c r="CH23" s="185">
        <v>2</v>
      </c>
      <c r="CI23" s="185" t="s">
        <v>176</v>
      </c>
      <c r="CJ23" s="185" t="s">
        <v>176</v>
      </c>
      <c r="CK23" s="185">
        <v>3</v>
      </c>
      <c r="CL23" s="185">
        <v>3</v>
      </c>
      <c r="CM23" s="185">
        <v>3</v>
      </c>
      <c r="CN23" s="185">
        <v>3</v>
      </c>
      <c r="CO23" s="185">
        <v>3</v>
      </c>
      <c r="CP23" s="185">
        <v>3</v>
      </c>
      <c r="CQ23" s="185" t="s">
        <v>176</v>
      </c>
      <c r="CR23" s="185">
        <v>2</v>
      </c>
      <c r="CS23" s="185">
        <v>2</v>
      </c>
      <c r="CT23" s="185" t="s">
        <v>176</v>
      </c>
      <c r="CU23" s="185">
        <v>2</v>
      </c>
      <c r="CV23" s="185" t="s">
        <v>176</v>
      </c>
      <c r="CW23" s="185" t="s">
        <v>176</v>
      </c>
      <c r="CX23" s="185" t="s">
        <v>176</v>
      </c>
      <c r="CY23" s="185" t="s">
        <v>176</v>
      </c>
      <c r="CZ23" s="185" t="s">
        <v>176</v>
      </c>
      <c r="DA23" s="185" t="s">
        <v>176</v>
      </c>
      <c r="DB23" s="185" t="s">
        <v>176</v>
      </c>
      <c r="DC23" s="185" t="s">
        <v>176</v>
      </c>
      <c r="DD23" s="185" t="s">
        <v>176</v>
      </c>
      <c r="DE23" s="185" t="s">
        <v>176</v>
      </c>
      <c r="DF23" s="185" t="s">
        <v>176</v>
      </c>
      <c r="DG23" s="247" t="s">
        <v>176</v>
      </c>
      <c r="DH23" s="185" t="s">
        <v>176</v>
      </c>
      <c r="DI23" s="185" t="s">
        <v>176</v>
      </c>
      <c r="DJ23" s="247" t="s">
        <v>176</v>
      </c>
      <c r="DK23" s="185" t="s">
        <v>176</v>
      </c>
      <c r="DL23" s="185" t="s">
        <v>176</v>
      </c>
      <c r="DM23" s="247" t="s">
        <v>176</v>
      </c>
      <c r="DN23" s="185" t="s">
        <v>176</v>
      </c>
      <c r="DO23" s="185" t="s">
        <v>176</v>
      </c>
      <c r="DP23" s="247" t="s">
        <v>176</v>
      </c>
      <c r="DQ23" s="185" t="s">
        <v>176</v>
      </c>
      <c r="DR23" s="185" t="s">
        <v>176</v>
      </c>
      <c r="DS23" s="247" t="s">
        <v>176</v>
      </c>
      <c r="DT23" s="185" t="s">
        <v>176</v>
      </c>
      <c r="DU23" s="185" t="s">
        <v>176</v>
      </c>
      <c r="DV23" s="185" t="s">
        <v>176</v>
      </c>
      <c r="DW23" s="185" t="s">
        <v>176</v>
      </c>
      <c r="DX23" s="185" t="s">
        <v>176</v>
      </c>
      <c r="DY23" s="185" t="s">
        <v>176</v>
      </c>
      <c r="DZ23" s="185" t="s">
        <v>176</v>
      </c>
      <c r="EA23" s="185" t="s">
        <v>176</v>
      </c>
      <c r="EB23" s="185" t="s">
        <v>176</v>
      </c>
      <c r="EC23" s="185" t="s">
        <v>176</v>
      </c>
      <c r="ED23" s="185" t="s">
        <v>176</v>
      </c>
      <c r="EE23" s="185" t="s">
        <v>176</v>
      </c>
      <c r="EF23" s="185" t="s">
        <v>176</v>
      </c>
      <c r="EG23" s="185" t="s">
        <v>176</v>
      </c>
      <c r="EH23" s="185" t="s">
        <v>176</v>
      </c>
      <c r="EI23" s="185" t="s">
        <v>176</v>
      </c>
      <c r="EJ23" s="185" t="s">
        <v>176</v>
      </c>
      <c r="EK23" s="185" t="s">
        <v>176</v>
      </c>
      <c r="EL23" s="185" t="s">
        <v>176</v>
      </c>
      <c r="EM23" s="185" t="s">
        <v>176</v>
      </c>
      <c r="EN23" s="185" t="s">
        <v>176</v>
      </c>
      <c r="EO23" s="185" t="s">
        <v>176</v>
      </c>
      <c r="EP23" s="185" t="s">
        <v>176</v>
      </c>
      <c r="EQ23" s="185" t="s">
        <v>176</v>
      </c>
      <c r="ER23" s="185" t="s">
        <v>176</v>
      </c>
      <c r="ES23" s="185" t="s">
        <v>176</v>
      </c>
      <c r="ET23" s="185" t="s">
        <v>176</v>
      </c>
      <c r="EU23" s="406" t="s">
        <v>176</v>
      </c>
      <c r="EV23" s="185" t="s">
        <v>176</v>
      </c>
      <c r="EW23" s="185">
        <v>2</v>
      </c>
      <c r="EX23" s="185">
        <v>2</v>
      </c>
      <c r="EY23" s="185">
        <v>2</v>
      </c>
      <c r="EZ23" s="185">
        <v>2</v>
      </c>
      <c r="FA23" s="185" t="s">
        <v>176</v>
      </c>
      <c r="FB23" s="185">
        <v>2</v>
      </c>
      <c r="FC23" s="185">
        <v>2</v>
      </c>
      <c r="FD23" s="185">
        <v>2</v>
      </c>
      <c r="FE23" s="185">
        <v>2</v>
      </c>
      <c r="FF23" s="185">
        <v>2</v>
      </c>
      <c r="FG23" s="185">
        <v>2</v>
      </c>
      <c r="FH23" s="185">
        <v>2</v>
      </c>
      <c r="FI23" s="185">
        <v>2</v>
      </c>
      <c r="FJ23" s="185">
        <v>2</v>
      </c>
      <c r="FK23" s="185">
        <v>2</v>
      </c>
      <c r="FL23" s="185">
        <v>2</v>
      </c>
      <c r="FM23" s="247">
        <v>2</v>
      </c>
      <c r="FN23" s="185">
        <v>2</v>
      </c>
      <c r="FO23" s="185" t="s">
        <v>176</v>
      </c>
      <c r="FP23" s="185" t="s">
        <v>176</v>
      </c>
      <c r="FQ23" s="185" t="s">
        <v>160</v>
      </c>
      <c r="FR23" s="185" t="s">
        <v>176</v>
      </c>
      <c r="FS23" s="185" t="s">
        <v>176</v>
      </c>
      <c r="FT23" s="185" t="s">
        <v>176</v>
      </c>
      <c r="FU23" s="185" t="s">
        <v>176</v>
      </c>
      <c r="FV23" s="185" t="s">
        <v>176</v>
      </c>
      <c r="FW23" s="185" t="s">
        <v>176</v>
      </c>
      <c r="FX23" s="185" t="s">
        <v>176</v>
      </c>
      <c r="FY23" s="185" t="s">
        <v>176</v>
      </c>
      <c r="FZ23" s="185" t="s">
        <v>160</v>
      </c>
      <c r="GA23" s="185" t="s">
        <v>176</v>
      </c>
      <c r="GB23" s="185" t="s">
        <v>176</v>
      </c>
      <c r="GC23" s="185" t="s">
        <v>176</v>
      </c>
      <c r="GD23" s="185" t="s">
        <v>176</v>
      </c>
      <c r="GE23" s="185" t="s">
        <v>176</v>
      </c>
      <c r="GF23" s="185" t="s">
        <v>176</v>
      </c>
      <c r="GG23" s="185" t="s">
        <v>176</v>
      </c>
      <c r="GH23" s="185" t="s">
        <v>176</v>
      </c>
      <c r="GI23" s="185" t="s">
        <v>176</v>
      </c>
      <c r="GJ23" s="263">
        <v>104</v>
      </c>
    </row>
    <row r="24" spans="1:192" ht="25.5" customHeight="1" x14ac:dyDescent="0.25">
      <c r="A24" s="264" t="s">
        <v>267</v>
      </c>
      <c r="B24" s="270" t="s">
        <v>193</v>
      </c>
      <c r="C24" s="266" t="s">
        <v>750</v>
      </c>
      <c r="D24" s="247">
        <v>2</v>
      </c>
      <c r="E24" s="247">
        <v>2</v>
      </c>
      <c r="F24" s="247">
        <v>2</v>
      </c>
      <c r="G24" s="247">
        <v>1</v>
      </c>
      <c r="H24" s="247">
        <v>2</v>
      </c>
      <c r="I24" s="247">
        <v>1</v>
      </c>
      <c r="J24" s="247" t="s">
        <v>176</v>
      </c>
      <c r="K24" s="247" t="s">
        <v>176</v>
      </c>
      <c r="L24" s="247">
        <v>1</v>
      </c>
      <c r="M24" s="247">
        <v>1</v>
      </c>
      <c r="N24" s="247" t="s">
        <v>176</v>
      </c>
      <c r="O24" s="247" t="s">
        <v>176</v>
      </c>
      <c r="P24" s="247" t="s">
        <v>176</v>
      </c>
      <c r="Q24" s="247" t="s">
        <v>176</v>
      </c>
      <c r="R24" s="247" t="s">
        <v>176</v>
      </c>
      <c r="S24" s="247" t="s">
        <v>176</v>
      </c>
      <c r="T24" s="247" t="s">
        <v>176</v>
      </c>
      <c r="U24" s="247" t="s">
        <v>176</v>
      </c>
      <c r="V24" s="247" t="s">
        <v>176</v>
      </c>
      <c r="W24" s="247" t="s">
        <v>176</v>
      </c>
      <c r="X24" s="247" t="s">
        <v>176</v>
      </c>
      <c r="Y24" s="247" t="s">
        <v>176</v>
      </c>
      <c r="Z24" s="247">
        <v>1</v>
      </c>
      <c r="AA24" s="247">
        <v>1</v>
      </c>
      <c r="AB24" s="247">
        <v>1</v>
      </c>
      <c r="AC24" s="247">
        <v>1</v>
      </c>
      <c r="AD24" s="247">
        <v>1</v>
      </c>
      <c r="AE24" s="247">
        <v>1</v>
      </c>
      <c r="AF24" s="247" t="s">
        <v>176</v>
      </c>
      <c r="AG24" s="247" t="s">
        <v>176</v>
      </c>
      <c r="AH24" s="247" t="s">
        <v>176</v>
      </c>
      <c r="AI24" s="247">
        <v>2</v>
      </c>
      <c r="AJ24" s="247" t="s">
        <v>176</v>
      </c>
      <c r="AK24" s="247" t="s">
        <v>176</v>
      </c>
      <c r="AL24" s="247">
        <v>1</v>
      </c>
      <c r="AM24" s="247">
        <v>1</v>
      </c>
      <c r="AN24" s="247">
        <v>1</v>
      </c>
      <c r="AO24" s="247" t="s">
        <v>176</v>
      </c>
      <c r="AP24" s="247">
        <v>1</v>
      </c>
      <c r="AQ24" s="247">
        <v>1</v>
      </c>
      <c r="AR24" s="247">
        <v>1</v>
      </c>
      <c r="AS24" s="247">
        <v>2</v>
      </c>
      <c r="AT24" s="247">
        <v>1</v>
      </c>
      <c r="AU24" s="247">
        <v>2</v>
      </c>
      <c r="AV24" s="247" t="s">
        <v>176</v>
      </c>
      <c r="AW24" s="247" t="s">
        <v>176</v>
      </c>
      <c r="AX24" s="247" t="s">
        <v>176</v>
      </c>
      <c r="AY24" s="247" t="s">
        <v>176</v>
      </c>
      <c r="AZ24" s="247" t="s">
        <v>176</v>
      </c>
      <c r="BA24" s="247" t="s">
        <v>176</v>
      </c>
      <c r="BB24" s="247" t="s">
        <v>176</v>
      </c>
      <c r="BC24" s="247" t="s">
        <v>176</v>
      </c>
      <c r="BD24" s="185" t="s">
        <v>176</v>
      </c>
      <c r="BE24" s="247" t="s">
        <v>176</v>
      </c>
      <c r="BF24" s="247" t="s">
        <v>176</v>
      </c>
      <c r="BG24" s="247" t="s">
        <v>176</v>
      </c>
      <c r="BH24" s="247" t="s">
        <v>176</v>
      </c>
      <c r="BI24" s="247" t="s">
        <v>176</v>
      </c>
      <c r="BJ24" s="247" t="s">
        <v>176</v>
      </c>
      <c r="BK24" s="247" t="s">
        <v>176</v>
      </c>
      <c r="BL24" s="247" t="s">
        <v>176</v>
      </c>
      <c r="BM24" s="247" t="s">
        <v>176</v>
      </c>
      <c r="BN24" s="247" t="s">
        <v>176</v>
      </c>
      <c r="BO24" s="247" t="s">
        <v>176</v>
      </c>
      <c r="BP24" s="247" t="s">
        <v>176</v>
      </c>
      <c r="BQ24" s="247" t="s">
        <v>176</v>
      </c>
      <c r="BR24" s="247" t="s">
        <v>176</v>
      </c>
      <c r="BS24" s="247" t="s">
        <v>176</v>
      </c>
      <c r="BT24" s="247" t="s">
        <v>176</v>
      </c>
      <c r="BU24" s="247" t="s">
        <v>176</v>
      </c>
      <c r="BV24" s="247" t="s">
        <v>176</v>
      </c>
      <c r="BW24" s="247" t="s">
        <v>176</v>
      </c>
      <c r="BX24" s="247" t="s">
        <v>176</v>
      </c>
      <c r="BY24" s="247" t="s">
        <v>176</v>
      </c>
      <c r="BZ24" s="247" t="s">
        <v>176</v>
      </c>
      <c r="CA24" s="247" t="s">
        <v>176</v>
      </c>
      <c r="CB24" s="247" t="s">
        <v>176</v>
      </c>
      <c r="CC24" s="247" t="s">
        <v>176</v>
      </c>
      <c r="CD24" s="247" t="s">
        <v>176</v>
      </c>
      <c r="CE24" s="247" t="s">
        <v>176</v>
      </c>
      <c r="CF24" s="247" t="s">
        <v>176</v>
      </c>
      <c r="CG24" s="247" t="s">
        <v>176</v>
      </c>
      <c r="CH24" s="247" t="s">
        <v>176</v>
      </c>
      <c r="CI24" s="247" t="s">
        <v>176</v>
      </c>
      <c r="CJ24" s="247" t="s">
        <v>176</v>
      </c>
      <c r="CK24" s="247">
        <v>1</v>
      </c>
      <c r="CL24" s="247">
        <v>1</v>
      </c>
      <c r="CM24" s="247">
        <v>1</v>
      </c>
      <c r="CN24" s="247">
        <v>2</v>
      </c>
      <c r="CO24" s="247">
        <v>1</v>
      </c>
      <c r="CP24" s="247" t="s">
        <v>176</v>
      </c>
      <c r="CQ24" s="247" t="s">
        <v>176</v>
      </c>
      <c r="CR24" s="247">
        <v>1</v>
      </c>
      <c r="CS24" s="247">
        <v>2</v>
      </c>
      <c r="CT24" s="247" t="s">
        <v>176</v>
      </c>
      <c r="CU24" s="247" t="s">
        <v>176</v>
      </c>
      <c r="CV24" s="185">
        <v>1</v>
      </c>
      <c r="CW24" s="185">
        <v>1</v>
      </c>
      <c r="CX24" s="185" t="s">
        <v>176</v>
      </c>
      <c r="CY24" s="185" t="s">
        <v>176</v>
      </c>
      <c r="CZ24" s="247" t="s">
        <v>176</v>
      </c>
      <c r="DA24" s="185" t="s">
        <v>176</v>
      </c>
      <c r="DB24" s="247" t="s">
        <v>176</v>
      </c>
      <c r="DC24" s="185" t="s">
        <v>176</v>
      </c>
      <c r="DD24" s="247" t="s">
        <v>176</v>
      </c>
      <c r="DE24" s="185" t="s">
        <v>176</v>
      </c>
      <c r="DF24" s="185" t="s">
        <v>176</v>
      </c>
      <c r="DG24" s="247" t="s">
        <v>176</v>
      </c>
      <c r="DH24" s="185" t="s">
        <v>176</v>
      </c>
      <c r="DI24" s="185" t="s">
        <v>176</v>
      </c>
      <c r="DJ24" s="247" t="s">
        <v>176</v>
      </c>
      <c r="DK24" s="185" t="s">
        <v>176</v>
      </c>
      <c r="DL24" s="185" t="s">
        <v>176</v>
      </c>
      <c r="DM24" s="247" t="s">
        <v>176</v>
      </c>
      <c r="DN24" s="185" t="s">
        <v>176</v>
      </c>
      <c r="DO24" s="185" t="s">
        <v>176</v>
      </c>
      <c r="DP24" s="247" t="s">
        <v>176</v>
      </c>
      <c r="DQ24" s="185" t="s">
        <v>176</v>
      </c>
      <c r="DR24" s="185" t="s">
        <v>176</v>
      </c>
      <c r="DS24" s="247" t="s">
        <v>176</v>
      </c>
      <c r="DT24" s="247" t="s">
        <v>176</v>
      </c>
      <c r="DU24" s="247" t="s">
        <v>176</v>
      </c>
      <c r="DV24" s="247" t="s">
        <v>176</v>
      </c>
      <c r="DW24" s="247" t="s">
        <v>176</v>
      </c>
      <c r="DX24" s="247" t="s">
        <v>176</v>
      </c>
      <c r="DY24" s="247" t="s">
        <v>176</v>
      </c>
      <c r="DZ24" s="247" t="s">
        <v>176</v>
      </c>
      <c r="EA24" s="247" t="s">
        <v>176</v>
      </c>
      <c r="EB24" s="247" t="s">
        <v>176</v>
      </c>
      <c r="EC24" s="247" t="s">
        <v>176</v>
      </c>
      <c r="ED24" s="247" t="s">
        <v>176</v>
      </c>
      <c r="EE24" s="247" t="s">
        <v>176</v>
      </c>
      <c r="EF24" s="247" t="s">
        <v>176</v>
      </c>
      <c r="EG24" s="247" t="s">
        <v>176</v>
      </c>
      <c r="EH24" s="247" t="s">
        <v>176</v>
      </c>
      <c r="EI24" s="247" t="s">
        <v>176</v>
      </c>
      <c r="EJ24" s="247" t="s">
        <v>176</v>
      </c>
      <c r="EK24" s="247" t="s">
        <v>176</v>
      </c>
      <c r="EL24" s="247" t="s">
        <v>176</v>
      </c>
      <c r="EM24" s="247" t="s">
        <v>176</v>
      </c>
      <c r="EN24" s="247" t="s">
        <v>176</v>
      </c>
      <c r="EO24" s="247" t="s">
        <v>176</v>
      </c>
      <c r="EP24" s="247" t="s">
        <v>176</v>
      </c>
      <c r="EQ24" s="247" t="s">
        <v>176</v>
      </c>
      <c r="ER24" s="247" t="s">
        <v>176</v>
      </c>
      <c r="ES24" s="247" t="s">
        <v>176</v>
      </c>
      <c r="ET24" s="247" t="s">
        <v>176</v>
      </c>
      <c r="EU24" s="406" t="s">
        <v>176</v>
      </c>
      <c r="EV24" s="247" t="s">
        <v>176</v>
      </c>
      <c r="EW24" s="247">
        <v>2</v>
      </c>
      <c r="EX24" s="247">
        <v>2</v>
      </c>
      <c r="EY24" s="247">
        <v>1</v>
      </c>
      <c r="EZ24" s="247" t="s">
        <v>176</v>
      </c>
      <c r="FA24" s="247" t="s">
        <v>176</v>
      </c>
      <c r="FB24" s="247">
        <v>2</v>
      </c>
      <c r="FC24" s="247">
        <v>2</v>
      </c>
      <c r="FD24" s="247" t="s">
        <v>176</v>
      </c>
      <c r="FE24" s="247">
        <v>2</v>
      </c>
      <c r="FF24" s="247">
        <v>2</v>
      </c>
      <c r="FG24" s="247">
        <v>2</v>
      </c>
      <c r="FH24" s="247">
        <v>2</v>
      </c>
      <c r="FI24" s="247">
        <v>2</v>
      </c>
      <c r="FJ24" s="247" t="s">
        <v>176</v>
      </c>
      <c r="FK24" s="247" t="s">
        <v>176</v>
      </c>
      <c r="FL24" s="247" t="s">
        <v>176</v>
      </c>
      <c r="FM24" s="247">
        <v>2</v>
      </c>
      <c r="FN24" s="247" t="s">
        <v>176</v>
      </c>
      <c r="FO24" s="247" t="s">
        <v>176</v>
      </c>
      <c r="FP24" s="247" t="s">
        <v>160</v>
      </c>
      <c r="FQ24" s="247" t="s">
        <v>176</v>
      </c>
      <c r="FR24" s="247" t="s">
        <v>176</v>
      </c>
      <c r="FS24" s="247" t="s">
        <v>176</v>
      </c>
      <c r="FT24" s="247" t="s">
        <v>176</v>
      </c>
      <c r="FU24" s="247" t="s">
        <v>176</v>
      </c>
      <c r="FV24" s="247" t="s">
        <v>160</v>
      </c>
      <c r="FW24" s="247" t="s">
        <v>176</v>
      </c>
      <c r="FX24" s="247" t="s">
        <v>176</v>
      </c>
      <c r="FY24" s="247" t="s">
        <v>176</v>
      </c>
      <c r="FZ24" s="247" t="s">
        <v>176</v>
      </c>
      <c r="GA24" s="247" t="s">
        <v>176</v>
      </c>
      <c r="GB24" s="247" t="s">
        <v>176</v>
      </c>
      <c r="GC24" s="247" t="s">
        <v>176</v>
      </c>
      <c r="GD24" s="247" t="s">
        <v>176</v>
      </c>
      <c r="GE24" s="247" t="s">
        <v>176</v>
      </c>
      <c r="GF24" s="247" t="s">
        <v>176</v>
      </c>
      <c r="GG24" s="247" t="s">
        <v>176</v>
      </c>
      <c r="GH24" s="247" t="s">
        <v>176</v>
      </c>
      <c r="GI24" s="247" t="s">
        <v>176</v>
      </c>
      <c r="GJ24" s="249">
        <f t="shared" ref="GJ24:GJ63" si="1">SUM(D24:FN24)</f>
        <v>63</v>
      </c>
    </row>
    <row r="25" spans="1:192" ht="25.5" customHeight="1" x14ac:dyDescent="0.25">
      <c r="A25" s="258" t="s">
        <v>260</v>
      </c>
      <c r="B25" s="261" t="s">
        <v>193</v>
      </c>
      <c r="C25" s="266" t="s">
        <v>750</v>
      </c>
      <c r="D25" s="185">
        <v>1</v>
      </c>
      <c r="E25" s="185">
        <v>1</v>
      </c>
      <c r="F25" s="185" t="s">
        <v>176</v>
      </c>
      <c r="G25" s="185">
        <v>1</v>
      </c>
      <c r="H25" s="185">
        <v>1</v>
      </c>
      <c r="I25" s="185">
        <v>1</v>
      </c>
      <c r="J25" s="185" t="s">
        <v>176</v>
      </c>
      <c r="K25" s="185" t="s">
        <v>176</v>
      </c>
      <c r="L25" s="185">
        <v>1</v>
      </c>
      <c r="M25" s="185">
        <v>1</v>
      </c>
      <c r="N25" s="185" t="s">
        <v>176</v>
      </c>
      <c r="O25" s="185" t="s">
        <v>176</v>
      </c>
      <c r="P25" s="185" t="s">
        <v>176</v>
      </c>
      <c r="Q25" s="185" t="s">
        <v>176</v>
      </c>
      <c r="R25" s="185" t="s">
        <v>176</v>
      </c>
      <c r="S25" s="185" t="s">
        <v>176</v>
      </c>
      <c r="T25" s="185" t="s">
        <v>176</v>
      </c>
      <c r="U25" s="185" t="s">
        <v>176</v>
      </c>
      <c r="V25" s="185" t="s">
        <v>176</v>
      </c>
      <c r="W25" s="185" t="s">
        <v>176</v>
      </c>
      <c r="X25" s="185" t="s">
        <v>176</v>
      </c>
      <c r="Y25" s="185">
        <v>1</v>
      </c>
      <c r="Z25" s="185">
        <v>1</v>
      </c>
      <c r="AA25" s="185">
        <v>1</v>
      </c>
      <c r="AB25" s="185">
        <v>1</v>
      </c>
      <c r="AC25" s="185">
        <v>1</v>
      </c>
      <c r="AD25" s="185">
        <v>1</v>
      </c>
      <c r="AE25" s="185">
        <v>1</v>
      </c>
      <c r="AF25" s="185" t="s">
        <v>176</v>
      </c>
      <c r="AG25" s="185" t="s">
        <v>176</v>
      </c>
      <c r="AH25" s="185" t="s">
        <v>176</v>
      </c>
      <c r="AI25" s="185">
        <v>2</v>
      </c>
      <c r="AJ25" s="247" t="s">
        <v>176</v>
      </c>
      <c r="AK25" s="185" t="s">
        <v>176</v>
      </c>
      <c r="AL25" s="185">
        <v>2</v>
      </c>
      <c r="AM25" s="185">
        <v>1</v>
      </c>
      <c r="AN25" s="185">
        <v>1</v>
      </c>
      <c r="AO25" s="185" t="s">
        <v>176</v>
      </c>
      <c r="AP25" s="185">
        <v>1</v>
      </c>
      <c r="AQ25" s="185">
        <v>1</v>
      </c>
      <c r="AR25" s="185">
        <v>1</v>
      </c>
      <c r="AS25" s="185">
        <v>1</v>
      </c>
      <c r="AT25" s="185">
        <v>1</v>
      </c>
      <c r="AU25" s="185">
        <v>1</v>
      </c>
      <c r="AV25" s="185" t="s">
        <v>176</v>
      </c>
      <c r="AW25" s="185">
        <v>1</v>
      </c>
      <c r="AX25" s="185" t="s">
        <v>176</v>
      </c>
      <c r="AY25" s="185" t="s">
        <v>176</v>
      </c>
      <c r="AZ25" s="185" t="s">
        <v>176</v>
      </c>
      <c r="BA25" s="185" t="s">
        <v>176</v>
      </c>
      <c r="BB25" s="185">
        <v>1</v>
      </c>
      <c r="BC25" s="185" t="s">
        <v>176</v>
      </c>
      <c r="BD25" s="185" t="s">
        <v>176</v>
      </c>
      <c r="BE25" s="185" t="s">
        <v>176</v>
      </c>
      <c r="BF25" s="185" t="s">
        <v>176</v>
      </c>
      <c r="BG25" s="185" t="s">
        <v>176</v>
      </c>
      <c r="BH25" s="185" t="s">
        <v>176</v>
      </c>
      <c r="BI25" s="185" t="s">
        <v>176</v>
      </c>
      <c r="BJ25" s="185" t="s">
        <v>176</v>
      </c>
      <c r="BK25" s="185" t="s">
        <v>176</v>
      </c>
      <c r="BL25" s="185" t="s">
        <v>176</v>
      </c>
      <c r="BM25" s="185" t="s">
        <v>176</v>
      </c>
      <c r="BN25" s="185" t="s">
        <v>176</v>
      </c>
      <c r="BO25" s="185" t="s">
        <v>176</v>
      </c>
      <c r="BP25" s="185" t="s">
        <v>176</v>
      </c>
      <c r="BQ25" s="185" t="s">
        <v>176</v>
      </c>
      <c r="BR25" s="185" t="s">
        <v>176</v>
      </c>
      <c r="BS25" s="185" t="s">
        <v>176</v>
      </c>
      <c r="BT25" s="185" t="s">
        <v>176</v>
      </c>
      <c r="BU25" s="185" t="s">
        <v>176</v>
      </c>
      <c r="BV25" s="185" t="s">
        <v>176</v>
      </c>
      <c r="BW25" s="185" t="s">
        <v>176</v>
      </c>
      <c r="BX25" s="185" t="s">
        <v>176</v>
      </c>
      <c r="BY25" s="185" t="s">
        <v>176</v>
      </c>
      <c r="BZ25" s="185" t="s">
        <v>176</v>
      </c>
      <c r="CA25" s="185" t="s">
        <v>176</v>
      </c>
      <c r="CB25" s="185" t="s">
        <v>176</v>
      </c>
      <c r="CC25" s="185" t="s">
        <v>176</v>
      </c>
      <c r="CD25" s="185" t="s">
        <v>176</v>
      </c>
      <c r="CE25" s="185" t="s">
        <v>176</v>
      </c>
      <c r="CF25" s="185" t="s">
        <v>176</v>
      </c>
      <c r="CG25" s="185">
        <v>1</v>
      </c>
      <c r="CH25" s="185" t="s">
        <v>176</v>
      </c>
      <c r="CI25" s="185" t="s">
        <v>176</v>
      </c>
      <c r="CJ25" s="185" t="s">
        <v>176</v>
      </c>
      <c r="CK25" s="185" t="s">
        <v>176</v>
      </c>
      <c r="CL25" s="185">
        <v>1</v>
      </c>
      <c r="CM25" s="185" t="s">
        <v>176</v>
      </c>
      <c r="CN25" s="185" t="s">
        <v>176</v>
      </c>
      <c r="CO25" s="185" t="s">
        <v>176</v>
      </c>
      <c r="CP25" s="185" t="s">
        <v>176</v>
      </c>
      <c r="CQ25" s="185" t="s">
        <v>176</v>
      </c>
      <c r="CR25" s="185">
        <v>1</v>
      </c>
      <c r="CS25" s="189">
        <v>2</v>
      </c>
      <c r="CT25" s="368">
        <v>1</v>
      </c>
      <c r="CU25" s="368">
        <v>1</v>
      </c>
      <c r="CV25" s="189">
        <v>2</v>
      </c>
      <c r="CW25" s="189">
        <v>2</v>
      </c>
      <c r="CX25" s="189">
        <v>2</v>
      </c>
      <c r="CY25" s="189">
        <v>2</v>
      </c>
      <c r="CZ25" s="247" t="s">
        <v>176</v>
      </c>
      <c r="DA25" s="368">
        <v>1</v>
      </c>
      <c r="DB25" s="369" t="s">
        <v>176</v>
      </c>
      <c r="DC25" s="189">
        <v>2</v>
      </c>
      <c r="DD25" s="189">
        <v>2</v>
      </c>
      <c r="DE25" s="189">
        <v>2</v>
      </c>
      <c r="DF25" s="189">
        <v>2</v>
      </c>
      <c r="DG25" s="189">
        <v>2</v>
      </c>
      <c r="DH25" s="189">
        <v>2</v>
      </c>
      <c r="DI25" s="189">
        <v>2</v>
      </c>
      <c r="DJ25" s="189">
        <v>2</v>
      </c>
      <c r="DK25" s="189">
        <v>2</v>
      </c>
      <c r="DL25" s="189">
        <v>2</v>
      </c>
      <c r="DM25" s="189">
        <v>2</v>
      </c>
      <c r="DN25" s="189">
        <v>2</v>
      </c>
      <c r="DO25" s="189">
        <v>2</v>
      </c>
      <c r="DP25" s="189">
        <v>2</v>
      </c>
      <c r="DQ25" s="368">
        <v>1</v>
      </c>
      <c r="DR25" s="368">
        <v>1</v>
      </c>
      <c r="DS25" s="368">
        <v>1</v>
      </c>
      <c r="DT25" s="189">
        <v>2</v>
      </c>
      <c r="DU25" s="189">
        <v>2</v>
      </c>
      <c r="DV25" s="189">
        <v>2</v>
      </c>
      <c r="DW25" s="185" t="s">
        <v>176</v>
      </c>
      <c r="DX25" s="185" t="s">
        <v>176</v>
      </c>
      <c r="DY25" s="185" t="s">
        <v>176</v>
      </c>
      <c r="DZ25" s="185" t="s">
        <v>176</v>
      </c>
      <c r="EA25" s="185" t="s">
        <v>176</v>
      </c>
      <c r="EB25" s="185" t="s">
        <v>176</v>
      </c>
      <c r="EC25" s="185" t="s">
        <v>176</v>
      </c>
      <c r="ED25" s="185" t="s">
        <v>176</v>
      </c>
      <c r="EE25" s="185" t="s">
        <v>176</v>
      </c>
      <c r="EF25" s="185" t="s">
        <v>176</v>
      </c>
      <c r="EG25" s="185" t="s">
        <v>176</v>
      </c>
      <c r="EH25" s="185" t="s">
        <v>176</v>
      </c>
      <c r="EI25" s="185" t="s">
        <v>176</v>
      </c>
      <c r="EJ25" s="185" t="s">
        <v>176</v>
      </c>
      <c r="EK25" s="185" t="s">
        <v>176</v>
      </c>
      <c r="EL25" s="185" t="s">
        <v>176</v>
      </c>
      <c r="EM25" s="185">
        <v>1</v>
      </c>
      <c r="EN25" s="185" t="s">
        <v>176</v>
      </c>
      <c r="EO25" s="185" t="s">
        <v>176</v>
      </c>
      <c r="EP25" s="185" t="s">
        <v>176</v>
      </c>
      <c r="EQ25" s="185" t="s">
        <v>176</v>
      </c>
      <c r="ER25" s="185" t="s">
        <v>176</v>
      </c>
      <c r="ES25" s="185" t="s">
        <v>176</v>
      </c>
      <c r="ET25" s="185" t="s">
        <v>176</v>
      </c>
      <c r="EU25" s="406" t="s">
        <v>176</v>
      </c>
      <c r="EV25" s="185" t="s">
        <v>176</v>
      </c>
      <c r="EW25" s="185">
        <v>2</v>
      </c>
      <c r="EX25" s="185">
        <v>2</v>
      </c>
      <c r="EY25" s="185">
        <v>1</v>
      </c>
      <c r="EZ25" s="185" t="s">
        <v>176</v>
      </c>
      <c r="FA25" s="185" t="s">
        <v>176</v>
      </c>
      <c r="FB25" s="185">
        <v>2</v>
      </c>
      <c r="FC25" s="185">
        <v>2</v>
      </c>
      <c r="FD25" s="185">
        <v>2</v>
      </c>
      <c r="FE25" s="185">
        <v>2</v>
      </c>
      <c r="FF25" s="185">
        <v>2</v>
      </c>
      <c r="FG25" s="185">
        <v>2</v>
      </c>
      <c r="FH25" s="185">
        <v>2</v>
      </c>
      <c r="FI25" s="185">
        <v>2</v>
      </c>
      <c r="FJ25" s="185">
        <v>1</v>
      </c>
      <c r="FK25" s="185">
        <v>1</v>
      </c>
      <c r="FL25" s="185">
        <v>1</v>
      </c>
      <c r="FM25" s="247">
        <v>2</v>
      </c>
      <c r="FN25" s="247" t="s">
        <v>176</v>
      </c>
      <c r="FO25" s="185" t="s">
        <v>176</v>
      </c>
      <c r="FP25" s="185" t="s">
        <v>160</v>
      </c>
      <c r="FQ25" s="185" t="s">
        <v>176</v>
      </c>
      <c r="FR25" s="185" t="s">
        <v>176</v>
      </c>
      <c r="FS25" s="185" t="s">
        <v>176</v>
      </c>
      <c r="FT25" s="185" t="s">
        <v>176</v>
      </c>
      <c r="FU25" s="185" t="s">
        <v>176</v>
      </c>
      <c r="FV25" s="185" t="s">
        <v>176</v>
      </c>
      <c r="FW25" s="185" t="s">
        <v>176</v>
      </c>
      <c r="FX25" s="185" t="s">
        <v>160</v>
      </c>
      <c r="FY25" s="185" t="s">
        <v>176</v>
      </c>
      <c r="FZ25" s="185" t="s">
        <v>176</v>
      </c>
      <c r="GA25" s="185" t="s">
        <v>176</v>
      </c>
      <c r="GB25" s="185" t="s">
        <v>176</v>
      </c>
      <c r="GC25" s="185" t="s">
        <v>176</v>
      </c>
      <c r="GD25" s="185" t="s">
        <v>176</v>
      </c>
      <c r="GE25" s="185" t="s">
        <v>176</v>
      </c>
      <c r="GF25" s="185" t="s">
        <v>176</v>
      </c>
      <c r="GG25" s="185" t="s">
        <v>176</v>
      </c>
      <c r="GH25" s="185" t="s">
        <v>176</v>
      </c>
      <c r="GI25" s="185" t="s">
        <v>176</v>
      </c>
      <c r="GJ25" s="271">
        <f t="shared" si="1"/>
        <v>108</v>
      </c>
    </row>
    <row r="26" spans="1:192" ht="25.5" customHeight="1" x14ac:dyDescent="0.25">
      <c r="A26" s="258" t="s">
        <v>260</v>
      </c>
      <c r="B26" s="261" t="s">
        <v>196</v>
      </c>
      <c r="C26" s="266" t="s">
        <v>750</v>
      </c>
      <c r="D26" s="185">
        <v>1</v>
      </c>
      <c r="E26" s="185">
        <v>1</v>
      </c>
      <c r="F26" s="185" t="s">
        <v>176</v>
      </c>
      <c r="G26" s="185">
        <v>1</v>
      </c>
      <c r="H26" s="185">
        <v>1</v>
      </c>
      <c r="I26" s="185">
        <v>1</v>
      </c>
      <c r="J26" s="185" t="s">
        <v>176</v>
      </c>
      <c r="K26" s="185" t="s">
        <v>176</v>
      </c>
      <c r="L26" s="185">
        <v>1</v>
      </c>
      <c r="M26" s="185">
        <v>1</v>
      </c>
      <c r="N26" s="185" t="s">
        <v>176</v>
      </c>
      <c r="O26" s="185" t="s">
        <v>176</v>
      </c>
      <c r="P26" s="185" t="s">
        <v>176</v>
      </c>
      <c r="Q26" s="185" t="s">
        <v>176</v>
      </c>
      <c r="R26" s="185" t="s">
        <v>176</v>
      </c>
      <c r="S26" s="185" t="s">
        <v>176</v>
      </c>
      <c r="T26" s="185" t="s">
        <v>176</v>
      </c>
      <c r="U26" s="185" t="s">
        <v>176</v>
      </c>
      <c r="V26" s="185" t="s">
        <v>176</v>
      </c>
      <c r="W26" s="185" t="s">
        <v>176</v>
      </c>
      <c r="X26" s="185" t="s">
        <v>176</v>
      </c>
      <c r="Y26" s="185">
        <v>1</v>
      </c>
      <c r="Z26" s="185">
        <v>1</v>
      </c>
      <c r="AA26" s="185">
        <v>2</v>
      </c>
      <c r="AB26" s="185">
        <v>1</v>
      </c>
      <c r="AC26" s="185">
        <v>1</v>
      </c>
      <c r="AD26" s="185">
        <v>1</v>
      </c>
      <c r="AE26" s="185">
        <v>2</v>
      </c>
      <c r="AF26" s="185" t="s">
        <v>176</v>
      </c>
      <c r="AG26" s="185" t="s">
        <v>176</v>
      </c>
      <c r="AH26" s="185" t="s">
        <v>176</v>
      </c>
      <c r="AI26" s="185">
        <v>2</v>
      </c>
      <c r="AJ26" s="247">
        <v>1</v>
      </c>
      <c r="AK26" s="185">
        <v>1</v>
      </c>
      <c r="AL26" s="185">
        <v>2</v>
      </c>
      <c r="AM26" s="185">
        <v>1</v>
      </c>
      <c r="AN26" s="185">
        <v>1</v>
      </c>
      <c r="AO26" s="185" t="s">
        <v>176</v>
      </c>
      <c r="AP26" s="185">
        <v>2</v>
      </c>
      <c r="AQ26" s="185">
        <v>2</v>
      </c>
      <c r="AR26" s="185">
        <v>2</v>
      </c>
      <c r="AS26" s="185">
        <v>1</v>
      </c>
      <c r="AT26" s="185">
        <v>1</v>
      </c>
      <c r="AU26" s="185">
        <v>1</v>
      </c>
      <c r="AV26" s="185" t="s">
        <v>176</v>
      </c>
      <c r="AW26" s="185">
        <v>1</v>
      </c>
      <c r="AX26" s="185" t="s">
        <v>176</v>
      </c>
      <c r="AY26" s="185" t="s">
        <v>176</v>
      </c>
      <c r="AZ26" s="185" t="s">
        <v>176</v>
      </c>
      <c r="BA26" s="185" t="s">
        <v>176</v>
      </c>
      <c r="BB26" s="185">
        <v>1</v>
      </c>
      <c r="BC26" s="185" t="s">
        <v>176</v>
      </c>
      <c r="BD26" s="185" t="s">
        <v>176</v>
      </c>
      <c r="BE26" s="185" t="s">
        <v>176</v>
      </c>
      <c r="BF26" s="185" t="s">
        <v>176</v>
      </c>
      <c r="BG26" s="185" t="s">
        <v>176</v>
      </c>
      <c r="BH26" s="185" t="s">
        <v>176</v>
      </c>
      <c r="BI26" s="185" t="s">
        <v>176</v>
      </c>
      <c r="BJ26" s="185" t="s">
        <v>176</v>
      </c>
      <c r="BK26" s="185" t="s">
        <v>176</v>
      </c>
      <c r="BL26" s="185" t="s">
        <v>176</v>
      </c>
      <c r="BM26" s="185" t="s">
        <v>176</v>
      </c>
      <c r="BN26" s="185" t="s">
        <v>176</v>
      </c>
      <c r="BO26" s="185" t="s">
        <v>176</v>
      </c>
      <c r="BP26" s="185" t="s">
        <v>176</v>
      </c>
      <c r="BQ26" s="185" t="s">
        <v>176</v>
      </c>
      <c r="BR26" s="185" t="s">
        <v>176</v>
      </c>
      <c r="BS26" s="185" t="s">
        <v>176</v>
      </c>
      <c r="BT26" s="185" t="s">
        <v>176</v>
      </c>
      <c r="BU26" s="185" t="s">
        <v>176</v>
      </c>
      <c r="BV26" s="185" t="s">
        <v>176</v>
      </c>
      <c r="BW26" s="185" t="s">
        <v>176</v>
      </c>
      <c r="BX26" s="185" t="s">
        <v>176</v>
      </c>
      <c r="BY26" s="185" t="s">
        <v>176</v>
      </c>
      <c r="BZ26" s="185" t="s">
        <v>176</v>
      </c>
      <c r="CA26" s="185" t="s">
        <v>176</v>
      </c>
      <c r="CB26" s="185" t="s">
        <v>176</v>
      </c>
      <c r="CC26" s="185" t="s">
        <v>176</v>
      </c>
      <c r="CD26" s="185" t="s">
        <v>176</v>
      </c>
      <c r="CE26" s="185" t="s">
        <v>176</v>
      </c>
      <c r="CF26" s="185" t="s">
        <v>176</v>
      </c>
      <c r="CG26" s="185">
        <v>2</v>
      </c>
      <c r="CH26" s="185" t="s">
        <v>176</v>
      </c>
      <c r="CI26" s="185" t="s">
        <v>176</v>
      </c>
      <c r="CJ26" s="185" t="s">
        <v>176</v>
      </c>
      <c r="CK26" s="185" t="s">
        <v>176</v>
      </c>
      <c r="CL26" s="185">
        <v>2</v>
      </c>
      <c r="CM26" s="185">
        <v>1</v>
      </c>
      <c r="CN26" s="185">
        <v>1</v>
      </c>
      <c r="CO26" s="185">
        <v>1</v>
      </c>
      <c r="CP26" s="185" t="s">
        <v>176</v>
      </c>
      <c r="CQ26" s="185" t="s">
        <v>176</v>
      </c>
      <c r="CR26" s="185">
        <v>1</v>
      </c>
      <c r="CS26" s="189">
        <v>2</v>
      </c>
      <c r="CT26" s="185">
        <v>2</v>
      </c>
      <c r="CU26" s="185">
        <v>1</v>
      </c>
      <c r="CV26" s="189">
        <v>2</v>
      </c>
      <c r="CW26" s="189">
        <v>2</v>
      </c>
      <c r="CX26" s="189">
        <v>2</v>
      </c>
      <c r="CY26" s="189">
        <v>2</v>
      </c>
      <c r="CZ26" s="189">
        <v>2</v>
      </c>
      <c r="DA26" s="189">
        <v>2</v>
      </c>
      <c r="DB26" s="189">
        <v>2</v>
      </c>
      <c r="DC26" s="189" t="s">
        <v>176</v>
      </c>
      <c r="DD26" s="189" t="s">
        <v>176</v>
      </c>
      <c r="DE26" s="189">
        <v>2</v>
      </c>
      <c r="DF26" s="189">
        <v>2</v>
      </c>
      <c r="DG26" s="189">
        <v>2</v>
      </c>
      <c r="DH26" s="189">
        <v>2</v>
      </c>
      <c r="DI26" s="189">
        <v>2</v>
      </c>
      <c r="DJ26" s="189">
        <v>2</v>
      </c>
      <c r="DK26" s="189">
        <v>2</v>
      </c>
      <c r="DL26" s="189">
        <v>2</v>
      </c>
      <c r="DM26" s="189">
        <v>2</v>
      </c>
      <c r="DN26" s="189">
        <v>2</v>
      </c>
      <c r="DO26" s="189">
        <v>2</v>
      </c>
      <c r="DP26" s="189">
        <v>2</v>
      </c>
      <c r="DQ26" s="189">
        <v>2</v>
      </c>
      <c r="DR26" s="189">
        <v>2</v>
      </c>
      <c r="DS26" s="368">
        <v>1</v>
      </c>
      <c r="DT26" s="189">
        <v>2</v>
      </c>
      <c r="DU26" s="189">
        <v>2</v>
      </c>
      <c r="DV26" s="189">
        <v>2</v>
      </c>
      <c r="DW26" s="185" t="s">
        <v>176</v>
      </c>
      <c r="DX26" s="185" t="s">
        <v>176</v>
      </c>
      <c r="DY26" s="185" t="s">
        <v>176</v>
      </c>
      <c r="DZ26" s="185" t="s">
        <v>176</v>
      </c>
      <c r="EA26" s="185" t="s">
        <v>176</v>
      </c>
      <c r="EB26" s="185" t="s">
        <v>176</v>
      </c>
      <c r="EC26" s="185" t="s">
        <v>176</v>
      </c>
      <c r="ED26" s="185" t="s">
        <v>176</v>
      </c>
      <c r="EE26" s="185" t="s">
        <v>176</v>
      </c>
      <c r="EF26" s="185" t="s">
        <v>176</v>
      </c>
      <c r="EG26" s="185" t="s">
        <v>176</v>
      </c>
      <c r="EH26" s="185" t="s">
        <v>176</v>
      </c>
      <c r="EI26" s="185" t="s">
        <v>176</v>
      </c>
      <c r="EJ26" s="185" t="s">
        <v>176</v>
      </c>
      <c r="EK26" s="185" t="s">
        <v>176</v>
      </c>
      <c r="EL26" s="185" t="s">
        <v>176</v>
      </c>
      <c r="EM26" s="185">
        <v>1</v>
      </c>
      <c r="EN26" s="185" t="s">
        <v>176</v>
      </c>
      <c r="EO26" s="185" t="s">
        <v>176</v>
      </c>
      <c r="EP26" s="185" t="s">
        <v>176</v>
      </c>
      <c r="EQ26" s="185" t="s">
        <v>176</v>
      </c>
      <c r="ER26" s="185" t="s">
        <v>176</v>
      </c>
      <c r="ES26" s="185" t="s">
        <v>176</v>
      </c>
      <c r="ET26" s="185" t="s">
        <v>176</v>
      </c>
      <c r="EU26" s="406" t="s">
        <v>176</v>
      </c>
      <c r="EV26" s="185" t="s">
        <v>176</v>
      </c>
      <c r="EW26" s="185">
        <v>2</v>
      </c>
      <c r="EX26" s="185">
        <v>2</v>
      </c>
      <c r="EY26" s="185">
        <v>1</v>
      </c>
      <c r="EZ26" s="185">
        <v>2</v>
      </c>
      <c r="FA26" s="185" t="s">
        <v>176</v>
      </c>
      <c r="FB26" s="185">
        <v>2</v>
      </c>
      <c r="FC26" s="185">
        <v>2</v>
      </c>
      <c r="FD26" s="185">
        <v>2</v>
      </c>
      <c r="FE26" s="185">
        <v>2</v>
      </c>
      <c r="FF26" s="185">
        <v>2</v>
      </c>
      <c r="FG26" s="185">
        <v>2</v>
      </c>
      <c r="FH26" s="185">
        <v>2</v>
      </c>
      <c r="FI26" s="185">
        <v>2</v>
      </c>
      <c r="FJ26" s="185">
        <v>1</v>
      </c>
      <c r="FK26" s="185">
        <v>1</v>
      </c>
      <c r="FL26" s="185">
        <v>1</v>
      </c>
      <c r="FM26" s="247">
        <v>2</v>
      </c>
      <c r="FN26" s="185">
        <v>2</v>
      </c>
      <c r="FO26" s="185" t="s">
        <v>176</v>
      </c>
      <c r="FP26" s="185" t="s">
        <v>160</v>
      </c>
      <c r="FQ26" s="185" t="s">
        <v>160</v>
      </c>
      <c r="FR26" s="185" t="s">
        <v>176</v>
      </c>
      <c r="FS26" s="185" t="s">
        <v>176</v>
      </c>
      <c r="FT26" s="185" t="s">
        <v>176</v>
      </c>
      <c r="FU26" s="185" t="s">
        <v>176</v>
      </c>
      <c r="FV26" s="185" t="s">
        <v>176</v>
      </c>
      <c r="FW26" s="185" t="s">
        <v>176</v>
      </c>
      <c r="FX26" s="185" t="s">
        <v>160</v>
      </c>
      <c r="FY26" s="185" t="s">
        <v>176</v>
      </c>
      <c r="FZ26" s="185" t="s">
        <v>160</v>
      </c>
      <c r="GA26" s="185" t="s">
        <v>176</v>
      </c>
      <c r="GB26" s="185" t="s">
        <v>176</v>
      </c>
      <c r="GC26" s="185" t="s">
        <v>176</v>
      </c>
      <c r="GD26" s="185" t="s">
        <v>176</v>
      </c>
      <c r="GE26" s="185" t="s">
        <v>176</v>
      </c>
      <c r="GF26" s="185" t="s">
        <v>176</v>
      </c>
      <c r="GG26" s="185" t="s">
        <v>176</v>
      </c>
      <c r="GH26" s="185" t="s">
        <v>176</v>
      </c>
      <c r="GI26" s="185" t="s">
        <v>176</v>
      </c>
      <c r="GJ26" s="263">
        <f t="shared" si="1"/>
        <v>128</v>
      </c>
    </row>
    <row r="27" spans="1:192" ht="25.5" customHeight="1" x14ac:dyDescent="0.25">
      <c r="A27" s="258" t="s">
        <v>260</v>
      </c>
      <c r="B27" s="261" t="s">
        <v>216</v>
      </c>
      <c r="C27" s="266" t="s">
        <v>750</v>
      </c>
      <c r="D27" s="185">
        <v>1</v>
      </c>
      <c r="E27" s="185">
        <v>1</v>
      </c>
      <c r="F27" s="185" t="s">
        <v>176</v>
      </c>
      <c r="G27" s="185">
        <v>1</v>
      </c>
      <c r="H27" s="185">
        <v>1</v>
      </c>
      <c r="I27" s="185">
        <v>1</v>
      </c>
      <c r="J27" s="185" t="s">
        <v>176</v>
      </c>
      <c r="K27" s="185" t="s">
        <v>176</v>
      </c>
      <c r="L27" s="185">
        <v>1</v>
      </c>
      <c r="M27" s="185">
        <v>1</v>
      </c>
      <c r="N27" s="185" t="s">
        <v>176</v>
      </c>
      <c r="O27" s="185" t="s">
        <v>176</v>
      </c>
      <c r="P27" s="185" t="s">
        <v>176</v>
      </c>
      <c r="Q27" s="185" t="s">
        <v>176</v>
      </c>
      <c r="R27" s="185" t="s">
        <v>176</v>
      </c>
      <c r="S27" s="185" t="s">
        <v>176</v>
      </c>
      <c r="T27" s="185" t="s">
        <v>176</v>
      </c>
      <c r="U27" s="185" t="s">
        <v>176</v>
      </c>
      <c r="V27" s="185" t="s">
        <v>176</v>
      </c>
      <c r="W27" s="185" t="s">
        <v>176</v>
      </c>
      <c r="X27" s="185" t="s">
        <v>176</v>
      </c>
      <c r="Y27" s="185">
        <v>1</v>
      </c>
      <c r="Z27" s="185">
        <v>1</v>
      </c>
      <c r="AA27" s="185">
        <v>1</v>
      </c>
      <c r="AB27" s="185">
        <v>1</v>
      </c>
      <c r="AC27" s="185">
        <v>1</v>
      </c>
      <c r="AD27" s="185">
        <v>1</v>
      </c>
      <c r="AE27" s="185">
        <v>1</v>
      </c>
      <c r="AF27" s="185" t="s">
        <v>176</v>
      </c>
      <c r="AG27" s="185" t="s">
        <v>176</v>
      </c>
      <c r="AH27" s="185" t="s">
        <v>176</v>
      </c>
      <c r="AI27" s="185">
        <v>2</v>
      </c>
      <c r="AJ27" s="185" t="s">
        <v>176</v>
      </c>
      <c r="AK27" s="185" t="s">
        <v>176</v>
      </c>
      <c r="AL27" s="185">
        <v>2</v>
      </c>
      <c r="AM27" s="185">
        <v>1</v>
      </c>
      <c r="AN27" s="185">
        <v>1</v>
      </c>
      <c r="AO27" s="185" t="s">
        <v>176</v>
      </c>
      <c r="AP27" s="185">
        <v>1</v>
      </c>
      <c r="AQ27" s="185">
        <v>1</v>
      </c>
      <c r="AR27" s="185">
        <v>1</v>
      </c>
      <c r="AS27" s="185">
        <v>1</v>
      </c>
      <c r="AT27" s="185">
        <v>1</v>
      </c>
      <c r="AU27" s="185">
        <v>1</v>
      </c>
      <c r="AV27" s="185" t="s">
        <v>176</v>
      </c>
      <c r="AW27" s="185">
        <v>1</v>
      </c>
      <c r="AX27" s="185" t="s">
        <v>176</v>
      </c>
      <c r="AY27" s="185" t="s">
        <v>176</v>
      </c>
      <c r="AZ27" s="185" t="s">
        <v>176</v>
      </c>
      <c r="BA27" s="185" t="s">
        <v>176</v>
      </c>
      <c r="BB27" s="185">
        <v>1</v>
      </c>
      <c r="BC27" s="185" t="s">
        <v>176</v>
      </c>
      <c r="BD27" s="185" t="s">
        <v>176</v>
      </c>
      <c r="BE27" s="185" t="s">
        <v>176</v>
      </c>
      <c r="BF27" s="185" t="s">
        <v>176</v>
      </c>
      <c r="BG27" s="185" t="s">
        <v>176</v>
      </c>
      <c r="BH27" s="185" t="s">
        <v>176</v>
      </c>
      <c r="BI27" s="185" t="s">
        <v>176</v>
      </c>
      <c r="BJ27" s="185" t="s">
        <v>176</v>
      </c>
      <c r="BK27" s="185" t="s">
        <v>176</v>
      </c>
      <c r="BL27" s="185" t="s">
        <v>176</v>
      </c>
      <c r="BM27" s="185" t="s">
        <v>176</v>
      </c>
      <c r="BN27" s="185" t="s">
        <v>176</v>
      </c>
      <c r="BO27" s="185" t="s">
        <v>176</v>
      </c>
      <c r="BP27" s="185" t="s">
        <v>176</v>
      </c>
      <c r="BQ27" s="185" t="s">
        <v>176</v>
      </c>
      <c r="BR27" s="185" t="s">
        <v>176</v>
      </c>
      <c r="BS27" s="185" t="s">
        <v>176</v>
      </c>
      <c r="BT27" s="185" t="s">
        <v>176</v>
      </c>
      <c r="BU27" s="185" t="s">
        <v>176</v>
      </c>
      <c r="BV27" s="185" t="s">
        <v>176</v>
      </c>
      <c r="BW27" s="185" t="s">
        <v>176</v>
      </c>
      <c r="BX27" s="185" t="s">
        <v>176</v>
      </c>
      <c r="BY27" s="185" t="s">
        <v>176</v>
      </c>
      <c r="BZ27" s="185" t="s">
        <v>176</v>
      </c>
      <c r="CA27" s="185" t="s">
        <v>176</v>
      </c>
      <c r="CB27" s="185" t="s">
        <v>176</v>
      </c>
      <c r="CC27" s="185" t="s">
        <v>176</v>
      </c>
      <c r="CD27" s="185" t="s">
        <v>176</v>
      </c>
      <c r="CE27" s="185" t="s">
        <v>176</v>
      </c>
      <c r="CF27" s="185" t="s">
        <v>176</v>
      </c>
      <c r="CG27" s="185">
        <v>1</v>
      </c>
      <c r="CH27" s="185" t="s">
        <v>176</v>
      </c>
      <c r="CI27" s="185" t="s">
        <v>176</v>
      </c>
      <c r="CJ27" s="185" t="s">
        <v>176</v>
      </c>
      <c r="CK27" s="185" t="s">
        <v>176</v>
      </c>
      <c r="CL27" s="185">
        <v>1</v>
      </c>
      <c r="CM27" s="185" t="s">
        <v>176</v>
      </c>
      <c r="CN27" s="185" t="s">
        <v>176</v>
      </c>
      <c r="CO27" s="185" t="s">
        <v>176</v>
      </c>
      <c r="CP27" s="185" t="s">
        <v>176</v>
      </c>
      <c r="CQ27" s="185" t="s">
        <v>176</v>
      </c>
      <c r="CR27" s="185">
        <v>1</v>
      </c>
      <c r="CS27" s="189">
        <v>2</v>
      </c>
      <c r="CT27" s="189">
        <v>1</v>
      </c>
      <c r="CU27" s="189">
        <v>1</v>
      </c>
      <c r="CV27" s="368">
        <v>1</v>
      </c>
      <c r="CW27" s="368">
        <v>1</v>
      </c>
      <c r="CX27" s="368">
        <v>1</v>
      </c>
      <c r="CY27" s="368">
        <v>1</v>
      </c>
      <c r="CZ27" s="368">
        <v>1</v>
      </c>
      <c r="DA27" s="368">
        <v>1</v>
      </c>
      <c r="DB27" s="369" t="s">
        <v>176</v>
      </c>
      <c r="DC27" s="368">
        <v>1</v>
      </c>
      <c r="DD27" s="368">
        <v>1</v>
      </c>
      <c r="DE27" s="368">
        <v>1</v>
      </c>
      <c r="DF27" s="368">
        <v>1</v>
      </c>
      <c r="DG27" s="368">
        <v>1</v>
      </c>
      <c r="DH27" s="368">
        <v>1</v>
      </c>
      <c r="DI27" s="368">
        <v>1</v>
      </c>
      <c r="DJ27" s="368">
        <v>1</v>
      </c>
      <c r="DK27" s="368">
        <v>1</v>
      </c>
      <c r="DL27" s="368">
        <v>1</v>
      </c>
      <c r="DM27" s="368">
        <v>1</v>
      </c>
      <c r="DN27" s="368">
        <v>1</v>
      </c>
      <c r="DO27" s="368">
        <v>1</v>
      </c>
      <c r="DP27" s="368">
        <v>1</v>
      </c>
      <c r="DQ27" s="368">
        <v>1</v>
      </c>
      <c r="DR27" s="368">
        <v>1</v>
      </c>
      <c r="DS27" s="368">
        <v>1</v>
      </c>
      <c r="DT27" s="368">
        <v>1</v>
      </c>
      <c r="DU27" s="368">
        <v>1</v>
      </c>
      <c r="DV27" s="368">
        <v>1</v>
      </c>
      <c r="DW27" s="185" t="s">
        <v>176</v>
      </c>
      <c r="DX27" s="185" t="s">
        <v>176</v>
      </c>
      <c r="DY27" s="185" t="s">
        <v>176</v>
      </c>
      <c r="DZ27" s="185" t="s">
        <v>176</v>
      </c>
      <c r="EA27" s="185" t="s">
        <v>176</v>
      </c>
      <c r="EB27" s="185" t="s">
        <v>176</v>
      </c>
      <c r="EC27" s="185" t="s">
        <v>176</v>
      </c>
      <c r="ED27" s="185" t="s">
        <v>176</v>
      </c>
      <c r="EE27" s="185" t="s">
        <v>176</v>
      </c>
      <c r="EF27" s="185" t="s">
        <v>176</v>
      </c>
      <c r="EG27" s="185" t="s">
        <v>176</v>
      </c>
      <c r="EH27" s="185" t="s">
        <v>176</v>
      </c>
      <c r="EI27" s="185" t="s">
        <v>176</v>
      </c>
      <c r="EJ27" s="185" t="s">
        <v>176</v>
      </c>
      <c r="EK27" s="185" t="s">
        <v>176</v>
      </c>
      <c r="EL27" s="185" t="s">
        <v>176</v>
      </c>
      <c r="EM27" s="185" t="s">
        <v>176</v>
      </c>
      <c r="EN27" s="185" t="s">
        <v>176</v>
      </c>
      <c r="EO27" s="185" t="s">
        <v>176</v>
      </c>
      <c r="EP27" s="185" t="s">
        <v>176</v>
      </c>
      <c r="EQ27" s="185" t="s">
        <v>176</v>
      </c>
      <c r="ER27" s="185" t="s">
        <v>176</v>
      </c>
      <c r="ES27" s="185" t="s">
        <v>176</v>
      </c>
      <c r="ET27" s="185" t="s">
        <v>176</v>
      </c>
      <c r="EU27" s="406" t="s">
        <v>176</v>
      </c>
      <c r="EV27" s="185" t="s">
        <v>176</v>
      </c>
      <c r="EW27" s="185">
        <v>2</v>
      </c>
      <c r="EX27" s="185">
        <v>2</v>
      </c>
      <c r="EY27" s="185" t="s">
        <v>176</v>
      </c>
      <c r="EZ27" s="185" t="s">
        <v>176</v>
      </c>
      <c r="FA27" s="185" t="s">
        <v>176</v>
      </c>
      <c r="FB27" s="185">
        <v>1</v>
      </c>
      <c r="FC27" s="185">
        <v>2</v>
      </c>
      <c r="FD27" s="185">
        <v>1</v>
      </c>
      <c r="FE27" s="185" t="s">
        <v>176</v>
      </c>
      <c r="FF27" s="185">
        <v>1</v>
      </c>
      <c r="FG27" s="185">
        <v>2</v>
      </c>
      <c r="FH27" s="185">
        <v>1</v>
      </c>
      <c r="FI27" s="185">
        <v>1</v>
      </c>
      <c r="FJ27" s="185">
        <v>1</v>
      </c>
      <c r="FK27" s="185">
        <v>1</v>
      </c>
      <c r="FL27" s="185">
        <v>1</v>
      </c>
      <c r="FM27" s="247">
        <v>2</v>
      </c>
      <c r="FN27" s="185" t="s">
        <v>176</v>
      </c>
      <c r="FO27" s="185" t="s">
        <v>160</v>
      </c>
      <c r="FP27" s="185" t="s">
        <v>176</v>
      </c>
      <c r="FQ27" s="185" t="s">
        <v>176</v>
      </c>
      <c r="FR27" s="185" t="s">
        <v>176</v>
      </c>
      <c r="FS27" s="185" t="s">
        <v>176</v>
      </c>
      <c r="FT27" s="185" t="s">
        <v>176</v>
      </c>
      <c r="FU27" s="185" t="s">
        <v>176</v>
      </c>
      <c r="FV27" s="185" t="s">
        <v>176</v>
      </c>
      <c r="FW27" s="185" t="s">
        <v>160</v>
      </c>
      <c r="FX27" s="185" t="s">
        <v>160</v>
      </c>
      <c r="FY27" s="185" t="s">
        <v>176</v>
      </c>
      <c r="FZ27" s="185" t="s">
        <v>176</v>
      </c>
      <c r="GA27" s="185" t="s">
        <v>176</v>
      </c>
      <c r="GB27" s="185" t="s">
        <v>176</v>
      </c>
      <c r="GC27" s="185" t="s">
        <v>176</v>
      </c>
      <c r="GD27" s="185" t="s">
        <v>176</v>
      </c>
      <c r="GE27" s="185" t="s">
        <v>176</v>
      </c>
      <c r="GF27" s="185" t="s">
        <v>176</v>
      </c>
      <c r="GG27" s="185" t="s">
        <v>176</v>
      </c>
      <c r="GH27" s="185" t="s">
        <v>176</v>
      </c>
      <c r="GI27" s="188" t="s">
        <v>176</v>
      </c>
      <c r="GJ27" s="263">
        <f t="shared" si="1"/>
        <v>79</v>
      </c>
    </row>
    <row r="28" spans="1:192" ht="25.5" customHeight="1" x14ac:dyDescent="0.25">
      <c r="A28" s="272" t="s">
        <v>259</v>
      </c>
      <c r="B28" s="276" t="s">
        <v>665</v>
      </c>
      <c r="C28" s="266" t="s">
        <v>750</v>
      </c>
      <c r="D28" s="247">
        <v>2</v>
      </c>
      <c r="E28" s="247">
        <v>2</v>
      </c>
      <c r="F28" s="247">
        <v>2</v>
      </c>
      <c r="G28" s="247">
        <v>1</v>
      </c>
      <c r="H28" s="247">
        <v>2</v>
      </c>
      <c r="I28" s="247">
        <v>1</v>
      </c>
      <c r="J28" s="247" t="s">
        <v>176</v>
      </c>
      <c r="K28" s="247" t="s">
        <v>176</v>
      </c>
      <c r="L28" s="247">
        <v>1</v>
      </c>
      <c r="M28" s="247">
        <v>1</v>
      </c>
      <c r="N28" s="247" t="s">
        <v>176</v>
      </c>
      <c r="O28" s="247" t="s">
        <v>176</v>
      </c>
      <c r="P28" s="247" t="s">
        <v>176</v>
      </c>
      <c r="Q28" s="247" t="s">
        <v>176</v>
      </c>
      <c r="R28" s="247" t="s">
        <v>176</v>
      </c>
      <c r="S28" s="247" t="s">
        <v>176</v>
      </c>
      <c r="T28" s="247" t="s">
        <v>176</v>
      </c>
      <c r="U28" s="247" t="s">
        <v>176</v>
      </c>
      <c r="V28" s="247" t="s">
        <v>176</v>
      </c>
      <c r="W28" s="247" t="s">
        <v>176</v>
      </c>
      <c r="X28" s="247" t="s">
        <v>176</v>
      </c>
      <c r="Y28" s="247">
        <v>2</v>
      </c>
      <c r="Z28" s="247">
        <v>2</v>
      </c>
      <c r="AA28" s="247">
        <v>2</v>
      </c>
      <c r="AB28" s="247">
        <v>2</v>
      </c>
      <c r="AC28" s="247">
        <v>2</v>
      </c>
      <c r="AD28" s="247">
        <v>2</v>
      </c>
      <c r="AE28" s="247">
        <v>2</v>
      </c>
      <c r="AF28" s="247" t="s">
        <v>176</v>
      </c>
      <c r="AG28" s="247" t="s">
        <v>176</v>
      </c>
      <c r="AH28" s="247" t="s">
        <v>176</v>
      </c>
      <c r="AI28" s="247">
        <v>2</v>
      </c>
      <c r="AJ28" s="247">
        <v>2</v>
      </c>
      <c r="AK28" s="247" t="s">
        <v>176</v>
      </c>
      <c r="AL28" s="247">
        <v>2</v>
      </c>
      <c r="AM28" s="247">
        <v>2</v>
      </c>
      <c r="AN28" s="247">
        <v>2</v>
      </c>
      <c r="AO28" s="247">
        <v>2</v>
      </c>
      <c r="AP28" s="247">
        <v>2</v>
      </c>
      <c r="AQ28" s="247">
        <v>2</v>
      </c>
      <c r="AR28" s="247">
        <v>2</v>
      </c>
      <c r="AS28" s="247">
        <v>2</v>
      </c>
      <c r="AT28" s="247">
        <v>1</v>
      </c>
      <c r="AU28" s="247">
        <v>2</v>
      </c>
      <c r="AV28" s="247" t="s">
        <v>176</v>
      </c>
      <c r="AW28" s="247">
        <v>2</v>
      </c>
      <c r="AX28" s="247" t="s">
        <v>176</v>
      </c>
      <c r="AY28" s="247" t="s">
        <v>176</v>
      </c>
      <c r="AZ28" s="247" t="s">
        <v>176</v>
      </c>
      <c r="BA28" s="247" t="s">
        <v>176</v>
      </c>
      <c r="BB28" s="247" t="s">
        <v>176</v>
      </c>
      <c r="BC28" s="247" t="s">
        <v>176</v>
      </c>
      <c r="BD28" s="247" t="s">
        <v>176</v>
      </c>
      <c r="BE28" s="247" t="s">
        <v>176</v>
      </c>
      <c r="BF28" s="247" t="s">
        <v>176</v>
      </c>
      <c r="BG28" s="247" t="s">
        <v>176</v>
      </c>
      <c r="BH28" s="247" t="s">
        <v>176</v>
      </c>
      <c r="BI28" s="247" t="s">
        <v>176</v>
      </c>
      <c r="BJ28" s="247" t="s">
        <v>176</v>
      </c>
      <c r="BK28" s="247">
        <v>1</v>
      </c>
      <c r="BL28" s="247" t="s">
        <v>176</v>
      </c>
      <c r="BM28" s="247" t="s">
        <v>176</v>
      </c>
      <c r="BN28" s="247" t="s">
        <v>176</v>
      </c>
      <c r="BO28" s="247" t="s">
        <v>176</v>
      </c>
      <c r="BP28" s="247" t="s">
        <v>176</v>
      </c>
      <c r="BQ28" s="247" t="s">
        <v>176</v>
      </c>
      <c r="BR28" s="247" t="s">
        <v>176</v>
      </c>
      <c r="BS28" s="247" t="s">
        <v>176</v>
      </c>
      <c r="BT28" s="247" t="s">
        <v>176</v>
      </c>
      <c r="BU28" s="247" t="s">
        <v>176</v>
      </c>
      <c r="BV28" s="247" t="s">
        <v>176</v>
      </c>
      <c r="BW28" s="247" t="s">
        <v>176</v>
      </c>
      <c r="BX28" s="247" t="s">
        <v>176</v>
      </c>
      <c r="BY28" s="247" t="s">
        <v>176</v>
      </c>
      <c r="BZ28" s="247" t="s">
        <v>176</v>
      </c>
      <c r="CA28" s="247" t="s">
        <v>176</v>
      </c>
      <c r="CB28" s="247" t="s">
        <v>176</v>
      </c>
      <c r="CC28" s="247" t="s">
        <v>176</v>
      </c>
      <c r="CD28" s="247" t="s">
        <v>176</v>
      </c>
      <c r="CE28" s="247" t="s">
        <v>176</v>
      </c>
      <c r="CF28" s="247" t="s">
        <v>176</v>
      </c>
      <c r="CG28" s="247">
        <v>2</v>
      </c>
      <c r="CH28" s="247">
        <v>2</v>
      </c>
      <c r="CI28" s="247" t="s">
        <v>176</v>
      </c>
      <c r="CJ28" s="247" t="s">
        <v>176</v>
      </c>
      <c r="CK28" s="247">
        <v>3</v>
      </c>
      <c r="CL28" s="247">
        <v>3</v>
      </c>
      <c r="CM28" s="247">
        <v>3</v>
      </c>
      <c r="CN28" s="247">
        <v>3</v>
      </c>
      <c r="CO28" s="247">
        <v>3</v>
      </c>
      <c r="CP28" s="247">
        <v>3</v>
      </c>
      <c r="CQ28" s="247">
        <v>2</v>
      </c>
      <c r="CR28" s="247">
        <v>2</v>
      </c>
      <c r="CS28" s="247">
        <v>2</v>
      </c>
      <c r="CT28" s="247" t="s">
        <v>176</v>
      </c>
      <c r="CU28" s="247">
        <v>2</v>
      </c>
      <c r="CV28" s="185" t="s">
        <v>176</v>
      </c>
      <c r="CW28" s="185" t="s">
        <v>176</v>
      </c>
      <c r="CX28" s="247" t="s">
        <v>176</v>
      </c>
      <c r="CY28" s="185" t="s">
        <v>176</v>
      </c>
      <c r="CZ28" s="185" t="s">
        <v>176</v>
      </c>
      <c r="DA28" s="247" t="s">
        <v>176</v>
      </c>
      <c r="DB28" s="185" t="s">
        <v>176</v>
      </c>
      <c r="DC28" s="185" t="s">
        <v>176</v>
      </c>
      <c r="DD28" s="247" t="s">
        <v>176</v>
      </c>
      <c r="DE28" s="185" t="s">
        <v>176</v>
      </c>
      <c r="DF28" s="185" t="s">
        <v>176</v>
      </c>
      <c r="DG28" s="247" t="s">
        <v>176</v>
      </c>
      <c r="DH28" s="185" t="s">
        <v>176</v>
      </c>
      <c r="DI28" s="185" t="s">
        <v>176</v>
      </c>
      <c r="DJ28" s="247" t="s">
        <v>176</v>
      </c>
      <c r="DK28" s="247" t="s">
        <v>176</v>
      </c>
      <c r="DL28" s="185" t="s">
        <v>176</v>
      </c>
      <c r="DM28" s="185" t="s">
        <v>176</v>
      </c>
      <c r="DN28" s="247" t="s">
        <v>176</v>
      </c>
      <c r="DO28" s="185" t="s">
        <v>176</v>
      </c>
      <c r="DP28" s="185" t="s">
        <v>176</v>
      </c>
      <c r="DQ28" s="247" t="s">
        <v>176</v>
      </c>
      <c r="DR28" s="185" t="s">
        <v>176</v>
      </c>
      <c r="DS28" s="185" t="s">
        <v>176</v>
      </c>
      <c r="DT28" s="247" t="s">
        <v>176</v>
      </c>
      <c r="DU28" s="185" t="s">
        <v>176</v>
      </c>
      <c r="DV28" s="185" t="s">
        <v>176</v>
      </c>
      <c r="DW28" s="247" t="s">
        <v>176</v>
      </c>
      <c r="DX28" s="185" t="s">
        <v>176</v>
      </c>
      <c r="DY28" s="185" t="s">
        <v>176</v>
      </c>
      <c r="DZ28" s="247" t="s">
        <v>176</v>
      </c>
      <c r="EA28" s="185" t="s">
        <v>176</v>
      </c>
      <c r="EB28" s="185" t="s">
        <v>176</v>
      </c>
      <c r="EC28" s="247" t="s">
        <v>176</v>
      </c>
      <c r="ED28" s="185" t="s">
        <v>176</v>
      </c>
      <c r="EE28" s="185" t="s">
        <v>176</v>
      </c>
      <c r="EF28" s="247" t="s">
        <v>176</v>
      </c>
      <c r="EG28" s="247" t="s">
        <v>176</v>
      </c>
      <c r="EH28" s="247" t="s">
        <v>176</v>
      </c>
      <c r="EI28" s="247" t="s">
        <v>176</v>
      </c>
      <c r="EJ28" s="247" t="s">
        <v>176</v>
      </c>
      <c r="EK28" s="247" t="s">
        <v>176</v>
      </c>
      <c r="EL28" s="247" t="s">
        <v>176</v>
      </c>
      <c r="EM28" s="247" t="s">
        <v>176</v>
      </c>
      <c r="EN28" s="247" t="s">
        <v>176</v>
      </c>
      <c r="EO28" s="247" t="s">
        <v>176</v>
      </c>
      <c r="EP28" s="247" t="s">
        <v>176</v>
      </c>
      <c r="EQ28" s="247" t="s">
        <v>176</v>
      </c>
      <c r="ER28" s="247" t="s">
        <v>176</v>
      </c>
      <c r="ES28" s="247" t="s">
        <v>176</v>
      </c>
      <c r="ET28" s="247" t="s">
        <v>176</v>
      </c>
      <c r="EU28" s="406" t="s">
        <v>176</v>
      </c>
      <c r="EV28" s="247" t="s">
        <v>176</v>
      </c>
      <c r="EW28" s="247">
        <v>2</v>
      </c>
      <c r="EX28" s="247">
        <v>2</v>
      </c>
      <c r="EY28" s="247">
        <v>2</v>
      </c>
      <c r="EZ28" s="247">
        <v>2</v>
      </c>
      <c r="FA28" s="247" t="s">
        <v>176</v>
      </c>
      <c r="FB28" s="247">
        <v>2</v>
      </c>
      <c r="FC28" s="247">
        <v>2</v>
      </c>
      <c r="FD28" s="247">
        <v>1</v>
      </c>
      <c r="FE28" s="247">
        <v>2</v>
      </c>
      <c r="FF28" s="247">
        <v>2</v>
      </c>
      <c r="FG28" s="247">
        <v>2</v>
      </c>
      <c r="FH28" s="247">
        <v>2</v>
      </c>
      <c r="FI28" s="247">
        <v>2</v>
      </c>
      <c r="FJ28" s="247">
        <v>2</v>
      </c>
      <c r="FK28" s="247">
        <v>2</v>
      </c>
      <c r="FL28" s="247">
        <v>2</v>
      </c>
      <c r="FM28" s="247">
        <v>2</v>
      </c>
      <c r="FN28" s="247">
        <v>2</v>
      </c>
      <c r="FO28" s="247" t="s">
        <v>176</v>
      </c>
      <c r="FP28" s="247" t="s">
        <v>176</v>
      </c>
      <c r="FQ28" s="247" t="s">
        <v>160</v>
      </c>
      <c r="FR28" s="247" t="s">
        <v>176</v>
      </c>
      <c r="FS28" s="247" t="s">
        <v>176</v>
      </c>
      <c r="FT28" s="247" t="s">
        <v>176</v>
      </c>
      <c r="FU28" s="247" t="s">
        <v>176</v>
      </c>
      <c r="FV28" s="247" t="s">
        <v>176</v>
      </c>
      <c r="FW28" s="247" t="s">
        <v>176</v>
      </c>
      <c r="FX28" s="247" t="s">
        <v>176</v>
      </c>
      <c r="FY28" s="247" t="s">
        <v>176</v>
      </c>
      <c r="FZ28" s="247" t="s">
        <v>160</v>
      </c>
      <c r="GA28" s="247" t="s">
        <v>176</v>
      </c>
      <c r="GB28" s="247" t="s">
        <v>176</v>
      </c>
      <c r="GC28" s="247" t="s">
        <v>176</v>
      </c>
      <c r="GD28" s="247" t="s">
        <v>176</v>
      </c>
      <c r="GE28" s="247" t="s">
        <v>176</v>
      </c>
      <c r="GF28" s="247" t="s">
        <v>176</v>
      </c>
      <c r="GG28" s="247" t="s">
        <v>176</v>
      </c>
      <c r="GH28" s="247" t="s">
        <v>176</v>
      </c>
      <c r="GI28" s="196" t="s">
        <v>176</v>
      </c>
      <c r="GJ28" s="275">
        <f t="shared" si="1"/>
        <v>115</v>
      </c>
    </row>
    <row r="29" spans="1:192" ht="25.5" customHeight="1" x14ac:dyDescent="0.25">
      <c r="A29" s="258" t="s">
        <v>260</v>
      </c>
      <c r="B29" s="261" t="s">
        <v>217</v>
      </c>
      <c r="C29" s="266" t="s">
        <v>750</v>
      </c>
      <c r="D29" s="185">
        <v>1</v>
      </c>
      <c r="E29" s="185">
        <v>1</v>
      </c>
      <c r="F29" s="185" t="s">
        <v>176</v>
      </c>
      <c r="G29" s="185">
        <v>1</v>
      </c>
      <c r="H29" s="185">
        <v>1</v>
      </c>
      <c r="I29" s="185">
        <v>1</v>
      </c>
      <c r="J29" s="185" t="s">
        <v>176</v>
      </c>
      <c r="K29" s="185" t="s">
        <v>176</v>
      </c>
      <c r="L29" s="185">
        <v>1</v>
      </c>
      <c r="M29" s="185">
        <v>1</v>
      </c>
      <c r="N29" s="185" t="s">
        <v>176</v>
      </c>
      <c r="O29" s="185" t="s">
        <v>176</v>
      </c>
      <c r="P29" s="185" t="s">
        <v>176</v>
      </c>
      <c r="Q29" s="185" t="s">
        <v>176</v>
      </c>
      <c r="R29" s="185" t="s">
        <v>176</v>
      </c>
      <c r="S29" s="185" t="s">
        <v>176</v>
      </c>
      <c r="T29" s="185" t="s">
        <v>176</v>
      </c>
      <c r="U29" s="185" t="s">
        <v>176</v>
      </c>
      <c r="V29" s="185" t="s">
        <v>176</v>
      </c>
      <c r="W29" s="185" t="s">
        <v>176</v>
      </c>
      <c r="X29" s="185" t="s">
        <v>176</v>
      </c>
      <c r="Y29" s="185">
        <v>1</v>
      </c>
      <c r="Z29" s="185">
        <v>1</v>
      </c>
      <c r="AA29" s="185">
        <v>2</v>
      </c>
      <c r="AB29" s="185">
        <v>1</v>
      </c>
      <c r="AC29" s="185">
        <v>1</v>
      </c>
      <c r="AD29" s="185">
        <v>1</v>
      </c>
      <c r="AE29" s="185">
        <v>2</v>
      </c>
      <c r="AF29" s="185" t="s">
        <v>176</v>
      </c>
      <c r="AG29" s="185" t="s">
        <v>176</v>
      </c>
      <c r="AH29" s="185" t="s">
        <v>176</v>
      </c>
      <c r="AI29" s="185">
        <v>2</v>
      </c>
      <c r="AJ29" s="185">
        <v>1</v>
      </c>
      <c r="AK29" s="185" t="s">
        <v>176</v>
      </c>
      <c r="AL29" s="185">
        <v>2</v>
      </c>
      <c r="AM29" s="185">
        <v>1</v>
      </c>
      <c r="AN29" s="185">
        <v>1</v>
      </c>
      <c r="AO29" s="185" t="s">
        <v>176</v>
      </c>
      <c r="AP29" s="185">
        <v>1</v>
      </c>
      <c r="AQ29" s="185">
        <v>1</v>
      </c>
      <c r="AR29" s="185">
        <v>1</v>
      </c>
      <c r="AS29" s="185">
        <v>1</v>
      </c>
      <c r="AT29" s="185">
        <v>1</v>
      </c>
      <c r="AU29" s="185">
        <v>1</v>
      </c>
      <c r="AV29" s="185" t="s">
        <v>176</v>
      </c>
      <c r="AW29" s="185">
        <v>1</v>
      </c>
      <c r="AX29" s="185" t="s">
        <v>176</v>
      </c>
      <c r="AY29" s="185" t="s">
        <v>176</v>
      </c>
      <c r="AZ29" s="185" t="s">
        <v>176</v>
      </c>
      <c r="BA29" s="185" t="s">
        <v>176</v>
      </c>
      <c r="BB29" s="185">
        <v>1</v>
      </c>
      <c r="BC29" s="185" t="s">
        <v>176</v>
      </c>
      <c r="BD29" s="185" t="s">
        <v>176</v>
      </c>
      <c r="BE29" s="185" t="s">
        <v>176</v>
      </c>
      <c r="BF29" s="185" t="s">
        <v>176</v>
      </c>
      <c r="BG29" s="185" t="s">
        <v>176</v>
      </c>
      <c r="BH29" s="185" t="s">
        <v>176</v>
      </c>
      <c r="BI29" s="185" t="s">
        <v>176</v>
      </c>
      <c r="BJ29" s="185" t="s">
        <v>176</v>
      </c>
      <c r="BK29" s="185" t="s">
        <v>176</v>
      </c>
      <c r="BL29" s="185" t="s">
        <v>176</v>
      </c>
      <c r="BM29" s="185" t="s">
        <v>176</v>
      </c>
      <c r="BN29" s="185" t="s">
        <v>176</v>
      </c>
      <c r="BO29" s="185" t="s">
        <v>176</v>
      </c>
      <c r="BP29" s="185" t="s">
        <v>176</v>
      </c>
      <c r="BQ29" s="185" t="s">
        <v>176</v>
      </c>
      <c r="BR29" s="185" t="s">
        <v>176</v>
      </c>
      <c r="BS29" s="185" t="s">
        <v>176</v>
      </c>
      <c r="BT29" s="185" t="s">
        <v>176</v>
      </c>
      <c r="BU29" s="185" t="s">
        <v>176</v>
      </c>
      <c r="BV29" s="185" t="s">
        <v>176</v>
      </c>
      <c r="BW29" s="185" t="s">
        <v>176</v>
      </c>
      <c r="BX29" s="185" t="s">
        <v>176</v>
      </c>
      <c r="BY29" s="185" t="s">
        <v>176</v>
      </c>
      <c r="BZ29" s="185" t="s">
        <v>176</v>
      </c>
      <c r="CA29" s="185" t="s">
        <v>176</v>
      </c>
      <c r="CB29" s="185" t="s">
        <v>176</v>
      </c>
      <c r="CC29" s="185" t="s">
        <v>176</v>
      </c>
      <c r="CD29" s="185" t="s">
        <v>176</v>
      </c>
      <c r="CE29" s="185" t="s">
        <v>176</v>
      </c>
      <c r="CF29" s="185" t="s">
        <v>176</v>
      </c>
      <c r="CG29" s="185">
        <v>1</v>
      </c>
      <c r="CH29" s="185" t="s">
        <v>176</v>
      </c>
      <c r="CI29" s="185" t="s">
        <v>176</v>
      </c>
      <c r="CJ29" s="185" t="s">
        <v>176</v>
      </c>
      <c r="CK29" s="185" t="s">
        <v>176</v>
      </c>
      <c r="CL29" s="185">
        <v>1</v>
      </c>
      <c r="CM29" s="185" t="s">
        <v>176</v>
      </c>
      <c r="CN29" s="185" t="s">
        <v>176</v>
      </c>
      <c r="CO29" s="185" t="s">
        <v>176</v>
      </c>
      <c r="CP29" s="185" t="s">
        <v>176</v>
      </c>
      <c r="CQ29" s="185" t="s">
        <v>176</v>
      </c>
      <c r="CR29" s="185">
        <v>1</v>
      </c>
      <c r="CS29" s="185">
        <v>1</v>
      </c>
      <c r="CT29" s="185">
        <v>2</v>
      </c>
      <c r="CU29" s="185">
        <v>1</v>
      </c>
      <c r="CV29" s="185">
        <v>1</v>
      </c>
      <c r="CW29" s="185">
        <v>1</v>
      </c>
      <c r="CX29" s="185">
        <v>1</v>
      </c>
      <c r="CY29" s="185">
        <v>1</v>
      </c>
      <c r="CZ29" s="185">
        <v>1</v>
      </c>
      <c r="DA29" s="185">
        <v>1</v>
      </c>
      <c r="DB29" s="185">
        <v>1</v>
      </c>
      <c r="DC29" s="185" t="s">
        <v>176</v>
      </c>
      <c r="DD29" s="185" t="s">
        <v>176</v>
      </c>
      <c r="DE29" s="185">
        <v>1</v>
      </c>
      <c r="DF29" s="185">
        <v>1</v>
      </c>
      <c r="DG29" s="185">
        <v>1</v>
      </c>
      <c r="DH29" s="185">
        <v>1</v>
      </c>
      <c r="DI29" s="185">
        <v>1</v>
      </c>
      <c r="DJ29" s="185">
        <v>1</v>
      </c>
      <c r="DK29" s="185">
        <v>1</v>
      </c>
      <c r="DL29" s="185">
        <v>1</v>
      </c>
      <c r="DM29" s="185">
        <v>1</v>
      </c>
      <c r="DN29" s="185">
        <v>1</v>
      </c>
      <c r="DO29" s="185">
        <v>1</v>
      </c>
      <c r="DP29" s="185">
        <v>1</v>
      </c>
      <c r="DQ29" s="185">
        <v>1</v>
      </c>
      <c r="DR29" s="185">
        <v>1</v>
      </c>
      <c r="DS29" s="185">
        <v>1</v>
      </c>
      <c r="DT29" s="185">
        <v>1</v>
      </c>
      <c r="DU29" s="185">
        <v>1</v>
      </c>
      <c r="DV29" s="185">
        <v>1</v>
      </c>
      <c r="DW29" s="185" t="s">
        <v>176</v>
      </c>
      <c r="DX29" s="185" t="s">
        <v>176</v>
      </c>
      <c r="DY29" s="185" t="s">
        <v>176</v>
      </c>
      <c r="DZ29" s="185" t="s">
        <v>176</v>
      </c>
      <c r="EA29" s="185" t="s">
        <v>176</v>
      </c>
      <c r="EB29" s="185" t="s">
        <v>176</v>
      </c>
      <c r="EC29" s="185" t="s">
        <v>176</v>
      </c>
      <c r="ED29" s="185" t="s">
        <v>176</v>
      </c>
      <c r="EE29" s="185" t="s">
        <v>176</v>
      </c>
      <c r="EF29" s="185" t="s">
        <v>176</v>
      </c>
      <c r="EG29" s="185" t="s">
        <v>176</v>
      </c>
      <c r="EH29" s="185" t="s">
        <v>176</v>
      </c>
      <c r="EI29" s="185" t="s">
        <v>176</v>
      </c>
      <c r="EJ29" s="185" t="s">
        <v>176</v>
      </c>
      <c r="EK29" s="185" t="s">
        <v>176</v>
      </c>
      <c r="EL29" s="185" t="s">
        <v>176</v>
      </c>
      <c r="EM29" s="185">
        <v>1</v>
      </c>
      <c r="EN29" s="185" t="s">
        <v>176</v>
      </c>
      <c r="EO29" s="185" t="s">
        <v>176</v>
      </c>
      <c r="EP29" s="185" t="s">
        <v>176</v>
      </c>
      <c r="EQ29" s="185" t="s">
        <v>176</v>
      </c>
      <c r="ER29" s="185" t="s">
        <v>176</v>
      </c>
      <c r="ES29" s="185" t="s">
        <v>176</v>
      </c>
      <c r="ET29" s="185" t="s">
        <v>176</v>
      </c>
      <c r="EU29" s="406" t="s">
        <v>176</v>
      </c>
      <c r="EV29" s="185" t="s">
        <v>176</v>
      </c>
      <c r="EW29" s="185">
        <v>2</v>
      </c>
      <c r="EX29" s="185">
        <v>2</v>
      </c>
      <c r="EY29" s="185">
        <v>1</v>
      </c>
      <c r="EZ29" s="185">
        <v>1</v>
      </c>
      <c r="FA29" s="185" t="s">
        <v>176</v>
      </c>
      <c r="FB29" s="185">
        <v>1</v>
      </c>
      <c r="FC29" s="185">
        <v>2</v>
      </c>
      <c r="FD29" s="185">
        <v>1</v>
      </c>
      <c r="FE29" s="185" t="s">
        <v>176</v>
      </c>
      <c r="FF29" s="185">
        <v>1</v>
      </c>
      <c r="FG29" s="185">
        <v>2</v>
      </c>
      <c r="FH29" s="185">
        <v>1</v>
      </c>
      <c r="FI29" s="185">
        <v>1</v>
      </c>
      <c r="FJ29" s="185">
        <v>1</v>
      </c>
      <c r="FK29" s="185">
        <v>1</v>
      </c>
      <c r="FL29" s="185">
        <v>1</v>
      </c>
      <c r="FM29" s="247">
        <v>2</v>
      </c>
      <c r="FN29" s="185" t="s">
        <v>176</v>
      </c>
      <c r="FO29" s="185" t="s">
        <v>176</v>
      </c>
      <c r="FP29" s="185" t="s">
        <v>160</v>
      </c>
      <c r="FQ29" s="185" t="s">
        <v>176</v>
      </c>
      <c r="FR29" s="185" t="s">
        <v>176</v>
      </c>
      <c r="FS29" s="185" t="s">
        <v>176</v>
      </c>
      <c r="FT29" s="185" t="s">
        <v>176</v>
      </c>
      <c r="FU29" s="185" t="s">
        <v>176</v>
      </c>
      <c r="FV29" s="185" t="s">
        <v>176</v>
      </c>
      <c r="FW29" s="185" t="s">
        <v>176</v>
      </c>
      <c r="FX29" s="185" t="s">
        <v>160</v>
      </c>
      <c r="FY29" s="185" t="s">
        <v>176</v>
      </c>
      <c r="FZ29" s="185" t="s">
        <v>160</v>
      </c>
      <c r="GA29" s="185" t="s">
        <v>176</v>
      </c>
      <c r="GB29" s="185" t="s">
        <v>176</v>
      </c>
      <c r="GC29" s="185" t="s">
        <v>176</v>
      </c>
      <c r="GD29" s="185" t="s">
        <v>176</v>
      </c>
      <c r="GE29" s="185" t="s">
        <v>176</v>
      </c>
      <c r="GF29" s="185" t="s">
        <v>176</v>
      </c>
      <c r="GG29" s="185" t="s">
        <v>176</v>
      </c>
      <c r="GH29" s="185" t="s">
        <v>176</v>
      </c>
      <c r="GI29" s="188" t="s">
        <v>176</v>
      </c>
      <c r="GJ29" s="263">
        <f t="shared" si="1"/>
        <v>84</v>
      </c>
    </row>
    <row r="30" spans="1:192" ht="25.5" x14ac:dyDescent="0.25">
      <c r="A30" s="272" t="s">
        <v>260</v>
      </c>
      <c r="B30" s="273" t="s">
        <v>633</v>
      </c>
      <c r="C30" s="266" t="s">
        <v>750</v>
      </c>
      <c r="D30" s="189">
        <v>2</v>
      </c>
      <c r="E30" s="189">
        <v>2</v>
      </c>
      <c r="F30" s="189">
        <v>2</v>
      </c>
      <c r="G30" s="189">
        <v>2</v>
      </c>
      <c r="H30" s="189">
        <v>2</v>
      </c>
      <c r="I30" s="189">
        <v>1</v>
      </c>
      <c r="J30" s="189" t="s">
        <v>176</v>
      </c>
      <c r="K30" s="189" t="s">
        <v>176</v>
      </c>
      <c r="L30" s="189">
        <v>1</v>
      </c>
      <c r="M30" s="189">
        <v>1</v>
      </c>
      <c r="N30" s="189" t="s">
        <v>176</v>
      </c>
      <c r="O30" s="189" t="s">
        <v>176</v>
      </c>
      <c r="P30" s="189" t="s">
        <v>176</v>
      </c>
      <c r="Q30" s="189" t="s">
        <v>176</v>
      </c>
      <c r="R30" s="189" t="s">
        <v>176</v>
      </c>
      <c r="S30" s="189" t="s">
        <v>176</v>
      </c>
      <c r="T30" s="189" t="s">
        <v>176</v>
      </c>
      <c r="U30" s="189" t="s">
        <v>176</v>
      </c>
      <c r="V30" s="189" t="s">
        <v>176</v>
      </c>
      <c r="W30" s="189" t="s">
        <v>176</v>
      </c>
      <c r="X30" s="189" t="s">
        <v>176</v>
      </c>
      <c r="Y30" s="189">
        <v>2</v>
      </c>
      <c r="Z30" s="189">
        <v>2</v>
      </c>
      <c r="AA30" s="189">
        <v>2</v>
      </c>
      <c r="AB30" s="189">
        <v>2</v>
      </c>
      <c r="AC30" s="189">
        <v>2</v>
      </c>
      <c r="AD30" s="189">
        <v>2</v>
      </c>
      <c r="AE30" s="189">
        <v>2</v>
      </c>
      <c r="AF30" s="189">
        <v>1</v>
      </c>
      <c r="AG30" s="189" t="s">
        <v>176</v>
      </c>
      <c r="AH30" s="189" t="s">
        <v>176</v>
      </c>
      <c r="AI30" s="189">
        <v>2</v>
      </c>
      <c r="AJ30" s="189">
        <v>2</v>
      </c>
      <c r="AK30" s="189" t="s">
        <v>176</v>
      </c>
      <c r="AL30" s="189">
        <v>2</v>
      </c>
      <c r="AM30" s="189">
        <v>2</v>
      </c>
      <c r="AN30" s="189">
        <v>2</v>
      </c>
      <c r="AO30" s="189">
        <v>1</v>
      </c>
      <c r="AP30" s="189">
        <v>1</v>
      </c>
      <c r="AQ30" s="189">
        <v>1</v>
      </c>
      <c r="AR30" s="189">
        <v>1</v>
      </c>
      <c r="AS30" s="189">
        <v>3</v>
      </c>
      <c r="AT30" s="189">
        <v>1</v>
      </c>
      <c r="AU30" s="189">
        <v>2</v>
      </c>
      <c r="AV30" s="189" t="s">
        <v>176</v>
      </c>
      <c r="AW30" s="189" t="s">
        <v>176</v>
      </c>
      <c r="AX30" s="189" t="s">
        <v>176</v>
      </c>
      <c r="AY30" s="189" t="s">
        <v>176</v>
      </c>
      <c r="AZ30" s="189" t="s">
        <v>176</v>
      </c>
      <c r="BA30" s="189" t="s">
        <v>176</v>
      </c>
      <c r="BB30" s="189" t="s">
        <v>176</v>
      </c>
      <c r="BC30" s="189" t="s">
        <v>176</v>
      </c>
      <c r="BD30" s="189"/>
      <c r="BE30" s="189" t="s">
        <v>176</v>
      </c>
      <c r="BF30" s="189" t="s">
        <v>176</v>
      </c>
      <c r="BG30" s="189" t="s">
        <v>176</v>
      </c>
      <c r="BH30" s="189" t="s">
        <v>176</v>
      </c>
      <c r="BI30" s="189" t="s">
        <v>176</v>
      </c>
      <c r="BJ30" s="189" t="s">
        <v>176</v>
      </c>
      <c r="BK30" s="189" t="s">
        <v>176</v>
      </c>
      <c r="BL30" s="189" t="s">
        <v>176</v>
      </c>
      <c r="BM30" s="189" t="s">
        <v>176</v>
      </c>
      <c r="BN30" s="189" t="s">
        <v>176</v>
      </c>
      <c r="BO30" s="189" t="s">
        <v>176</v>
      </c>
      <c r="BP30" s="189" t="s">
        <v>176</v>
      </c>
      <c r="BQ30" s="189" t="s">
        <v>176</v>
      </c>
      <c r="BR30" s="189" t="s">
        <v>176</v>
      </c>
      <c r="BS30" s="189" t="s">
        <v>176</v>
      </c>
      <c r="BT30" s="189" t="s">
        <v>176</v>
      </c>
      <c r="BU30" s="189" t="s">
        <v>176</v>
      </c>
      <c r="BV30" s="189" t="s">
        <v>176</v>
      </c>
      <c r="BW30" s="189" t="s">
        <v>176</v>
      </c>
      <c r="BX30" s="189" t="s">
        <v>176</v>
      </c>
      <c r="BY30" s="189" t="s">
        <v>176</v>
      </c>
      <c r="BZ30" s="189" t="s">
        <v>176</v>
      </c>
      <c r="CA30" s="189" t="s">
        <v>176</v>
      </c>
      <c r="CB30" s="189" t="s">
        <v>176</v>
      </c>
      <c r="CC30" s="189" t="s">
        <v>176</v>
      </c>
      <c r="CD30" s="189" t="s">
        <v>176</v>
      </c>
      <c r="CE30" s="189" t="s">
        <v>176</v>
      </c>
      <c r="CF30" s="189" t="s">
        <v>176</v>
      </c>
      <c r="CG30" s="189">
        <v>2</v>
      </c>
      <c r="CH30" s="189" t="s">
        <v>176</v>
      </c>
      <c r="CI30" s="189" t="s">
        <v>176</v>
      </c>
      <c r="CJ30" s="189" t="s">
        <v>176</v>
      </c>
      <c r="CK30" s="189">
        <v>2</v>
      </c>
      <c r="CL30" s="189">
        <v>3</v>
      </c>
      <c r="CM30" s="189">
        <v>2</v>
      </c>
      <c r="CN30" s="189">
        <v>2</v>
      </c>
      <c r="CO30" s="189">
        <v>1</v>
      </c>
      <c r="CP30" s="189" t="s">
        <v>176</v>
      </c>
      <c r="CQ30" s="189">
        <v>1</v>
      </c>
      <c r="CR30" s="189">
        <v>1</v>
      </c>
      <c r="CS30" s="370" t="s">
        <v>702</v>
      </c>
      <c r="CT30" s="371" t="s">
        <v>176</v>
      </c>
      <c r="CU30" s="370">
        <v>1</v>
      </c>
      <c r="CV30" s="372" t="s">
        <v>176</v>
      </c>
      <c r="CW30" s="372" t="s">
        <v>176</v>
      </c>
      <c r="CX30" s="372" t="s">
        <v>176</v>
      </c>
      <c r="CY30" s="372" t="s">
        <v>176</v>
      </c>
      <c r="CZ30" s="372" t="s">
        <v>176</v>
      </c>
      <c r="DA30" s="372" t="s">
        <v>176</v>
      </c>
      <c r="DB30" s="372" t="s">
        <v>176</v>
      </c>
      <c r="DC30" s="372" t="s">
        <v>176</v>
      </c>
      <c r="DD30" s="372" t="s">
        <v>176</v>
      </c>
      <c r="DE30" s="372" t="s">
        <v>176</v>
      </c>
      <c r="DF30" s="372" t="s">
        <v>176</v>
      </c>
      <c r="DG30" s="372" t="s">
        <v>176</v>
      </c>
      <c r="DH30" s="372" t="s">
        <v>176</v>
      </c>
      <c r="DI30" s="372" t="s">
        <v>176</v>
      </c>
      <c r="DJ30" s="372" t="s">
        <v>176</v>
      </c>
      <c r="DK30" s="372" t="s">
        <v>176</v>
      </c>
      <c r="DL30" s="372" t="s">
        <v>176</v>
      </c>
      <c r="DM30" s="372" t="s">
        <v>176</v>
      </c>
      <c r="DN30" s="372" t="s">
        <v>176</v>
      </c>
      <c r="DO30" s="372" t="s">
        <v>176</v>
      </c>
      <c r="DP30" s="372" t="s">
        <v>176</v>
      </c>
      <c r="DQ30" s="372" t="s">
        <v>176</v>
      </c>
      <c r="DR30" s="372" t="s">
        <v>176</v>
      </c>
      <c r="DS30" s="372" t="s">
        <v>176</v>
      </c>
      <c r="DT30" s="372" t="s">
        <v>176</v>
      </c>
      <c r="DU30" s="372" t="s">
        <v>176</v>
      </c>
      <c r="DV30" s="372" t="s">
        <v>176</v>
      </c>
      <c r="DW30" s="189" t="s">
        <v>176</v>
      </c>
      <c r="DX30" s="189" t="s">
        <v>176</v>
      </c>
      <c r="DY30" s="189" t="s">
        <v>176</v>
      </c>
      <c r="DZ30" s="189" t="s">
        <v>176</v>
      </c>
      <c r="EA30" s="189" t="s">
        <v>176</v>
      </c>
      <c r="EB30" s="189" t="s">
        <v>176</v>
      </c>
      <c r="EC30" s="189" t="s">
        <v>176</v>
      </c>
      <c r="ED30" s="189" t="s">
        <v>176</v>
      </c>
      <c r="EE30" s="189" t="s">
        <v>176</v>
      </c>
      <c r="EF30" s="189" t="s">
        <v>176</v>
      </c>
      <c r="EG30" s="189" t="s">
        <v>176</v>
      </c>
      <c r="EH30" s="189" t="s">
        <v>176</v>
      </c>
      <c r="EI30" s="189" t="s">
        <v>176</v>
      </c>
      <c r="EJ30" s="189" t="s">
        <v>176</v>
      </c>
      <c r="EK30" s="189" t="s">
        <v>176</v>
      </c>
      <c r="EL30" s="189" t="s">
        <v>176</v>
      </c>
      <c r="EM30" s="189" t="s">
        <v>176</v>
      </c>
      <c r="EN30" s="189" t="s">
        <v>176</v>
      </c>
      <c r="EO30" s="189" t="s">
        <v>176</v>
      </c>
      <c r="EP30" s="189" t="s">
        <v>176</v>
      </c>
      <c r="EQ30" s="189" t="s">
        <v>176</v>
      </c>
      <c r="ER30" s="189" t="s">
        <v>176</v>
      </c>
      <c r="ES30" s="189" t="s">
        <v>176</v>
      </c>
      <c r="ET30" s="189" t="s">
        <v>176</v>
      </c>
      <c r="EU30" s="406" t="s">
        <v>176</v>
      </c>
      <c r="EV30" s="189" t="s">
        <v>176</v>
      </c>
      <c r="EW30" s="189">
        <v>2</v>
      </c>
      <c r="EX30" s="189">
        <v>2</v>
      </c>
      <c r="EY30" s="189">
        <v>2</v>
      </c>
      <c r="EZ30" s="189">
        <v>2</v>
      </c>
      <c r="FA30" s="247" t="s">
        <v>176</v>
      </c>
      <c r="FB30" s="247">
        <v>2</v>
      </c>
      <c r="FC30" s="247">
        <v>2</v>
      </c>
      <c r="FD30" s="247">
        <v>1</v>
      </c>
      <c r="FE30" s="247">
        <v>2</v>
      </c>
      <c r="FF30" s="247">
        <v>2</v>
      </c>
      <c r="FG30" s="247">
        <v>2</v>
      </c>
      <c r="FH30" s="247">
        <v>2</v>
      </c>
      <c r="FI30" s="247">
        <v>1</v>
      </c>
      <c r="FJ30" s="247">
        <v>1</v>
      </c>
      <c r="FK30" s="247">
        <v>1</v>
      </c>
      <c r="FL30" s="247">
        <v>1</v>
      </c>
      <c r="FM30" s="247">
        <v>2</v>
      </c>
      <c r="FN30" s="247" t="s">
        <v>176</v>
      </c>
      <c r="FO30" s="247" t="s">
        <v>176</v>
      </c>
      <c r="FP30" s="189" t="s">
        <v>160</v>
      </c>
      <c r="FQ30" s="247" t="s">
        <v>176</v>
      </c>
      <c r="FR30" s="247" t="s">
        <v>176</v>
      </c>
      <c r="FS30" s="247" t="s">
        <v>176</v>
      </c>
      <c r="FT30" s="247" t="s">
        <v>176</v>
      </c>
      <c r="FU30" s="247" t="s">
        <v>176</v>
      </c>
      <c r="FV30" s="247" t="s">
        <v>176</v>
      </c>
      <c r="FW30" s="247" t="s">
        <v>176</v>
      </c>
      <c r="FX30" s="247" t="s">
        <v>176</v>
      </c>
      <c r="FY30" s="247" t="s">
        <v>176</v>
      </c>
      <c r="FZ30" s="189" t="s">
        <v>160</v>
      </c>
      <c r="GA30" s="189" t="s">
        <v>176</v>
      </c>
      <c r="GB30" s="189" t="s">
        <v>176</v>
      </c>
      <c r="GC30" s="189" t="s">
        <v>176</v>
      </c>
      <c r="GD30" s="189" t="s">
        <v>176</v>
      </c>
      <c r="GE30" s="189" t="s">
        <v>176</v>
      </c>
      <c r="GF30" s="189" t="s">
        <v>176</v>
      </c>
      <c r="GG30" s="189" t="s">
        <v>176</v>
      </c>
      <c r="GH30" s="189" t="s">
        <v>176</v>
      </c>
      <c r="GI30" s="196" t="s">
        <v>176</v>
      </c>
      <c r="GJ30" s="275">
        <f t="shared" si="1"/>
        <v>90</v>
      </c>
    </row>
    <row r="31" spans="1:192" ht="12.75" customHeight="1" x14ac:dyDescent="0.25">
      <c r="A31" s="258" t="s">
        <v>260</v>
      </c>
      <c r="B31" s="261" t="s">
        <v>588</v>
      </c>
      <c r="C31" s="266" t="s">
        <v>750</v>
      </c>
      <c r="D31" s="185">
        <v>2</v>
      </c>
      <c r="E31" s="185">
        <v>2</v>
      </c>
      <c r="F31" s="185" t="s">
        <v>176</v>
      </c>
      <c r="G31" s="185">
        <v>2</v>
      </c>
      <c r="H31" s="185">
        <v>2</v>
      </c>
      <c r="I31" s="185">
        <v>1</v>
      </c>
      <c r="J31" s="185" t="s">
        <v>176</v>
      </c>
      <c r="K31" s="185" t="s">
        <v>176</v>
      </c>
      <c r="L31" s="185">
        <v>1</v>
      </c>
      <c r="M31" s="185">
        <v>1</v>
      </c>
      <c r="N31" s="185" t="s">
        <v>176</v>
      </c>
      <c r="O31" s="185" t="s">
        <v>176</v>
      </c>
      <c r="P31" s="185" t="s">
        <v>176</v>
      </c>
      <c r="Q31" s="185" t="s">
        <v>176</v>
      </c>
      <c r="R31" s="185" t="s">
        <v>176</v>
      </c>
      <c r="S31" s="185" t="s">
        <v>176</v>
      </c>
      <c r="T31" s="185" t="s">
        <v>176</v>
      </c>
      <c r="U31" s="185" t="s">
        <v>176</v>
      </c>
      <c r="V31" s="185" t="s">
        <v>176</v>
      </c>
      <c r="W31" s="185" t="s">
        <v>176</v>
      </c>
      <c r="X31" s="185" t="s">
        <v>176</v>
      </c>
      <c r="Y31" s="185">
        <v>2</v>
      </c>
      <c r="Z31" s="185">
        <v>2</v>
      </c>
      <c r="AA31" s="185">
        <v>2</v>
      </c>
      <c r="AB31" s="185">
        <v>1</v>
      </c>
      <c r="AC31" s="185">
        <v>1</v>
      </c>
      <c r="AD31" s="185">
        <v>1</v>
      </c>
      <c r="AE31" s="185">
        <v>2</v>
      </c>
      <c r="AF31" s="185" t="s">
        <v>176</v>
      </c>
      <c r="AG31" s="185" t="s">
        <v>176</v>
      </c>
      <c r="AH31" s="185" t="s">
        <v>176</v>
      </c>
      <c r="AI31" s="185">
        <v>2</v>
      </c>
      <c r="AJ31" s="185">
        <v>2</v>
      </c>
      <c r="AK31" s="185">
        <v>2</v>
      </c>
      <c r="AL31" s="185">
        <v>2</v>
      </c>
      <c r="AM31" s="185">
        <v>1</v>
      </c>
      <c r="AN31" s="185">
        <v>2</v>
      </c>
      <c r="AO31" s="185">
        <v>1</v>
      </c>
      <c r="AP31" s="185">
        <v>2</v>
      </c>
      <c r="AQ31" s="185">
        <v>2</v>
      </c>
      <c r="AR31" s="185">
        <v>2</v>
      </c>
      <c r="AS31" s="185">
        <v>2</v>
      </c>
      <c r="AT31" s="185">
        <v>1</v>
      </c>
      <c r="AU31" s="189">
        <v>2</v>
      </c>
      <c r="AV31" s="185" t="s">
        <v>176</v>
      </c>
      <c r="AW31" s="185">
        <v>1</v>
      </c>
      <c r="AX31" s="185" t="s">
        <v>176</v>
      </c>
      <c r="AY31" s="185" t="s">
        <v>176</v>
      </c>
      <c r="AZ31" s="185" t="s">
        <v>176</v>
      </c>
      <c r="BA31" s="185" t="s">
        <v>176</v>
      </c>
      <c r="BB31" s="185">
        <v>1</v>
      </c>
      <c r="BC31" s="185" t="s">
        <v>176</v>
      </c>
      <c r="BD31" s="185"/>
      <c r="BE31" s="185" t="s">
        <v>176</v>
      </c>
      <c r="BF31" s="185" t="s">
        <v>176</v>
      </c>
      <c r="BG31" s="185" t="s">
        <v>176</v>
      </c>
      <c r="BH31" s="185" t="s">
        <v>176</v>
      </c>
      <c r="BI31" s="185" t="s">
        <v>176</v>
      </c>
      <c r="BJ31" s="185" t="s">
        <v>176</v>
      </c>
      <c r="BK31" s="185" t="s">
        <v>176</v>
      </c>
      <c r="BL31" s="185" t="s">
        <v>176</v>
      </c>
      <c r="BM31" s="185" t="s">
        <v>176</v>
      </c>
      <c r="BN31" s="185" t="s">
        <v>176</v>
      </c>
      <c r="BO31" s="185" t="s">
        <v>176</v>
      </c>
      <c r="BP31" s="185" t="s">
        <v>176</v>
      </c>
      <c r="BQ31" s="185" t="s">
        <v>176</v>
      </c>
      <c r="BR31" s="185" t="s">
        <v>176</v>
      </c>
      <c r="BS31" s="185" t="s">
        <v>176</v>
      </c>
      <c r="BT31" s="185" t="s">
        <v>176</v>
      </c>
      <c r="BU31" s="185" t="s">
        <v>176</v>
      </c>
      <c r="BV31" s="185" t="s">
        <v>176</v>
      </c>
      <c r="BW31" s="185" t="s">
        <v>176</v>
      </c>
      <c r="BX31" s="185" t="s">
        <v>176</v>
      </c>
      <c r="BY31" s="185" t="s">
        <v>176</v>
      </c>
      <c r="BZ31" s="185" t="s">
        <v>176</v>
      </c>
      <c r="CA31" s="185" t="s">
        <v>176</v>
      </c>
      <c r="CB31" s="185" t="s">
        <v>176</v>
      </c>
      <c r="CC31" s="185" t="s">
        <v>176</v>
      </c>
      <c r="CD31" s="185" t="s">
        <v>176</v>
      </c>
      <c r="CE31" s="185" t="s">
        <v>176</v>
      </c>
      <c r="CF31" s="185" t="s">
        <v>176</v>
      </c>
      <c r="CG31" s="185">
        <v>2</v>
      </c>
      <c r="CH31" s="185">
        <v>2</v>
      </c>
      <c r="CI31" s="185" t="s">
        <v>176</v>
      </c>
      <c r="CJ31" s="185" t="s">
        <v>176</v>
      </c>
      <c r="CK31" s="185" t="s">
        <v>176</v>
      </c>
      <c r="CL31" s="185">
        <v>2</v>
      </c>
      <c r="CM31" s="185">
        <v>1</v>
      </c>
      <c r="CN31" s="185">
        <v>2</v>
      </c>
      <c r="CO31" s="185">
        <v>1</v>
      </c>
      <c r="CP31" s="185" t="s">
        <v>176</v>
      </c>
      <c r="CQ31" s="185" t="s">
        <v>176</v>
      </c>
      <c r="CR31" s="185">
        <v>2</v>
      </c>
      <c r="CS31" s="247">
        <v>3</v>
      </c>
      <c r="CT31" s="189">
        <v>2</v>
      </c>
      <c r="CU31" s="189">
        <v>2</v>
      </c>
      <c r="CV31" s="189">
        <v>2</v>
      </c>
      <c r="CW31" s="189">
        <v>2</v>
      </c>
      <c r="CX31" s="189">
        <v>2</v>
      </c>
      <c r="CY31" s="189">
        <v>2</v>
      </c>
      <c r="CZ31" s="247">
        <v>3</v>
      </c>
      <c r="DA31" s="247">
        <v>3</v>
      </c>
      <c r="DB31" s="247">
        <v>3</v>
      </c>
      <c r="DC31" s="247">
        <v>2</v>
      </c>
      <c r="DD31" s="247">
        <v>2</v>
      </c>
      <c r="DE31" s="247">
        <v>3</v>
      </c>
      <c r="DF31" s="247">
        <v>3</v>
      </c>
      <c r="DG31" s="247">
        <v>3</v>
      </c>
      <c r="DH31" s="247">
        <v>3</v>
      </c>
      <c r="DI31" s="247">
        <v>3</v>
      </c>
      <c r="DJ31" s="247">
        <v>3</v>
      </c>
      <c r="DK31" s="247">
        <v>3</v>
      </c>
      <c r="DL31" s="247">
        <v>3</v>
      </c>
      <c r="DM31" s="247">
        <v>3</v>
      </c>
      <c r="DN31" s="247">
        <v>3</v>
      </c>
      <c r="DO31" s="247">
        <v>3</v>
      </c>
      <c r="DP31" s="247">
        <v>3</v>
      </c>
      <c r="DQ31" s="247">
        <v>3</v>
      </c>
      <c r="DR31" s="247">
        <v>3</v>
      </c>
      <c r="DS31" s="247">
        <v>3</v>
      </c>
      <c r="DT31" s="247">
        <v>3</v>
      </c>
      <c r="DU31" s="247">
        <v>3</v>
      </c>
      <c r="DV31" s="247">
        <v>3</v>
      </c>
      <c r="DW31" s="185" t="s">
        <v>176</v>
      </c>
      <c r="DX31" s="185" t="s">
        <v>176</v>
      </c>
      <c r="DY31" s="185" t="s">
        <v>176</v>
      </c>
      <c r="DZ31" s="185" t="s">
        <v>176</v>
      </c>
      <c r="EA31" s="185" t="s">
        <v>176</v>
      </c>
      <c r="EB31" s="185" t="s">
        <v>176</v>
      </c>
      <c r="EC31" s="185" t="s">
        <v>176</v>
      </c>
      <c r="ED31" s="185" t="s">
        <v>176</v>
      </c>
      <c r="EE31" s="185" t="s">
        <v>176</v>
      </c>
      <c r="EF31" s="185" t="s">
        <v>176</v>
      </c>
      <c r="EG31" s="185" t="s">
        <v>176</v>
      </c>
      <c r="EH31" s="185" t="s">
        <v>176</v>
      </c>
      <c r="EI31" s="185" t="s">
        <v>176</v>
      </c>
      <c r="EJ31" s="185" t="s">
        <v>176</v>
      </c>
      <c r="EK31" s="185" t="s">
        <v>176</v>
      </c>
      <c r="EL31" s="185" t="s">
        <v>176</v>
      </c>
      <c r="EM31" s="185">
        <v>1</v>
      </c>
      <c r="EN31" s="185" t="s">
        <v>176</v>
      </c>
      <c r="EO31" s="185" t="s">
        <v>176</v>
      </c>
      <c r="EP31" s="185" t="s">
        <v>176</v>
      </c>
      <c r="EQ31" s="185" t="s">
        <v>176</v>
      </c>
      <c r="ER31" s="185" t="s">
        <v>176</v>
      </c>
      <c r="ES31" s="185" t="s">
        <v>176</v>
      </c>
      <c r="ET31" s="185" t="s">
        <v>176</v>
      </c>
      <c r="EU31" s="406" t="s">
        <v>176</v>
      </c>
      <c r="EV31" s="185" t="s">
        <v>176</v>
      </c>
      <c r="EW31" s="185">
        <v>2</v>
      </c>
      <c r="EX31" s="185">
        <v>2</v>
      </c>
      <c r="EY31" s="185">
        <v>2</v>
      </c>
      <c r="EZ31" s="185">
        <v>2</v>
      </c>
      <c r="FA31" s="185" t="s">
        <v>176</v>
      </c>
      <c r="FB31" s="185">
        <v>2</v>
      </c>
      <c r="FC31" s="185">
        <v>2</v>
      </c>
      <c r="FD31" s="185">
        <v>2</v>
      </c>
      <c r="FE31" s="185">
        <v>2</v>
      </c>
      <c r="FF31" s="185">
        <v>2</v>
      </c>
      <c r="FG31" s="185">
        <v>2</v>
      </c>
      <c r="FH31" s="185">
        <v>2</v>
      </c>
      <c r="FI31" s="185">
        <v>2</v>
      </c>
      <c r="FJ31" s="185">
        <v>2</v>
      </c>
      <c r="FK31" s="185">
        <v>2</v>
      </c>
      <c r="FL31" s="185">
        <v>2</v>
      </c>
      <c r="FM31" s="247">
        <v>2</v>
      </c>
      <c r="FN31" s="185">
        <v>2</v>
      </c>
      <c r="FO31" s="185" t="s">
        <v>176</v>
      </c>
      <c r="FP31" s="185" t="s">
        <v>176</v>
      </c>
      <c r="FQ31" s="185" t="s">
        <v>176</v>
      </c>
      <c r="FR31" s="185" t="s">
        <v>176</v>
      </c>
      <c r="FS31" s="185" t="s">
        <v>160</v>
      </c>
      <c r="FT31" s="185" t="s">
        <v>176</v>
      </c>
      <c r="FU31" s="185" t="s">
        <v>176</v>
      </c>
      <c r="FV31" s="185" t="s">
        <v>176</v>
      </c>
      <c r="FW31" s="185" t="s">
        <v>176</v>
      </c>
      <c r="FX31" s="185" t="s">
        <v>176</v>
      </c>
      <c r="FY31" s="185" t="s">
        <v>176</v>
      </c>
      <c r="FZ31" s="185" t="s">
        <v>160</v>
      </c>
      <c r="GA31" s="185" t="s">
        <v>176</v>
      </c>
      <c r="GB31" s="185" t="s">
        <v>176</v>
      </c>
      <c r="GC31" s="185" t="s">
        <v>176</v>
      </c>
      <c r="GD31" s="185" t="s">
        <v>176</v>
      </c>
      <c r="GE31" s="185" t="s">
        <v>176</v>
      </c>
      <c r="GF31" s="185" t="s">
        <v>176</v>
      </c>
      <c r="GG31" s="185" t="s">
        <v>176</v>
      </c>
      <c r="GH31" s="185" t="s">
        <v>176</v>
      </c>
      <c r="GI31" s="188" t="s">
        <v>176</v>
      </c>
      <c r="GJ31" s="263">
        <f t="shared" si="1"/>
        <v>176</v>
      </c>
    </row>
    <row r="32" spans="1:192" ht="12.75" customHeight="1" x14ac:dyDescent="0.25">
      <c r="A32" s="258" t="s">
        <v>260</v>
      </c>
      <c r="B32" s="494" t="s">
        <v>760</v>
      </c>
      <c r="C32" s="495" t="s">
        <v>750</v>
      </c>
      <c r="D32" s="185">
        <v>2</v>
      </c>
      <c r="E32" s="185">
        <v>2</v>
      </c>
      <c r="F32" s="185">
        <v>2</v>
      </c>
      <c r="G32" s="185">
        <v>2</v>
      </c>
      <c r="H32" s="185">
        <v>2</v>
      </c>
      <c r="I32" s="185">
        <v>1</v>
      </c>
      <c r="J32" s="185" t="s">
        <v>176</v>
      </c>
      <c r="K32" s="185" t="s">
        <v>176</v>
      </c>
      <c r="L32" s="185">
        <v>2</v>
      </c>
      <c r="M32" s="185">
        <v>2</v>
      </c>
      <c r="N32" s="185" t="s">
        <v>176</v>
      </c>
      <c r="O32" s="185" t="s">
        <v>176</v>
      </c>
      <c r="P32" s="185">
        <v>2</v>
      </c>
      <c r="Q32" s="185">
        <v>2</v>
      </c>
      <c r="R32" s="185" t="s">
        <v>176</v>
      </c>
      <c r="S32" s="185" t="s">
        <v>176</v>
      </c>
      <c r="T32" s="185" t="s">
        <v>176</v>
      </c>
      <c r="U32" s="185" t="s">
        <v>176</v>
      </c>
      <c r="V32" s="185" t="s">
        <v>176</v>
      </c>
      <c r="W32" s="185" t="s">
        <v>176</v>
      </c>
      <c r="X32" s="185" t="s">
        <v>176</v>
      </c>
      <c r="Y32" s="185">
        <v>2</v>
      </c>
      <c r="Z32" s="185">
        <v>2</v>
      </c>
      <c r="AA32" s="185">
        <v>3</v>
      </c>
      <c r="AB32" s="185">
        <v>2</v>
      </c>
      <c r="AC32" s="185">
        <v>2</v>
      </c>
      <c r="AD32" s="185">
        <v>3</v>
      </c>
      <c r="AE32" s="185">
        <v>3</v>
      </c>
      <c r="AF32" s="185">
        <v>2</v>
      </c>
      <c r="AG32" s="185">
        <v>1</v>
      </c>
      <c r="AH32" s="185" t="s">
        <v>176</v>
      </c>
      <c r="AI32" s="185">
        <v>3</v>
      </c>
      <c r="AJ32" s="185">
        <v>2</v>
      </c>
      <c r="AK32" s="185">
        <v>2</v>
      </c>
      <c r="AL32" s="185">
        <v>2</v>
      </c>
      <c r="AM32" s="185">
        <v>2</v>
      </c>
      <c r="AN32" s="185">
        <v>3</v>
      </c>
      <c r="AO32" s="185">
        <v>3</v>
      </c>
      <c r="AP32" s="185">
        <v>3</v>
      </c>
      <c r="AQ32" s="185">
        <v>3</v>
      </c>
      <c r="AR32" s="185">
        <v>3</v>
      </c>
      <c r="AS32" s="185">
        <v>3</v>
      </c>
      <c r="AT32" s="185">
        <v>2</v>
      </c>
      <c r="AU32" s="189">
        <v>2</v>
      </c>
      <c r="AV32" s="185">
        <v>1</v>
      </c>
      <c r="AW32" s="185">
        <v>1</v>
      </c>
      <c r="AX32" s="185">
        <v>1</v>
      </c>
      <c r="AY32" s="185">
        <v>1</v>
      </c>
      <c r="AZ32" s="185">
        <v>1</v>
      </c>
      <c r="BA32" s="185">
        <v>1</v>
      </c>
      <c r="BB32" s="185">
        <v>1</v>
      </c>
      <c r="BC32" s="185" t="s">
        <v>176</v>
      </c>
      <c r="BD32" s="185" t="s">
        <v>176</v>
      </c>
      <c r="BE32" s="185" t="s">
        <v>176</v>
      </c>
      <c r="BF32" s="185" t="s">
        <v>176</v>
      </c>
      <c r="BG32" s="185" t="s">
        <v>176</v>
      </c>
      <c r="BH32" s="185" t="s">
        <v>176</v>
      </c>
      <c r="BI32" s="185" t="s">
        <v>176</v>
      </c>
      <c r="BJ32" s="185" t="s">
        <v>176</v>
      </c>
      <c r="BK32" s="185" t="s">
        <v>176</v>
      </c>
      <c r="BL32" s="185" t="s">
        <v>176</v>
      </c>
      <c r="BM32" s="185" t="s">
        <v>176</v>
      </c>
      <c r="BN32" s="185" t="s">
        <v>176</v>
      </c>
      <c r="BO32" s="185" t="s">
        <v>176</v>
      </c>
      <c r="BP32" s="185" t="s">
        <v>176</v>
      </c>
      <c r="BQ32" s="185" t="s">
        <v>176</v>
      </c>
      <c r="BR32" s="185" t="s">
        <v>176</v>
      </c>
      <c r="BS32" s="185" t="s">
        <v>176</v>
      </c>
      <c r="BT32" s="185" t="s">
        <v>176</v>
      </c>
      <c r="BU32" s="185" t="s">
        <v>176</v>
      </c>
      <c r="BV32" s="185" t="s">
        <v>176</v>
      </c>
      <c r="BW32" s="185" t="s">
        <v>176</v>
      </c>
      <c r="BX32" s="185" t="s">
        <v>176</v>
      </c>
      <c r="BY32" s="185" t="s">
        <v>176</v>
      </c>
      <c r="BZ32" s="185" t="s">
        <v>176</v>
      </c>
      <c r="CA32" s="185" t="s">
        <v>176</v>
      </c>
      <c r="CB32" s="185" t="s">
        <v>176</v>
      </c>
      <c r="CC32" s="185" t="s">
        <v>176</v>
      </c>
      <c r="CD32" s="185" t="s">
        <v>176</v>
      </c>
      <c r="CE32" s="185" t="s">
        <v>176</v>
      </c>
      <c r="CF32" s="185" t="s">
        <v>176</v>
      </c>
      <c r="CG32" s="185">
        <v>2</v>
      </c>
      <c r="CH32" s="185">
        <v>2</v>
      </c>
      <c r="CI32" s="185" t="s">
        <v>176</v>
      </c>
      <c r="CJ32" s="185" t="s">
        <v>176</v>
      </c>
      <c r="CK32" s="185">
        <v>2</v>
      </c>
      <c r="CL32" s="185">
        <v>2</v>
      </c>
      <c r="CM32" s="185">
        <v>2</v>
      </c>
      <c r="CN32" s="185">
        <v>2</v>
      </c>
      <c r="CO32" s="185">
        <v>2</v>
      </c>
      <c r="CP32" s="185">
        <v>1</v>
      </c>
      <c r="CQ32" s="185">
        <v>1</v>
      </c>
      <c r="CR32" s="185">
        <v>2</v>
      </c>
      <c r="CS32" s="247">
        <v>3</v>
      </c>
      <c r="CT32" s="189">
        <v>2</v>
      </c>
      <c r="CU32" s="189">
        <v>2</v>
      </c>
      <c r="CV32" s="189">
        <v>2</v>
      </c>
      <c r="CW32" s="189">
        <v>2</v>
      </c>
      <c r="CX32" s="189">
        <v>2</v>
      </c>
      <c r="CY32" s="189">
        <v>2</v>
      </c>
      <c r="CZ32" s="247">
        <v>3</v>
      </c>
      <c r="DA32" s="247">
        <v>3</v>
      </c>
      <c r="DB32" s="247">
        <v>3</v>
      </c>
      <c r="DC32" s="247">
        <v>2</v>
      </c>
      <c r="DD32" s="247">
        <v>2</v>
      </c>
      <c r="DE32" s="247">
        <v>3</v>
      </c>
      <c r="DF32" s="247">
        <v>3</v>
      </c>
      <c r="DG32" s="247">
        <v>3</v>
      </c>
      <c r="DH32" s="247">
        <v>3</v>
      </c>
      <c r="DI32" s="247">
        <v>3</v>
      </c>
      <c r="DJ32" s="247">
        <v>3</v>
      </c>
      <c r="DK32" s="247">
        <v>3</v>
      </c>
      <c r="DL32" s="247">
        <v>3</v>
      </c>
      <c r="DM32" s="247">
        <v>3</v>
      </c>
      <c r="DN32" s="247">
        <v>3</v>
      </c>
      <c r="DO32" s="247">
        <v>3</v>
      </c>
      <c r="DP32" s="247">
        <v>3</v>
      </c>
      <c r="DQ32" s="247">
        <v>3</v>
      </c>
      <c r="DR32" s="247">
        <v>3</v>
      </c>
      <c r="DS32" s="247">
        <v>3</v>
      </c>
      <c r="DT32" s="247">
        <v>3</v>
      </c>
      <c r="DU32" s="247">
        <v>3</v>
      </c>
      <c r="DV32" s="247">
        <v>3</v>
      </c>
      <c r="DW32" s="185" t="s">
        <v>176</v>
      </c>
      <c r="DX32" s="185" t="s">
        <v>176</v>
      </c>
      <c r="DY32" s="185" t="s">
        <v>176</v>
      </c>
      <c r="DZ32" s="185" t="s">
        <v>176</v>
      </c>
      <c r="EA32" s="185" t="s">
        <v>176</v>
      </c>
      <c r="EB32" s="185" t="s">
        <v>176</v>
      </c>
      <c r="EC32" s="185" t="s">
        <v>176</v>
      </c>
      <c r="ED32" s="185" t="s">
        <v>176</v>
      </c>
      <c r="EE32" s="185" t="s">
        <v>176</v>
      </c>
      <c r="EF32" s="185" t="s">
        <v>176</v>
      </c>
      <c r="EG32" s="185" t="s">
        <v>176</v>
      </c>
      <c r="EH32" s="185" t="s">
        <v>176</v>
      </c>
      <c r="EI32" s="185" t="s">
        <v>176</v>
      </c>
      <c r="EJ32" s="185" t="s">
        <v>176</v>
      </c>
      <c r="EK32" s="185" t="s">
        <v>176</v>
      </c>
      <c r="EL32" s="185" t="s">
        <v>176</v>
      </c>
      <c r="EM32" s="185">
        <v>1</v>
      </c>
      <c r="EN32" s="185" t="s">
        <v>176</v>
      </c>
      <c r="EO32" s="185" t="s">
        <v>176</v>
      </c>
      <c r="EP32" s="185" t="s">
        <v>176</v>
      </c>
      <c r="EQ32" s="185" t="s">
        <v>176</v>
      </c>
      <c r="ER32" s="185" t="s">
        <v>176</v>
      </c>
      <c r="ES32" s="185" t="s">
        <v>176</v>
      </c>
      <c r="ET32" s="406" t="s">
        <v>176</v>
      </c>
      <c r="EU32" s="185" t="s">
        <v>176</v>
      </c>
      <c r="EV32" s="185" t="s">
        <v>176</v>
      </c>
      <c r="EW32" s="185">
        <v>2</v>
      </c>
      <c r="EX32" s="185">
        <v>2</v>
      </c>
      <c r="EY32" s="185">
        <v>2</v>
      </c>
      <c r="EZ32" s="185">
        <v>2</v>
      </c>
      <c r="FA32" s="185" t="s">
        <v>176</v>
      </c>
      <c r="FB32" s="185">
        <v>3</v>
      </c>
      <c r="FC32" s="185">
        <v>3</v>
      </c>
      <c r="FD32" s="185">
        <v>3</v>
      </c>
      <c r="FE32" s="185">
        <v>3</v>
      </c>
      <c r="FF32" s="185">
        <v>3</v>
      </c>
      <c r="FG32" s="185">
        <v>3</v>
      </c>
      <c r="FH32" s="185">
        <v>3</v>
      </c>
      <c r="FI32" s="185">
        <v>3</v>
      </c>
      <c r="FJ32" s="185">
        <v>3</v>
      </c>
      <c r="FK32" s="185">
        <v>3</v>
      </c>
      <c r="FL32" s="185">
        <v>3</v>
      </c>
      <c r="FM32" s="185">
        <v>3</v>
      </c>
      <c r="FN32" s="185">
        <v>3</v>
      </c>
      <c r="FO32" s="185" t="s">
        <v>176</v>
      </c>
      <c r="FP32" s="185" t="s">
        <v>176</v>
      </c>
      <c r="FQ32" s="185" t="s">
        <v>176</v>
      </c>
      <c r="FR32" s="185" t="s">
        <v>176</v>
      </c>
      <c r="FS32" s="185" t="s">
        <v>160</v>
      </c>
      <c r="FT32" s="185" t="s">
        <v>176</v>
      </c>
      <c r="FU32" s="185" t="s">
        <v>176</v>
      </c>
      <c r="FV32" s="185" t="s">
        <v>176</v>
      </c>
      <c r="FW32" s="185" t="s">
        <v>176</v>
      </c>
      <c r="FX32" s="185" t="s">
        <v>176</v>
      </c>
      <c r="FY32" s="185" t="s">
        <v>176</v>
      </c>
      <c r="FZ32" s="185" t="s">
        <v>160</v>
      </c>
      <c r="GA32" s="185" t="s">
        <v>176</v>
      </c>
      <c r="GB32" s="185" t="s">
        <v>176</v>
      </c>
      <c r="GC32" s="185" t="s">
        <v>176</v>
      </c>
      <c r="GD32" s="185" t="s">
        <v>176</v>
      </c>
      <c r="GE32" s="185" t="s">
        <v>176</v>
      </c>
      <c r="GF32" s="185" t="s">
        <v>176</v>
      </c>
      <c r="GG32" s="185" t="s">
        <v>176</v>
      </c>
      <c r="GH32" s="185" t="s">
        <v>176</v>
      </c>
      <c r="GI32" s="188" t="s">
        <v>176</v>
      </c>
      <c r="GJ32" s="275">
        <f>SUM(D32:FN32)</f>
        <v>227</v>
      </c>
    </row>
    <row r="33" spans="1:192" x14ac:dyDescent="0.25">
      <c r="A33" s="272" t="s">
        <v>260</v>
      </c>
      <c r="B33" s="273" t="s">
        <v>642</v>
      </c>
      <c r="C33" s="266" t="s">
        <v>750</v>
      </c>
      <c r="D33" s="189">
        <v>2</v>
      </c>
      <c r="E33" s="189">
        <v>2</v>
      </c>
      <c r="F33" s="189">
        <v>2</v>
      </c>
      <c r="G33" s="189">
        <v>2</v>
      </c>
      <c r="H33" s="189">
        <v>2</v>
      </c>
      <c r="I33" s="189">
        <v>1</v>
      </c>
      <c r="J33" s="189" t="s">
        <v>176</v>
      </c>
      <c r="K33" s="189" t="s">
        <v>176</v>
      </c>
      <c r="L33" s="189">
        <v>1</v>
      </c>
      <c r="M33" s="189">
        <v>1</v>
      </c>
      <c r="N33" s="189" t="s">
        <v>176</v>
      </c>
      <c r="O33" s="189" t="s">
        <v>176</v>
      </c>
      <c r="P33" s="189" t="s">
        <v>176</v>
      </c>
      <c r="Q33" s="189" t="s">
        <v>176</v>
      </c>
      <c r="R33" s="189" t="s">
        <v>176</v>
      </c>
      <c r="S33" s="189" t="s">
        <v>176</v>
      </c>
      <c r="T33" s="189" t="s">
        <v>176</v>
      </c>
      <c r="U33" s="189" t="s">
        <v>176</v>
      </c>
      <c r="V33" s="189" t="s">
        <v>176</v>
      </c>
      <c r="W33" s="189" t="s">
        <v>176</v>
      </c>
      <c r="X33" s="189" t="s">
        <v>176</v>
      </c>
      <c r="Y33" s="189">
        <v>2</v>
      </c>
      <c r="Z33" s="189">
        <v>3</v>
      </c>
      <c r="AA33" s="189">
        <v>3</v>
      </c>
      <c r="AB33" s="189">
        <v>2</v>
      </c>
      <c r="AC33" s="189">
        <v>2</v>
      </c>
      <c r="AD33" s="189">
        <v>3</v>
      </c>
      <c r="AE33" s="189">
        <v>3</v>
      </c>
      <c r="AF33" s="189">
        <v>1</v>
      </c>
      <c r="AG33" s="189">
        <v>2</v>
      </c>
      <c r="AH33" s="189" t="s">
        <v>176</v>
      </c>
      <c r="AI33" s="189">
        <v>3</v>
      </c>
      <c r="AJ33" s="189">
        <v>2</v>
      </c>
      <c r="AK33" s="189" t="s">
        <v>176</v>
      </c>
      <c r="AL33" s="189">
        <v>2</v>
      </c>
      <c r="AM33" s="189">
        <v>2</v>
      </c>
      <c r="AN33" s="189">
        <v>2</v>
      </c>
      <c r="AO33" s="189">
        <v>1</v>
      </c>
      <c r="AP33" s="189">
        <v>2</v>
      </c>
      <c r="AQ33" s="189">
        <v>2</v>
      </c>
      <c r="AR33" s="189">
        <v>2</v>
      </c>
      <c r="AS33" s="189">
        <v>3</v>
      </c>
      <c r="AT33" s="189">
        <v>1</v>
      </c>
      <c r="AU33" s="189">
        <v>2</v>
      </c>
      <c r="AV33" s="189" t="s">
        <v>176</v>
      </c>
      <c r="AW33" s="189" t="s">
        <v>176</v>
      </c>
      <c r="AX33" s="189" t="s">
        <v>176</v>
      </c>
      <c r="AY33" s="189" t="s">
        <v>176</v>
      </c>
      <c r="AZ33" s="189" t="s">
        <v>176</v>
      </c>
      <c r="BA33" s="189" t="s">
        <v>176</v>
      </c>
      <c r="BB33" s="189" t="s">
        <v>176</v>
      </c>
      <c r="BC33" s="189" t="s">
        <v>176</v>
      </c>
      <c r="BD33" s="189" t="s">
        <v>176</v>
      </c>
      <c r="BE33" s="189" t="s">
        <v>176</v>
      </c>
      <c r="BF33" s="189" t="s">
        <v>176</v>
      </c>
      <c r="BG33" s="189" t="s">
        <v>176</v>
      </c>
      <c r="BH33" s="189" t="s">
        <v>176</v>
      </c>
      <c r="BI33" s="189" t="s">
        <v>176</v>
      </c>
      <c r="BJ33" s="189" t="s">
        <v>176</v>
      </c>
      <c r="BK33" s="189" t="s">
        <v>176</v>
      </c>
      <c r="BL33" s="189" t="s">
        <v>176</v>
      </c>
      <c r="BM33" s="189" t="s">
        <v>176</v>
      </c>
      <c r="BN33" s="189" t="s">
        <v>176</v>
      </c>
      <c r="BO33" s="189" t="s">
        <v>176</v>
      </c>
      <c r="BP33" s="189" t="s">
        <v>176</v>
      </c>
      <c r="BQ33" s="189" t="s">
        <v>176</v>
      </c>
      <c r="BR33" s="189" t="s">
        <v>176</v>
      </c>
      <c r="BS33" s="189" t="s">
        <v>176</v>
      </c>
      <c r="BT33" s="189" t="s">
        <v>176</v>
      </c>
      <c r="BU33" s="189" t="s">
        <v>176</v>
      </c>
      <c r="BV33" s="189" t="s">
        <v>176</v>
      </c>
      <c r="BW33" s="189" t="s">
        <v>176</v>
      </c>
      <c r="BX33" s="189" t="s">
        <v>176</v>
      </c>
      <c r="BY33" s="189" t="s">
        <v>176</v>
      </c>
      <c r="BZ33" s="189" t="s">
        <v>176</v>
      </c>
      <c r="CA33" s="189" t="s">
        <v>176</v>
      </c>
      <c r="CB33" s="189" t="s">
        <v>176</v>
      </c>
      <c r="CC33" s="189" t="s">
        <v>176</v>
      </c>
      <c r="CD33" s="189" t="s">
        <v>176</v>
      </c>
      <c r="CE33" s="189" t="s">
        <v>176</v>
      </c>
      <c r="CF33" s="189" t="s">
        <v>176</v>
      </c>
      <c r="CG33" s="189">
        <v>2</v>
      </c>
      <c r="CH33" s="189" t="s">
        <v>176</v>
      </c>
      <c r="CI33" s="189" t="s">
        <v>176</v>
      </c>
      <c r="CJ33" s="189" t="s">
        <v>176</v>
      </c>
      <c r="CK33" s="189">
        <v>2</v>
      </c>
      <c r="CL33" s="189">
        <v>3</v>
      </c>
      <c r="CM33" s="189">
        <v>3</v>
      </c>
      <c r="CN33" s="189">
        <v>3</v>
      </c>
      <c r="CO33" s="189">
        <v>2</v>
      </c>
      <c r="CP33" s="189" t="s">
        <v>176</v>
      </c>
      <c r="CQ33" s="189">
        <v>2</v>
      </c>
      <c r="CR33" s="189">
        <v>1</v>
      </c>
      <c r="CS33" s="370">
        <v>1</v>
      </c>
      <c r="CT33" s="371" t="s">
        <v>176</v>
      </c>
      <c r="CU33" s="370">
        <v>1</v>
      </c>
      <c r="CV33" s="372" t="s">
        <v>176</v>
      </c>
      <c r="CW33" s="372" t="s">
        <v>176</v>
      </c>
      <c r="CX33" s="372" t="s">
        <v>176</v>
      </c>
      <c r="CY33" s="372" t="s">
        <v>176</v>
      </c>
      <c r="CZ33" s="372" t="s">
        <v>176</v>
      </c>
      <c r="DA33" s="372" t="s">
        <v>176</v>
      </c>
      <c r="DB33" s="372" t="s">
        <v>176</v>
      </c>
      <c r="DC33" s="372" t="s">
        <v>176</v>
      </c>
      <c r="DD33" s="372" t="s">
        <v>176</v>
      </c>
      <c r="DE33" s="372" t="s">
        <v>176</v>
      </c>
      <c r="DF33" s="372" t="s">
        <v>176</v>
      </c>
      <c r="DG33" s="372" t="s">
        <v>176</v>
      </c>
      <c r="DH33" s="372" t="s">
        <v>176</v>
      </c>
      <c r="DI33" s="372" t="s">
        <v>176</v>
      </c>
      <c r="DJ33" s="372" t="s">
        <v>176</v>
      </c>
      <c r="DK33" s="372" t="s">
        <v>176</v>
      </c>
      <c r="DL33" s="372" t="s">
        <v>176</v>
      </c>
      <c r="DM33" s="372" t="s">
        <v>176</v>
      </c>
      <c r="DN33" s="372" t="s">
        <v>176</v>
      </c>
      <c r="DO33" s="372" t="s">
        <v>176</v>
      </c>
      <c r="DP33" s="372" t="s">
        <v>176</v>
      </c>
      <c r="DQ33" s="372" t="s">
        <v>176</v>
      </c>
      <c r="DR33" s="372" t="s">
        <v>176</v>
      </c>
      <c r="DS33" s="372" t="s">
        <v>176</v>
      </c>
      <c r="DT33" s="372" t="s">
        <v>176</v>
      </c>
      <c r="DU33" s="372" t="s">
        <v>176</v>
      </c>
      <c r="DV33" s="372" t="s">
        <v>176</v>
      </c>
      <c r="DW33" s="189" t="s">
        <v>176</v>
      </c>
      <c r="DX33" s="189" t="s">
        <v>176</v>
      </c>
      <c r="DY33" s="189" t="s">
        <v>176</v>
      </c>
      <c r="DZ33" s="189" t="s">
        <v>176</v>
      </c>
      <c r="EA33" s="189" t="s">
        <v>176</v>
      </c>
      <c r="EB33" s="189" t="s">
        <v>176</v>
      </c>
      <c r="EC33" s="189" t="s">
        <v>176</v>
      </c>
      <c r="ED33" s="189" t="s">
        <v>176</v>
      </c>
      <c r="EE33" s="189" t="s">
        <v>176</v>
      </c>
      <c r="EF33" s="189" t="s">
        <v>176</v>
      </c>
      <c r="EG33" s="189" t="s">
        <v>176</v>
      </c>
      <c r="EH33" s="189" t="s">
        <v>176</v>
      </c>
      <c r="EI33" s="189" t="s">
        <v>176</v>
      </c>
      <c r="EJ33" s="189" t="s">
        <v>176</v>
      </c>
      <c r="EK33" s="189" t="s">
        <v>176</v>
      </c>
      <c r="EL33" s="189" t="s">
        <v>176</v>
      </c>
      <c r="EM33" s="189" t="s">
        <v>176</v>
      </c>
      <c r="EN33" s="189" t="s">
        <v>176</v>
      </c>
      <c r="EO33" s="189" t="s">
        <v>176</v>
      </c>
      <c r="EP33" s="189" t="s">
        <v>176</v>
      </c>
      <c r="EQ33" s="189" t="s">
        <v>176</v>
      </c>
      <c r="ER33" s="189" t="s">
        <v>176</v>
      </c>
      <c r="ES33" s="189" t="s">
        <v>176</v>
      </c>
      <c r="ET33" s="189" t="s">
        <v>176</v>
      </c>
      <c r="EU33" s="406" t="s">
        <v>176</v>
      </c>
      <c r="EV33" s="189" t="s">
        <v>176</v>
      </c>
      <c r="EW33" s="189">
        <v>2</v>
      </c>
      <c r="EX33" s="189">
        <v>2</v>
      </c>
      <c r="EY33" s="189">
        <v>2</v>
      </c>
      <c r="EZ33" s="189">
        <v>2</v>
      </c>
      <c r="FA33" s="247" t="s">
        <v>176</v>
      </c>
      <c r="FB33" s="247">
        <v>2</v>
      </c>
      <c r="FC33" s="247">
        <v>2</v>
      </c>
      <c r="FD33" s="247">
        <v>2</v>
      </c>
      <c r="FE33" s="247">
        <v>2</v>
      </c>
      <c r="FF33" s="247">
        <v>2</v>
      </c>
      <c r="FG33" s="247">
        <v>2</v>
      </c>
      <c r="FH33" s="247">
        <v>2</v>
      </c>
      <c r="FI33" s="247">
        <v>2</v>
      </c>
      <c r="FJ33" s="247">
        <v>2</v>
      </c>
      <c r="FK33" s="247">
        <v>2</v>
      </c>
      <c r="FL33" s="247">
        <v>2</v>
      </c>
      <c r="FM33" s="247">
        <v>2</v>
      </c>
      <c r="FN33" s="247">
        <v>2</v>
      </c>
      <c r="FO33" s="247" t="s">
        <v>176</v>
      </c>
      <c r="FP33" s="189" t="s">
        <v>160</v>
      </c>
      <c r="FQ33" s="247" t="s">
        <v>176</v>
      </c>
      <c r="FR33" s="247" t="s">
        <v>176</v>
      </c>
      <c r="FS33" s="247" t="s">
        <v>176</v>
      </c>
      <c r="FT33" s="247" t="s">
        <v>176</v>
      </c>
      <c r="FU33" s="247" t="s">
        <v>176</v>
      </c>
      <c r="FV33" s="247" t="s">
        <v>176</v>
      </c>
      <c r="FW33" s="247" t="s">
        <v>176</v>
      </c>
      <c r="FX33" s="247" t="s">
        <v>176</v>
      </c>
      <c r="FY33" s="247" t="s">
        <v>176</v>
      </c>
      <c r="FZ33" s="189" t="s">
        <v>160</v>
      </c>
      <c r="GA33" s="189" t="s">
        <v>176</v>
      </c>
      <c r="GB33" s="189" t="s">
        <v>176</v>
      </c>
      <c r="GC33" s="189" t="s">
        <v>176</v>
      </c>
      <c r="GD33" s="189" t="s">
        <v>176</v>
      </c>
      <c r="GE33" s="189" t="s">
        <v>176</v>
      </c>
      <c r="GF33" s="189" t="s">
        <v>176</v>
      </c>
      <c r="GG33" s="189" t="s">
        <v>176</v>
      </c>
      <c r="GH33" s="189" t="s">
        <v>176</v>
      </c>
      <c r="GI33" s="189" t="s">
        <v>176</v>
      </c>
      <c r="GJ33" s="275">
        <f t="shared" si="1"/>
        <v>112</v>
      </c>
    </row>
    <row r="34" spans="1:192" ht="27.75" customHeight="1" x14ac:dyDescent="0.25">
      <c r="A34" s="272" t="s">
        <v>189</v>
      </c>
      <c r="B34" s="273" t="s">
        <v>578</v>
      </c>
      <c r="C34" s="276" t="s">
        <v>599</v>
      </c>
      <c r="D34" s="189">
        <v>1</v>
      </c>
      <c r="E34" s="189">
        <v>1</v>
      </c>
      <c r="F34" s="185" t="s">
        <v>176</v>
      </c>
      <c r="G34" s="185" t="s">
        <v>176</v>
      </c>
      <c r="H34" s="185" t="s">
        <v>176</v>
      </c>
      <c r="I34" s="189">
        <v>1</v>
      </c>
      <c r="J34" s="189">
        <v>1</v>
      </c>
      <c r="K34" s="189">
        <v>1</v>
      </c>
      <c r="L34" s="189">
        <v>3</v>
      </c>
      <c r="M34" s="189">
        <v>3</v>
      </c>
      <c r="N34" s="189">
        <v>1</v>
      </c>
      <c r="O34" s="189">
        <v>2</v>
      </c>
      <c r="P34" s="189">
        <v>2</v>
      </c>
      <c r="Q34" s="189">
        <v>1</v>
      </c>
      <c r="R34" s="185" t="s">
        <v>176</v>
      </c>
      <c r="S34" s="185" t="s">
        <v>176</v>
      </c>
      <c r="T34" s="185" t="s">
        <v>176</v>
      </c>
      <c r="U34" s="185" t="s">
        <v>176</v>
      </c>
      <c r="V34" s="185" t="s">
        <v>176</v>
      </c>
      <c r="W34" s="185" t="s">
        <v>176</v>
      </c>
      <c r="X34" s="185" t="s">
        <v>176</v>
      </c>
      <c r="Y34" s="185">
        <v>2</v>
      </c>
      <c r="Z34" s="185" t="s">
        <v>176</v>
      </c>
      <c r="AA34" s="185" t="s">
        <v>176</v>
      </c>
      <c r="AB34" s="185" t="s">
        <v>176</v>
      </c>
      <c r="AC34" s="185" t="s">
        <v>176</v>
      </c>
      <c r="AD34" s="185" t="s">
        <v>176</v>
      </c>
      <c r="AE34" s="185" t="s">
        <v>176</v>
      </c>
      <c r="AF34" s="185" t="s">
        <v>176</v>
      </c>
      <c r="AG34" s="185" t="s">
        <v>176</v>
      </c>
      <c r="AH34" s="185" t="s">
        <v>176</v>
      </c>
      <c r="AI34" s="189">
        <v>2</v>
      </c>
      <c r="AJ34" s="185" t="s">
        <v>176</v>
      </c>
      <c r="AK34" s="185" t="s">
        <v>176</v>
      </c>
      <c r="AL34" s="185" t="s">
        <v>176</v>
      </c>
      <c r="AM34" s="185" t="s">
        <v>176</v>
      </c>
      <c r="AN34" s="185" t="s">
        <v>176</v>
      </c>
      <c r="AO34" s="185" t="s">
        <v>176</v>
      </c>
      <c r="AP34" s="185" t="s">
        <v>176</v>
      </c>
      <c r="AQ34" s="185" t="s">
        <v>176</v>
      </c>
      <c r="AR34" s="185" t="s">
        <v>176</v>
      </c>
      <c r="AS34" s="185">
        <v>1</v>
      </c>
      <c r="AT34" s="185">
        <v>1</v>
      </c>
      <c r="AU34" s="185">
        <v>1</v>
      </c>
      <c r="AV34" s="185" t="s">
        <v>176</v>
      </c>
      <c r="AW34" s="185" t="s">
        <v>176</v>
      </c>
      <c r="AX34" s="185" t="s">
        <v>176</v>
      </c>
      <c r="AY34" s="185" t="s">
        <v>176</v>
      </c>
      <c r="AZ34" s="185" t="s">
        <v>176</v>
      </c>
      <c r="BA34" s="185" t="s">
        <v>176</v>
      </c>
      <c r="BB34" s="185" t="s">
        <v>176</v>
      </c>
      <c r="BC34" s="185" t="s">
        <v>176</v>
      </c>
      <c r="BD34" s="185" t="s">
        <v>176</v>
      </c>
      <c r="BE34" s="185" t="s">
        <v>176</v>
      </c>
      <c r="BF34" s="185" t="s">
        <v>176</v>
      </c>
      <c r="BG34" s="185" t="s">
        <v>176</v>
      </c>
      <c r="BH34" s="185" t="s">
        <v>176</v>
      </c>
      <c r="BI34" s="185" t="s">
        <v>176</v>
      </c>
      <c r="BJ34" s="185" t="s">
        <v>176</v>
      </c>
      <c r="BK34" s="185" t="s">
        <v>176</v>
      </c>
      <c r="BL34" s="185" t="s">
        <v>176</v>
      </c>
      <c r="BM34" s="185" t="s">
        <v>176</v>
      </c>
      <c r="BN34" s="185" t="s">
        <v>176</v>
      </c>
      <c r="BO34" s="185" t="s">
        <v>176</v>
      </c>
      <c r="BP34" s="185" t="s">
        <v>176</v>
      </c>
      <c r="BQ34" s="185" t="s">
        <v>176</v>
      </c>
      <c r="BR34" s="185" t="s">
        <v>176</v>
      </c>
      <c r="BS34" s="185" t="s">
        <v>176</v>
      </c>
      <c r="BT34" s="185" t="s">
        <v>176</v>
      </c>
      <c r="BU34" s="185" t="s">
        <v>176</v>
      </c>
      <c r="BV34" s="185" t="s">
        <v>176</v>
      </c>
      <c r="BW34" s="185" t="s">
        <v>176</v>
      </c>
      <c r="BX34" s="185" t="s">
        <v>176</v>
      </c>
      <c r="BY34" s="185" t="s">
        <v>176</v>
      </c>
      <c r="BZ34" s="185" t="s">
        <v>176</v>
      </c>
      <c r="CA34" s="185" t="s">
        <v>176</v>
      </c>
      <c r="CB34" s="185" t="s">
        <v>176</v>
      </c>
      <c r="CC34" s="185" t="s">
        <v>176</v>
      </c>
      <c r="CD34" s="185" t="s">
        <v>176</v>
      </c>
      <c r="CE34" s="185" t="s">
        <v>176</v>
      </c>
      <c r="CF34" s="185" t="s">
        <v>176</v>
      </c>
      <c r="CG34" s="185">
        <v>2</v>
      </c>
      <c r="CH34" s="185" t="s">
        <v>176</v>
      </c>
      <c r="CI34" s="185" t="s">
        <v>176</v>
      </c>
      <c r="CJ34" s="185" t="s">
        <v>176</v>
      </c>
      <c r="CK34" s="185">
        <v>1</v>
      </c>
      <c r="CL34" s="185">
        <v>1</v>
      </c>
      <c r="CM34" s="185" t="s">
        <v>176</v>
      </c>
      <c r="CN34" s="185" t="s">
        <v>176</v>
      </c>
      <c r="CO34" s="185" t="s">
        <v>176</v>
      </c>
      <c r="CP34" s="185" t="s">
        <v>176</v>
      </c>
      <c r="CQ34" s="185" t="s">
        <v>176</v>
      </c>
      <c r="CR34" s="185" t="s">
        <v>176</v>
      </c>
      <c r="CS34" s="185" t="s">
        <v>176</v>
      </c>
      <c r="CT34" s="185" t="s">
        <v>176</v>
      </c>
      <c r="CU34" s="185" t="s">
        <v>176</v>
      </c>
      <c r="CV34" s="372" t="s">
        <v>176</v>
      </c>
      <c r="CW34" s="372" t="s">
        <v>176</v>
      </c>
      <c r="CX34" s="372" t="s">
        <v>176</v>
      </c>
      <c r="CY34" s="372" t="s">
        <v>176</v>
      </c>
      <c r="CZ34" s="372" t="s">
        <v>176</v>
      </c>
      <c r="DA34" s="372" t="s">
        <v>176</v>
      </c>
      <c r="DB34" s="372" t="s">
        <v>176</v>
      </c>
      <c r="DC34" s="372" t="s">
        <v>176</v>
      </c>
      <c r="DD34" s="372" t="s">
        <v>176</v>
      </c>
      <c r="DE34" s="372" t="s">
        <v>176</v>
      </c>
      <c r="DF34" s="372" t="s">
        <v>176</v>
      </c>
      <c r="DG34" s="372" t="s">
        <v>176</v>
      </c>
      <c r="DH34" s="372" t="s">
        <v>176</v>
      </c>
      <c r="DI34" s="372" t="s">
        <v>176</v>
      </c>
      <c r="DJ34" s="372" t="s">
        <v>176</v>
      </c>
      <c r="DK34" s="372" t="s">
        <v>176</v>
      </c>
      <c r="DL34" s="372" t="s">
        <v>176</v>
      </c>
      <c r="DM34" s="372" t="s">
        <v>176</v>
      </c>
      <c r="DN34" s="372" t="s">
        <v>176</v>
      </c>
      <c r="DO34" s="372" t="s">
        <v>176</v>
      </c>
      <c r="DP34" s="372" t="s">
        <v>176</v>
      </c>
      <c r="DQ34" s="372" t="s">
        <v>176</v>
      </c>
      <c r="DR34" s="372" t="s">
        <v>176</v>
      </c>
      <c r="DS34" s="372" t="s">
        <v>176</v>
      </c>
      <c r="DT34" s="372" t="s">
        <v>176</v>
      </c>
      <c r="DU34" s="372" t="s">
        <v>176</v>
      </c>
      <c r="DV34" s="372" t="s">
        <v>176</v>
      </c>
      <c r="DW34" s="185" t="s">
        <v>176</v>
      </c>
      <c r="DX34" s="185" t="s">
        <v>176</v>
      </c>
      <c r="DY34" s="185" t="s">
        <v>176</v>
      </c>
      <c r="DZ34" s="185" t="s">
        <v>176</v>
      </c>
      <c r="EA34" s="185" t="s">
        <v>176</v>
      </c>
      <c r="EB34" s="185" t="s">
        <v>176</v>
      </c>
      <c r="EC34" s="185" t="s">
        <v>176</v>
      </c>
      <c r="ED34" s="185" t="s">
        <v>176</v>
      </c>
      <c r="EE34" s="185" t="s">
        <v>176</v>
      </c>
      <c r="EF34" s="185" t="s">
        <v>176</v>
      </c>
      <c r="EG34" s="185" t="s">
        <v>176</v>
      </c>
      <c r="EH34" s="185" t="s">
        <v>176</v>
      </c>
      <c r="EI34" s="185" t="s">
        <v>176</v>
      </c>
      <c r="EJ34" s="185" t="s">
        <v>176</v>
      </c>
      <c r="EK34" s="185" t="s">
        <v>176</v>
      </c>
      <c r="EL34" s="185" t="s">
        <v>176</v>
      </c>
      <c r="EM34" s="185" t="s">
        <v>176</v>
      </c>
      <c r="EN34" s="185" t="s">
        <v>176</v>
      </c>
      <c r="EO34" s="185" t="s">
        <v>176</v>
      </c>
      <c r="EP34" s="185" t="s">
        <v>176</v>
      </c>
      <c r="EQ34" s="185" t="s">
        <v>176</v>
      </c>
      <c r="ER34" s="185" t="s">
        <v>176</v>
      </c>
      <c r="ES34" s="185" t="s">
        <v>176</v>
      </c>
      <c r="ET34" s="185" t="s">
        <v>176</v>
      </c>
      <c r="EU34" s="406" t="s">
        <v>176</v>
      </c>
      <c r="EV34" s="185" t="s">
        <v>176</v>
      </c>
      <c r="EW34" s="185">
        <v>2</v>
      </c>
      <c r="EX34" s="185">
        <v>2</v>
      </c>
      <c r="EY34" s="185">
        <v>2</v>
      </c>
      <c r="EZ34" s="185">
        <v>1</v>
      </c>
      <c r="FA34" s="185">
        <v>1</v>
      </c>
      <c r="FB34" s="185">
        <v>2</v>
      </c>
      <c r="FC34" s="185">
        <v>2</v>
      </c>
      <c r="FD34" s="185">
        <v>1</v>
      </c>
      <c r="FE34" s="185">
        <v>1</v>
      </c>
      <c r="FF34" s="185">
        <v>2</v>
      </c>
      <c r="FG34" s="185">
        <v>2</v>
      </c>
      <c r="FH34" s="185">
        <v>3</v>
      </c>
      <c r="FI34" s="185">
        <v>3</v>
      </c>
      <c r="FJ34" s="185">
        <v>1</v>
      </c>
      <c r="FK34" s="185">
        <v>2</v>
      </c>
      <c r="FL34" s="185">
        <v>2</v>
      </c>
      <c r="FM34" s="185">
        <v>2</v>
      </c>
      <c r="FN34" s="185">
        <v>1</v>
      </c>
      <c r="FO34" s="185" t="s">
        <v>160</v>
      </c>
      <c r="FP34" s="185" t="s">
        <v>176</v>
      </c>
      <c r="FQ34" s="185" t="s">
        <v>176</v>
      </c>
      <c r="FR34" s="189" t="s">
        <v>176</v>
      </c>
      <c r="FS34" s="185" t="s">
        <v>176</v>
      </c>
      <c r="FT34" s="185" t="s">
        <v>176</v>
      </c>
      <c r="FU34" s="185" t="s">
        <v>176</v>
      </c>
      <c r="FV34" s="185" t="s">
        <v>176</v>
      </c>
      <c r="FW34" s="185" t="s">
        <v>176</v>
      </c>
      <c r="FX34" s="185" t="s">
        <v>176</v>
      </c>
      <c r="FY34" s="185" t="s">
        <v>387</v>
      </c>
      <c r="FZ34" s="189" t="s">
        <v>176</v>
      </c>
      <c r="GA34" s="185" t="s">
        <v>176</v>
      </c>
      <c r="GB34" s="185" t="s">
        <v>176</v>
      </c>
      <c r="GC34" s="185" t="s">
        <v>176</v>
      </c>
      <c r="GD34" s="185" t="s">
        <v>176</v>
      </c>
      <c r="GE34" s="185" t="s">
        <v>176</v>
      </c>
      <c r="GF34" s="185" t="s">
        <v>176</v>
      </c>
      <c r="GG34" s="185" t="s">
        <v>176</v>
      </c>
      <c r="GH34" s="185" t="s">
        <v>176</v>
      </c>
      <c r="GI34" s="185" t="s">
        <v>176</v>
      </c>
      <c r="GJ34" s="275">
        <f t="shared" si="1"/>
        <v>60</v>
      </c>
    </row>
    <row r="35" spans="1:192" ht="25.5" customHeight="1" x14ac:dyDescent="0.25">
      <c r="A35" s="258" t="s">
        <v>189</v>
      </c>
      <c r="B35" s="261" t="s">
        <v>206</v>
      </c>
      <c r="C35" s="276" t="s">
        <v>599</v>
      </c>
      <c r="D35" s="185">
        <v>2</v>
      </c>
      <c r="E35" s="185">
        <v>2</v>
      </c>
      <c r="F35" s="185" t="s">
        <v>176</v>
      </c>
      <c r="G35" s="185" t="s">
        <v>176</v>
      </c>
      <c r="H35" s="185" t="s">
        <v>176</v>
      </c>
      <c r="I35" s="185">
        <v>3</v>
      </c>
      <c r="J35" s="185">
        <v>2</v>
      </c>
      <c r="K35" s="185">
        <v>1</v>
      </c>
      <c r="L35" s="185">
        <v>3</v>
      </c>
      <c r="M35" s="185">
        <v>3</v>
      </c>
      <c r="N35" s="185">
        <v>2</v>
      </c>
      <c r="O35" s="185">
        <v>2</v>
      </c>
      <c r="P35" s="185">
        <v>2</v>
      </c>
      <c r="Q35" s="185">
        <v>2</v>
      </c>
      <c r="R35" s="185" t="s">
        <v>176</v>
      </c>
      <c r="S35" s="185" t="s">
        <v>176</v>
      </c>
      <c r="T35" s="185" t="s">
        <v>176</v>
      </c>
      <c r="U35" s="185" t="s">
        <v>176</v>
      </c>
      <c r="V35" s="185" t="s">
        <v>176</v>
      </c>
      <c r="W35" s="185" t="s">
        <v>176</v>
      </c>
      <c r="X35" s="185" t="s">
        <v>176</v>
      </c>
      <c r="Y35" s="185">
        <v>2</v>
      </c>
      <c r="Z35" s="185" t="s">
        <v>176</v>
      </c>
      <c r="AA35" s="185" t="s">
        <v>176</v>
      </c>
      <c r="AB35" s="185" t="s">
        <v>176</v>
      </c>
      <c r="AC35" s="185" t="s">
        <v>176</v>
      </c>
      <c r="AD35" s="185" t="s">
        <v>176</v>
      </c>
      <c r="AE35" s="185" t="s">
        <v>176</v>
      </c>
      <c r="AF35" s="185" t="s">
        <v>176</v>
      </c>
      <c r="AG35" s="185" t="s">
        <v>176</v>
      </c>
      <c r="AH35" s="185" t="s">
        <v>176</v>
      </c>
      <c r="AI35" s="189">
        <v>2</v>
      </c>
      <c r="AJ35" s="185" t="s">
        <v>176</v>
      </c>
      <c r="AK35" s="185" t="s">
        <v>176</v>
      </c>
      <c r="AL35" s="185" t="s">
        <v>176</v>
      </c>
      <c r="AM35" s="185" t="s">
        <v>176</v>
      </c>
      <c r="AN35" s="185" t="s">
        <v>176</v>
      </c>
      <c r="AO35" s="185" t="s">
        <v>176</v>
      </c>
      <c r="AP35" s="185" t="s">
        <v>176</v>
      </c>
      <c r="AQ35" s="185" t="s">
        <v>176</v>
      </c>
      <c r="AR35" s="185" t="s">
        <v>176</v>
      </c>
      <c r="AS35" s="185">
        <v>1</v>
      </c>
      <c r="AT35" s="185">
        <v>1</v>
      </c>
      <c r="AU35" s="185">
        <v>1</v>
      </c>
      <c r="AV35" s="185" t="s">
        <v>176</v>
      </c>
      <c r="AW35" s="185" t="s">
        <v>176</v>
      </c>
      <c r="AX35" s="185" t="s">
        <v>176</v>
      </c>
      <c r="AY35" s="185" t="s">
        <v>176</v>
      </c>
      <c r="AZ35" s="185" t="s">
        <v>176</v>
      </c>
      <c r="BA35" s="185" t="s">
        <v>176</v>
      </c>
      <c r="BB35" s="185" t="s">
        <v>176</v>
      </c>
      <c r="BC35" s="185" t="s">
        <v>176</v>
      </c>
      <c r="BD35" s="185" t="s">
        <v>176</v>
      </c>
      <c r="BE35" s="185" t="s">
        <v>176</v>
      </c>
      <c r="BF35" s="185" t="s">
        <v>176</v>
      </c>
      <c r="BG35" s="185" t="s">
        <v>176</v>
      </c>
      <c r="BH35" s="185" t="s">
        <v>176</v>
      </c>
      <c r="BI35" s="185" t="s">
        <v>176</v>
      </c>
      <c r="BJ35" s="185" t="s">
        <v>176</v>
      </c>
      <c r="BK35" s="185" t="s">
        <v>176</v>
      </c>
      <c r="BL35" s="185" t="s">
        <v>176</v>
      </c>
      <c r="BM35" s="185" t="s">
        <v>176</v>
      </c>
      <c r="BN35" s="185" t="s">
        <v>176</v>
      </c>
      <c r="BO35" s="185" t="s">
        <v>176</v>
      </c>
      <c r="BP35" s="185" t="s">
        <v>176</v>
      </c>
      <c r="BQ35" s="185" t="s">
        <v>176</v>
      </c>
      <c r="BR35" s="185" t="s">
        <v>176</v>
      </c>
      <c r="BS35" s="185" t="s">
        <v>176</v>
      </c>
      <c r="BT35" s="185" t="s">
        <v>176</v>
      </c>
      <c r="BU35" s="185" t="s">
        <v>176</v>
      </c>
      <c r="BV35" s="185" t="s">
        <v>176</v>
      </c>
      <c r="BW35" s="185" t="s">
        <v>176</v>
      </c>
      <c r="BX35" s="185" t="s">
        <v>176</v>
      </c>
      <c r="BY35" s="185" t="s">
        <v>176</v>
      </c>
      <c r="BZ35" s="185" t="s">
        <v>176</v>
      </c>
      <c r="CA35" s="185" t="s">
        <v>176</v>
      </c>
      <c r="CB35" s="185" t="s">
        <v>176</v>
      </c>
      <c r="CC35" s="185" t="s">
        <v>176</v>
      </c>
      <c r="CD35" s="185" t="s">
        <v>176</v>
      </c>
      <c r="CE35" s="185" t="s">
        <v>176</v>
      </c>
      <c r="CF35" s="185" t="s">
        <v>176</v>
      </c>
      <c r="CG35" s="185">
        <v>2</v>
      </c>
      <c r="CH35" s="185" t="s">
        <v>176</v>
      </c>
      <c r="CI35" s="185" t="s">
        <v>176</v>
      </c>
      <c r="CJ35" s="185" t="s">
        <v>176</v>
      </c>
      <c r="CK35" s="185">
        <v>1</v>
      </c>
      <c r="CL35" s="185">
        <v>1</v>
      </c>
      <c r="CM35" s="185" t="s">
        <v>176</v>
      </c>
      <c r="CN35" s="185" t="s">
        <v>176</v>
      </c>
      <c r="CO35" s="185" t="s">
        <v>176</v>
      </c>
      <c r="CP35" s="185" t="s">
        <v>176</v>
      </c>
      <c r="CQ35" s="185" t="s">
        <v>176</v>
      </c>
      <c r="CR35" s="185" t="s">
        <v>176</v>
      </c>
      <c r="CS35" s="185" t="s">
        <v>176</v>
      </c>
      <c r="CT35" s="185" t="s">
        <v>176</v>
      </c>
      <c r="CU35" s="185" t="s">
        <v>176</v>
      </c>
      <c r="CV35" s="372" t="s">
        <v>176</v>
      </c>
      <c r="CW35" s="372" t="s">
        <v>176</v>
      </c>
      <c r="CX35" s="372" t="s">
        <v>176</v>
      </c>
      <c r="CY35" s="372" t="s">
        <v>176</v>
      </c>
      <c r="CZ35" s="372" t="s">
        <v>176</v>
      </c>
      <c r="DA35" s="372" t="s">
        <v>176</v>
      </c>
      <c r="DB35" s="372" t="s">
        <v>176</v>
      </c>
      <c r="DC35" s="372" t="s">
        <v>176</v>
      </c>
      <c r="DD35" s="372" t="s">
        <v>176</v>
      </c>
      <c r="DE35" s="372" t="s">
        <v>176</v>
      </c>
      <c r="DF35" s="372" t="s">
        <v>176</v>
      </c>
      <c r="DG35" s="372" t="s">
        <v>176</v>
      </c>
      <c r="DH35" s="372" t="s">
        <v>176</v>
      </c>
      <c r="DI35" s="372" t="s">
        <v>176</v>
      </c>
      <c r="DJ35" s="372" t="s">
        <v>176</v>
      </c>
      <c r="DK35" s="372" t="s">
        <v>176</v>
      </c>
      <c r="DL35" s="372" t="s">
        <v>176</v>
      </c>
      <c r="DM35" s="372" t="s">
        <v>176</v>
      </c>
      <c r="DN35" s="372" t="s">
        <v>176</v>
      </c>
      <c r="DO35" s="372" t="s">
        <v>176</v>
      </c>
      <c r="DP35" s="372" t="s">
        <v>176</v>
      </c>
      <c r="DQ35" s="372" t="s">
        <v>176</v>
      </c>
      <c r="DR35" s="372" t="s">
        <v>176</v>
      </c>
      <c r="DS35" s="372" t="s">
        <v>176</v>
      </c>
      <c r="DT35" s="372" t="s">
        <v>176</v>
      </c>
      <c r="DU35" s="372" t="s">
        <v>176</v>
      </c>
      <c r="DV35" s="372" t="s">
        <v>176</v>
      </c>
      <c r="DW35" s="185" t="s">
        <v>176</v>
      </c>
      <c r="DX35" s="185" t="s">
        <v>176</v>
      </c>
      <c r="DY35" s="185" t="s">
        <v>176</v>
      </c>
      <c r="DZ35" s="185" t="s">
        <v>176</v>
      </c>
      <c r="EA35" s="185" t="s">
        <v>176</v>
      </c>
      <c r="EB35" s="185" t="s">
        <v>176</v>
      </c>
      <c r="EC35" s="185" t="s">
        <v>176</v>
      </c>
      <c r="ED35" s="185" t="s">
        <v>176</v>
      </c>
      <c r="EE35" s="185" t="s">
        <v>176</v>
      </c>
      <c r="EF35" s="185" t="s">
        <v>176</v>
      </c>
      <c r="EG35" s="185" t="s">
        <v>176</v>
      </c>
      <c r="EH35" s="185" t="s">
        <v>176</v>
      </c>
      <c r="EI35" s="185" t="s">
        <v>176</v>
      </c>
      <c r="EJ35" s="185" t="s">
        <v>176</v>
      </c>
      <c r="EK35" s="185" t="s">
        <v>176</v>
      </c>
      <c r="EL35" s="185" t="s">
        <v>176</v>
      </c>
      <c r="EM35" s="185" t="s">
        <v>176</v>
      </c>
      <c r="EN35" s="185" t="s">
        <v>176</v>
      </c>
      <c r="EO35" s="185" t="s">
        <v>176</v>
      </c>
      <c r="EP35" s="185" t="s">
        <v>176</v>
      </c>
      <c r="EQ35" s="185" t="s">
        <v>176</v>
      </c>
      <c r="ER35" s="185" t="s">
        <v>176</v>
      </c>
      <c r="ES35" s="185" t="s">
        <v>176</v>
      </c>
      <c r="ET35" s="185" t="s">
        <v>176</v>
      </c>
      <c r="EU35" s="406" t="s">
        <v>176</v>
      </c>
      <c r="EV35" s="185" t="s">
        <v>176</v>
      </c>
      <c r="EW35" s="185">
        <v>2</v>
      </c>
      <c r="EX35" s="185">
        <v>2</v>
      </c>
      <c r="EY35" s="185">
        <v>2</v>
      </c>
      <c r="EZ35" s="185">
        <v>1</v>
      </c>
      <c r="FA35" s="185">
        <v>1</v>
      </c>
      <c r="FB35" s="185">
        <v>2</v>
      </c>
      <c r="FC35" s="185">
        <v>3</v>
      </c>
      <c r="FD35" s="185">
        <v>2</v>
      </c>
      <c r="FE35" s="185">
        <v>2</v>
      </c>
      <c r="FF35" s="185">
        <v>2</v>
      </c>
      <c r="FG35" s="185">
        <v>3</v>
      </c>
      <c r="FH35" s="185">
        <v>3</v>
      </c>
      <c r="FI35" s="185">
        <v>3</v>
      </c>
      <c r="FJ35" s="185">
        <v>2</v>
      </c>
      <c r="FK35" s="185">
        <v>3</v>
      </c>
      <c r="FL35" s="185">
        <v>3</v>
      </c>
      <c r="FM35" s="185">
        <v>2</v>
      </c>
      <c r="FN35" s="185">
        <v>2</v>
      </c>
      <c r="FO35" s="185" t="s">
        <v>176</v>
      </c>
      <c r="FP35" s="185" t="s">
        <v>176</v>
      </c>
      <c r="FQ35" s="185" t="s">
        <v>176</v>
      </c>
      <c r="FR35" s="185" t="s">
        <v>160</v>
      </c>
      <c r="FS35" s="185" t="s">
        <v>176</v>
      </c>
      <c r="FT35" s="185" t="s">
        <v>176</v>
      </c>
      <c r="FU35" s="185" t="s">
        <v>176</v>
      </c>
      <c r="FV35" s="185" t="s">
        <v>176</v>
      </c>
      <c r="FW35" s="185" t="s">
        <v>176</v>
      </c>
      <c r="FX35" s="185" t="s">
        <v>176</v>
      </c>
      <c r="FY35" s="185" t="s">
        <v>176</v>
      </c>
      <c r="FZ35" s="185" t="s">
        <v>160</v>
      </c>
      <c r="GA35" s="185" t="s">
        <v>176</v>
      </c>
      <c r="GB35" s="185" t="s">
        <v>176</v>
      </c>
      <c r="GC35" s="185" t="s">
        <v>176</v>
      </c>
      <c r="GD35" s="185" t="s">
        <v>176</v>
      </c>
      <c r="GE35" s="185" t="s">
        <v>176</v>
      </c>
      <c r="GF35" s="185" t="s">
        <v>176</v>
      </c>
      <c r="GG35" s="185" t="s">
        <v>176</v>
      </c>
      <c r="GH35" s="185" t="s">
        <v>176</v>
      </c>
      <c r="GI35" s="185" t="s">
        <v>176</v>
      </c>
      <c r="GJ35" s="263">
        <f t="shared" si="1"/>
        <v>75</v>
      </c>
    </row>
    <row r="36" spans="1:192" ht="25.5" customHeight="1" x14ac:dyDescent="0.25">
      <c r="A36" s="258" t="s">
        <v>189</v>
      </c>
      <c r="B36" s="276" t="s">
        <v>593</v>
      </c>
      <c r="C36" s="276" t="s">
        <v>599</v>
      </c>
      <c r="D36" s="185">
        <v>2</v>
      </c>
      <c r="E36" s="185">
        <v>2</v>
      </c>
      <c r="F36" s="185" t="s">
        <v>176</v>
      </c>
      <c r="G36" s="185" t="s">
        <v>176</v>
      </c>
      <c r="H36" s="185" t="s">
        <v>176</v>
      </c>
      <c r="I36" s="185">
        <v>3</v>
      </c>
      <c r="J36" s="185">
        <v>2</v>
      </c>
      <c r="K36" s="185">
        <v>1</v>
      </c>
      <c r="L36" s="185">
        <v>3</v>
      </c>
      <c r="M36" s="185">
        <v>3</v>
      </c>
      <c r="N36" s="185">
        <v>2</v>
      </c>
      <c r="O36" s="185">
        <v>2</v>
      </c>
      <c r="P36" s="185">
        <v>2</v>
      </c>
      <c r="Q36" s="185">
        <v>2</v>
      </c>
      <c r="R36" s="185" t="s">
        <v>176</v>
      </c>
      <c r="S36" s="185" t="s">
        <v>176</v>
      </c>
      <c r="T36" s="185" t="s">
        <v>176</v>
      </c>
      <c r="U36" s="185" t="s">
        <v>176</v>
      </c>
      <c r="V36" s="185" t="s">
        <v>176</v>
      </c>
      <c r="W36" s="185" t="s">
        <v>176</v>
      </c>
      <c r="X36" s="185" t="s">
        <v>176</v>
      </c>
      <c r="Y36" s="185">
        <v>2</v>
      </c>
      <c r="Z36" s="185" t="s">
        <v>176</v>
      </c>
      <c r="AA36" s="185" t="s">
        <v>176</v>
      </c>
      <c r="AB36" s="185" t="s">
        <v>176</v>
      </c>
      <c r="AC36" s="185" t="s">
        <v>176</v>
      </c>
      <c r="AD36" s="185" t="s">
        <v>176</v>
      </c>
      <c r="AE36" s="185" t="s">
        <v>176</v>
      </c>
      <c r="AF36" s="185" t="s">
        <v>176</v>
      </c>
      <c r="AG36" s="185" t="s">
        <v>176</v>
      </c>
      <c r="AH36" s="185" t="s">
        <v>176</v>
      </c>
      <c r="AI36" s="189">
        <v>2</v>
      </c>
      <c r="AJ36" s="185" t="s">
        <v>176</v>
      </c>
      <c r="AK36" s="185" t="s">
        <v>176</v>
      </c>
      <c r="AL36" s="185" t="s">
        <v>176</v>
      </c>
      <c r="AM36" s="185" t="s">
        <v>176</v>
      </c>
      <c r="AN36" s="185" t="s">
        <v>176</v>
      </c>
      <c r="AO36" s="185" t="s">
        <v>176</v>
      </c>
      <c r="AP36" s="185" t="s">
        <v>176</v>
      </c>
      <c r="AQ36" s="185" t="s">
        <v>176</v>
      </c>
      <c r="AR36" s="185" t="s">
        <v>176</v>
      </c>
      <c r="AS36" s="185">
        <v>1</v>
      </c>
      <c r="AT36" s="185">
        <v>1</v>
      </c>
      <c r="AU36" s="185">
        <v>1</v>
      </c>
      <c r="AV36" s="185" t="s">
        <v>176</v>
      </c>
      <c r="AW36" s="185" t="s">
        <v>176</v>
      </c>
      <c r="AX36" s="185" t="s">
        <v>176</v>
      </c>
      <c r="AY36" s="185" t="s">
        <v>176</v>
      </c>
      <c r="AZ36" s="185" t="s">
        <v>176</v>
      </c>
      <c r="BA36" s="185" t="s">
        <v>176</v>
      </c>
      <c r="BB36" s="185" t="s">
        <v>176</v>
      </c>
      <c r="BC36" s="185" t="s">
        <v>176</v>
      </c>
      <c r="BD36" s="185" t="s">
        <v>176</v>
      </c>
      <c r="BE36" s="185" t="s">
        <v>176</v>
      </c>
      <c r="BF36" s="185" t="s">
        <v>176</v>
      </c>
      <c r="BG36" s="185" t="s">
        <v>176</v>
      </c>
      <c r="BH36" s="185" t="s">
        <v>176</v>
      </c>
      <c r="BI36" s="185" t="s">
        <v>176</v>
      </c>
      <c r="BJ36" s="185" t="s">
        <v>176</v>
      </c>
      <c r="BK36" s="185" t="s">
        <v>176</v>
      </c>
      <c r="BL36" s="185" t="s">
        <v>176</v>
      </c>
      <c r="BM36" s="185" t="s">
        <v>176</v>
      </c>
      <c r="BN36" s="185" t="s">
        <v>176</v>
      </c>
      <c r="BO36" s="185" t="s">
        <v>176</v>
      </c>
      <c r="BP36" s="185" t="s">
        <v>176</v>
      </c>
      <c r="BQ36" s="185" t="s">
        <v>176</v>
      </c>
      <c r="BR36" s="185" t="s">
        <v>176</v>
      </c>
      <c r="BS36" s="185" t="s">
        <v>176</v>
      </c>
      <c r="BT36" s="185" t="s">
        <v>176</v>
      </c>
      <c r="BU36" s="185" t="s">
        <v>176</v>
      </c>
      <c r="BV36" s="185" t="s">
        <v>176</v>
      </c>
      <c r="BW36" s="185" t="s">
        <v>176</v>
      </c>
      <c r="BX36" s="185" t="s">
        <v>176</v>
      </c>
      <c r="BY36" s="185" t="s">
        <v>176</v>
      </c>
      <c r="BZ36" s="185" t="s">
        <v>176</v>
      </c>
      <c r="CA36" s="185" t="s">
        <v>176</v>
      </c>
      <c r="CB36" s="185" t="s">
        <v>176</v>
      </c>
      <c r="CC36" s="185" t="s">
        <v>176</v>
      </c>
      <c r="CD36" s="185" t="s">
        <v>176</v>
      </c>
      <c r="CE36" s="185" t="s">
        <v>176</v>
      </c>
      <c r="CF36" s="185" t="s">
        <v>176</v>
      </c>
      <c r="CG36" s="185">
        <v>2</v>
      </c>
      <c r="CH36" s="185" t="s">
        <v>176</v>
      </c>
      <c r="CI36" s="185" t="s">
        <v>176</v>
      </c>
      <c r="CJ36" s="185" t="s">
        <v>176</v>
      </c>
      <c r="CK36" s="185">
        <v>1</v>
      </c>
      <c r="CL36" s="185">
        <v>1</v>
      </c>
      <c r="CM36" s="185" t="s">
        <v>176</v>
      </c>
      <c r="CN36" s="185" t="s">
        <v>176</v>
      </c>
      <c r="CO36" s="185" t="s">
        <v>176</v>
      </c>
      <c r="CP36" s="185" t="s">
        <v>176</v>
      </c>
      <c r="CQ36" s="185" t="s">
        <v>176</v>
      </c>
      <c r="CR36" s="185" t="s">
        <v>176</v>
      </c>
      <c r="CS36" s="185" t="s">
        <v>176</v>
      </c>
      <c r="CT36" s="185" t="s">
        <v>176</v>
      </c>
      <c r="CU36" s="185" t="s">
        <v>176</v>
      </c>
      <c r="CV36" s="372" t="s">
        <v>176</v>
      </c>
      <c r="CW36" s="372" t="s">
        <v>176</v>
      </c>
      <c r="CX36" s="372" t="s">
        <v>176</v>
      </c>
      <c r="CY36" s="372" t="s">
        <v>176</v>
      </c>
      <c r="CZ36" s="372" t="s">
        <v>176</v>
      </c>
      <c r="DA36" s="372" t="s">
        <v>176</v>
      </c>
      <c r="DB36" s="372" t="s">
        <v>176</v>
      </c>
      <c r="DC36" s="372" t="s">
        <v>176</v>
      </c>
      <c r="DD36" s="372" t="s">
        <v>176</v>
      </c>
      <c r="DE36" s="372" t="s">
        <v>176</v>
      </c>
      <c r="DF36" s="372" t="s">
        <v>176</v>
      </c>
      <c r="DG36" s="372" t="s">
        <v>176</v>
      </c>
      <c r="DH36" s="372" t="s">
        <v>176</v>
      </c>
      <c r="DI36" s="372" t="s">
        <v>176</v>
      </c>
      <c r="DJ36" s="372" t="s">
        <v>176</v>
      </c>
      <c r="DK36" s="372" t="s">
        <v>176</v>
      </c>
      <c r="DL36" s="372" t="s">
        <v>176</v>
      </c>
      <c r="DM36" s="372" t="s">
        <v>176</v>
      </c>
      <c r="DN36" s="372" t="s">
        <v>176</v>
      </c>
      <c r="DO36" s="372" t="s">
        <v>176</v>
      </c>
      <c r="DP36" s="372" t="s">
        <v>176</v>
      </c>
      <c r="DQ36" s="372" t="s">
        <v>176</v>
      </c>
      <c r="DR36" s="372" t="s">
        <v>176</v>
      </c>
      <c r="DS36" s="372" t="s">
        <v>176</v>
      </c>
      <c r="DT36" s="372" t="s">
        <v>176</v>
      </c>
      <c r="DU36" s="372" t="s">
        <v>176</v>
      </c>
      <c r="DV36" s="372" t="s">
        <v>176</v>
      </c>
      <c r="DW36" s="185" t="s">
        <v>176</v>
      </c>
      <c r="DX36" s="185" t="s">
        <v>176</v>
      </c>
      <c r="DY36" s="185" t="s">
        <v>176</v>
      </c>
      <c r="DZ36" s="185" t="s">
        <v>176</v>
      </c>
      <c r="EA36" s="185" t="s">
        <v>176</v>
      </c>
      <c r="EB36" s="185" t="s">
        <v>176</v>
      </c>
      <c r="EC36" s="185" t="s">
        <v>176</v>
      </c>
      <c r="ED36" s="185" t="s">
        <v>176</v>
      </c>
      <c r="EE36" s="185" t="s">
        <v>176</v>
      </c>
      <c r="EF36" s="185" t="s">
        <v>176</v>
      </c>
      <c r="EG36" s="185" t="s">
        <v>176</v>
      </c>
      <c r="EH36" s="185" t="s">
        <v>176</v>
      </c>
      <c r="EI36" s="185" t="s">
        <v>176</v>
      </c>
      <c r="EJ36" s="185" t="s">
        <v>176</v>
      </c>
      <c r="EK36" s="185" t="s">
        <v>176</v>
      </c>
      <c r="EL36" s="185" t="s">
        <v>176</v>
      </c>
      <c r="EM36" s="185" t="s">
        <v>176</v>
      </c>
      <c r="EN36" s="185" t="s">
        <v>176</v>
      </c>
      <c r="EO36" s="185" t="s">
        <v>176</v>
      </c>
      <c r="EP36" s="185" t="s">
        <v>176</v>
      </c>
      <c r="EQ36" s="185" t="s">
        <v>176</v>
      </c>
      <c r="ER36" s="185" t="s">
        <v>176</v>
      </c>
      <c r="ES36" s="185" t="s">
        <v>176</v>
      </c>
      <c r="ET36" s="185" t="s">
        <v>176</v>
      </c>
      <c r="EU36" s="406" t="s">
        <v>176</v>
      </c>
      <c r="EV36" s="185" t="s">
        <v>176</v>
      </c>
      <c r="EW36" s="185">
        <v>2</v>
      </c>
      <c r="EX36" s="185">
        <v>2</v>
      </c>
      <c r="EY36" s="185">
        <v>2</v>
      </c>
      <c r="EZ36" s="185">
        <v>1</v>
      </c>
      <c r="FA36" s="185">
        <v>1</v>
      </c>
      <c r="FB36" s="185">
        <v>2</v>
      </c>
      <c r="FC36" s="185">
        <v>3</v>
      </c>
      <c r="FD36" s="185">
        <v>2</v>
      </c>
      <c r="FE36" s="185">
        <v>2</v>
      </c>
      <c r="FF36" s="185">
        <v>2</v>
      </c>
      <c r="FG36" s="185">
        <v>3</v>
      </c>
      <c r="FH36" s="185">
        <v>3</v>
      </c>
      <c r="FI36" s="185">
        <v>3</v>
      </c>
      <c r="FJ36" s="185">
        <v>2</v>
      </c>
      <c r="FK36" s="185">
        <v>3</v>
      </c>
      <c r="FL36" s="185">
        <v>3</v>
      </c>
      <c r="FM36" s="185">
        <v>2</v>
      </c>
      <c r="FN36" s="185">
        <v>2</v>
      </c>
      <c r="FO36" s="185" t="s">
        <v>176</v>
      </c>
      <c r="FP36" s="185" t="s">
        <v>176</v>
      </c>
      <c r="FQ36" s="185" t="s">
        <v>176</v>
      </c>
      <c r="FR36" s="185" t="s">
        <v>160</v>
      </c>
      <c r="FS36" s="185" t="s">
        <v>176</v>
      </c>
      <c r="FT36" s="185" t="s">
        <v>176</v>
      </c>
      <c r="FU36" s="185" t="s">
        <v>176</v>
      </c>
      <c r="FV36" s="185" t="s">
        <v>176</v>
      </c>
      <c r="FW36" s="185" t="s">
        <v>176</v>
      </c>
      <c r="FX36" s="185" t="s">
        <v>176</v>
      </c>
      <c r="FY36" s="185" t="s">
        <v>176</v>
      </c>
      <c r="FZ36" s="185" t="s">
        <v>160</v>
      </c>
      <c r="GA36" s="185" t="s">
        <v>176</v>
      </c>
      <c r="GB36" s="185" t="s">
        <v>176</v>
      </c>
      <c r="GC36" s="185" t="s">
        <v>176</v>
      </c>
      <c r="GD36" s="185" t="s">
        <v>176</v>
      </c>
      <c r="GE36" s="185" t="s">
        <v>176</v>
      </c>
      <c r="GF36" s="185" t="s">
        <v>176</v>
      </c>
      <c r="GG36" s="185" t="s">
        <v>176</v>
      </c>
      <c r="GH36" s="185" t="s">
        <v>176</v>
      </c>
      <c r="GI36" s="185" t="s">
        <v>176</v>
      </c>
      <c r="GJ36" s="263">
        <f t="shared" si="1"/>
        <v>75</v>
      </c>
    </row>
    <row r="37" spans="1:192" ht="25.5" customHeight="1" x14ac:dyDescent="0.25">
      <c r="A37" s="258" t="s">
        <v>189</v>
      </c>
      <c r="B37" s="261" t="s">
        <v>221</v>
      </c>
      <c r="C37" s="276" t="s">
        <v>599</v>
      </c>
      <c r="D37" s="185">
        <v>2</v>
      </c>
      <c r="E37" s="185">
        <v>2</v>
      </c>
      <c r="F37" s="185" t="s">
        <v>176</v>
      </c>
      <c r="G37" s="185" t="s">
        <v>176</v>
      </c>
      <c r="H37" s="185" t="s">
        <v>176</v>
      </c>
      <c r="I37" s="185">
        <v>3</v>
      </c>
      <c r="J37" s="185">
        <v>3</v>
      </c>
      <c r="K37" s="185">
        <v>3</v>
      </c>
      <c r="L37" s="185">
        <v>3</v>
      </c>
      <c r="M37" s="185">
        <v>3</v>
      </c>
      <c r="N37" s="185">
        <v>3</v>
      </c>
      <c r="O37" s="185">
        <v>2</v>
      </c>
      <c r="P37" s="185">
        <v>2</v>
      </c>
      <c r="Q37" s="185">
        <v>1</v>
      </c>
      <c r="R37" s="185" t="s">
        <v>176</v>
      </c>
      <c r="S37" s="185" t="s">
        <v>176</v>
      </c>
      <c r="T37" s="185" t="s">
        <v>176</v>
      </c>
      <c r="U37" s="185" t="s">
        <v>176</v>
      </c>
      <c r="V37" s="185" t="s">
        <v>176</v>
      </c>
      <c r="W37" s="185" t="s">
        <v>176</v>
      </c>
      <c r="X37" s="185" t="s">
        <v>176</v>
      </c>
      <c r="Y37" s="185">
        <v>2</v>
      </c>
      <c r="Z37" s="185" t="s">
        <v>176</v>
      </c>
      <c r="AA37" s="185" t="s">
        <v>176</v>
      </c>
      <c r="AB37" s="185" t="s">
        <v>176</v>
      </c>
      <c r="AC37" s="185" t="s">
        <v>176</v>
      </c>
      <c r="AD37" s="185" t="s">
        <v>176</v>
      </c>
      <c r="AE37" s="185" t="s">
        <v>176</v>
      </c>
      <c r="AF37" s="185" t="s">
        <v>176</v>
      </c>
      <c r="AG37" s="185" t="s">
        <v>176</v>
      </c>
      <c r="AH37" s="185" t="s">
        <v>176</v>
      </c>
      <c r="AI37" s="189">
        <v>2</v>
      </c>
      <c r="AJ37" s="185" t="s">
        <v>176</v>
      </c>
      <c r="AK37" s="185" t="s">
        <v>176</v>
      </c>
      <c r="AL37" s="185" t="s">
        <v>176</v>
      </c>
      <c r="AM37" s="185" t="s">
        <v>176</v>
      </c>
      <c r="AN37" s="185" t="s">
        <v>176</v>
      </c>
      <c r="AO37" s="185" t="s">
        <v>176</v>
      </c>
      <c r="AP37" s="185" t="s">
        <v>176</v>
      </c>
      <c r="AQ37" s="185" t="s">
        <v>176</v>
      </c>
      <c r="AR37" s="185" t="s">
        <v>176</v>
      </c>
      <c r="AS37" s="185">
        <v>1</v>
      </c>
      <c r="AT37" s="185">
        <v>1</v>
      </c>
      <c r="AU37" s="185">
        <v>1</v>
      </c>
      <c r="AV37" s="185" t="s">
        <v>176</v>
      </c>
      <c r="AW37" s="185" t="s">
        <v>176</v>
      </c>
      <c r="AX37" s="185" t="s">
        <v>176</v>
      </c>
      <c r="AY37" s="185" t="s">
        <v>176</v>
      </c>
      <c r="AZ37" s="185" t="s">
        <v>176</v>
      </c>
      <c r="BA37" s="185" t="s">
        <v>176</v>
      </c>
      <c r="BB37" s="185" t="s">
        <v>176</v>
      </c>
      <c r="BC37" s="185" t="s">
        <v>176</v>
      </c>
      <c r="BD37" s="185" t="s">
        <v>176</v>
      </c>
      <c r="BE37" s="185" t="s">
        <v>176</v>
      </c>
      <c r="BF37" s="185" t="s">
        <v>176</v>
      </c>
      <c r="BG37" s="185" t="s">
        <v>176</v>
      </c>
      <c r="BH37" s="185" t="s">
        <v>176</v>
      </c>
      <c r="BI37" s="185" t="s">
        <v>176</v>
      </c>
      <c r="BJ37" s="185" t="s">
        <v>176</v>
      </c>
      <c r="BK37" s="185" t="s">
        <v>176</v>
      </c>
      <c r="BL37" s="185" t="s">
        <v>176</v>
      </c>
      <c r="BM37" s="185" t="s">
        <v>176</v>
      </c>
      <c r="BN37" s="185" t="s">
        <v>176</v>
      </c>
      <c r="BO37" s="185" t="s">
        <v>176</v>
      </c>
      <c r="BP37" s="185" t="s">
        <v>176</v>
      </c>
      <c r="BQ37" s="185" t="s">
        <v>176</v>
      </c>
      <c r="BR37" s="185" t="s">
        <v>176</v>
      </c>
      <c r="BS37" s="185" t="s">
        <v>176</v>
      </c>
      <c r="BT37" s="185" t="s">
        <v>176</v>
      </c>
      <c r="BU37" s="185" t="s">
        <v>176</v>
      </c>
      <c r="BV37" s="185" t="s">
        <v>176</v>
      </c>
      <c r="BW37" s="185" t="s">
        <v>176</v>
      </c>
      <c r="BX37" s="185" t="s">
        <v>176</v>
      </c>
      <c r="BY37" s="185" t="s">
        <v>176</v>
      </c>
      <c r="BZ37" s="185" t="s">
        <v>176</v>
      </c>
      <c r="CA37" s="185" t="s">
        <v>176</v>
      </c>
      <c r="CB37" s="185" t="s">
        <v>176</v>
      </c>
      <c r="CC37" s="185" t="s">
        <v>176</v>
      </c>
      <c r="CD37" s="185" t="s">
        <v>176</v>
      </c>
      <c r="CE37" s="185" t="s">
        <v>176</v>
      </c>
      <c r="CF37" s="185" t="s">
        <v>176</v>
      </c>
      <c r="CG37" s="185">
        <v>2</v>
      </c>
      <c r="CH37" s="185" t="s">
        <v>176</v>
      </c>
      <c r="CI37" s="185" t="s">
        <v>176</v>
      </c>
      <c r="CJ37" s="185" t="s">
        <v>176</v>
      </c>
      <c r="CK37" s="185">
        <v>1</v>
      </c>
      <c r="CL37" s="185">
        <v>1</v>
      </c>
      <c r="CM37" s="185" t="s">
        <v>176</v>
      </c>
      <c r="CN37" s="185" t="s">
        <v>176</v>
      </c>
      <c r="CO37" s="185" t="s">
        <v>176</v>
      </c>
      <c r="CP37" s="185" t="s">
        <v>176</v>
      </c>
      <c r="CQ37" s="185" t="s">
        <v>176</v>
      </c>
      <c r="CR37" s="185" t="s">
        <v>176</v>
      </c>
      <c r="CS37" s="185" t="s">
        <v>176</v>
      </c>
      <c r="CT37" s="185" t="s">
        <v>176</v>
      </c>
      <c r="CU37" s="185" t="s">
        <v>176</v>
      </c>
      <c r="CV37" s="372" t="s">
        <v>176</v>
      </c>
      <c r="CW37" s="372" t="s">
        <v>176</v>
      </c>
      <c r="CX37" s="372" t="s">
        <v>176</v>
      </c>
      <c r="CY37" s="372" t="s">
        <v>176</v>
      </c>
      <c r="CZ37" s="372" t="s">
        <v>176</v>
      </c>
      <c r="DA37" s="372" t="s">
        <v>176</v>
      </c>
      <c r="DB37" s="372" t="s">
        <v>176</v>
      </c>
      <c r="DC37" s="372" t="s">
        <v>176</v>
      </c>
      <c r="DD37" s="372" t="s">
        <v>176</v>
      </c>
      <c r="DE37" s="372" t="s">
        <v>176</v>
      </c>
      <c r="DF37" s="372" t="s">
        <v>176</v>
      </c>
      <c r="DG37" s="372" t="s">
        <v>176</v>
      </c>
      <c r="DH37" s="372" t="s">
        <v>176</v>
      </c>
      <c r="DI37" s="372" t="s">
        <v>176</v>
      </c>
      <c r="DJ37" s="372" t="s">
        <v>176</v>
      </c>
      <c r="DK37" s="372" t="s">
        <v>176</v>
      </c>
      <c r="DL37" s="372" t="s">
        <v>176</v>
      </c>
      <c r="DM37" s="372" t="s">
        <v>176</v>
      </c>
      <c r="DN37" s="372" t="s">
        <v>176</v>
      </c>
      <c r="DO37" s="372" t="s">
        <v>176</v>
      </c>
      <c r="DP37" s="372" t="s">
        <v>176</v>
      </c>
      <c r="DQ37" s="372" t="s">
        <v>176</v>
      </c>
      <c r="DR37" s="372" t="s">
        <v>176</v>
      </c>
      <c r="DS37" s="372" t="s">
        <v>176</v>
      </c>
      <c r="DT37" s="372" t="s">
        <v>176</v>
      </c>
      <c r="DU37" s="372" t="s">
        <v>176</v>
      </c>
      <c r="DV37" s="372" t="s">
        <v>176</v>
      </c>
      <c r="DW37" s="185" t="s">
        <v>176</v>
      </c>
      <c r="DX37" s="185" t="s">
        <v>176</v>
      </c>
      <c r="DY37" s="185" t="s">
        <v>176</v>
      </c>
      <c r="DZ37" s="185" t="s">
        <v>176</v>
      </c>
      <c r="EA37" s="185" t="s">
        <v>176</v>
      </c>
      <c r="EB37" s="185" t="s">
        <v>176</v>
      </c>
      <c r="EC37" s="185" t="s">
        <v>176</v>
      </c>
      <c r="ED37" s="185" t="s">
        <v>176</v>
      </c>
      <c r="EE37" s="185" t="s">
        <v>176</v>
      </c>
      <c r="EF37" s="185" t="s">
        <v>176</v>
      </c>
      <c r="EG37" s="185" t="s">
        <v>176</v>
      </c>
      <c r="EH37" s="185" t="s">
        <v>176</v>
      </c>
      <c r="EI37" s="185" t="s">
        <v>176</v>
      </c>
      <c r="EJ37" s="185" t="s">
        <v>176</v>
      </c>
      <c r="EK37" s="185" t="s">
        <v>176</v>
      </c>
      <c r="EL37" s="185" t="s">
        <v>176</v>
      </c>
      <c r="EM37" s="185" t="s">
        <v>176</v>
      </c>
      <c r="EN37" s="185" t="s">
        <v>176</v>
      </c>
      <c r="EO37" s="185" t="s">
        <v>176</v>
      </c>
      <c r="EP37" s="185" t="s">
        <v>176</v>
      </c>
      <c r="EQ37" s="185" t="s">
        <v>176</v>
      </c>
      <c r="ER37" s="185" t="s">
        <v>176</v>
      </c>
      <c r="ES37" s="185" t="s">
        <v>176</v>
      </c>
      <c r="ET37" s="185" t="s">
        <v>176</v>
      </c>
      <c r="EU37" s="406" t="s">
        <v>176</v>
      </c>
      <c r="EV37" s="185" t="s">
        <v>176</v>
      </c>
      <c r="EW37" s="185">
        <v>2</v>
      </c>
      <c r="EX37" s="185">
        <v>2</v>
      </c>
      <c r="EY37" s="185">
        <v>2</v>
      </c>
      <c r="EZ37" s="185">
        <v>1</v>
      </c>
      <c r="FA37" s="185">
        <v>1</v>
      </c>
      <c r="FB37" s="185">
        <v>2</v>
      </c>
      <c r="FC37" s="185">
        <v>3</v>
      </c>
      <c r="FD37" s="185">
        <v>2</v>
      </c>
      <c r="FE37" s="185">
        <v>2</v>
      </c>
      <c r="FF37" s="185">
        <v>2</v>
      </c>
      <c r="FG37" s="185">
        <v>3</v>
      </c>
      <c r="FH37" s="185">
        <v>3</v>
      </c>
      <c r="FI37" s="185">
        <v>3</v>
      </c>
      <c r="FJ37" s="185">
        <v>2</v>
      </c>
      <c r="FK37" s="185">
        <v>2</v>
      </c>
      <c r="FL37" s="185">
        <v>2</v>
      </c>
      <c r="FM37" s="185">
        <v>2</v>
      </c>
      <c r="FN37" s="185" t="s">
        <v>176</v>
      </c>
      <c r="FO37" s="185" t="s">
        <v>176</v>
      </c>
      <c r="FP37" s="185" t="s">
        <v>176</v>
      </c>
      <c r="FQ37" s="185" t="s">
        <v>176</v>
      </c>
      <c r="FR37" s="185" t="s">
        <v>160</v>
      </c>
      <c r="FS37" s="185" t="s">
        <v>176</v>
      </c>
      <c r="FT37" s="185" t="s">
        <v>176</v>
      </c>
      <c r="FU37" s="185" t="s">
        <v>176</v>
      </c>
      <c r="FV37" s="185" t="s">
        <v>176</v>
      </c>
      <c r="FW37" s="185" t="s">
        <v>176</v>
      </c>
      <c r="FX37" s="185" t="s">
        <v>176</v>
      </c>
      <c r="FY37" s="185" t="s">
        <v>176</v>
      </c>
      <c r="FZ37" s="185" t="s">
        <v>160</v>
      </c>
      <c r="GA37" s="185" t="s">
        <v>176</v>
      </c>
      <c r="GB37" s="185" t="s">
        <v>176</v>
      </c>
      <c r="GC37" s="185" t="s">
        <v>176</v>
      </c>
      <c r="GD37" s="185" t="s">
        <v>176</v>
      </c>
      <c r="GE37" s="185" t="s">
        <v>176</v>
      </c>
      <c r="GF37" s="185" t="s">
        <v>176</v>
      </c>
      <c r="GG37" s="185" t="s">
        <v>176</v>
      </c>
      <c r="GH37" s="185" t="s">
        <v>176</v>
      </c>
      <c r="GI37" s="185" t="s">
        <v>176</v>
      </c>
      <c r="GJ37" s="263">
        <f t="shared" si="1"/>
        <v>74</v>
      </c>
    </row>
    <row r="38" spans="1:192" ht="25.5" customHeight="1" x14ac:dyDescent="0.25">
      <c r="A38" s="272" t="s">
        <v>189</v>
      </c>
      <c r="B38" s="273" t="s">
        <v>582</v>
      </c>
      <c r="C38" s="276" t="s">
        <v>599</v>
      </c>
      <c r="D38" s="185">
        <v>2</v>
      </c>
      <c r="E38" s="185">
        <v>2</v>
      </c>
      <c r="F38" s="185" t="s">
        <v>176</v>
      </c>
      <c r="G38" s="185" t="s">
        <v>176</v>
      </c>
      <c r="H38" s="185" t="s">
        <v>176</v>
      </c>
      <c r="I38" s="185">
        <v>3</v>
      </c>
      <c r="J38" s="185">
        <v>2</v>
      </c>
      <c r="K38" s="185">
        <v>1</v>
      </c>
      <c r="L38" s="185">
        <v>3</v>
      </c>
      <c r="M38" s="185">
        <v>3</v>
      </c>
      <c r="N38" s="185">
        <v>2</v>
      </c>
      <c r="O38" s="185">
        <v>2</v>
      </c>
      <c r="P38" s="185">
        <v>2</v>
      </c>
      <c r="Q38" s="185">
        <v>3</v>
      </c>
      <c r="R38" s="185" t="s">
        <v>176</v>
      </c>
      <c r="S38" s="185" t="s">
        <v>176</v>
      </c>
      <c r="T38" s="185" t="s">
        <v>176</v>
      </c>
      <c r="U38" s="185" t="s">
        <v>176</v>
      </c>
      <c r="V38" s="185" t="s">
        <v>176</v>
      </c>
      <c r="W38" s="185" t="s">
        <v>176</v>
      </c>
      <c r="X38" s="185" t="s">
        <v>176</v>
      </c>
      <c r="Y38" s="185">
        <v>2</v>
      </c>
      <c r="Z38" s="185" t="s">
        <v>176</v>
      </c>
      <c r="AA38" s="185" t="s">
        <v>176</v>
      </c>
      <c r="AB38" s="185" t="s">
        <v>176</v>
      </c>
      <c r="AC38" s="185" t="s">
        <v>176</v>
      </c>
      <c r="AD38" s="185" t="s">
        <v>176</v>
      </c>
      <c r="AE38" s="185" t="s">
        <v>176</v>
      </c>
      <c r="AF38" s="185" t="s">
        <v>176</v>
      </c>
      <c r="AG38" s="185" t="s">
        <v>176</v>
      </c>
      <c r="AH38" s="185" t="s">
        <v>176</v>
      </c>
      <c r="AI38" s="189">
        <v>2</v>
      </c>
      <c r="AJ38" s="185" t="s">
        <v>176</v>
      </c>
      <c r="AK38" s="185" t="s">
        <v>176</v>
      </c>
      <c r="AL38" s="185" t="s">
        <v>176</v>
      </c>
      <c r="AM38" s="185" t="s">
        <v>176</v>
      </c>
      <c r="AN38" s="185" t="s">
        <v>176</v>
      </c>
      <c r="AO38" s="185" t="s">
        <v>176</v>
      </c>
      <c r="AP38" s="185" t="s">
        <v>176</v>
      </c>
      <c r="AQ38" s="185" t="s">
        <v>176</v>
      </c>
      <c r="AR38" s="185" t="s">
        <v>176</v>
      </c>
      <c r="AS38" s="185">
        <v>1</v>
      </c>
      <c r="AT38" s="185">
        <v>1</v>
      </c>
      <c r="AU38" s="185">
        <v>1</v>
      </c>
      <c r="AV38" s="185" t="s">
        <v>176</v>
      </c>
      <c r="AW38" s="185" t="s">
        <v>176</v>
      </c>
      <c r="AX38" s="185" t="s">
        <v>176</v>
      </c>
      <c r="AY38" s="185" t="s">
        <v>176</v>
      </c>
      <c r="AZ38" s="185" t="s">
        <v>176</v>
      </c>
      <c r="BA38" s="185" t="s">
        <v>176</v>
      </c>
      <c r="BB38" s="185" t="s">
        <v>176</v>
      </c>
      <c r="BC38" s="185" t="s">
        <v>176</v>
      </c>
      <c r="BD38" s="185" t="s">
        <v>176</v>
      </c>
      <c r="BE38" s="185" t="s">
        <v>176</v>
      </c>
      <c r="BF38" s="185" t="s">
        <v>176</v>
      </c>
      <c r="BG38" s="185" t="s">
        <v>176</v>
      </c>
      <c r="BH38" s="185" t="s">
        <v>176</v>
      </c>
      <c r="BI38" s="185" t="s">
        <v>176</v>
      </c>
      <c r="BJ38" s="185" t="s">
        <v>176</v>
      </c>
      <c r="BK38" s="185" t="s">
        <v>176</v>
      </c>
      <c r="BL38" s="185" t="s">
        <v>176</v>
      </c>
      <c r="BM38" s="185" t="s">
        <v>176</v>
      </c>
      <c r="BN38" s="185" t="s">
        <v>176</v>
      </c>
      <c r="BO38" s="185" t="s">
        <v>176</v>
      </c>
      <c r="BP38" s="185" t="s">
        <v>176</v>
      </c>
      <c r="BQ38" s="185" t="s">
        <v>176</v>
      </c>
      <c r="BR38" s="185" t="s">
        <v>176</v>
      </c>
      <c r="BS38" s="185" t="s">
        <v>176</v>
      </c>
      <c r="BT38" s="185" t="s">
        <v>176</v>
      </c>
      <c r="BU38" s="185" t="s">
        <v>176</v>
      </c>
      <c r="BV38" s="185" t="s">
        <v>176</v>
      </c>
      <c r="BW38" s="185" t="s">
        <v>176</v>
      </c>
      <c r="BX38" s="185" t="s">
        <v>176</v>
      </c>
      <c r="BY38" s="185" t="s">
        <v>176</v>
      </c>
      <c r="BZ38" s="185" t="s">
        <v>176</v>
      </c>
      <c r="CA38" s="185" t="s">
        <v>176</v>
      </c>
      <c r="CB38" s="185" t="s">
        <v>176</v>
      </c>
      <c r="CC38" s="185" t="s">
        <v>176</v>
      </c>
      <c r="CD38" s="185" t="s">
        <v>176</v>
      </c>
      <c r="CE38" s="185" t="s">
        <v>176</v>
      </c>
      <c r="CF38" s="185" t="s">
        <v>176</v>
      </c>
      <c r="CG38" s="185">
        <v>2</v>
      </c>
      <c r="CH38" s="185" t="s">
        <v>176</v>
      </c>
      <c r="CI38" s="185" t="s">
        <v>176</v>
      </c>
      <c r="CJ38" s="185" t="s">
        <v>176</v>
      </c>
      <c r="CK38" s="185">
        <v>1</v>
      </c>
      <c r="CL38" s="185">
        <v>1</v>
      </c>
      <c r="CM38" s="185" t="s">
        <v>176</v>
      </c>
      <c r="CN38" s="185" t="s">
        <v>176</v>
      </c>
      <c r="CO38" s="185" t="s">
        <v>176</v>
      </c>
      <c r="CP38" s="185" t="s">
        <v>176</v>
      </c>
      <c r="CQ38" s="185" t="s">
        <v>176</v>
      </c>
      <c r="CR38" s="185" t="s">
        <v>176</v>
      </c>
      <c r="CS38" s="185" t="s">
        <v>176</v>
      </c>
      <c r="CT38" s="185" t="s">
        <v>176</v>
      </c>
      <c r="CU38" s="185" t="s">
        <v>176</v>
      </c>
      <c r="CV38" s="372" t="s">
        <v>176</v>
      </c>
      <c r="CW38" s="372" t="s">
        <v>176</v>
      </c>
      <c r="CX38" s="372" t="s">
        <v>176</v>
      </c>
      <c r="CY38" s="372" t="s">
        <v>176</v>
      </c>
      <c r="CZ38" s="372" t="s">
        <v>176</v>
      </c>
      <c r="DA38" s="372" t="s">
        <v>176</v>
      </c>
      <c r="DB38" s="372" t="s">
        <v>176</v>
      </c>
      <c r="DC38" s="372" t="s">
        <v>176</v>
      </c>
      <c r="DD38" s="372" t="s">
        <v>176</v>
      </c>
      <c r="DE38" s="372" t="s">
        <v>176</v>
      </c>
      <c r="DF38" s="372" t="s">
        <v>176</v>
      </c>
      <c r="DG38" s="372" t="s">
        <v>176</v>
      </c>
      <c r="DH38" s="372" t="s">
        <v>176</v>
      </c>
      <c r="DI38" s="372" t="s">
        <v>176</v>
      </c>
      <c r="DJ38" s="372" t="s">
        <v>176</v>
      </c>
      <c r="DK38" s="372" t="s">
        <v>176</v>
      </c>
      <c r="DL38" s="372" t="s">
        <v>176</v>
      </c>
      <c r="DM38" s="372" t="s">
        <v>176</v>
      </c>
      <c r="DN38" s="372" t="s">
        <v>176</v>
      </c>
      <c r="DO38" s="372" t="s">
        <v>176</v>
      </c>
      <c r="DP38" s="372" t="s">
        <v>176</v>
      </c>
      <c r="DQ38" s="372" t="s">
        <v>176</v>
      </c>
      <c r="DR38" s="372" t="s">
        <v>176</v>
      </c>
      <c r="DS38" s="372" t="s">
        <v>176</v>
      </c>
      <c r="DT38" s="372" t="s">
        <v>176</v>
      </c>
      <c r="DU38" s="372" t="s">
        <v>176</v>
      </c>
      <c r="DV38" s="372" t="s">
        <v>176</v>
      </c>
      <c r="DW38" s="185" t="s">
        <v>176</v>
      </c>
      <c r="DX38" s="185" t="s">
        <v>176</v>
      </c>
      <c r="DY38" s="185" t="s">
        <v>176</v>
      </c>
      <c r="DZ38" s="185" t="s">
        <v>176</v>
      </c>
      <c r="EA38" s="185" t="s">
        <v>176</v>
      </c>
      <c r="EB38" s="185" t="s">
        <v>176</v>
      </c>
      <c r="EC38" s="185" t="s">
        <v>176</v>
      </c>
      <c r="ED38" s="185" t="s">
        <v>176</v>
      </c>
      <c r="EE38" s="185" t="s">
        <v>176</v>
      </c>
      <c r="EF38" s="185" t="s">
        <v>176</v>
      </c>
      <c r="EG38" s="185" t="s">
        <v>176</v>
      </c>
      <c r="EH38" s="185" t="s">
        <v>176</v>
      </c>
      <c r="EI38" s="185" t="s">
        <v>176</v>
      </c>
      <c r="EJ38" s="185" t="s">
        <v>176</v>
      </c>
      <c r="EK38" s="185" t="s">
        <v>176</v>
      </c>
      <c r="EL38" s="185" t="s">
        <v>176</v>
      </c>
      <c r="EM38" s="185" t="s">
        <v>176</v>
      </c>
      <c r="EN38" s="185" t="s">
        <v>176</v>
      </c>
      <c r="EO38" s="185" t="s">
        <v>176</v>
      </c>
      <c r="EP38" s="185" t="s">
        <v>176</v>
      </c>
      <c r="EQ38" s="185" t="s">
        <v>176</v>
      </c>
      <c r="ER38" s="185" t="s">
        <v>176</v>
      </c>
      <c r="ES38" s="185" t="s">
        <v>176</v>
      </c>
      <c r="ET38" s="185" t="s">
        <v>176</v>
      </c>
      <c r="EU38" s="406" t="s">
        <v>176</v>
      </c>
      <c r="EV38" s="185" t="s">
        <v>176</v>
      </c>
      <c r="EW38" s="185">
        <v>2</v>
      </c>
      <c r="EX38" s="185">
        <v>2</v>
      </c>
      <c r="EY38" s="185">
        <v>2</v>
      </c>
      <c r="EZ38" s="185">
        <v>1</v>
      </c>
      <c r="FA38" s="185">
        <v>1</v>
      </c>
      <c r="FB38" s="185">
        <v>2</v>
      </c>
      <c r="FC38" s="185">
        <v>3</v>
      </c>
      <c r="FD38" s="185">
        <v>2</v>
      </c>
      <c r="FE38" s="185">
        <v>2</v>
      </c>
      <c r="FF38" s="185">
        <v>2</v>
      </c>
      <c r="FG38" s="185">
        <v>3</v>
      </c>
      <c r="FH38" s="185">
        <v>3</v>
      </c>
      <c r="FI38" s="185">
        <v>3</v>
      </c>
      <c r="FJ38" s="185">
        <v>2</v>
      </c>
      <c r="FK38" s="185">
        <v>3</v>
      </c>
      <c r="FL38" s="185">
        <v>3</v>
      </c>
      <c r="FM38" s="185">
        <v>3</v>
      </c>
      <c r="FN38" s="185">
        <v>2</v>
      </c>
      <c r="FO38" s="185" t="s">
        <v>176</v>
      </c>
      <c r="FP38" s="185" t="s">
        <v>176</v>
      </c>
      <c r="FQ38" s="185" t="s">
        <v>176</v>
      </c>
      <c r="FR38" s="185" t="s">
        <v>160</v>
      </c>
      <c r="FS38" s="185" t="s">
        <v>176</v>
      </c>
      <c r="FT38" s="185" t="s">
        <v>176</v>
      </c>
      <c r="FU38" s="185" t="s">
        <v>176</v>
      </c>
      <c r="FV38" s="185" t="s">
        <v>176</v>
      </c>
      <c r="FW38" s="185" t="s">
        <v>176</v>
      </c>
      <c r="FX38" s="185" t="s">
        <v>176</v>
      </c>
      <c r="FY38" s="185" t="s">
        <v>176</v>
      </c>
      <c r="FZ38" s="185" t="s">
        <v>160</v>
      </c>
      <c r="GA38" s="185" t="s">
        <v>176</v>
      </c>
      <c r="GB38" s="185" t="s">
        <v>176</v>
      </c>
      <c r="GC38" s="185" t="s">
        <v>176</v>
      </c>
      <c r="GD38" s="185" t="s">
        <v>176</v>
      </c>
      <c r="GE38" s="185" t="s">
        <v>176</v>
      </c>
      <c r="GF38" s="185" t="s">
        <v>176</v>
      </c>
      <c r="GG38" s="185" t="s">
        <v>176</v>
      </c>
      <c r="GH38" s="185" t="s">
        <v>176</v>
      </c>
      <c r="GI38" s="188" t="s">
        <v>176</v>
      </c>
      <c r="GJ38" s="275">
        <f t="shared" si="1"/>
        <v>77</v>
      </c>
    </row>
    <row r="39" spans="1:192" ht="25.5" customHeight="1" x14ac:dyDescent="0.25">
      <c r="A39" s="262" t="s">
        <v>253</v>
      </c>
      <c r="B39" s="261" t="s">
        <v>209</v>
      </c>
      <c r="C39" s="261" t="s">
        <v>255</v>
      </c>
      <c r="D39" s="185">
        <v>2</v>
      </c>
      <c r="E39" s="185">
        <v>2</v>
      </c>
      <c r="F39" s="185">
        <v>2</v>
      </c>
      <c r="G39" s="185" t="s">
        <v>176</v>
      </c>
      <c r="H39" s="185" t="s">
        <v>176</v>
      </c>
      <c r="I39" s="185">
        <v>1</v>
      </c>
      <c r="J39" s="185" t="s">
        <v>176</v>
      </c>
      <c r="K39" s="185">
        <v>1</v>
      </c>
      <c r="L39" s="185">
        <v>1</v>
      </c>
      <c r="M39" s="185">
        <v>1</v>
      </c>
      <c r="N39" s="185" t="s">
        <v>176</v>
      </c>
      <c r="O39" s="185" t="s">
        <v>176</v>
      </c>
      <c r="P39" s="185" t="s">
        <v>176</v>
      </c>
      <c r="Q39" s="185" t="s">
        <v>176</v>
      </c>
      <c r="R39" s="185">
        <v>3</v>
      </c>
      <c r="S39" s="185">
        <v>3</v>
      </c>
      <c r="T39" s="185">
        <v>2</v>
      </c>
      <c r="U39" s="185">
        <v>2</v>
      </c>
      <c r="V39" s="185">
        <v>2</v>
      </c>
      <c r="W39" s="185">
        <v>2</v>
      </c>
      <c r="X39" s="185">
        <v>3</v>
      </c>
      <c r="Y39" s="185">
        <v>3</v>
      </c>
      <c r="Z39" s="185" t="s">
        <v>176</v>
      </c>
      <c r="AA39" s="185" t="s">
        <v>176</v>
      </c>
      <c r="AB39" s="185" t="s">
        <v>176</v>
      </c>
      <c r="AC39" s="185" t="s">
        <v>176</v>
      </c>
      <c r="AD39" s="185" t="s">
        <v>176</v>
      </c>
      <c r="AE39" s="185" t="s">
        <v>176</v>
      </c>
      <c r="AF39" s="185" t="s">
        <v>176</v>
      </c>
      <c r="AG39" s="185" t="s">
        <v>176</v>
      </c>
      <c r="AH39" s="185" t="s">
        <v>176</v>
      </c>
      <c r="AI39" s="185" t="s">
        <v>176</v>
      </c>
      <c r="AJ39" s="185" t="s">
        <v>176</v>
      </c>
      <c r="AK39" s="185" t="s">
        <v>176</v>
      </c>
      <c r="AL39" s="185" t="s">
        <v>176</v>
      </c>
      <c r="AM39" s="185" t="s">
        <v>176</v>
      </c>
      <c r="AN39" s="185" t="s">
        <v>176</v>
      </c>
      <c r="AO39" s="185" t="s">
        <v>176</v>
      </c>
      <c r="AP39" s="185" t="s">
        <v>176</v>
      </c>
      <c r="AQ39" s="185" t="s">
        <v>176</v>
      </c>
      <c r="AR39" s="185" t="s">
        <v>176</v>
      </c>
      <c r="AS39" s="185">
        <v>1</v>
      </c>
      <c r="AT39" s="185">
        <v>1</v>
      </c>
      <c r="AU39" s="185">
        <v>1</v>
      </c>
      <c r="AV39" s="185" t="s">
        <v>176</v>
      </c>
      <c r="AW39" s="185">
        <v>2</v>
      </c>
      <c r="AX39" s="185">
        <v>3</v>
      </c>
      <c r="AY39" s="185">
        <v>2</v>
      </c>
      <c r="AZ39" s="185">
        <v>1</v>
      </c>
      <c r="BA39" s="185">
        <v>1</v>
      </c>
      <c r="BB39" s="185">
        <v>3</v>
      </c>
      <c r="BC39" s="185" t="s">
        <v>176</v>
      </c>
      <c r="BD39" s="185" t="s">
        <v>176</v>
      </c>
      <c r="BE39" s="185" t="s">
        <v>176</v>
      </c>
      <c r="BF39" s="185" t="s">
        <v>176</v>
      </c>
      <c r="BG39" s="185" t="s">
        <v>176</v>
      </c>
      <c r="BH39" s="185" t="s">
        <v>176</v>
      </c>
      <c r="BI39" s="185" t="s">
        <v>176</v>
      </c>
      <c r="BJ39" s="185" t="s">
        <v>176</v>
      </c>
      <c r="BK39" s="185" t="s">
        <v>176</v>
      </c>
      <c r="BL39" s="185" t="s">
        <v>176</v>
      </c>
      <c r="BM39" s="185" t="s">
        <v>176</v>
      </c>
      <c r="BN39" s="185" t="s">
        <v>176</v>
      </c>
      <c r="BO39" s="185" t="s">
        <v>176</v>
      </c>
      <c r="BP39" s="185" t="s">
        <v>176</v>
      </c>
      <c r="BQ39" s="185" t="s">
        <v>176</v>
      </c>
      <c r="BR39" s="185" t="s">
        <v>176</v>
      </c>
      <c r="BS39" s="185" t="s">
        <v>176</v>
      </c>
      <c r="BT39" s="185" t="s">
        <v>176</v>
      </c>
      <c r="BU39" s="185" t="s">
        <v>176</v>
      </c>
      <c r="BV39" s="185" t="s">
        <v>176</v>
      </c>
      <c r="BW39" s="185" t="s">
        <v>176</v>
      </c>
      <c r="BX39" s="185" t="s">
        <v>176</v>
      </c>
      <c r="BY39" s="185" t="s">
        <v>176</v>
      </c>
      <c r="BZ39" s="185" t="s">
        <v>176</v>
      </c>
      <c r="CA39" s="185" t="s">
        <v>176</v>
      </c>
      <c r="CB39" s="185" t="s">
        <v>176</v>
      </c>
      <c r="CC39" s="185" t="s">
        <v>176</v>
      </c>
      <c r="CD39" s="185" t="s">
        <v>176</v>
      </c>
      <c r="CE39" s="185" t="s">
        <v>176</v>
      </c>
      <c r="CF39" s="185" t="s">
        <v>176</v>
      </c>
      <c r="CG39" s="185">
        <v>3</v>
      </c>
      <c r="CH39" s="185">
        <v>2</v>
      </c>
      <c r="CI39" s="185" t="s">
        <v>176</v>
      </c>
      <c r="CJ39" s="185" t="s">
        <v>176</v>
      </c>
      <c r="CK39" s="185">
        <v>1</v>
      </c>
      <c r="CL39" s="185" t="s">
        <v>176</v>
      </c>
      <c r="CM39" s="185" t="s">
        <v>176</v>
      </c>
      <c r="CN39" s="185" t="s">
        <v>176</v>
      </c>
      <c r="CO39" s="185" t="s">
        <v>176</v>
      </c>
      <c r="CP39" s="185" t="s">
        <v>176</v>
      </c>
      <c r="CQ39" s="185" t="s">
        <v>176</v>
      </c>
      <c r="CR39" s="185" t="s">
        <v>176</v>
      </c>
      <c r="CS39" s="185" t="s">
        <v>176</v>
      </c>
      <c r="CT39" s="185" t="s">
        <v>176</v>
      </c>
      <c r="CU39" s="185" t="s">
        <v>176</v>
      </c>
      <c r="CV39" s="372" t="s">
        <v>176</v>
      </c>
      <c r="CW39" s="372" t="s">
        <v>176</v>
      </c>
      <c r="CX39" s="372" t="s">
        <v>176</v>
      </c>
      <c r="CY39" s="372" t="s">
        <v>176</v>
      </c>
      <c r="CZ39" s="372" t="s">
        <v>176</v>
      </c>
      <c r="DA39" s="372" t="s">
        <v>176</v>
      </c>
      <c r="DB39" s="372" t="s">
        <v>176</v>
      </c>
      <c r="DC39" s="372" t="s">
        <v>176</v>
      </c>
      <c r="DD39" s="372" t="s">
        <v>176</v>
      </c>
      <c r="DE39" s="372" t="s">
        <v>176</v>
      </c>
      <c r="DF39" s="372" t="s">
        <v>176</v>
      </c>
      <c r="DG39" s="372" t="s">
        <v>176</v>
      </c>
      <c r="DH39" s="372" t="s">
        <v>176</v>
      </c>
      <c r="DI39" s="372" t="s">
        <v>176</v>
      </c>
      <c r="DJ39" s="372" t="s">
        <v>176</v>
      </c>
      <c r="DK39" s="372" t="s">
        <v>176</v>
      </c>
      <c r="DL39" s="372" t="s">
        <v>176</v>
      </c>
      <c r="DM39" s="372" t="s">
        <v>176</v>
      </c>
      <c r="DN39" s="372" t="s">
        <v>176</v>
      </c>
      <c r="DO39" s="372" t="s">
        <v>176</v>
      </c>
      <c r="DP39" s="372" t="s">
        <v>176</v>
      </c>
      <c r="DQ39" s="372" t="s">
        <v>176</v>
      </c>
      <c r="DR39" s="372" t="s">
        <v>176</v>
      </c>
      <c r="DS39" s="372" t="s">
        <v>176</v>
      </c>
      <c r="DT39" s="372" t="s">
        <v>176</v>
      </c>
      <c r="DU39" s="372" t="s">
        <v>176</v>
      </c>
      <c r="DV39" s="372" t="s">
        <v>176</v>
      </c>
      <c r="DW39" s="185" t="s">
        <v>176</v>
      </c>
      <c r="DX39" s="185" t="s">
        <v>176</v>
      </c>
      <c r="DY39" s="185" t="s">
        <v>176</v>
      </c>
      <c r="DZ39" s="185" t="s">
        <v>176</v>
      </c>
      <c r="EA39" s="185" t="s">
        <v>176</v>
      </c>
      <c r="EB39" s="185" t="s">
        <v>176</v>
      </c>
      <c r="EC39" s="185" t="s">
        <v>176</v>
      </c>
      <c r="ED39" s="185" t="s">
        <v>176</v>
      </c>
      <c r="EE39" s="185" t="s">
        <v>176</v>
      </c>
      <c r="EF39" s="185" t="s">
        <v>176</v>
      </c>
      <c r="EG39" s="185" t="s">
        <v>176</v>
      </c>
      <c r="EH39" s="185" t="s">
        <v>176</v>
      </c>
      <c r="EI39" s="185" t="s">
        <v>176</v>
      </c>
      <c r="EJ39" s="185" t="s">
        <v>176</v>
      </c>
      <c r="EK39" s="185" t="s">
        <v>176</v>
      </c>
      <c r="EL39" s="185" t="s">
        <v>176</v>
      </c>
      <c r="EM39" s="185" t="s">
        <v>176</v>
      </c>
      <c r="EN39" s="185" t="s">
        <v>176</v>
      </c>
      <c r="EO39" s="185" t="s">
        <v>176</v>
      </c>
      <c r="EP39" s="185" t="s">
        <v>176</v>
      </c>
      <c r="EQ39" s="185" t="s">
        <v>176</v>
      </c>
      <c r="ER39" s="185" t="s">
        <v>176</v>
      </c>
      <c r="ES39" s="185" t="s">
        <v>176</v>
      </c>
      <c r="ET39" s="185" t="s">
        <v>176</v>
      </c>
      <c r="EU39" s="406" t="s">
        <v>176</v>
      </c>
      <c r="EV39" s="185" t="s">
        <v>176</v>
      </c>
      <c r="EW39" s="185">
        <v>2</v>
      </c>
      <c r="EX39" s="185">
        <v>2</v>
      </c>
      <c r="EY39" s="185">
        <v>2</v>
      </c>
      <c r="EZ39" s="185">
        <v>1</v>
      </c>
      <c r="FA39" s="185">
        <v>1</v>
      </c>
      <c r="FB39" s="185">
        <v>3</v>
      </c>
      <c r="FC39" s="185">
        <v>3</v>
      </c>
      <c r="FD39" s="185">
        <v>3</v>
      </c>
      <c r="FE39" s="185">
        <v>2</v>
      </c>
      <c r="FF39" s="185">
        <v>3</v>
      </c>
      <c r="FG39" s="185">
        <v>3</v>
      </c>
      <c r="FH39" s="185">
        <v>3</v>
      </c>
      <c r="FI39" s="185">
        <v>3</v>
      </c>
      <c r="FJ39" s="185">
        <v>3</v>
      </c>
      <c r="FK39" s="185">
        <v>3</v>
      </c>
      <c r="FL39" s="185">
        <v>3</v>
      </c>
      <c r="FM39" s="185">
        <v>2</v>
      </c>
      <c r="FN39" s="185">
        <v>2</v>
      </c>
      <c r="FO39" s="185" t="s">
        <v>176</v>
      </c>
      <c r="FP39" s="185" t="s">
        <v>176</v>
      </c>
      <c r="FQ39" s="185" t="s">
        <v>176</v>
      </c>
      <c r="FR39" s="185" t="s">
        <v>160</v>
      </c>
      <c r="FS39" s="185" t="s">
        <v>176</v>
      </c>
      <c r="FT39" s="185" t="s">
        <v>176</v>
      </c>
      <c r="FU39" s="185" t="s">
        <v>176</v>
      </c>
      <c r="FV39" s="185" t="s">
        <v>176</v>
      </c>
      <c r="FW39" s="185" t="s">
        <v>176</v>
      </c>
      <c r="FX39" s="185" t="s">
        <v>176</v>
      </c>
      <c r="FY39" s="185" t="s">
        <v>176</v>
      </c>
      <c r="FZ39" s="185" t="s">
        <v>160</v>
      </c>
      <c r="GA39" s="185" t="s">
        <v>176</v>
      </c>
      <c r="GB39" s="185" t="s">
        <v>176</v>
      </c>
      <c r="GC39" s="185" t="s">
        <v>176</v>
      </c>
      <c r="GD39" s="185" t="s">
        <v>176</v>
      </c>
      <c r="GE39" s="185" t="s">
        <v>176</v>
      </c>
      <c r="GF39" s="185" t="s">
        <v>176</v>
      </c>
      <c r="GG39" s="185" t="s">
        <v>176</v>
      </c>
      <c r="GH39" s="185" t="s">
        <v>176</v>
      </c>
      <c r="GI39" s="188" t="s">
        <v>176</v>
      </c>
      <c r="GJ39" s="263">
        <f t="shared" si="1"/>
        <v>95</v>
      </c>
    </row>
    <row r="40" spans="1:192" ht="25.5" customHeight="1" x14ac:dyDescent="0.25">
      <c r="A40" s="258" t="s">
        <v>253</v>
      </c>
      <c r="B40" s="277" t="s">
        <v>213</v>
      </c>
      <c r="C40" s="277" t="s">
        <v>255</v>
      </c>
      <c r="D40" s="185">
        <v>2</v>
      </c>
      <c r="E40" s="185">
        <v>2</v>
      </c>
      <c r="F40" s="185">
        <v>2</v>
      </c>
      <c r="G40" s="185" t="s">
        <v>176</v>
      </c>
      <c r="H40" s="185" t="s">
        <v>176</v>
      </c>
      <c r="I40" s="185">
        <v>1</v>
      </c>
      <c r="J40" s="185" t="s">
        <v>176</v>
      </c>
      <c r="K40" s="185" t="s">
        <v>176</v>
      </c>
      <c r="L40" s="185">
        <v>1</v>
      </c>
      <c r="M40" s="185">
        <v>1</v>
      </c>
      <c r="N40" s="185" t="s">
        <v>176</v>
      </c>
      <c r="O40" s="185" t="s">
        <v>176</v>
      </c>
      <c r="P40" s="185" t="s">
        <v>176</v>
      </c>
      <c r="Q40" s="185" t="s">
        <v>176</v>
      </c>
      <c r="R40" s="185">
        <v>2</v>
      </c>
      <c r="S40" s="185">
        <v>2</v>
      </c>
      <c r="T40" s="185">
        <v>2</v>
      </c>
      <c r="U40" s="185">
        <v>2</v>
      </c>
      <c r="V40" s="185">
        <v>2</v>
      </c>
      <c r="W40" s="185">
        <v>2</v>
      </c>
      <c r="X40" s="185">
        <v>3</v>
      </c>
      <c r="Y40" s="185">
        <v>3</v>
      </c>
      <c r="Z40" s="185" t="s">
        <v>176</v>
      </c>
      <c r="AA40" s="185" t="s">
        <v>176</v>
      </c>
      <c r="AB40" s="185" t="s">
        <v>176</v>
      </c>
      <c r="AC40" s="185" t="s">
        <v>176</v>
      </c>
      <c r="AD40" s="185" t="s">
        <v>176</v>
      </c>
      <c r="AE40" s="185" t="s">
        <v>176</v>
      </c>
      <c r="AF40" s="185" t="s">
        <v>176</v>
      </c>
      <c r="AG40" s="185" t="s">
        <v>176</v>
      </c>
      <c r="AH40" s="185" t="s">
        <v>176</v>
      </c>
      <c r="AI40" s="185" t="s">
        <v>176</v>
      </c>
      <c r="AJ40" s="185" t="s">
        <v>176</v>
      </c>
      <c r="AK40" s="185" t="s">
        <v>176</v>
      </c>
      <c r="AL40" s="185" t="s">
        <v>176</v>
      </c>
      <c r="AM40" s="185" t="s">
        <v>176</v>
      </c>
      <c r="AN40" s="185" t="s">
        <v>176</v>
      </c>
      <c r="AO40" s="185" t="s">
        <v>176</v>
      </c>
      <c r="AP40" s="185" t="s">
        <v>176</v>
      </c>
      <c r="AQ40" s="185" t="s">
        <v>176</v>
      </c>
      <c r="AR40" s="185" t="s">
        <v>176</v>
      </c>
      <c r="AS40" s="185">
        <v>1</v>
      </c>
      <c r="AT40" s="185">
        <v>1</v>
      </c>
      <c r="AU40" s="185">
        <v>1</v>
      </c>
      <c r="AV40" s="185" t="s">
        <v>176</v>
      </c>
      <c r="AW40" s="185">
        <v>2</v>
      </c>
      <c r="AX40" s="185">
        <v>3</v>
      </c>
      <c r="AY40" s="185">
        <v>2</v>
      </c>
      <c r="AZ40" s="185">
        <v>1</v>
      </c>
      <c r="BA40" s="185">
        <v>1</v>
      </c>
      <c r="BB40" s="185">
        <v>3</v>
      </c>
      <c r="BC40" s="185" t="s">
        <v>176</v>
      </c>
      <c r="BD40" s="195" t="s">
        <v>176</v>
      </c>
      <c r="BE40" s="185" t="s">
        <v>176</v>
      </c>
      <c r="BF40" s="185" t="s">
        <v>176</v>
      </c>
      <c r="BG40" s="185" t="s">
        <v>176</v>
      </c>
      <c r="BH40" s="185" t="s">
        <v>176</v>
      </c>
      <c r="BI40" s="185" t="s">
        <v>176</v>
      </c>
      <c r="BJ40" s="185" t="s">
        <v>176</v>
      </c>
      <c r="BK40" s="185" t="s">
        <v>176</v>
      </c>
      <c r="BL40" s="185" t="s">
        <v>176</v>
      </c>
      <c r="BM40" s="185" t="s">
        <v>176</v>
      </c>
      <c r="BN40" s="185" t="s">
        <v>176</v>
      </c>
      <c r="BO40" s="185" t="s">
        <v>176</v>
      </c>
      <c r="BP40" s="185" t="s">
        <v>176</v>
      </c>
      <c r="BQ40" s="185" t="s">
        <v>176</v>
      </c>
      <c r="BR40" s="185" t="s">
        <v>176</v>
      </c>
      <c r="BS40" s="185" t="s">
        <v>176</v>
      </c>
      <c r="BT40" s="185" t="s">
        <v>176</v>
      </c>
      <c r="BU40" s="185" t="s">
        <v>176</v>
      </c>
      <c r="BV40" s="185" t="s">
        <v>176</v>
      </c>
      <c r="BW40" s="185" t="s">
        <v>176</v>
      </c>
      <c r="BX40" s="185" t="s">
        <v>176</v>
      </c>
      <c r="BY40" s="185" t="s">
        <v>176</v>
      </c>
      <c r="BZ40" s="185" t="s">
        <v>176</v>
      </c>
      <c r="CA40" s="185" t="s">
        <v>176</v>
      </c>
      <c r="CB40" s="185" t="s">
        <v>176</v>
      </c>
      <c r="CC40" s="185" t="s">
        <v>176</v>
      </c>
      <c r="CD40" s="185" t="s">
        <v>176</v>
      </c>
      <c r="CE40" s="185" t="s">
        <v>176</v>
      </c>
      <c r="CF40" s="185" t="s">
        <v>176</v>
      </c>
      <c r="CG40" s="185">
        <v>3</v>
      </c>
      <c r="CH40" s="185">
        <v>2</v>
      </c>
      <c r="CI40" s="185" t="s">
        <v>176</v>
      </c>
      <c r="CJ40" s="185" t="s">
        <v>176</v>
      </c>
      <c r="CK40" s="185">
        <v>1</v>
      </c>
      <c r="CL40" s="185" t="s">
        <v>176</v>
      </c>
      <c r="CM40" s="185" t="s">
        <v>176</v>
      </c>
      <c r="CN40" s="185" t="s">
        <v>176</v>
      </c>
      <c r="CO40" s="185" t="s">
        <v>176</v>
      </c>
      <c r="CP40" s="185" t="s">
        <v>176</v>
      </c>
      <c r="CQ40" s="185" t="s">
        <v>176</v>
      </c>
      <c r="CR40" s="185" t="s">
        <v>176</v>
      </c>
      <c r="CS40" s="185" t="s">
        <v>176</v>
      </c>
      <c r="CT40" s="185" t="s">
        <v>176</v>
      </c>
      <c r="CU40" s="185" t="s">
        <v>176</v>
      </c>
      <c r="CV40" s="372" t="s">
        <v>176</v>
      </c>
      <c r="CW40" s="372" t="s">
        <v>176</v>
      </c>
      <c r="CX40" s="372" t="s">
        <v>176</v>
      </c>
      <c r="CY40" s="372" t="s">
        <v>176</v>
      </c>
      <c r="CZ40" s="372" t="s">
        <v>176</v>
      </c>
      <c r="DA40" s="372" t="s">
        <v>176</v>
      </c>
      <c r="DB40" s="372" t="s">
        <v>176</v>
      </c>
      <c r="DC40" s="372" t="s">
        <v>176</v>
      </c>
      <c r="DD40" s="372" t="s">
        <v>176</v>
      </c>
      <c r="DE40" s="372" t="s">
        <v>176</v>
      </c>
      <c r="DF40" s="372" t="s">
        <v>176</v>
      </c>
      <c r="DG40" s="372" t="s">
        <v>176</v>
      </c>
      <c r="DH40" s="372" t="s">
        <v>176</v>
      </c>
      <c r="DI40" s="372" t="s">
        <v>176</v>
      </c>
      <c r="DJ40" s="372" t="s">
        <v>176</v>
      </c>
      <c r="DK40" s="372" t="s">
        <v>176</v>
      </c>
      <c r="DL40" s="372" t="s">
        <v>176</v>
      </c>
      <c r="DM40" s="372" t="s">
        <v>176</v>
      </c>
      <c r="DN40" s="372" t="s">
        <v>176</v>
      </c>
      <c r="DO40" s="372" t="s">
        <v>176</v>
      </c>
      <c r="DP40" s="372" t="s">
        <v>176</v>
      </c>
      <c r="DQ40" s="372" t="s">
        <v>176</v>
      </c>
      <c r="DR40" s="372" t="s">
        <v>176</v>
      </c>
      <c r="DS40" s="372" t="s">
        <v>176</v>
      </c>
      <c r="DT40" s="372" t="s">
        <v>176</v>
      </c>
      <c r="DU40" s="372" t="s">
        <v>176</v>
      </c>
      <c r="DV40" s="372" t="s">
        <v>176</v>
      </c>
      <c r="DW40" s="185" t="s">
        <v>176</v>
      </c>
      <c r="DX40" s="185" t="s">
        <v>176</v>
      </c>
      <c r="DY40" s="185" t="s">
        <v>176</v>
      </c>
      <c r="DZ40" s="185" t="s">
        <v>176</v>
      </c>
      <c r="EA40" s="185" t="s">
        <v>176</v>
      </c>
      <c r="EB40" s="185" t="s">
        <v>176</v>
      </c>
      <c r="EC40" s="185" t="s">
        <v>176</v>
      </c>
      <c r="ED40" s="185" t="s">
        <v>176</v>
      </c>
      <c r="EE40" s="185" t="s">
        <v>176</v>
      </c>
      <c r="EF40" s="185" t="s">
        <v>176</v>
      </c>
      <c r="EG40" s="185" t="s">
        <v>176</v>
      </c>
      <c r="EH40" s="185" t="s">
        <v>176</v>
      </c>
      <c r="EI40" s="185" t="s">
        <v>176</v>
      </c>
      <c r="EJ40" s="185" t="s">
        <v>176</v>
      </c>
      <c r="EK40" s="185" t="s">
        <v>176</v>
      </c>
      <c r="EL40" s="185" t="s">
        <v>176</v>
      </c>
      <c r="EM40" s="185" t="s">
        <v>176</v>
      </c>
      <c r="EN40" s="185" t="s">
        <v>176</v>
      </c>
      <c r="EO40" s="185" t="s">
        <v>176</v>
      </c>
      <c r="EP40" s="185" t="s">
        <v>176</v>
      </c>
      <c r="EQ40" s="185" t="s">
        <v>176</v>
      </c>
      <c r="ER40" s="185" t="s">
        <v>176</v>
      </c>
      <c r="ES40" s="185" t="s">
        <v>176</v>
      </c>
      <c r="ET40" s="185" t="s">
        <v>176</v>
      </c>
      <c r="EU40" s="406" t="s">
        <v>176</v>
      </c>
      <c r="EV40" s="185" t="s">
        <v>176</v>
      </c>
      <c r="EW40" s="185">
        <v>2</v>
      </c>
      <c r="EX40" s="185">
        <v>2</v>
      </c>
      <c r="EY40" s="185">
        <v>2</v>
      </c>
      <c r="EZ40" s="185">
        <v>1</v>
      </c>
      <c r="FA40" s="185">
        <v>1</v>
      </c>
      <c r="FB40" s="185">
        <v>2</v>
      </c>
      <c r="FC40" s="185">
        <v>2</v>
      </c>
      <c r="FD40" s="185">
        <v>2</v>
      </c>
      <c r="FE40" s="185">
        <v>2</v>
      </c>
      <c r="FF40" s="185">
        <v>3</v>
      </c>
      <c r="FG40" s="185">
        <v>3</v>
      </c>
      <c r="FH40" s="185">
        <v>2</v>
      </c>
      <c r="FI40" s="185">
        <v>3</v>
      </c>
      <c r="FJ40" s="185">
        <v>2</v>
      </c>
      <c r="FK40" s="185">
        <v>2</v>
      </c>
      <c r="FL40" s="185">
        <v>2</v>
      </c>
      <c r="FM40" s="185">
        <v>2</v>
      </c>
      <c r="FN40" s="185" t="s">
        <v>176</v>
      </c>
      <c r="FO40" s="185" t="s">
        <v>176</v>
      </c>
      <c r="FP40" s="185" t="s">
        <v>176</v>
      </c>
      <c r="FQ40" s="185" t="s">
        <v>176</v>
      </c>
      <c r="FR40" s="185" t="s">
        <v>160</v>
      </c>
      <c r="FS40" s="185" t="s">
        <v>176</v>
      </c>
      <c r="FT40" s="185" t="s">
        <v>176</v>
      </c>
      <c r="FU40" s="185" t="s">
        <v>176</v>
      </c>
      <c r="FV40" s="185" t="s">
        <v>176</v>
      </c>
      <c r="FW40" s="185" t="s">
        <v>176</v>
      </c>
      <c r="FX40" s="185" t="s">
        <v>176</v>
      </c>
      <c r="FY40" s="185" t="s">
        <v>176</v>
      </c>
      <c r="FZ40" s="185" t="s">
        <v>160</v>
      </c>
      <c r="GA40" s="185" t="s">
        <v>176</v>
      </c>
      <c r="GB40" s="185" t="s">
        <v>176</v>
      </c>
      <c r="GC40" s="185" t="s">
        <v>176</v>
      </c>
      <c r="GD40" s="185" t="s">
        <v>176</v>
      </c>
      <c r="GE40" s="185" t="s">
        <v>176</v>
      </c>
      <c r="GF40" s="185" t="s">
        <v>176</v>
      </c>
      <c r="GG40" s="185" t="s">
        <v>176</v>
      </c>
      <c r="GH40" s="185" t="s">
        <v>176</v>
      </c>
      <c r="GI40" s="188" t="s">
        <v>176</v>
      </c>
      <c r="GJ40" s="263">
        <f t="shared" si="1"/>
        <v>83</v>
      </c>
    </row>
    <row r="41" spans="1:192" x14ac:dyDescent="0.25">
      <c r="A41" s="278" t="s">
        <v>253</v>
      </c>
      <c r="B41" s="274" t="s">
        <v>667</v>
      </c>
      <c r="C41" s="279" t="s">
        <v>255</v>
      </c>
      <c r="D41" s="185">
        <v>2</v>
      </c>
      <c r="E41" s="185">
        <v>2</v>
      </c>
      <c r="F41" s="185">
        <v>2</v>
      </c>
      <c r="G41" s="280" t="s">
        <v>176</v>
      </c>
      <c r="H41" s="280" t="s">
        <v>176</v>
      </c>
      <c r="I41" s="280">
        <v>1</v>
      </c>
      <c r="J41" s="280" t="s">
        <v>176</v>
      </c>
      <c r="K41" s="280" t="s">
        <v>176</v>
      </c>
      <c r="L41" s="280">
        <v>1</v>
      </c>
      <c r="M41" s="280">
        <v>1</v>
      </c>
      <c r="N41" s="280" t="s">
        <v>176</v>
      </c>
      <c r="O41" s="280" t="s">
        <v>176</v>
      </c>
      <c r="P41" s="280" t="s">
        <v>176</v>
      </c>
      <c r="Q41" s="280" t="s">
        <v>176</v>
      </c>
      <c r="R41" s="280">
        <v>1</v>
      </c>
      <c r="S41" s="280">
        <v>1</v>
      </c>
      <c r="T41" s="280">
        <v>1</v>
      </c>
      <c r="U41" s="280">
        <v>1</v>
      </c>
      <c r="V41" s="280">
        <v>1</v>
      </c>
      <c r="W41" s="280">
        <v>1</v>
      </c>
      <c r="X41" s="280">
        <v>2</v>
      </c>
      <c r="Y41" s="280">
        <v>2</v>
      </c>
      <c r="Z41" s="280" t="s">
        <v>176</v>
      </c>
      <c r="AA41" s="280" t="s">
        <v>176</v>
      </c>
      <c r="AB41" s="280" t="s">
        <v>176</v>
      </c>
      <c r="AC41" s="280" t="s">
        <v>176</v>
      </c>
      <c r="AD41" s="280" t="s">
        <v>176</v>
      </c>
      <c r="AE41" s="280" t="s">
        <v>176</v>
      </c>
      <c r="AF41" s="280" t="s">
        <v>176</v>
      </c>
      <c r="AG41" s="280" t="s">
        <v>176</v>
      </c>
      <c r="AH41" s="280" t="s">
        <v>176</v>
      </c>
      <c r="AI41" s="280" t="s">
        <v>176</v>
      </c>
      <c r="AJ41" s="280" t="s">
        <v>176</v>
      </c>
      <c r="AK41" s="280" t="s">
        <v>176</v>
      </c>
      <c r="AL41" s="280" t="s">
        <v>176</v>
      </c>
      <c r="AM41" s="280" t="s">
        <v>176</v>
      </c>
      <c r="AN41" s="280" t="s">
        <v>176</v>
      </c>
      <c r="AO41" s="280" t="s">
        <v>176</v>
      </c>
      <c r="AP41" s="280" t="s">
        <v>176</v>
      </c>
      <c r="AQ41" s="280" t="s">
        <v>176</v>
      </c>
      <c r="AR41" s="280" t="s">
        <v>176</v>
      </c>
      <c r="AS41" s="280">
        <v>1</v>
      </c>
      <c r="AT41" s="280">
        <v>1</v>
      </c>
      <c r="AU41" s="280">
        <v>1</v>
      </c>
      <c r="AV41" s="280" t="s">
        <v>176</v>
      </c>
      <c r="AW41" s="280">
        <v>2</v>
      </c>
      <c r="AX41" s="280">
        <v>1</v>
      </c>
      <c r="AY41" s="280">
        <v>1</v>
      </c>
      <c r="AZ41" s="280">
        <v>1</v>
      </c>
      <c r="BA41" s="280">
        <v>1</v>
      </c>
      <c r="BB41" s="280">
        <v>1</v>
      </c>
      <c r="BC41" s="280" t="s">
        <v>176</v>
      </c>
      <c r="BD41" s="280"/>
      <c r="BE41" s="185" t="s">
        <v>176</v>
      </c>
      <c r="BF41" s="185" t="s">
        <v>176</v>
      </c>
      <c r="BG41" s="185" t="s">
        <v>176</v>
      </c>
      <c r="BH41" s="185" t="s">
        <v>176</v>
      </c>
      <c r="BI41" s="185" t="s">
        <v>176</v>
      </c>
      <c r="BJ41" s="185" t="s">
        <v>176</v>
      </c>
      <c r="BK41" s="185" t="s">
        <v>176</v>
      </c>
      <c r="BL41" s="185" t="s">
        <v>176</v>
      </c>
      <c r="BM41" s="185" t="s">
        <v>176</v>
      </c>
      <c r="BN41" s="185" t="s">
        <v>176</v>
      </c>
      <c r="BO41" s="185" t="s">
        <v>176</v>
      </c>
      <c r="BP41" s="185" t="s">
        <v>176</v>
      </c>
      <c r="BQ41" s="185" t="s">
        <v>176</v>
      </c>
      <c r="BR41" s="185" t="s">
        <v>176</v>
      </c>
      <c r="BS41" s="185" t="s">
        <v>176</v>
      </c>
      <c r="BT41" s="185" t="s">
        <v>176</v>
      </c>
      <c r="BU41" s="185" t="s">
        <v>176</v>
      </c>
      <c r="BV41" s="185" t="s">
        <v>176</v>
      </c>
      <c r="BW41" s="185" t="s">
        <v>176</v>
      </c>
      <c r="BX41" s="185" t="s">
        <v>176</v>
      </c>
      <c r="BY41" s="185" t="s">
        <v>176</v>
      </c>
      <c r="BZ41" s="185" t="s">
        <v>176</v>
      </c>
      <c r="CA41" s="185" t="s">
        <v>176</v>
      </c>
      <c r="CB41" s="185" t="s">
        <v>176</v>
      </c>
      <c r="CC41" s="185" t="s">
        <v>176</v>
      </c>
      <c r="CD41" s="185" t="s">
        <v>176</v>
      </c>
      <c r="CE41" s="185" t="s">
        <v>176</v>
      </c>
      <c r="CF41" s="185" t="s">
        <v>176</v>
      </c>
      <c r="CG41" s="185">
        <v>3</v>
      </c>
      <c r="CH41" s="185">
        <v>1</v>
      </c>
      <c r="CI41" s="185" t="s">
        <v>176</v>
      </c>
      <c r="CJ41" s="185" t="s">
        <v>176</v>
      </c>
      <c r="CK41" s="185">
        <v>1</v>
      </c>
      <c r="CL41" s="185" t="s">
        <v>176</v>
      </c>
      <c r="CM41" s="185" t="s">
        <v>176</v>
      </c>
      <c r="CN41" s="185" t="s">
        <v>176</v>
      </c>
      <c r="CO41" s="185" t="s">
        <v>176</v>
      </c>
      <c r="CP41" s="185" t="s">
        <v>176</v>
      </c>
      <c r="CQ41" s="185" t="s">
        <v>176</v>
      </c>
      <c r="CR41" s="185" t="s">
        <v>176</v>
      </c>
      <c r="CS41" s="185" t="s">
        <v>176</v>
      </c>
      <c r="CT41" s="185" t="s">
        <v>176</v>
      </c>
      <c r="CU41" s="185" t="s">
        <v>176</v>
      </c>
      <c r="CV41" s="372" t="s">
        <v>176</v>
      </c>
      <c r="CW41" s="372" t="s">
        <v>176</v>
      </c>
      <c r="CX41" s="372" t="s">
        <v>176</v>
      </c>
      <c r="CY41" s="372" t="s">
        <v>176</v>
      </c>
      <c r="CZ41" s="372" t="s">
        <v>176</v>
      </c>
      <c r="DA41" s="372" t="s">
        <v>176</v>
      </c>
      <c r="DB41" s="372" t="s">
        <v>176</v>
      </c>
      <c r="DC41" s="372" t="s">
        <v>176</v>
      </c>
      <c r="DD41" s="372" t="s">
        <v>176</v>
      </c>
      <c r="DE41" s="372" t="s">
        <v>176</v>
      </c>
      <c r="DF41" s="372" t="s">
        <v>176</v>
      </c>
      <c r="DG41" s="372" t="s">
        <v>176</v>
      </c>
      <c r="DH41" s="372" t="s">
        <v>176</v>
      </c>
      <c r="DI41" s="372" t="s">
        <v>176</v>
      </c>
      <c r="DJ41" s="372" t="s">
        <v>176</v>
      </c>
      <c r="DK41" s="372" t="s">
        <v>176</v>
      </c>
      <c r="DL41" s="372" t="s">
        <v>176</v>
      </c>
      <c r="DM41" s="372" t="s">
        <v>176</v>
      </c>
      <c r="DN41" s="372" t="s">
        <v>176</v>
      </c>
      <c r="DO41" s="372" t="s">
        <v>176</v>
      </c>
      <c r="DP41" s="372" t="s">
        <v>176</v>
      </c>
      <c r="DQ41" s="372" t="s">
        <v>176</v>
      </c>
      <c r="DR41" s="372" t="s">
        <v>176</v>
      </c>
      <c r="DS41" s="372" t="s">
        <v>176</v>
      </c>
      <c r="DT41" s="372" t="s">
        <v>176</v>
      </c>
      <c r="DU41" s="372" t="s">
        <v>176</v>
      </c>
      <c r="DV41" s="372" t="s">
        <v>176</v>
      </c>
      <c r="DW41" s="185" t="s">
        <v>176</v>
      </c>
      <c r="DX41" s="185" t="s">
        <v>176</v>
      </c>
      <c r="DY41" s="185" t="s">
        <v>176</v>
      </c>
      <c r="DZ41" s="185" t="s">
        <v>176</v>
      </c>
      <c r="EA41" s="185" t="s">
        <v>176</v>
      </c>
      <c r="EB41" s="185" t="s">
        <v>176</v>
      </c>
      <c r="EC41" s="185" t="s">
        <v>176</v>
      </c>
      <c r="ED41" s="185" t="s">
        <v>176</v>
      </c>
      <c r="EE41" s="185" t="s">
        <v>176</v>
      </c>
      <c r="EF41" s="185" t="s">
        <v>176</v>
      </c>
      <c r="EG41" s="185" t="s">
        <v>176</v>
      </c>
      <c r="EH41" s="185" t="s">
        <v>176</v>
      </c>
      <c r="EI41" s="185" t="s">
        <v>176</v>
      </c>
      <c r="EJ41" s="185" t="s">
        <v>176</v>
      </c>
      <c r="EK41" s="185" t="s">
        <v>176</v>
      </c>
      <c r="EL41" s="185" t="s">
        <v>176</v>
      </c>
      <c r="EM41" s="185" t="s">
        <v>176</v>
      </c>
      <c r="EN41" s="185" t="s">
        <v>176</v>
      </c>
      <c r="EO41" s="185" t="s">
        <v>176</v>
      </c>
      <c r="EP41" s="185" t="s">
        <v>176</v>
      </c>
      <c r="EQ41" s="185" t="s">
        <v>176</v>
      </c>
      <c r="ER41" s="185" t="s">
        <v>176</v>
      </c>
      <c r="ES41" s="185" t="s">
        <v>176</v>
      </c>
      <c r="ET41" s="185" t="s">
        <v>176</v>
      </c>
      <c r="EU41" s="406" t="s">
        <v>176</v>
      </c>
      <c r="EV41" s="185" t="s">
        <v>176</v>
      </c>
      <c r="EW41" s="185">
        <v>2</v>
      </c>
      <c r="EX41" s="185">
        <v>2</v>
      </c>
      <c r="EY41" s="185">
        <v>2</v>
      </c>
      <c r="EZ41" s="185">
        <v>1</v>
      </c>
      <c r="FA41" s="185">
        <v>1</v>
      </c>
      <c r="FB41" s="185">
        <v>2</v>
      </c>
      <c r="FC41" s="185">
        <v>2</v>
      </c>
      <c r="FD41" s="185">
        <v>1</v>
      </c>
      <c r="FE41" s="185">
        <v>1</v>
      </c>
      <c r="FF41" s="185">
        <v>3</v>
      </c>
      <c r="FG41" s="185">
        <v>3</v>
      </c>
      <c r="FH41" s="185">
        <v>2</v>
      </c>
      <c r="FI41" s="185">
        <v>3</v>
      </c>
      <c r="FJ41" s="185">
        <v>1</v>
      </c>
      <c r="FK41" s="185">
        <v>1</v>
      </c>
      <c r="FL41" s="185">
        <v>1</v>
      </c>
      <c r="FM41" s="185">
        <v>1</v>
      </c>
      <c r="FN41" s="185" t="s">
        <v>176</v>
      </c>
      <c r="FO41" s="185" t="s">
        <v>176</v>
      </c>
      <c r="FP41" s="185" t="s">
        <v>176</v>
      </c>
      <c r="FQ41" s="185" t="s">
        <v>176</v>
      </c>
      <c r="FR41" s="185" t="s">
        <v>160</v>
      </c>
      <c r="FS41" s="185" t="s">
        <v>176</v>
      </c>
      <c r="FT41" s="185" t="s">
        <v>176</v>
      </c>
      <c r="FU41" s="185" t="s">
        <v>176</v>
      </c>
      <c r="FV41" s="185" t="s">
        <v>176</v>
      </c>
      <c r="FW41" s="185" t="s">
        <v>176</v>
      </c>
      <c r="FX41" s="185" t="s">
        <v>176</v>
      </c>
      <c r="FY41" s="185" t="s">
        <v>176</v>
      </c>
      <c r="FZ41" s="185" t="s">
        <v>160</v>
      </c>
      <c r="GA41" s="185" t="s">
        <v>176</v>
      </c>
      <c r="GB41" s="185" t="s">
        <v>176</v>
      </c>
      <c r="GC41" s="185" t="s">
        <v>176</v>
      </c>
      <c r="GD41" s="185" t="s">
        <v>176</v>
      </c>
      <c r="GE41" s="185" t="s">
        <v>176</v>
      </c>
      <c r="GF41" s="185" t="s">
        <v>176</v>
      </c>
      <c r="GG41" s="185" t="s">
        <v>176</v>
      </c>
      <c r="GH41" s="185" t="s">
        <v>176</v>
      </c>
      <c r="GI41" s="188" t="s">
        <v>176</v>
      </c>
      <c r="GJ41" s="263">
        <f t="shared" si="1"/>
        <v>63</v>
      </c>
    </row>
    <row r="42" spans="1:192" x14ac:dyDescent="0.25">
      <c r="A42" s="278" t="s">
        <v>253</v>
      </c>
      <c r="B42" s="274" t="s">
        <v>654</v>
      </c>
      <c r="C42" s="279" t="s">
        <v>255</v>
      </c>
      <c r="D42" s="185">
        <v>2</v>
      </c>
      <c r="E42" s="185">
        <v>2</v>
      </c>
      <c r="F42" s="185">
        <v>2</v>
      </c>
      <c r="G42" s="189" t="s">
        <v>176</v>
      </c>
      <c r="H42" s="189" t="s">
        <v>176</v>
      </c>
      <c r="I42" s="189">
        <v>1</v>
      </c>
      <c r="J42" s="189" t="s">
        <v>176</v>
      </c>
      <c r="K42" s="189" t="s">
        <v>176</v>
      </c>
      <c r="L42" s="189">
        <v>1</v>
      </c>
      <c r="M42" s="189">
        <v>1</v>
      </c>
      <c r="N42" s="189" t="s">
        <v>176</v>
      </c>
      <c r="O42" s="189" t="s">
        <v>176</v>
      </c>
      <c r="P42" s="189" t="s">
        <v>176</v>
      </c>
      <c r="Q42" s="189" t="s">
        <v>176</v>
      </c>
      <c r="R42" s="189">
        <v>1</v>
      </c>
      <c r="S42" s="189">
        <v>1</v>
      </c>
      <c r="T42" s="189">
        <v>2</v>
      </c>
      <c r="U42" s="189">
        <v>2</v>
      </c>
      <c r="V42" s="189">
        <v>1</v>
      </c>
      <c r="W42" s="281">
        <v>1</v>
      </c>
      <c r="X42" s="281">
        <v>2</v>
      </c>
      <c r="Y42" s="189">
        <v>2</v>
      </c>
      <c r="Z42" s="189" t="s">
        <v>176</v>
      </c>
      <c r="AA42" s="189" t="s">
        <v>176</v>
      </c>
      <c r="AB42" s="189" t="s">
        <v>176</v>
      </c>
      <c r="AC42" s="189" t="s">
        <v>176</v>
      </c>
      <c r="AD42" s="189" t="s">
        <v>176</v>
      </c>
      <c r="AE42" s="189" t="s">
        <v>176</v>
      </c>
      <c r="AF42" s="189" t="s">
        <v>176</v>
      </c>
      <c r="AG42" s="189" t="s">
        <v>176</v>
      </c>
      <c r="AH42" s="189" t="s">
        <v>176</v>
      </c>
      <c r="AI42" s="189" t="s">
        <v>176</v>
      </c>
      <c r="AJ42" s="189" t="s">
        <v>176</v>
      </c>
      <c r="AK42" s="189" t="s">
        <v>176</v>
      </c>
      <c r="AL42" s="189" t="s">
        <v>176</v>
      </c>
      <c r="AM42" s="189" t="s">
        <v>176</v>
      </c>
      <c r="AN42" s="189" t="s">
        <v>176</v>
      </c>
      <c r="AO42" s="189" t="s">
        <v>176</v>
      </c>
      <c r="AP42" s="189" t="s">
        <v>176</v>
      </c>
      <c r="AQ42" s="189" t="s">
        <v>176</v>
      </c>
      <c r="AR42" s="189" t="s">
        <v>176</v>
      </c>
      <c r="AS42" s="189">
        <v>1</v>
      </c>
      <c r="AT42" s="189">
        <v>1</v>
      </c>
      <c r="AU42" s="189">
        <v>1</v>
      </c>
      <c r="AV42" s="189" t="s">
        <v>176</v>
      </c>
      <c r="AW42" s="189">
        <v>2</v>
      </c>
      <c r="AX42" s="189">
        <v>3</v>
      </c>
      <c r="AY42" s="189">
        <v>3</v>
      </c>
      <c r="AZ42" s="189">
        <v>1</v>
      </c>
      <c r="BA42" s="189">
        <v>1</v>
      </c>
      <c r="BB42" s="281">
        <v>3</v>
      </c>
      <c r="BC42" s="281" t="s">
        <v>176</v>
      </c>
      <c r="BD42" s="281" t="s">
        <v>176</v>
      </c>
      <c r="BE42" s="281" t="s">
        <v>176</v>
      </c>
      <c r="BF42" s="281" t="s">
        <v>176</v>
      </c>
      <c r="BG42" s="281" t="s">
        <v>176</v>
      </c>
      <c r="BH42" s="281" t="s">
        <v>176</v>
      </c>
      <c r="BI42" s="281" t="s">
        <v>176</v>
      </c>
      <c r="BJ42" s="281" t="s">
        <v>176</v>
      </c>
      <c r="BK42" s="189" t="s">
        <v>176</v>
      </c>
      <c r="BL42" s="189" t="s">
        <v>176</v>
      </c>
      <c r="BM42" s="189" t="s">
        <v>176</v>
      </c>
      <c r="BN42" s="189" t="s">
        <v>176</v>
      </c>
      <c r="BO42" s="189" t="s">
        <v>176</v>
      </c>
      <c r="BP42" s="189" t="s">
        <v>176</v>
      </c>
      <c r="BQ42" s="189" t="s">
        <v>176</v>
      </c>
      <c r="BR42" s="189" t="s">
        <v>176</v>
      </c>
      <c r="BS42" s="189" t="s">
        <v>176</v>
      </c>
      <c r="BT42" s="189" t="s">
        <v>176</v>
      </c>
      <c r="BU42" s="189" t="s">
        <v>176</v>
      </c>
      <c r="BV42" s="189" t="s">
        <v>176</v>
      </c>
      <c r="BW42" s="189" t="s">
        <v>176</v>
      </c>
      <c r="BX42" s="189" t="s">
        <v>176</v>
      </c>
      <c r="BY42" s="189" t="s">
        <v>176</v>
      </c>
      <c r="BZ42" s="189" t="s">
        <v>176</v>
      </c>
      <c r="CA42" s="189" t="s">
        <v>176</v>
      </c>
      <c r="CB42" s="189" t="s">
        <v>176</v>
      </c>
      <c r="CC42" s="189" t="s">
        <v>176</v>
      </c>
      <c r="CD42" s="189" t="s">
        <v>176</v>
      </c>
      <c r="CE42" s="189" t="s">
        <v>176</v>
      </c>
      <c r="CF42" s="189" t="s">
        <v>176</v>
      </c>
      <c r="CG42" s="189">
        <v>2</v>
      </c>
      <c r="CH42" s="189">
        <v>2</v>
      </c>
      <c r="CI42" s="189" t="s">
        <v>176</v>
      </c>
      <c r="CJ42" s="189" t="s">
        <v>176</v>
      </c>
      <c r="CK42" s="189">
        <v>1</v>
      </c>
      <c r="CL42" s="189" t="s">
        <v>176</v>
      </c>
      <c r="CM42" s="189" t="s">
        <v>176</v>
      </c>
      <c r="CN42" s="189" t="s">
        <v>176</v>
      </c>
      <c r="CO42" s="189" t="s">
        <v>176</v>
      </c>
      <c r="CP42" s="189" t="s">
        <v>176</v>
      </c>
      <c r="CQ42" s="281" t="s">
        <v>176</v>
      </c>
      <c r="CR42" s="189" t="s">
        <v>176</v>
      </c>
      <c r="CS42" s="189" t="s">
        <v>176</v>
      </c>
      <c r="CT42" s="189" t="s">
        <v>176</v>
      </c>
      <c r="CU42" s="189" t="s">
        <v>176</v>
      </c>
      <c r="CV42" s="372" t="s">
        <v>176</v>
      </c>
      <c r="CW42" s="372" t="s">
        <v>176</v>
      </c>
      <c r="CX42" s="372" t="s">
        <v>176</v>
      </c>
      <c r="CY42" s="372" t="s">
        <v>176</v>
      </c>
      <c r="CZ42" s="372" t="s">
        <v>176</v>
      </c>
      <c r="DA42" s="372" t="s">
        <v>176</v>
      </c>
      <c r="DB42" s="372" t="s">
        <v>176</v>
      </c>
      <c r="DC42" s="372" t="s">
        <v>176</v>
      </c>
      <c r="DD42" s="372" t="s">
        <v>176</v>
      </c>
      <c r="DE42" s="372" t="s">
        <v>176</v>
      </c>
      <c r="DF42" s="372" t="s">
        <v>176</v>
      </c>
      <c r="DG42" s="372" t="s">
        <v>176</v>
      </c>
      <c r="DH42" s="372" t="s">
        <v>176</v>
      </c>
      <c r="DI42" s="372" t="s">
        <v>176</v>
      </c>
      <c r="DJ42" s="372" t="s">
        <v>176</v>
      </c>
      <c r="DK42" s="372" t="s">
        <v>176</v>
      </c>
      <c r="DL42" s="372" t="s">
        <v>176</v>
      </c>
      <c r="DM42" s="372" t="s">
        <v>176</v>
      </c>
      <c r="DN42" s="372" t="s">
        <v>176</v>
      </c>
      <c r="DO42" s="372" t="s">
        <v>176</v>
      </c>
      <c r="DP42" s="372" t="s">
        <v>176</v>
      </c>
      <c r="DQ42" s="372" t="s">
        <v>176</v>
      </c>
      <c r="DR42" s="372" t="s">
        <v>176</v>
      </c>
      <c r="DS42" s="372" t="s">
        <v>176</v>
      </c>
      <c r="DT42" s="372" t="s">
        <v>176</v>
      </c>
      <c r="DU42" s="372" t="s">
        <v>176</v>
      </c>
      <c r="DV42" s="372" t="s">
        <v>176</v>
      </c>
      <c r="DW42" s="189" t="s">
        <v>176</v>
      </c>
      <c r="DX42" s="189" t="s">
        <v>176</v>
      </c>
      <c r="DY42" s="189" t="s">
        <v>176</v>
      </c>
      <c r="DZ42" s="189" t="s">
        <v>176</v>
      </c>
      <c r="EA42" s="189" t="s">
        <v>176</v>
      </c>
      <c r="EB42" s="189" t="s">
        <v>176</v>
      </c>
      <c r="EC42" s="189" t="s">
        <v>176</v>
      </c>
      <c r="ED42" s="189" t="s">
        <v>176</v>
      </c>
      <c r="EE42" s="189" t="s">
        <v>176</v>
      </c>
      <c r="EF42" s="189" t="s">
        <v>176</v>
      </c>
      <c r="EG42" s="189" t="s">
        <v>176</v>
      </c>
      <c r="EH42" s="189" t="s">
        <v>176</v>
      </c>
      <c r="EI42" s="189" t="s">
        <v>176</v>
      </c>
      <c r="EJ42" s="189" t="s">
        <v>176</v>
      </c>
      <c r="EK42" s="189" t="s">
        <v>176</v>
      </c>
      <c r="EL42" s="189" t="s">
        <v>176</v>
      </c>
      <c r="EM42" s="189" t="s">
        <v>176</v>
      </c>
      <c r="EN42" s="189" t="s">
        <v>176</v>
      </c>
      <c r="EO42" s="189" t="s">
        <v>176</v>
      </c>
      <c r="EP42" s="189" t="s">
        <v>176</v>
      </c>
      <c r="EQ42" s="189" t="s">
        <v>176</v>
      </c>
      <c r="ER42" s="189" t="s">
        <v>176</v>
      </c>
      <c r="ES42" s="189" t="s">
        <v>176</v>
      </c>
      <c r="ET42" s="189" t="s">
        <v>176</v>
      </c>
      <c r="EU42" s="406" t="s">
        <v>176</v>
      </c>
      <c r="EV42" s="189" t="s">
        <v>176</v>
      </c>
      <c r="EW42" s="189">
        <v>3</v>
      </c>
      <c r="EX42" s="189">
        <v>2</v>
      </c>
      <c r="EY42" s="189">
        <v>2</v>
      </c>
      <c r="EZ42" s="189">
        <v>1</v>
      </c>
      <c r="FA42" s="189">
        <v>1</v>
      </c>
      <c r="FB42" s="189">
        <v>2</v>
      </c>
      <c r="FC42" s="189">
        <v>2</v>
      </c>
      <c r="FD42" s="189">
        <v>1</v>
      </c>
      <c r="FE42" s="189">
        <v>1</v>
      </c>
      <c r="FF42" s="189">
        <v>3</v>
      </c>
      <c r="FG42" s="189">
        <v>3</v>
      </c>
      <c r="FH42" s="189">
        <v>2</v>
      </c>
      <c r="FI42" s="189">
        <v>3</v>
      </c>
      <c r="FJ42" s="189">
        <v>2</v>
      </c>
      <c r="FK42" s="189">
        <v>2</v>
      </c>
      <c r="FL42" s="189">
        <v>2</v>
      </c>
      <c r="FM42" s="189">
        <v>2</v>
      </c>
      <c r="FN42" s="189" t="s">
        <v>176</v>
      </c>
      <c r="FO42" s="189" t="s">
        <v>176</v>
      </c>
      <c r="FP42" s="189" t="s">
        <v>176</v>
      </c>
      <c r="FQ42" s="189" t="s">
        <v>176</v>
      </c>
      <c r="FR42" s="189" t="s">
        <v>160</v>
      </c>
      <c r="FS42" s="189" t="s">
        <v>176</v>
      </c>
      <c r="FT42" s="189" t="s">
        <v>176</v>
      </c>
      <c r="FU42" s="189" t="s">
        <v>176</v>
      </c>
      <c r="FV42" s="189" t="s">
        <v>176</v>
      </c>
      <c r="FW42" s="189" t="s">
        <v>176</v>
      </c>
      <c r="FX42" s="189" t="s">
        <v>176</v>
      </c>
      <c r="FY42" s="189" t="s">
        <v>176</v>
      </c>
      <c r="FZ42" s="189" t="s">
        <v>160</v>
      </c>
      <c r="GA42" s="189" t="s">
        <v>176</v>
      </c>
      <c r="GB42" s="189" t="s">
        <v>176</v>
      </c>
      <c r="GC42" s="189" t="s">
        <v>176</v>
      </c>
      <c r="GD42" s="189" t="s">
        <v>176</v>
      </c>
      <c r="GE42" s="189" t="s">
        <v>176</v>
      </c>
      <c r="GF42" s="189" t="s">
        <v>176</v>
      </c>
      <c r="GG42" s="189" t="s">
        <v>176</v>
      </c>
      <c r="GH42" s="189" t="s">
        <v>176</v>
      </c>
      <c r="GI42" s="196" t="s">
        <v>176</v>
      </c>
      <c r="GJ42" s="275">
        <f t="shared" si="1"/>
        <v>76</v>
      </c>
    </row>
    <row r="43" spans="1:192" x14ac:dyDescent="0.25">
      <c r="A43" s="272" t="s">
        <v>253</v>
      </c>
      <c r="B43" s="274" t="s">
        <v>709</v>
      </c>
      <c r="C43" s="274" t="s">
        <v>254</v>
      </c>
      <c r="D43" s="189">
        <v>1</v>
      </c>
      <c r="E43" s="189">
        <v>1</v>
      </c>
      <c r="F43" s="189">
        <v>1</v>
      </c>
      <c r="G43" s="189" t="s">
        <v>176</v>
      </c>
      <c r="H43" s="189" t="s">
        <v>176</v>
      </c>
      <c r="I43" s="189">
        <v>1</v>
      </c>
      <c r="J43" s="189" t="s">
        <v>176</v>
      </c>
      <c r="K43" s="189" t="s">
        <v>176</v>
      </c>
      <c r="L43" s="189">
        <v>1</v>
      </c>
      <c r="M43" s="189">
        <v>1</v>
      </c>
      <c r="N43" s="189" t="s">
        <v>176</v>
      </c>
      <c r="O43" s="189" t="s">
        <v>176</v>
      </c>
      <c r="P43" s="189" t="s">
        <v>176</v>
      </c>
      <c r="Q43" s="189" t="s">
        <v>176</v>
      </c>
      <c r="R43" s="189" t="s">
        <v>176</v>
      </c>
      <c r="S43" s="189" t="s">
        <v>176</v>
      </c>
      <c r="T43" s="189">
        <v>1</v>
      </c>
      <c r="U43" s="189">
        <v>1</v>
      </c>
      <c r="V43" s="189" t="s">
        <v>176</v>
      </c>
      <c r="W43" s="281" t="s">
        <v>176</v>
      </c>
      <c r="X43" s="281">
        <v>1</v>
      </c>
      <c r="Y43" s="189">
        <v>2</v>
      </c>
      <c r="Z43" s="189" t="s">
        <v>176</v>
      </c>
      <c r="AA43" s="189" t="s">
        <v>176</v>
      </c>
      <c r="AB43" s="189" t="s">
        <v>176</v>
      </c>
      <c r="AC43" s="189" t="s">
        <v>176</v>
      </c>
      <c r="AD43" s="189" t="s">
        <v>176</v>
      </c>
      <c r="AE43" s="189" t="s">
        <v>176</v>
      </c>
      <c r="AF43" s="189" t="s">
        <v>176</v>
      </c>
      <c r="AG43" s="189" t="s">
        <v>176</v>
      </c>
      <c r="AH43" s="189" t="s">
        <v>176</v>
      </c>
      <c r="AI43" s="189" t="s">
        <v>176</v>
      </c>
      <c r="AJ43" s="189" t="s">
        <v>176</v>
      </c>
      <c r="AK43" s="189" t="s">
        <v>176</v>
      </c>
      <c r="AL43" s="189" t="s">
        <v>176</v>
      </c>
      <c r="AM43" s="189" t="s">
        <v>176</v>
      </c>
      <c r="AN43" s="189" t="s">
        <v>176</v>
      </c>
      <c r="AO43" s="189" t="s">
        <v>176</v>
      </c>
      <c r="AP43" s="189" t="s">
        <v>176</v>
      </c>
      <c r="AQ43" s="189" t="s">
        <v>176</v>
      </c>
      <c r="AR43" s="189" t="s">
        <v>176</v>
      </c>
      <c r="AS43" s="189">
        <v>1</v>
      </c>
      <c r="AT43" s="189">
        <v>1</v>
      </c>
      <c r="AU43" s="189">
        <v>1</v>
      </c>
      <c r="AV43" s="189" t="s">
        <v>176</v>
      </c>
      <c r="AW43" s="189" t="s">
        <v>176</v>
      </c>
      <c r="AX43" s="189" t="s">
        <v>176</v>
      </c>
      <c r="AY43" s="189" t="s">
        <v>176</v>
      </c>
      <c r="AZ43" s="189" t="s">
        <v>176</v>
      </c>
      <c r="BA43" s="189" t="s">
        <v>176</v>
      </c>
      <c r="BB43" s="189" t="s">
        <v>176</v>
      </c>
      <c r="BC43" s="189" t="s">
        <v>176</v>
      </c>
      <c r="BD43" s="189" t="s">
        <v>176</v>
      </c>
      <c r="BE43" s="189" t="s">
        <v>176</v>
      </c>
      <c r="BF43" s="189" t="s">
        <v>176</v>
      </c>
      <c r="BG43" s="189" t="s">
        <v>176</v>
      </c>
      <c r="BH43" s="189" t="s">
        <v>176</v>
      </c>
      <c r="BI43" s="189" t="s">
        <v>176</v>
      </c>
      <c r="BJ43" s="189" t="s">
        <v>176</v>
      </c>
      <c r="BK43" s="189" t="s">
        <v>176</v>
      </c>
      <c r="BL43" s="189" t="s">
        <v>176</v>
      </c>
      <c r="BM43" s="189" t="s">
        <v>176</v>
      </c>
      <c r="BN43" s="189" t="s">
        <v>176</v>
      </c>
      <c r="BO43" s="189" t="s">
        <v>176</v>
      </c>
      <c r="BP43" s="189" t="s">
        <v>176</v>
      </c>
      <c r="BQ43" s="189" t="s">
        <v>176</v>
      </c>
      <c r="BR43" s="189" t="s">
        <v>176</v>
      </c>
      <c r="BS43" s="189" t="s">
        <v>176</v>
      </c>
      <c r="BT43" s="189" t="s">
        <v>176</v>
      </c>
      <c r="BU43" s="189" t="s">
        <v>176</v>
      </c>
      <c r="BV43" s="189" t="s">
        <v>176</v>
      </c>
      <c r="BW43" s="189" t="s">
        <v>176</v>
      </c>
      <c r="BX43" s="189" t="s">
        <v>176</v>
      </c>
      <c r="BY43" s="189" t="s">
        <v>176</v>
      </c>
      <c r="BZ43" s="189" t="s">
        <v>176</v>
      </c>
      <c r="CA43" s="189" t="s">
        <v>176</v>
      </c>
      <c r="CB43" s="189" t="s">
        <v>176</v>
      </c>
      <c r="CC43" s="189" t="s">
        <v>176</v>
      </c>
      <c r="CD43" s="189" t="s">
        <v>176</v>
      </c>
      <c r="CE43" s="189" t="s">
        <v>176</v>
      </c>
      <c r="CF43" s="189" t="s">
        <v>176</v>
      </c>
      <c r="CG43" s="189">
        <v>2</v>
      </c>
      <c r="CH43" s="189">
        <v>2</v>
      </c>
      <c r="CI43" s="189" t="s">
        <v>176</v>
      </c>
      <c r="CJ43" s="189" t="s">
        <v>176</v>
      </c>
      <c r="CK43" s="189" t="s">
        <v>176</v>
      </c>
      <c r="CL43" s="189" t="s">
        <v>176</v>
      </c>
      <c r="CM43" s="189" t="s">
        <v>176</v>
      </c>
      <c r="CN43" s="189" t="s">
        <v>176</v>
      </c>
      <c r="CO43" s="189" t="s">
        <v>176</v>
      </c>
      <c r="CP43" s="189" t="s">
        <v>176</v>
      </c>
      <c r="CQ43" s="281" t="s">
        <v>176</v>
      </c>
      <c r="CR43" s="189" t="s">
        <v>176</v>
      </c>
      <c r="CS43" s="189" t="s">
        <v>176</v>
      </c>
      <c r="CT43" s="189" t="s">
        <v>176</v>
      </c>
      <c r="CU43" s="189" t="s">
        <v>176</v>
      </c>
      <c r="CV43" s="372" t="s">
        <v>176</v>
      </c>
      <c r="CW43" s="372" t="s">
        <v>176</v>
      </c>
      <c r="CX43" s="372" t="s">
        <v>176</v>
      </c>
      <c r="CY43" s="372" t="s">
        <v>176</v>
      </c>
      <c r="CZ43" s="372" t="s">
        <v>176</v>
      </c>
      <c r="DA43" s="372" t="s">
        <v>176</v>
      </c>
      <c r="DB43" s="372" t="s">
        <v>176</v>
      </c>
      <c r="DC43" s="372" t="s">
        <v>176</v>
      </c>
      <c r="DD43" s="372" t="s">
        <v>176</v>
      </c>
      <c r="DE43" s="372" t="s">
        <v>176</v>
      </c>
      <c r="DF43" s="372" t="s">
        <v>176</v>
      </c>
      <c r="DG43" s="372" t="s">
        <v>176</v>
      </c>
      <c r="DH43" s="372" t="s">
        <v>176</v>
      </c>
      <c r="DI43" s="372" t="s">
        <v>176</v>
      </c>
      <c r="DJ43" s="372" t="s">
        <v>176</v>
      </c>
      <c r="DK43" s="372" t="s">
        <v>176</v>
      </c>
      <c r="DL43" s="372" t="s">
        <v>176</v>
      </c>
      <c r="DM43" s="372" t="s">
        <v>176</v>
      </c>
      <c r="DN43" s="372" t="s">
        <v>176</v>
      </c>
      <c r="DO43" s="372" t="s">
        <v>176</v>
      </c>
      <c r="DP43" s="372" t="s">
        <v>176</v>
      </c>
      <c r="DQ43" s="372" t="s">
        <v>176</v>
      </c>
      <c r="DR43" s="372" t="s">
        <v>176</v>
      </c>
      <c r="DS43" s="372" t="s">
        <v>176</v>
      </c>
      <c r="DT43" s="372" t="s">
        <v>176</v>
      </c>
      <c r="DU43" s="372" t="s">
        <v>176</v>
      </c>
      <c r="DV43" s="372" t="s">
        <v>176</v>
      </c>
      <c r="DW43" s="189" t="s">
        <v>176</v>
      </c>
      <c r="DX43" s="189" t="s">
        <v>176</v>
      </c>
      <c r="DY43" s="189" t="s">
        <v>176</v>
      </c>
      <c r="DZ43" s="189" t="s">
        <v>176</v>
      </c>
      <c r="EA43" s="189" t="s">
        <v>176</v>
      </c>
      <c r="EB43" s="189" t="s">
        <v>176</v>
      </c>
      <c r="EC43" s="189" t="s">
        <v>176</v>
      </c>
      <c r="ED43" s="189" t="s">
        <v>176</v>
      </c>
      <c r="EE43" s="189" t="s">
        <v>176</v>
      </c>
      <c r="EF43" s="189" t="s">
        <v>176</v>
      </c>
      <c r="EG43" s="189" t="s">
        <v>176</v>
      </c>
      <c r="EH43" s="189" t="s">
        <v>176</v>
      </c>
      <c r="EI43" s="189" t="s">
        <v>176</v>
      </c>
      <c r="EJ43" s="189" t="s">
        <v>176</v>
      </c>
      <c r="EK43" s="189" t="s">
        <v>176</v>
      </c>
      <c r="EL43" s="189" t="s">
        <v>176</v>
      </c>
      <c r="EM43" s="189" t="s">
        <v>176</v>
      </c>
      <c r="EN43" s="189" t="s">
        <v>176</v>
      </c>
      <c r="EO43" s="189" t="s">
        <v>176</v>
      </c>
      <c r="EP43" s="189" t="s">
        <v>176</v>
      </c>
      <c r="EQ43" s="189" t="s">
        <v>176</v>
      </c>
      <c r="ER43" s="189" t="s">
        <v>176</v>
      </c>
      <c r="ES43" s="189" t="s">
        <v>176</v>
      </c>
      <c r="ET43" s="189" t="s">
        <v>176</v>
      </c>
      <c r="EU43" s="406" t="s">
        <v>176</v>
      </c>
      <c r="EV43" s="189" t="s">
        <v>176</v>
      </c>
      <c r="EW43" s="189">
        <v>2</v>
      </c>
      <c r="EX43" s="189">
        <v>3</v>
      </c>
      <c r="EY43" s="189">
        <v>3</v>
      </c>
      <c r="EZ43" s="189">
        <v>2</v>
      </c>
      <c r="FA43" s="189">
        <v>1</v>
      </c>
      <c r="FB43" s="189">
        <v>2</v>
      </c>
      <c r="FC43" s="189">
        <v>2</v>
      </c>
      <c r="FD43" s="189">
        <v>1</v>
      </c>
      <c r="FE43" s="189" t="s">
        <v>176</v>
      </c>
      <c r="FF43" s="189">
        <v>2</v>
      </c>
      <c r="FG43" s="189">
        <v>3</v>
      </c>
      <c r="FH43" s="189">
        <v>2</v>
      </c>
      <c r="FI43" s="189">
        <v>3</v>
      </c>
      <c r="FJ43" s="189">
        <v>1</v>
      </c>
      <c r="FK43" s="189">
        <v>2</v>
      </c>
      <c r="FL43" s="189">
        <v>3</v>
      </c>
      <c r="FM43" s="189">
        <v>3</v>
      </c>
      <c r="FN43" s="189" t="s">
        <v>176</v>
      </c>
      <c r="FO43" s="189" t="s">
        <v>160</v>
      </c>
      <c r="FP43" s="189" t="s">
        <v>176</v>
      </c>
      <c r="FQ43" s="189" t="s">
        <v>176</v>
      </c>
      <c r="FR43" s="189" t="s">
        <v>176</v>
      </c>
      <c r="FS43" s="189" t="s">
        <v>176</v>
      </c>
      <c r="FT43" s="189" t="s">
        <v>176</v>
      </c>
      <c r="FU43" s="189" t="s">
        <v>176</v>
      </c>
      <c r="FV43" s="189" t="s">
        <v>176</v>
      </c>
      <c r="FW43" s="189" t="s">
        <v>160</v>
      </c>
      <c r="FX43" s="189" t="s">
        <v>176</v>
      </c>
      <c r="FY43" s="189" t="s">
        <v>176</v>
      </c>
      <c r="FZ43" s="189" t="s">
        <v>176</v>
      </c>
      <c r="GA43" s="189" t="s">
        <v>176</v>
      </c>
      <c r="GB43" s="189" t="s">
        <v>176</v>
      </c>
      <c r="GC43" s="189" t="s">
        <v>176</v>
      </c>
      <c r="GD43" s="189" t="s">
        <v>176</v>
      </c>
      <c r="GE43" s="189" t="s">
        <v>176</v>
      </c>
      <c r="GF43" s="189" t="s">
        <v>176</v>
      </c>
      <c r="GG43" s="189" t="s">
        <v>176</v>
      </c>
      <c r="GH43" s="189" t="s">
        <v>176</v>
      </c>
      <c r="GI43" s="196" t="s">
        <v>176</v>
      </c>
      <c r="GJ43" s="275">
        <f t="shared" si="1"/>
        <v>53</v>
      </c>
    </row>
    <row r="44" spans="1:192" ht="22.5" customHeight="1" x14ac:dyDescent="0.25">
      <c r="A44" s="258" t="s">
        <v>161</v>
      </c>
      <c r="B44" s="259" t="s">
        <v>225</v>
      </c>
      <c r="C44" s="414" t="s">
        <v>657</v>
      </c>
      <c r="D44" s="185">
        <v>2</v>
      </c>
      <c r="E44" s="185">
        <v>2</v>
      </c>
      <c r="F44" s="185">
        <v>2</v>
      </c>
      <c r="G44" s="185">
        <v>2</v>
      </c>
      <c r="H44" s="185">
        <v>2</v>
      </c>
      <c r="I44" s="185">
        <v>1</v>
      </c>
      <c r="J44" s="185" t="s">
        <v>176</v>
      </c>
      <c r="K44" s="185" t="s">
        <v>176</v>
      </c>
      <c r="L44" s="185">
        <v>1</v>
      </c>
      <c r="M44" s="185">
        <v>1</v>
      </c>
      <c r="N44" s="185" t="s">
        <v>176</v>
      </c>
      <c r="O44" s="185" t="s">
        <v>176</v>
      </c>
      <c r="P44" s="185" t="s">
        <v>176</v>
      </c>
      <c r="Q44" s="185" t="s">
        <v>176</v>
      </c>
      <c r="R44" s="185" t="s">
        <v>176</v>
      </c>
      <c r="S44" s="185" t="s">
        <v>176</v>
      </c>
      <c r="T44" s="185" t="s">
        <v>176</v>
      </c>
      <c r="U44" s="185" t="s">
        <v>176</v>
      </c>
      <c r="V44" s="185" t="s">
        <v>176</v>
      </c>
      <c r="W44" s="185" t="s">
        <v>176</v>
      </c>
      <c r="X44" s="185" t="s">
        <v>176</v>
      </c>
      <c r="Y44" s="185">
        <v>1</v>
      </c>
      <c r="Z44" s="185">
        <v>1</v>
      </c>
      <c r="AA44" s="185">
        <v>1</v>
      </c>
      <c r="AB44" s="185">
        <v>1</v>
      </c>
      <c r="AC44" s="185">
        <v>1</v>
      </c>
      <c r="AD44" s="185">
        <v>1</v>
      </c>
      <c r="AE44" s="185" t="s">
        <v>176</v>
      </c>
      <c r="AF44" s="185" t="s">
        <v>176</v>
      </c>
      <c r="AG44" s="185" t="s">
        <v>176</v>
      </c>
      <c r="AH44" s="185" t="s">
        <v>176</v>
      </c>
      <c r="AI44" s="185">
        <v>2</v>
      </c>
      <c r="AJ44" s="185">
        <v>1</v>
      </c>
      <c r="AK44" s="185" t="s">
        <v>176</v>
      </c>
      <c r="AL44" s="185">
        <v>2</v>
      </c>
      <c r="AM44" s="185">
        <v>2</v>
      </c>
      <c r="AN44" s="185">
        <v>2</v>
      </c>
      <c r="AO44" s="185" t="s">
        <v>176</v>
      </c>
      <c r="AP44" s="185" t="s">
        <v>176</v>
      </c>
      <c r="AQ44" s="185" t="s">
        <v>176</v>
      </c>
      <c r="AR44" s="185">
        <v>1</v>
      </c>
      <c r="AS44" s="185">
        <v>2</v>
      </c>
      <c r="AT44" s="185">
        <v>2</v>
      </c>
      <c r="AU44" s="185">
        <v>2</v>
      </c>
      <c r="AV44" s="185">
        <v>2</v>
      </c>
      <c r="AW44" s="185" t="s">
        <v>176</v>
      </c>
      <c r="AX44" s="185" t="s">
        <v>176</v>
      </c>
      <c r="AY44" s="185" t="s">
        <v>176</v>
      </c>
      <c r="AZ44" s="185" t="s">
        <v>176</v>
      </c>
      <c r="BA44" s="185" t="s">
        <v>176</v>
      </c>
      <c r="BB44" s="185" t="s">
        <v>176</v>
      </c>
      <c r="BC44" s="185" t="s">
        <v>176</v>
      </c>
      <c r="BD44" s="413" t="s">
        <v>176</v>
      </c>
      <c r="BE44" s="185" t="s">
        <v>176</v>
      </c>
      <c r="BF44" s="185" t="s">
        <v>176</v>
      </c>
      <c r="BG44" s="185" t="s">
        <v>176</v>
      </c>
      <c r="BH44" s="185" t="s">
        <v>176</v>
      </c>
      <c r="BI44" s="185" t="s">
        <v>176</v>
      </c>
      <c r="BJ44" s="185" t="s">
        <v>176</v>
      </c>
      <c r="BK44" s="185">
        <v>1</v>
      </c>
      <c r="BL44" s="185">
        <v>1</v>
      </c>
      <c r="BM44" s="185">
        <v>1</v>
      </c>
      <c r="BN44" s="185">
        <v>1</v>
      </c>
      <c r="BO44" s="185">
        <v>1</v>
      </c>
      <c r="BP44" s="185">
        <v>1</v>
      </c>
      <c r="BQ44" s="185">
        <v>1</v>
      </c>
      <c r="BR44" s="185">
        <v>1</v>
      </c>
      <c r="BS44" s="185">
        <v>1</v>
      </c>
      <c r="BT44" s="185">
        <v>1</v>
      </c>
      <c r="BU44" s="185">
        <v>1</v>
      </c>
      <c r="BV44" s="185" t="s">
        <v>176</v>
      </c>
      <c r="BW44" s="185" t="s">
        <v>176</v>
      </c>
      <c r="BX44" s="185" t="s">
        <v>176</v>
      </c>
      <c r="BY44" s="185" t="s">
        <v>176</v>
      </c>
      <c r="BZ44" s="185" t="s">
        <v>176</v>
      </c>
      <c r="CA44" s="185" t="s">
        <v>176</v>
      </c>
      <c r="CB44" s="185" t="s">
        <v>176</v>
      </c>
      <c r="CC44" s="185" t="s">
        <v>176</v>
      </c>
      <c r="CD44" s="185" t="s">
        <v>176</v>
      </c>
      <c r="CE44" s="185">
        <v>1</v>
      </c>
      <c r="CF44" s="185" t="s">
        <v>176</v>
      </c>
      <c r="CG44" s="185">
        <v>2</v>
      </c>
      <c r="CH44" s="185" t="s">
        <v>176</v>
      </c>
      <c r="CI44" s="185" t="s">
        <v>176</v>
      </c>
      <c r="CJ44" s="185">
        <v>1</v>
      </c>
      <c r="CK44" s="185">
        <v>2</v>
      </c>
      <c r="CL44" s="185">
        <v>2</v>
      </c>
      <c r="CM44" s="185">
        <v>2</v>
      </c>
      <c r="CN44" s="185">
        <v>2</v>
      </c>
      <c r="CO44" s="185" t="s">
        <v>176</v>
      </c>
      <c r="CP44" s="185" t="s">
        <v>176</v>
      </c>
      <c r="CQ44" s="185" t="s">
        <v>176</v>
      </c>
      <c r="CR44" s="185" t="s">
        <v>176</v>
      </c>
      <c r="CS44" s="185">
        <v>2</v>
      </c>
      <c r="CT44" s="185" t="s">
        <v>176</v>
      </c>
      <c r="CU44" s="185" t="s">
        <v>176</v>
      </c>
      <c r="CV44" s="185">
        <v>1</v>
      </c>
      <c r="CW44" s="185" t="s">
        <v>176</v>
      </c>
      <c r="CX44" s="185" t="s">
        <v>176</v>
      </c>
      <c r="CY44" s="185" t="s">
        <v>176</v>
      </c>
      <c r="CZ44" s="185" t="s">
        <v>176</v>
      </c>
      <c r="DA44" s="185" t="s">
        <v>176</v>
      </c>
      <c r="DB44" s="185" t="s">
        <v>176</v>
      </c>
      <c r="DC44" s="185" t="s">
        <v>176</v>
      </c>
      <c r="DD44" s="185">
        <v>1</v>
      </c>
      <c r="DE44" s="185" t="s">
        <v>176</v>
      </c>
      <c r="DF44" s="185" t="s">
        <v>176</v>
      </c>
      <c r="DG44" s="185" t="s">
        <v>176</v>
      </c>
      <c r="DH44" s="185" t="s">
        <v>176</v>
      </c>
      <c r="DI44" s="185" t="s">
        <v>176</v>
      </c>
      <c r="DJ44" s="185" t="s">
        <v>176</v>
      </c>
      <c r="DK44" s="185" t="s">
        <v>176</v>
      </c>
      <c r="DL44" s="185" t="s">
        <v>176</v>
      </c>
      <c r="DM44" s="185" t="s">
        <v>176</v>
      </c>
      <c r="DN44" s="185" t="s">
        <v>176</v>
      </c>
      <c r="DO44" s="185" t="s">
        <v>176</v>
      </c>
      <c r="DP44" s="185" t="s">
        <v>176</v>
      </c>
      <c r="DQ44" s="185" t="s">
        <v>176</v>
      </c>
      <c r="DR44" s="185" t="s">
        <v>176</v>
      </c>
      <c r="DS44" s="185" t="s">
        <v>176</v>
      </c>
      <c r="DT44" s="185" t="s">
        <v>176</v>
      </c>
      <c r="DU44" s="185" t="s">
        <v>176</v>
      </c>
      <c r="DV44" s="185" t="s">
        <v>176</v>
      </c>
      <c r="DW44" s="185" t="s">
        <v>176</v>
      </c>
      <c r="DX44" s="185" t="s">
        <v>176</v>
      </c>
      <c r="DY44" s="185" t="s">
        <v>176</v>
      </c>
      <c r="DZ44" s="185" t="s">
        <v>176</v>
      </c>
      <c r="EA44" s="185" t="s">
        <v>176</v>
      </c>
      <c r="EB44" s="185" t="s">
        <v>176</v>
      </c>
      <c r="EC44" s="185" t="s">
        <v>176</v>
      </c>
      <c r="ED44" s="185">
        <v>1</v>
      </c>
      <c r="EE44" s="185" t="s">
        <v>176</v>
      </c>
      <c r="EF44" s="185" t="s">
        <v>176</v>
      </c>
      <c r="EG44" s="185" t="s">
        <v>176</v>
      </c>
      <c r="EH44" s="185" t="s">
        <v>176</v>
      </c>
      <c r="EI44" s="185" t="s">
        <v>176</v>
      </c>
      <c r="EJ44" s="185" t="s">
        <v>176</v>
      </c>
      <c r="EK44" s="185" t="s">
        <v>176</v>
      </c>
      <c r="EL44" s="185" t="s">
        <v>176</v>
      </c>
      <c r="EM44" s="185">
        <v>2</v>
      </c>
      <c r="EN44" s="185">
        <v>1</v>
      </c>
      <c r="EO44" s="185" t="s">
        <v>176</v>
      </c>
      <c r="EP44" s="185" t="s">
        <v>176</v>
      </c>
      <c r="EQ44" s="185" t="s">
        <v>176</v>
      </c>
      <c r="ER44" s="185" t="s">
        <v>176</v>
      </c>
      <c r="ES44" s="185" t="s">
        <v>176</v>
      </c>
      <c r="ET44" s="185" t="s">
        <v>176</v>
      </c>
      <c r="EU44" s="406" t="s">
        <v>176</v>
      </c>
      <c r="EV44" s="185" t="s">
        <v>176</v>
      </c>
      <c r="EW44" s="185">
        <v>2</v>
      </c>
      <c r="EX44" s="185">
        <v>2</v>
      </c>
      <c r="EY44" s="185">
        <v>2</v>
      </c>
      <c r="EZ44" s="185">
        <v>1</v>
      </c>
      <c r="FA44" s="185" t="s">
        <v>176</v>
      </c>
      <c r="FB44" s="185">
        <v>2</v>
      </c>
      <c r="FC44" s="185">
        <v>2</v>
      </c>
      <c r="FD44" s="185">
        <v>2</v>
      </c>
      <c r="FE44" s="185">
        <v>2</v>
      </c>
      <c r="FF44" s="185">
        <v>2</v>
      </c>
      <c r="FG44" s="185">
        <v>2</v>
      </c>
      <c r="FH44" s="185">
        <v>2</v>
      </c>
      <c r="FI44" s="185">
        <v>2</v>
      </c>
      <c r="FJ44" s="185">
        <v>1</v>
      </c>
      <c r="FK44" s="185">
        <v>2</v>
      </c>
      <c r="FL44" s="185">
        <v>2</v>
      </c>
      <c r="FM44" s="185">
        <v>2</v>
      </c>
      <c r="FN44" s="185">
        <v>1</v>
      </c>
      <c r="FO44" s="185" t="s">
        <v>176</v>
      </c>
      <c r="FP44" s="186" t="s">
        <v>160</v>
      </c>
      <c r="FQ44" s="186" t="s">
        <v>176</v>
      </c>
      <c r="FR44" s="186" t="s">
        <v>176</v>
      </c>
      <c r="FS44" s="186" t="s">
        <v>176</v>
      </c>
      <c r="FT44" s="185" t="s">
        <v>176</v>
      </c>
      <c r="FU44" s="185" t="s">
        <v>176</v>
      </c>
      <c r="FV44" s="186" t="s">
        <v>160</v>
      </c>
      <c r="FW44" s="186" t="s">
        <v>176</v>
      </c>
      <c r="FX44" s="186" t="s">
        <v>176</v>
      </c>
      <c r="FY44" s="186" t="s">
        <v>176</v>
      </c>
      <c r="FZ44" s="186" t="s">
        <v>176</v>
      </c>
      <c r="GA44" s="185" t="s">
        <v>176</v>
      </c>
      <c r="GB44" s="186" t="s">
        <v>176</v>
      </c>
      <c r="GC44" s="186" t="s">
        <v>176</v>
      </c>
      <c r="GD44" s="186" t="s">
        <v>176</v>
      </c>
      <c r="GE44" s="186" t="s">
        <v>176</v>
      </c>
      <c r="GF44" s="186" t="s">
        <v>176</v>
      </c>
      <c r="GG44" s="186" t="s">
        <v>176</v>
      </c>
      <c r="GH44" s="186" t="s">
        <v>176</v>
      </c>
      <c r="GI44" s="186" t="s">
        <v>176</v>
      </c>
      <c r="GJ44" s="263">
        <f t="shared" si="1"/>
        <v>99</v>
      </c>
    </row>
    <row r="45" spans="1:192" ht="25.5" customHeight="1" x14ac:dyDescent="0.25">
      <c r="A45" s="258" t="s">
        <v>161</v>
      </c>
      <c r="B45" s="277" t="s">
        <v>215</v>
      </c>
      <c r="C45" s="277" t="s">
        <v>657</v>
      </c>
      <c r="D45" s="185">
        <v>2</v>
      </c>
      <c r="E45" s="185">
        <v>2</v>
      </c>
      <c r="F45" s="185">
        <v>2</v>
      </c>
      <c r="G45" s="185">
        <v>2</v>
      </c>
      <c r="H45" s="185">
        <v>2</v>
      </c>
      <c r="I45" s="185">
        <v>1</v>
      </c>
      <c r="J45" s="185" t="s">
        <v>176</v>
      </c>
      <c r="K45" s="185" t="s">
        <v>176</v>
      </c>
      <c r="L45" s="185">
        <v>1</v>
      </c>
      <c r="M45" s="185">
        <v>1</v>
      </c>
      <c r="N45" s="185" t="s">
        <v>176</v>
      </c>
      <c r="O45" s="185" t="s">
        <v>176</v>
      </c>
      <c r="P45" s="185" t="s">
        <v>176</v>
      </c>
      <c r="Q45" s="185" t="s">
        <v>176</v>
      </c>
      <c r="R45" s="185" t="s">
        <v>176</v>
      </c>
      <c r="S45" s="185" t="s">
        <v>176</v>
      </c>
      <c r="T45" s="185" t="s">
        <v>176</v>
      </c>
      <c r="U45" s="185" t="s">
        <v>176</v>
      </c>
      <c r="V45" s="185" t="s">
        <v>176</v>
      </c>
      <c r="W45" s="185" t="s">
        <v>176</v>
      </c>
      <c r="X45" s="185" t="s">
        <v>176</v>
      </c>
      <c r="Y45" s="185">
        <v>2</v>
      </c>
      <c r="Z45" s="185">
        <v>2</v>
      </c>
      <c r="AA45" s="185">
        <v>2</v>
      </c>
      <c r="AB45" s="185" t="s">
        <v>176</v>
      </c>
      <c r="AC45" s="185" t="s">
        <v>176</v>
      </c>
      <c r="AD45" s="185">
        <v>2</v>
      </c>
      <c r="AE45" s="185">
        <v>2</v>
      </c>
      <c r="AF45" s="185" t="s">
        <v>176</v>
      </c>
      <c r="AG45" s="185" t="s">
        <v>176</v>
      </c>
      <c r="AH45" s="185" t="s">
        <v>176</v>
      </c>
      <c r="AI45" s="185">
        <v>2</v>
      </c>
      <c r="AJ45" s="185">
        <v>2</v>
      </c>
      <c r="AK45" s="185">
        <v>2</v>
      </c>
      <c r="AL45" s="185">
        <v>2</v>
      </c>
      <c r="AM45" s="185">
        <v>2</v>
      </c>
      <c r="AN45" s="185">
        <v>2</v>
      </c>
      <c r="AO45" s="185">
        <v>2</v>
      </c>
      <c r="AP45" s="185">
        <v>2</v>
      </c>
      <c r="AQ45" s="185">
        <v>2</v>
      </c>
      <c r="AR45" s="185">
        <v>2</v>
      </c>
      <c r="AS45" s="185">
        <v>2</v>
      </c>
      <c r="AT45" s="185">
        <v>2</v>
      </c>
      <c r="AU45" s="185">
        <v>2</v>
      </c>
      <c r="AV45" s="185">
        <v>1</v>
      </c>
      <c r="AW45" s="185">
        <v>1</v>
      </c>
      <c r="AX45" s="185" t="s">
        <v>176</v>
      </c>
      <c r="AY45" s="185">
        <v>2</v>
      </c>
      <c r="AZ45" s="185">
        <v>1</v>
      </c>
      <c r="BA45" s="185">
        <v>1</v>
      </c>
      <c r="BB45" s="185" t="s">
        <v>176</v>
      </c>
      <c r="BC45" s="185" t="s">
        <v>176</v>
      </c>
      <c r="BD45" s="185" t="s">
        <v>176</v>
      </c>
      <c r="BE45" s="185" t="s">
        <v>176</v>
      </c>
      <c r="BF45" s="185" t="s">
        <v>176</v>
      </c>
      <c r="BG45" s="185" t="s">
        <v>176</v>
      </c>
      <c r="BH45" s="185" t="s">
        <v>176</v>
      </c>
      <c r="BI45" s="185" t="s">
        <v>176</v>
      </c>
      <c r="BJ45" s="185" t="s">
        <v>176</v>
      </c>
      <c r="BK45" s="185">
        <v>1</v>
      </c>
      <c r="BL45" s="185" t="s">
        <v>176</v>
      </c>
      <c r="BM45" s="185">
        <v>1</v>
      </c>
      <c r="BN45" s="185">
        <v>1</v>
      </c>
      <c r="BO45" s="185">
        <v>1</v>
      </c>
      <c r="BP45" s="185">
        <v>1</v>
      </c>
      <c r="BQ45" s="185">
        <v>1</v>
      </c>
      <c r="BR45" s="185">
        <v>1</v>
      </c>
      <c r="BS45" s="185">
        <v>1</v>
      </c>
      <c r="BT45" s="185" t="s">
        <v>176</v>
      </c>
      <c r="BU45" s="185" t="s">
        <v>176</v>
      </c>
      <c r="BV45" s="185" t="s">
        <v>176</v>
      </c>
      <c r="BW45" s="185" t="s">
        <v>176</v>
      </c>
      <c r="BX45" s="185" t="s">
        <v>176</v>
      </c>
      <c r="BY45" s="185" t="s">
        <v>176</v>
      </c>
      <c r="BZ45" s="185" t="s">
        <v>176</v>
      </c>
      <c r="CA45" s="185" t="s">
        <v>176</v>
      </c>
      <c r="CB45" s="185" t="s">
        <v>176</v>
      </c>
      <c r="CC45" s="185" t="s">
        <v>176</v>
      </c>
      <c r="CD45" s="185" t="s">
        <v>176</v>
      </c>
      <c r="CE45" s="185">
        <v>1</v>
      </c>
      <c r="CF45" s="185" t="s">
        <v>176</v>
      </c>
      <c r="CG45" s="185">
        <v>2</v>
      </c>
      <c r="CH45" s="185">
        <v>2</v>
      </c>
      <c r="CI45" s="185">
        <v>1</v>
      </c>
      <c r="CJ45" s="185">
        <v>2</v>
      </c>
      <c r="CK45" s="185">
        <v>2</v>
      </c>
      <c r="CL45" s="185">
        <v>2</v>
      </c>
      <c r="CM45" s="185">
        <v>2</v>
      </c>
      <c r="CN45" s="185">
        <v>3</v>
      </c>
      <c r="CO45" s="185">
        <v>1</v>
      </c>
      <c r="CP45" s="185">
        <v>1</v>
      </c>
      <c r="CQ45" s="185">
        <v>1</v>
      </c>
      <c r="CR45" s="185" t="s">
        <v>176</v>
      </c>
      <c r="CS45" s="185">
        <v>2</v>
      </c>
      <c r="CT45" s="185">
        <v>1</v>
      </c>
      <c r="CU45" s="185">
        <v>1</v>
      </c>
      <c r="CV45" s="185">
        <v>1</v>
      </c>
      <c r="CW45" s="185" t="s">
        <v>176</v>
      </c>
      <c r="CX45" s="185" t="s">
        <v>176</v>
      </c>
      <c r="CY45" s="185" t="s">
        <v>176</v>
      </c>
      <c r="CZ45" s="185" t="s">
        <v>176</v>
      </c>
      <c r="DA45" s="185" t="s">
        <v>176</v>
      </c>
      <c r="DB45" s="185" t="s">
        <v>176</v>
      </c>
      <c r="DC45" s="185" t="s">
        <v>176</v>
      </c>
      <c r="DD45" s="185">
        <v>1</v>
      </c>
      <c r="DE45" s="185" t="s">
        <v>176</v>
      </c>
      <c r="DF45" s="185" t="s">
        <v>176</v>
      </c>
      <c r="DG45" s="185" t="s">
        <v>176</v>
      </c>
      <c r="DH45" s="185" t="s">
        <v>176</v>
      </c>
      <c r="DI45" s="185" t="s">
        <v>176</v>
      </c>
      <c r="DJ45" s="185" t="s">
        <v>176</v>
      </c>
      <c r="DK45" s="185" t="s">
        <v>176</v>
      </c>
      <c r="DL45" s="185" t="s">
        <v>176</v>
      </c>
      <c r="DM45" s="185" t="s">
        <v>176</v>
      </c>
      <c r="DN45" s="185" t="s">
        <v>176</v>
      </c>
      <c r="DO45" s="185" t="s">
        <v>176</v>
      </c>
      <c r="DP45" s="185" t="s">
        <v>176</v>
      </c>
      <c r="DQ45" s="185" t="s">
        <v>176</v>
      </c>
      <c r="DR45" s="185" t="s">
        <v>176</v>
      </c>
      <c r="DS45" s="185">
        <v>1</v>
      </c>
      <c r="DT45" s="185" t="s">
        <v>176</v>
      </c>
      <c r="DU45" s="185" t="s">
        <v>176</v>
      </c>
      <c r="DV45" s="185" t="s">
        <v>176</v>
      </c>
      <c r="DW45" s="185" t="s">
        <v>176</v>
      </c>
      <c r="DX45" s="185" t="s">
        <v>176</v>
      </c>
      <c r="DY45" s="185" t="s">
        <v>176</v>
      </c>
      <c r="DZ45" s="185" t="s">
        <v>176</v>
      </c>
      <c r="EA45" s="185" t="s">
        <v>176</v>
      </c>
      <c r="EB45" s="185" t="s">
        <v>176</v>
      </c>
      <c r="EC45" s="185" t="s">
        <v>176</v>
      </c>
      <c r="ED45" s="185">
        <v>1</v>
      </c>
      <c r="EE45" s="185" t="s">
        <v>176</v>
      </c>
      <c r="EF45" s="185" t="s">
        <v>176</v>
      </c>
      <c r="EG45" s="185" t="s">
        <v>176</v>
      </c>
      <c r="EH45" s="185" t="s">
        <v>176</v>
      </c>
      <c r="EI45" s="185" t="s">
        <v>176</v>
      </c>
      <c r="EJ45" s="185" t="s">
        <v>176</v>
      </c>
      <c r="EK45" s="185" t="s">
        <v>176</v>
      </c>
      <c r="EL45" s="185" t="s">
        <v>176</v>
      </c>
      <c r="EM45" s="185">
        <v>2</v>
      </c>
      <c r="EN45" s="185">
        <v>1</v>
      </c>
      <c r="EO45" s="185" t="s">
        <v>176</v>
      </c>
      <c r="EP45" s="185" t="s">
        <v>176</v>
      </c>
      <c r="EQ45" s="185" t="s">
        <v>176</v>
      </c>
      <c r="ER45" s="185" t="s">
        <v>176</v>
      </c>
      <c r="ES45" s="185" t="s">
        <v>176</v>
      </c>
      <c r="ET45" s="185" t="s">
        <v>176</v>
      </c>
      <c r="EU45" s="406" t="s">
        <v>176</v>
      </c>
      <c r="EV45" s="185" t="s">
        <v>176</v>
      </c>
      <c r="EW45" s="185">
        <v>2</v>
      </c>
      <c r="EX45" s="185">
        <v>2</v>
      </c>
      <c r="EY45" s="185">
        <v>2</v>
      </c>
      <c r="EZ45" s="185">
        <v>2</v>
      </c>
      <c r="FA45" s="185" t="s">
        <v>176</v>
      </c>
      <c r="FB45" s="185">
        <v>3</v>
      </c>
      <c r="FC45" s="185">
        <v>2</v>
      </c>
      <c r="FD45" s="185">
        <v>2</v>
      </c>
      <c r="FE45" s="185">
        <v>2</v>
      </c>
      <c r="FF45" s="185">
        <v>2</v>
      </c>
      <c r="FG45" s="185">
        <v>2</v>
      </c>
      <c r="FH45" s="185">
        <v>2</v>
      </c>
      <c r="FI45" s="185">
        <v>2</v>
      </c>
      <c r="FJ45" s="185">
        <v>2</v>
      </c>
      <c r="FK45" s="185">
        <v>2</v>
      </c>
      <c r="FL45" s="185">
        <v>2</v>
      </c>
      <c r="FM45" s="185">
        <v>2</v>
      </c>
      <c r="FN45" s="185">
        <v>2</v>
      </c>
      <c r="FO45" s="185" t="s">
        <v>176</v>
      </c>
      <c r="FP45" s="185" t="s">
        <v>387</v>
      </c>
      <c r="FQ45" s="185" t="s">
        <v>176</v>
      </c>
      <c r="FR45" s="185" t="s">
        <v>176</v>
      </c>
      <c r="FS45" s="185" t="s">
        <v>176</v>
      </c>
      <c r="FT45" s="185" t="s">
        <v>176</v>
      </c>
      <c r="FU45" s="185" t="s">
        <v>176</v>
      </c>
      <c r="FV45" s="185" t="s">
        <v>176</v>
      </c>
      <c r="FW45" s="185" t="s">
        <v>176</v>
      </c>
      <c r="FX45" s="185" t="s">
        <v>176</v>
      </c>
      <c r="FY45" s="185" t="s">
        <v>160</v>
      </c>
      <c r="FZ45" s="185" t="s">
        <v>176</v>
      </c>
      <c r="GA45" s="185" t="s">
        <v>176</v>
      </c>
      <c r="GB45" s="185" t="s">
        <v>176</v>
      </c>
      <c r="GC45" s="185" t="s">
        <v>176</v>
      </c>
      <c r="GD45" s="185" t="s">
        <v>176</v>
      </c>
      <c r="GE45" s="185" t="s">
        <v>176</v>
      </c>
      <c r="GF45" s="185" t="s">
        <v>176</v>
      </c>
      <c r="GG45" s="185" t="s">
        <v>176</v>
      </c>
      <c r="GH45" s="185" t="s">
        <v>176</v>
      </c>
      <c r="GI45" s="188" t="s">
        <v>176</v>
      </c>
      <c r="GJ45" s="263">
        <f t="shared" si="1"/>
        <v>129</v>
      </c>
    </row>
    <row r="46" spans="1:192" ht="25.5" customHeight="1" x14ac:dyDescent="0.25">
      <c r="A46" s="272" t="s">
        <v>161</v>
      </c>
      <c r="B46" s="273" t="s">
        <v>607</v>
      </c>
      <c r="C46" s="273" t="s">
        <v>657</v>
      </c>
      <c r="D46" s="189">
        <v>2</v>
      </c>
      <c r="E46" s="185">
        <v>2</v>
      </c>
      <c r="F46" s="185">
        <v>2</v>
      </c>
      <c r="G46" s="185">
        <v>2</v>
      </c>
      <c r="H46" s="185">
        <v>2</v>
      </c>
      <c r="I46" s="189">
        <v>1</v>
      </c>
      <c r="J46" s="189" t="s">
        <v>176</v>
      </c>
      <c r="K46" s="189" t="s">
        <v>176</v>
      </c>
      <c r="L46" s="189">
        <v>1</v>
      </c>
      <c r="M46" s="189">
        <v>1</v>
      </c>
      <c r="N46" s="189" t="s">
        <v>176</v>
      </c>
      <c r="O46" s="189" t="s">
        <v>176</v>
      </c>
      <c r="P46" s="189" t="s">
        <v>176</v>
      </c>
      <c r="Q46" s="189" t="s">
        <v>176</v>
      </c>
      <c r="R46" s="189" t="s">
        <v>176</v>
      </c>
      <c r="S46" s="189" t="s">
        <v>176</v>
      </c>
      <c r="T46" s="189" t="s">
        <v>176</v>
      </c>
      <c r="U46" s="189" t="s">
        <v>176</v>
      </c>
      <c r="V46" s="189" t="s">
        <v>176</v>
      </c>
      <c r="W46" s="189" t="s">
        <v>176</v>
      </c>
      <c r="X46" s="189" t="s">
        <v>176</v>
      </c>
      <c r="Y46" s="189">
        <v>2</v>
      </c>
      <c r="Z46" s="189">
        <v>2</v>
      </c>
      <c r="AA46" s="189">
        <v>2</v>
      </c>
      <c r="AB46" s="189">
        <v>1</v>
      </c>
      <c r="AC46" s="189">
        <v>1</v>
      </c>
      <c r="AD46" s="189">
        <v>2</v>
      </c>
      <c r="AE46" s="189">
        <v>2</v>
      </c>
      <c r="AF46" s="189" t="s">
        <v>176</v>
      </c>
      <c r="AG46" s="189" t="s">
        <v>176</v>
      </c>
      <c r="AH46" s="189" t="s">
        <v>176</v>
      </c>
      <c r="AI46" s="189">
        <v>2</v>
      </c>
      <c r="AJ46" s="189">
        <v>3</v>
      </c>
      <c r="AK46" s="189">
        <v>3</v>
      </c>
      <c r="AL46" s="189">
        <v>3</v>
      </c>
      <c r="AM46" s="189">
        <v>3</v>
      </c>
      <c r="AN46" s="189">
        <v>3</v>
      </c>
      <c r="AO46" s="189">
        <v>2</v>
      </c>
      <c r="AP46" s="189">
        <v>2</v>
      </c>
      <c r="AQ46" s="189">
        <v>2</v>
      </c>
      <c r="AR46" s="189">
        <v>2</v>
      </c>
      <c r="AS46" s="189">
        <v>3</v>
      </c>
      <c r="AT46" s="189">
        <v>3</v>
      </c>
      <c r="AU46" s="189">
        <v>3</v>
      </c>
      <c r="AV46" s="189">
        <v>1</v>
      </c>
      <c r="AW46" s="189">
        <v>1</v>
      </c>
      <c r="AX46" s="189" t="s">
        <v>176</v>
      </c>
      <c r="AY46" s="189">
        <v>2</v>
      </c>
      <c r="AZ46" s="189">
        <v>1</v>
      </c>
      <c r="BA46" s="189">
        <v>1</v>
      </c>
      <c r="BB46" s="189" t="s">
        <v>176</v>
      </c>
      <c r="BC46" s="189" t="s">
        <v>176</v>
      </c>
      <c r="BD46" s="189"/>
      <c r="BE46" s="189" t="s">
        <v>176</v>
      </c>
      <c r="BF46" s="189" t="s">
        <v>176</v>
      </c>
      <c r="BG46" s="189" t="s">
        <v>176</v>
      </c>
      <c r="BH46" s="189" t="s">
        <v>176</v>
      </c>
      <c r="BI46" s="189" t="s">
        <v>176</v>
      </c>
      <c r="BJ46" s="189" t="s">
        <v>176</v>
      </c>
      <c r="BK46" s="185">
        <v>1</v>
      </c>
      <c r="BL46" s="189" t="s">
        <v>176</v>
      </c>
      <c r="BM46" s="189">
        <v>1</v>
      </c>
      <c r="BN46" s="189">
        <v>1</v>
      </c>
      <c r="BO46" s="189">
        <v>1</v>
      </c>
      <c r="BP46" s="189">
        <v>1</v>
      </c>
      <c r="BQ46" s="189">
        <v>1</v>
      </c>
      <c r="BR46" s="189">
        <v>1</v>
      </c>
      <c r="BS46" s="189">
        <v>1</v>
      </c>
      <c r="BT46" s="189" t="s">
        <v>176</v>
      </c>
      <c r="BU46" s="189" t="s">
        <v>176</v>
      </c>
      <c r="BV46" s="189" t="s">
        <v>176</v>
      </c>
      <c r="BW46" s="189" t="s">
        <v>176</v>
      </c>
      <c r="BX46" s="189" t="s">
        <v>176</v>
      </c>
      <c r="BY46" s="189" t="s">
        <v>176</v>
      </c>
      <c r="BZ46" s="189" t="s">
        <v>176</v>
      </c>
      <c r="CA46" s="189" t="s">
        <v>176</v>
      </c>
      <c r="CB46" s="189" t="s">
        <v>176</v>
      </c>
      <c r="CC46" s="189" t="s">
        <v>176</v>
      </c>
      <c r="CD46" s="189" t="s">
        <v>176</v>
      </c>
      <c r="CE46" s="185">
        <v>1</v>
      </c>
      <c r="CF46" s="189" t="s">
        <v>176</v>
      </c>
      <c r="CG46" s="185">
        <v>2</v>
      </c>
      <c r="CH46" s="185">
        <v>2</v>
      </c>
      <c r="CI46" s="189">
        <v>1</v>
      </c>
      <c r="CJ46" s="189">
        <v>2</v>
      </c>
      <c r="CK46" s="189">
        <v>2</v>
      </c>
      <c r="CL46" s="189">
        <v>2</v>
      </c>
      <c r="CM46" s="189">
        <v>2</v>
      </c>
      <c r="CN46" s="189">
        <v>3</v>
      </c>
      <c r="CO46" s="189">
        <v>2</v>
      </c>
      <c r="CP46" s="189">
        <v>1</v>
      </c>
      <c r="CQ46" s="189">
        <v>1</v>
      </c>
      <c r="CR46" s="189" t="s">
        <v>176</v>
      </c>
      <c r="CS46" s="189">
        <v>2</v>
      </c>
      <c r="CT46" s="189">
        <v>1</v>
      </c>
      <c r="CU46" s="189">
        <v>1</v>
      </c>
      <c r="CV46" s="185">
        <v>1</v>
      </c>
      <c r="CW46" s="189" t="s">
        <v>176</v>
      </c>
      <c r="CX46" s="189" t="s">
        <v>176</v>
      </c>
      <c r="CY46" s="189" t="s">
        <v>176</v>
      </c>
      <c r="CZ46" s="185" t="s">
        <v>176</v>
      </c>
      <c r="DA46" s="189" t="s">
        <v>176</v>
      </c>
      <c r="DB46" s="189" t="s">
        <v>176</v>
      </c>
      <c r="DC46" s="189" t="s">
        <v>176</v>
      </c>
      <c r="DD46" s="185">
        <v>1</v>
      </c>
      <c r="DE46" s="189" t="s">
        <v>176</v>
      </c>
      <c r="DF46" s="189" t="s">
        <v>176</v>
      </c>
      <c r="DG46" s="189" t="s">
        <v>176</v>
      </c>
      <c r="DH46" s="189" t="s">
        <v>176</v>
      </c>
      <c r="DI46" s="189" t="s">
        <v>176</v>
      </c>
      <c r="DJ46" s="189" t="s">
        <v>176</v>
      </c>
      <c r="DK46" s="189" t="s">
        <v>176</v>
      </c>
      <c r="DL46" s="189" t="s">
        <v>176</v>
      </c>
      <c r="DM46" s="189" t="s">
        <v>176</v>
      </c>
      <c r="DN46" s="189" t="s">
        <v>176</v>
      </c>
      <c r="DO46" s="189" t="s">
        <v>176</v>
      </c>
      <c r="DP46" s="189" t="s">
        <v>176</v>
      </c>
      <c r="DQ46" s="189" t="s">
        <v>176</v>
      </c>
      <c r="DR46" s="189" t="s">
        <v>176</v>
      </c>
      <c r="DS46" s="189">
        <v>1</v>
      </c>
      <c r="DT46" s="189" t="s">
        <v>176</v>
      </c>
      <c r="DU46" s="189" t="s">
        <v>176</v>
      </c>
      <c r="DV46" s="189" t="s">
        <v>176</v>
      </c>
      <c r="DW46" s="189" t="s">
        <v>176</v>
      </c>
      <c r="DX46" s="189" t="s">
        <v>176</v>
      </c>
      <c r="DY46" s="189" t="s">
        <v>176</v>
      </c>
      <c r="DZ46" s="189" t="s">
        <v>176</v>
      </c>
      <c r="EA46" s="189" t="s">
        <v>176</v>
      </c>
      <c r="EB46" s="189" t="s">
        <v>176</v>
      </c>
      <c r="EC46" s="189" t="s">
        <v>176</v>
      </c>
      <c r="ED46" s="189">
        <v>1</v>
      </c>
      <c r="EE46" s="189" t="s">
        <v>176</v>
      </c>
      <c r="EF46" s="189" t="s">
        <v>176</v>
      </c>
      <c r="EG46" s="189" t="s">
        <v>176</v>
      </c>
      <c r="EH46" s="189" t="s">
        <v>176</v>
      </c>
      <c r="EI46" s="189" t="s">
        <v>176</v>
      </c>
      <c r="EJ46" s="189" t="s">
        <v>176</v>
      </c>
      <c r="EK46" s="189" t="s">
        <v>176</v>
      </c>
      <c r="EL46" s="189" t="s">
        <v>176</v>
      </c>
      <c r="EM46" s="185">
        <v>2</v>
      </c>
      <c r="EN46" s="189">
        <v>1</v>
      </c>
      <c r="EO46" s="185" t="s">
        <v>176</v>
      </c>
      <c r="EP46" s="189" t="s">
        <v>176</v>
      </c>
      <c r="EQ46" s="189" t="s">
        <v>176</v>
      </c>
      <c r="ER46" s="189" t="s">
        <v>176</v>
      </c>
      <c r="ES46" s="189" t="s">
        <v>176</v>
      </c>
      <c r="ET46" s="189" t="s">
        <v>176</v>
      </c>
      <c r="EU46" s="406" t="s">
        <v>176</v>
      </c>
      <c r="EV46" s="189" t="s">
        <v>176</v>
      </c>
      <c r="EW46" s="189">
        <v>2</v>
      </c>
      <c r="EX46" s="189">
        <v>2</v>
      </c>
      <c r="EY46" s="189">
        <v>2</v>
      </c>
      <c r="EZ46" s="189">
        <v>2</v>
      </c>
      <c r="FA46" s="189" t="s">
        <v>176</v>
      </c>
      <c r="FB46" s="185">
        <v>3</v>
      </c>
      <c r="FC46" s="189">
        <v>3</v>
      </c>
      <c r="FD46" s="189">
        <v>3</v>
      </c>
      <c r="FE46" s="189">
        <v>2</v>
      </c>
      <c r="FF46" s="189">
        <v>3</v>
      </c>
      <c r="FG46" s="189">
        <v>3</v>
      </c>
      <c r="FH46" s="189">
        <v>2</v>
      </c>
      <c r="FI46" s="189">
        <v>3</v>
      </c>
      <c r="FJ46" s="189">
        <v>3</v>
      </c>
      <c r="FK46" s="189">
        <v>3</v>
      </c>
      <c r="FL46" s="189">
        <v>3</v>
      </c>
      <c r="FM46" s="189">
        <v>3</v>
      </c>
      <c r="FN46" s="189">
        <v>3</v>
      </c>
      <c r="FO46" s="189" t="s">
        <v>176</v>
      </c>
      <c r="FP46" s="189" t="s">
        <v>176</v>
      </c>
      <c r="FQ46" s="189" t="s">
        <v>387</v>
      </c>
      <c r="FR46" s="189" t="s">
        <v>176</v>
      </c>
      <c r="FS46" s="189" t="s">
        <v>176</v>
      </c>
      <c r="FT46" s="189" t="s">
        <v>176</v>
      </c>
      <c r="FU46" s="189" t="s">
        <v>176</v>
      </c>
      <c r="FV46" s="189" t="s">
        <v>176</v>
      </c>
      <c r="FW46" s="189" t="s">
        <v>176</v>
      </c>
      <c r="FX46" s="189" t="s">
        <v>176</v>
      </c>
      <c r="FY46" s="189" t="s">
        <v>160</v>
      </c>
      <c r="FZ46" s="189" t="s">
        <v>176</v>
      </c>
      <c r="GA46" s="185" t="s">
        <v>176</v>
      </c>
      <c r="GB46" s="189" t="s">
        <v>176</v>
      </c>
      <c r="GC46" s="189" t="s">
        <v>176</v>
      </c>
      <c r="GD46" s="189" t="s">
        <v>176</v>
      </c>
      <c r="GE46" s="189" t="s">
        <v>176</v>
      </c>
      <c r="GF46" s="189" t="s">
        <v>176</v>
      </c>
      <c r="GG46" s="189" t="s">
        <v>176</v>
      </c>
      <c r="GH46" s="189" t="s">
        <v>176</v>
      </c>
      <c r="GI46" s="196" t="s">
        <v>176</v>
      </c>
      <c r="GJ46" s="275">
        <f t="shared" si="1"/>
        <v>150</v>
      </c>
    </row>
    <row r="47" spans="1:192" ht="25.5" customHeight="1" x14ac:dyDescent="0.25">
      <c r="A47" s="272" t="s">
        <v>161</v>
      </c>
      <c r="B47" s="274" t="s">
        <v>212</v>
      </c>
      <c r="C47" s="274" t="s">
        <v>657</v>
      </c>
      <c r="D47" s="185">
        <v>2</v>
      </c>
      <c r="E47" s="185">
        <v>2</v>
      </c>
      <c r="F47" s="185">
        <v>2</v>
      </c>
      <c r="G47" s="185">
        <v>2</v>
      </c>
      <c r="H47" s="185">
        <v>2</v>
      </c>
      <c r="I47" s="185">
        <v>1</v>
      </c>
      <c r="J47" s="185" t="s">
        <v>176</v>
      </c>
      <c r="K47" s="185" t="s">
        <v>176</v>
      </c>
      <c r="L47" s="185">
        <v>1</v>
      </c>
      <c r="M47" s="185">
        <v>1</v>
      </c>
      <c r="N47" s="185" t="s">
        <v>176</v>
      </c>
      <c r="O47" s="185" t="s">
        <v>176</v>
      </c>
      <c r="P47" s="185" t="s">
        <v>176</v>
      </c>
      <c r="Q47" s="185" t="s">
        <v>176</v>
      </c>
      <c r="R47" s="185" t="s">
        <v>176</v>
      </c>
      <c r="S47" s="185" t="s">
        <v>176</v>
      </c>
      <c r="T47" s="185" t="s">
        <v>176</v>
      </c>
      <c r="U47" s="185" t="s">
        <v>176</v>
      </c>
      <c r="V47" s="185" t="s">
        <v>176</v>
      </c>
      <c r="W47" s="185" t="s">
        <v>176</v>
      </c>
      <c r="X47" s="185" t="s">
        <v>176</v>
      </c>
      <c r="Y47" s="185">
        <v>1</v>
      </c>
      <c r="Z47" s="185">
        <v>1</v>
      </c>
      <c r="AA47" s="185">
        <v>1</v>
      </c>
      <c r="AB47" s="185" t="s">
        <v>176</v>
      </c>
      <c r="AC47" s="185" t="s">
        <v>176</v>
      </c>
      <c r="AD47" s="185">
        <v>1</v>
      </c>
      <c r="AE47" s="185">
        <v>1</v>
      </c>
      <c r="AF47" s="185" t="s">
        <v>176</v>
      </c>
      <c r="AG47" s="185" t="s">
        <v>176</v>
      </c>
      <c r="AH47" s="185" t="s">
        <v>176</v>
      </c>
      <c r="AI47" s="185">
        <v>2</v>
      </c>
      <c r="AJ47" s="185">
        <v>1</v>
      </c>
      <c r="AK47" s="185">
        <v>1</v>
      </c>
      <c r="AL47" s="185">
        <v>1</v>
      </c>
      <c r="AM47" s="185">
        <v>1</v>
      </c>
      <c r="AN47" s="185">
        <v>1</v>
      </c>
      <c r="AO47" s="185">
        <v>1</v>
      </c>
      <c r="AP47" s="185">
        <v>2</v>
      </c>
      <c r="AQ47" s="185">
        <v>1</v>
      </c>
      <c r="AR47" s="185">
        <v>2</v>
      </c>
      <c r="AS47" s="185">
        <v>2</v>
      </c>
      <c r="AT47" s="185">
        <v>2</v>
      </c>
      <c r="AU47" s="185">
        <v>1</v>
      </c>
      <c r="AV47" s="185">
        <v>1</v>
      </c>
      <c r="AW47" s="189">
        <v>1</v>
      </c>
      <c r="AX47" s="189" t="s">
        <v>176</v>
      </c>
      <c r="AY47" s="189">
        <v>2</v>
      </c>
      <c r="AZ47" s="189">
        <v>1</v>
      </c>
      <c r="BA47" s="189">
        <v>1</v>
      </c>
      <c r="BB47" s="185" t="s">
        <v>176</v>
      </c>
      <c r="BC47" s="185" t="s">
        <v>176</v>
      </c>
      <c r="BD47" s="185" t="s">
        <v>176</v>
      </c>
      <c r="BE47" s="185" t="s">
        <v>176</v>
      </c>
      <c r="BF47" s="185" t="s">
        <v>176</v>
      </c>
      <c r="BG47" s="185" t="s">
        <v>176</v>
      </c>
      <c r="BH47" s="185" t="s">
        <v>176</v>
      </c>
      <c r="BI47" s="185" t="s">
        <v>176</v>
      </c>
      <c r="BJ47" s="185" t="s">
        <v>176</v>
      </c>
      <c r="BK47" s="185">
        <v>1</v>
      </c>
      <c r="BL47" s="185" t="s">
        <v>176</v>
      </c>
      <c r="BM47" s="185">
        <v>1</v>
      </c>
      <c r="BN47" s="185">
        <v>1</v>
      </c>
      <c r="BO47" s="185">
        <v>1</v>
      </c>
      <c r="BP47" s="185">
        <v>1</v>
      </c>
      <c r="BQ47" s="185">
        <v>1</v>
      </c>
      <c r="BR47" s="185">
        <v>1</v>
      </c>
      <c r="BS47" s="189">
        <v>1</v>
      </c>
      <c r="BT47" s="185" t="s">
        <v>176</v>
      </c>
      <c r="BU47" s="185" t="s">
        <v>176</v>
      </c>
      <c r="BV47" s="185" t="s">
        <v>176</v>
      </c>
      <c r="BW47" s="185" t="s">
        <v>176</v>
      </c>
      <c r="BX47" s="185" t="s">
        <v>176</v>
      </c>
      <c r="BY47" s="185" t="s">
        <v>176</v>
      </c>
      <c r="BZ47" s="185" t="s">
        <v>176</v>
      </c>
      <c r="CA47" s="185" t="s">
        <v>176</v>
      </c>
      <c r="CB47" s="185" t="s">
        <v>176</v>
      </c>
      <c r="CC47" s="185" t="s">
        <v>176</v>
      </c>
      <c r="CD47" s="185" t="s">
        <v>176</v>
      </c>
      <c r="CE47" s="185">
        <v>1</v>
      </c>
      <c r="CF47" s="185" t="s">
        <v>176</v>
      </c>
      <c r="CG47" s="185">
        <v>2</v>
      </c>
      <c r="CH47" s="185">
        <v>1</v>
      </c>
      <c r="CI47" s="185" t="s">
        <v>176</v>
      </c>
      <c r="CJ47" s="189" t="s">
        <v>176</v>
      </c>
      <c r="CK47" s="189">
        <v>2</v>
      </c>
      <c r="CL47" s="189">
        <v>2</v>
      </c>
      <c r="CM47" s="189">
        <v>2</v>
      </c>
      <c r="CN47" s="189">
        <v>2</v>
      </c>
      <c r="CO47" s="189">
        <v>1</v>
      </c>
      <c r="CP47" s="185" t="s">
        <v>176</v>
      </c>
      <c r="CQ47" s="185" t="s">
        <v>176</v>
      </c>
      <c r="CR47" s="185" t="s">
        <v>176</v>
      </c>
      <c r="CS47" s="189">
        <v>1</v>
      </c>
      <c r="CT47" s="189">
        <v>1</v>
      </c>
      <c r="CU47" s="189">
        <v>1</v>
      </c>
      <c r="CV47" s="185">
        <v>1</v>
      </c>
      <c r="CW47" s="185" t="s">
        <v>176</v>
      </c>
      <c r="CX47" s="185" t="s">
        <v>176</v>
      </c>
      <c r="CY47" s="185" t="s">
        <v>176</v>
      </c>
      <c r="CZ47" s="185" t="s">
        <v>176</v>
      </c>
      <c r="DA47" s="189" t="s">
        <v>176</v>
      </c>
      <c r="DB47" s="189" t="s">
        <v>176</v>
      </c>
      <c r="DC47" s="189" t="s">
        <v>176</v>
      </c>
      <c r="DD47" s="189">
        <v>1</v>
      </c>
      <c r="DE47" s="189" t="s">
        <v>176</v>
      </c>
      <c r="DF47" s="189" t="s">
        <v>176</v>
      </c>
      <c r="DG47" s="189" t="s">
        <v>176</v>
      </c>
      <c r="DH47" s="189" t="s">
        <v>176</v>
      </c>
      <c r="DI47" s="189" t="s">
        <v>176</v>
      </c>
      <c r="DJ47" s="189" t="s">
        <v>176</v>
      </c>
      <c r="DK47" s="189" t="s">
        <v>176</v>
      </c>
      <c r="DL47" s="189" t="s">
        <v>176</v>
      </c>
      <c r="DM47" s="189" t="s">
        <v>176</v>
      </c>
      <c r="DN47" s="189" t="s">
        <v>176</v>
      </c>
      <c r="DO47" s="189" t="s">
        <v>176</v>
      </c>
      <c r="DP47" s="189" t="s">
        <v>176</v>
      </c>
      <c r="DQ47" s="189" t="s">
        <v>176</v>
      </c>
      <c r="DR47" s="189" t="s">
        <v>176</v>
      </c>
      <c r="DS47" s="185" t="s">
        <v>176</v>
      </c>
      <c r="DT47" s="185" t="s">
        <v>176</v>
      </c>
      <c r="DU47" s="185" t="s">
        <v>176</v>
      </c>
      <c r="DV47" s="185" t="s">
        <v>176</v>
      </c>
      <c r="DW47" s="185" t="s">
        <v>176</v>
      </c>
      <c r="DX47" s="185" t="s">
        <v>176</v>
      </c>
      <c r="DY47" s="185" t="s">
        <v>176</v>
      </c>
      <c r="DZ47" s="185" t="s">
        <v>176</v>
      </c>
      <c r="EA47" s="185" t="s">
        <v>176</v>
      </c>
      <c r="EB47" s="185" t="s">
        <v>176</v>
      </c>
      <c r="EC47" s="185" t="s">
        <v>176</v>
      </c>
      <c r="ED47" s="189">
        <v>1</v>
      </c>
      <c r="EE47" s="185" t="s">
        <v>176</v>
      </c>
      <c r="EF47" s="185" t="s">
        <v>176</v>
      </c>
      <c r="EG47" s="185" t="s">
        <v>176</v>
      </c>
      <c r="EH47" s="185" t="s">
        <v>176</v>
      </c>
      <c r="EI47" s="185" t="s">
        <v>176</v>
      </c>
      <c r="EJ47" s="185" t="s">
        <v>176</v>
      </c>
      <c r="EK47" s="185" t="s">
        <v>176</v>
      </c>
      <c r="EL47" s="185" t="s">
        <v>176</v>
      </c>
      <c r="EM47" s="189">
        <v>2</v>
      </c>
      <c r="EN47" s="189">
        <v>1</v>
      </c>
      <c r="EO47" s="185" t="s">
        <v>176</v>
      </c>
      <c r="EP47" s="185" t="s">
        <v>176</v>
      </c>
      <c r="EQ47" s="185" t="s">
        <v>176</v>
      </c>
      <c r="ER47" s="185" t="s">
        <v>176</v>
      </c>
      <c r="ES47" s="185" t="s">
        <v>176</v>
      </c>
      <c r="ET47" s="185" t="s">
        <v>176</v>
      </c>
      <c r="EU47" s="406" t="s">
        <v>176</v>
      </c>
      <c r="EV47" s="185" t="s">
        <v>176</v>
      </c>
      <c r="EW47" s="185">
        <v>2</v>
      </c>
      <c r="EX47" s="185">
        <v>2</v>
      </c>
      <c r="EY47" s="185">
        <v>2</v>
      </c>
      <c r="EZ47" s="189">
        <v>1</v>
      </c>
      <c r="FA47" s="189" t="s">
        <v>176</v>
      </c>
      <c r="FB47" s="185">
        <v>2</v>
      </c>
      <c r="FC47" s="185">
        <v>2</v>
      </c>
      <c r="FD47" s="185">
        <v>1</v>
      </c>
      <c r="FE47" s="185">
        <v>1</v>
      </c>
      <c r="FF47" s="185">
        <v>2</v>
      </c>
      <c r="FG47" s="185">
        <v>2</v>
      </c>
      <c r="FH47" s="185">
        <v>1</v>
      </c>
      <c r="FI47" s="185">
        <v>2</v>
      </c>
      <c r="FJ47" s="185">
        <v>1</v>
      </c>
      <c r="FK47" s="185">
        <v>1</v>
      </c>
      <c r="FL47" s="185">
        <v>2</v>
      </c>
      <c r="FM47" s="185">
        <v>2</v>
      </c>
      <c r="FN47" s="185">
        <v>2</v>
      </c>
      <c r="FO47" s="185" t="s">
        <v>387</v>
      </c>
      <c r="FP47" s="185" t="s">
        <v>176</v>
      </c>
      <c r="FQ47" s="185" t="s">
        <v>176</v>
      </c>
      <c r="FR47" s="185" t="s">
        <v>176</v>
      </c>
      <c r="FS47" s="185" t="s">
        <v>176</v>
      </c>
      <c r="FT47" s="185" t="s">
        <v>176</v>
      </c>
      <c r="FU47" s="185" t="s">
        <v>176</v>
      </c>
      <c r="FV47" s="185" t="s">
        <v>160</v>
      </c>
      <c r="FW47" s="185" t="s">
        <v>176</v>
      </c>
      <c r="FX47" s="185" t="s">
        <v>176</v>
      </c>
      <c r="FY47" s="185" t="s">
        <v>176</v>
      </c>
      <c r="FZ47" s="185" t="s">
        <v>176</v>
      </c>
      <c r="GA47" s="185" t="s">
        <v>176</v>
      </c>
      <c r="GB47" s="185" t="s">
        <v>176</v>
      </c>
      <c r="GC47" s="185" t="s">
        <v>176</v>
      </c>
      <c r="GD47" s="185" t="s">
        <v>176</v>
      </c>
      <c r="GE47" s="185" t="s">
        <v>176</v>
      </c>
      <c r="GF47" s="185" t="s">
        <v>176</v>
      </c>
      <c r="GG47" s="185" t="s">
        <v>176</v>
      </c>
      <c r="GH47" s="185" t="s">
        <v>176</v>
      </c>
      <c r="GI47" s="188" t="s">
        <v>176</v>
      </c>
      <c r="GJ47" s="275">
        <f t="shared" si="1"/>
        <v>100</v>
      </c>
    </row>
    <row r="48" spans="1:192" ht="22.5" customHeight="1" x14ac:dyDescent="0.25">
      <c r="A48" s="258" t="s">
        <v>183</v>
      </c>
      <c r="B48" s="282" t="s">
        <v>218</v>
      </c>
      <c r="C48" s="282" t="s">
        <v>230</v>
      </c>
      <c r="D48" s="185">
        <v>1</v>
      </c>
      <c r="E48" s="185">
        <v>1</v>
      </c>
      <c r="F48" s="185">
        <v>1</v>
      </c>
      <c r="G48" s="185">
        <v>1</v>
      </c>
      <c r="H48" s="185">
        <v>1</v>
      </c>
      <c r="I48" s="185">
        <v>1</v>
      </c>
      <c r="J48" s="185" t="s">
        <v>176</v>
      </c>
      <c r="K48" s="185" t="s">
        <v>176</v>
      </c>
      <c r="L48" s="185">
        <v>1</v>
      </c>
      <c r="M48" s="185">
        <v>1</v>
      </c>
      <c r="N48" s="185" t="s">
        <v>176</v>
      </c>
      <c r="O48" s="185" t="s">
        <v>176</v>
      </c>
      <c r="P48" s="185" t="s">
        <v>176</v>
      </c>
      <c r="Q48" s="185" t="s">
        <v>176</v>
      </c>
      <c r="R48" s="185">
        <v>1</v>
      </c>
      <c r="S48" s="185" t="s">
        <v>176</v>
      </c>
      <c r="T48" s="185">
        <v>2</v>
      </c>
      <c r="U48" s="185">
        <v>1</v>
      </c>
      <c r="V48" s="185">
        <v>1</v>
      </c>
      <c r="W48" s="185" t="s">
        <v>176</v>
      </c>
      <c r="X48" s="185" t="s">
        <v>176</v>
      </c>
      <c r="Y48" s="185">
        <v>2</v>
      </c>
      <c r="Z48" s="185" t="s">
        <v>176</v>
      </c>
      <c r="AA48" s="185">
        <v>1</v>
      </c>
      <c r="AB48" s="185" t="s">
        <v>176</v>
      </c>
      <c r="AC48" s="185" t="s">
        <v>176</v>
      </c>
      <c r="AD48" s="185" t="s">
        <v>176</v>
      </c>
      <c r="AE48" s="185" t="s">
        <v>176</v>
      </c>
      <c r="AF48" s="185" t="s">
        <v>176</v>
      </c>
      <c r="AG48" s="185" t="s">
        <v>176</v>
      </c>
      <c r="AH48" s="185" t="s">
        <v>176</v>
      </c>
      <c r="AI48" s="185">
        <v>1</v>
      </c>
      <c r="AJ48" s="185">
        <v>1</v>
      </c>
      <c r="AK48" s="185" t="s">
        <v>176</v>
      </c>
      <c r="AL48" s="185" t="s">
        <v>176</v>
      </c>
      <c r="AM48" s="185" t="s">
        <v>176</v>
      </c>
      <c r="AN48" s="185">
        <v>1</v>
      </c>
      <c r="AO48" s="185" t="s">
        <v>176</v>
      </c>
      <c r="AP48" s="185" t="s">
        <v>176</v>
      </c>
      <c r="AQ48" s="185" t="s">
        <v>176</v>
      </c>
      <c r="AR48" s="185" t="s">
        <v>176</v>
      </c>
      <c r="AS48" s="185">
        <v>2</v>
      </c>
      <c r="AT48" s="185" t="s">
        <v>176</v>
      </c>
      <c r="AU48" s="185">
        <v>1</v>
      </c>
      <c r="AV48" s="185" t="s">
        <v>176</v>
      </c>
      <c r="AW48" s="185">
        <v>3</v>
      </c>
      <c r="AX48" s="185">
        <v>3</v>
      </c>
      <c r="AY48" s="185">
        <v>2</v>
      </c>
      <c r="AZ48" s="185">
        <v>1</v>
      </c>
      <c r="BA48" s="185">
        <v>1</v>
      </c>
      <c r="BB48" s="185">
        <v>2</v>
      </c>
      <c r="BC48" s="185" t="s">
        <v>176</v>
      </c>
      <c r="BD48" s="185" t="s">
        <v>176</v>
      </c>
      <c r="BE48" s="185" t="s">
        <v>176</v>
      </c>
      <c r="BF48" s="185" t="s">
        <v>176</v>
      </c>
      <c r="BG48" s="185" t="s">
        <v>176</v>
      </c>
      <c r="BH48" s="185" t="s">
        <v>176</v>
      </c>
      <c r="BI48" s="185" t="s">
        <v>176</v>
      </c>
      <c r="BJ48" s="185" t="s">
        <v>176</v>
      </c>
      <c r="BK48" s="185" t="s">
        <v>176</v>
      </c>
      <c r="BL48" s="185" t="s">
        <v>176</v>
      </c>
      <c r="BM48" s="185" t="s">
        <v>176</v>
      </c>
      <c r="BN48" s="185" t="s">
        <v>176</v>
      </c>
      <c r="BO48" s="185" t="s">
        <v>176</v>
      </c>
      <c r="BP48" s="185" t="s">
        <v>176</v>
      </c>
      <c r="BQ48" s="185" t="s">
        <v>176</v>
      </c>
      <c r="BR48" s="185" t="s">
        <v>176</v>
      </c>
      <c r="BS48" s="185" t="s">
        <v>176</v>
      </c>
      <c r="BT48" s="185" t="s">
        <v>176</v>
      </c>
      <c r="BU48" s="185" t="s">
        <v>176</v>
      </c>
      <c r="BV48" s="185" t="s">
        <v>176</v>
      </c>
      <c r="BW48" s="185" t="s">
        <v>176</v>
      </c>
      <c r="BX48" s="185" t="s">
        <v>176</v>
      </c>
      <c r="BY48" s="185" t="s">
        <v>176</v>
      </c>
      <c r="BZ48" s="185" t="s">
        <v>176</v>
      </c>
      <c r="CA48" s="185" t="s">
        <v>176</v>
      </c>
      <c r="CB48" s="185" t="s">
        <v>176</v>
      </c>
      <c r="CC48" s="185" t="s">
        <v>176</v>
      </c>
      <c r="CD48" s="185" t="s">
        <v>176</v>
      </c>
      <c r="CE48" s="185" t="s">
        <v>176</v>
      </c>
      <c r="CF48" s="185" t="s">
        <v>176</v>
      </c>
      <c r="CG48" s="185">
        <v>1</v>
      </c>
      <c r="CH48" s="185" t="s">
        <v>176</v>
      </c>
      <c r="CI48" s="185" t="s">
        <v>176</v>
      </c>
      <c r="CJ48" s="185">
        <v>1</v>
      </c>
      <c r="CK48" s="185" t="s">
        <v>176</v>
      </c>
      <c r="CL48" s="185" t="s">
        <v>176</v>
      </c>
      <c r="CM48" s="185" t="s">
        <v>176</v>
      </c>
      <c r="CN48" s="185">
        <v>1</v>
      </c>
      <c r="CO48" s="185" t="s">
        <v>176</v>
      </c>
      <c r="CP48" s="185" t="s">
        <v>176</v>
      </c>
      <c r="CQ48" s="185" t="s">
        <v>176</v>
      </c>
      <c r="CR48" s="185" t="s">
        <v>176</v>
      </c>
      <c r="CS48" s="185" t="s">
        <v>176</v>
      </c>
      <c r="CT48" s="185" t="s">
        <v>176</v>
      </c>
      <c r="CU48" s="185" t="s">
        <v>176</v>
      </c>
      <c r="CV48" s="185" t="s">
        <v>176</v>
      </c>
      <c r="CW48" s="185" t="s">
        <v>176</v>
      </c>
      <c r="CX48" s="185" t="s">
        <v>176</v>
      </c>
      <c r="CY48" s="185" t="s">
        <v>176</v>
      </c>
      <c r="CZ48" s="185" t="s">
        <v>176</v>
      </c>
      <c r="DA48" s="185" t="s">
        <v>176</v>
      </c>
      <c r="DB48" s="185" t="s">
        <v>176</v>
      </c>
      <c r="DC48" s="185" t="s">
        <v>176</v>
      </c>
      <c r="DD48" s="185" t="s">
        <v>176</v>
      </c>
      <c r="DE48" s="185" t="s">
        <v>176</v>
      </c>
      <c r="DF48" s="185" t="s">
        <v>176</v>
      </c>
      <c r="DG48" s="185" t="s">
        <v>176</v>
      </c>
      <c r="DH48" s="185" t="s">
        <v>176</v>
      </c>
      <c r="DI48" s="185" t="s">
        <v>176</v>
      </c>
      <c r="DJ48" s="185" t="s">
        <v>176</v>
      </c>
      <c r="DK48" s="185" t="s">
        <v>176</v>
      </c>
      <c r="DL48" s="185" t="s">
        <v>176</v>
      </c>
      <c r="DM48" s="185" t="s">
        <v>176</v>
      </c>
      <c r="DN48" s="185" t="s">
        <v>176</v>
      </c>
      <c r="DO48" s="185" t="s">
        <v>176</v>
      </c>
      <c r="DP48" s="185" t="s">
        <v>176</v>
      </c>
      <c r="DQ48" s="185" t="s">
        <v>176</v>
      </c>
      <c r="DR48" s="185" t="s">
        <v>176</v>
      </c>
      <c r="DS48" s="185" t="s">
        <v>176</v>
      </c>
      <c r="DT48" s="185" t="s">
        <v>176</v>
      </c>
      <c r="DU48" s="185" t="s">
        <v>176</v>
      </c>
      <c r="DV48" s="185" t="s">
        <v>176</v>
      </c>
      <c r="DW48" s="185" t="s">
        <v>176</v>
      </c>
      <c r="DX48" s="185" t="s">
        <v>176</v>
      </c>
      <c r="DY48" s="185" t="s">
        <v>176</v>
      </c>
      <c r="DZ48" s="185" t="s">
        <v>176</v>
      </c>
      <c r="EA48" s="185" t="s">
        <v>176</v>
      </c>
      <c r="EB48" s="185" t="s">
        <v>176</v>
      </c>
      <c r="EC48" s="185" t="s">
        <v>176</v>
      </c>
      <c r="ED48" s="185" t="s">
        <v>176</v>
      </c>
      <c r="EE48" s="185" t="s">
        <v>176</v>
      </c>
      <c r="EF48" s="185" t="s">
        <v>176</v>
      </c>
      <c r="EG48" s="185" t="s">
        <v>176</v>
      </c>
      <c r="EH48" s="185" t="s">
        <v>176</v>
      </c>
      <c r="EI48" s="185" t="s">
        <v>176</v>
      </c>
      <c r="EJ48" s="185" t="s">
        <v>176</v>
      </c>
      <c r="EK48" s="185" t="s">
        <v>176</v>
      </c>
      <c r="EL48" s="185" t="s">
        <v>176</v>
      </c>
      <c r="EM48" s="185" t="s">
        <v>176</v>
      </c>
      <c r="EN48" s="185" t="s">
        <v>176</v>
      </c>
      <c r="EO48" s="185" t="s">
        <v>176</v>
      </c>
      <c r="EP48" s="185" t="s">
        <v>176</v>
      </c>
      <c r="EQ48" s="185" t="s">
        <v>176</v>
      </c>
      <c r="ER48" s="185" t="s">
        <v>176</v>
      </c>
      <c r="ES48" s="185" t="s">
        <v>176</v>
      </c>
      <c r="ET48" s="185" t="s">
        <v>176</v>
      </c>
      <c r="EU48" s="406" t="s">
        <v>176</v>
      </c>
      <c r="EV48" s="185" t="s">
        <v>176</v>
      </c>
      <c r="EW48" s="185">
        <v>2</v>
      </c>
      <c r="EX48" s="185">
        <v>2</v>
      </c>
      <c r="EY48" s="185">
        <v>2</v>
      </c>
      <c r="EZ48" s="185">
        <v>1</v>
      </c>
      <c r="FA48" s="185" t="s">
        <v>176</v>
      </c>
      <c r="FB48" s="185">
        <v>1</v>
      </c>
      <c r="FC48" s="185">
        <v>3</v>
      </c>
      <c r="FD48" s="185">
        <v>2</v>
      </c>
      <c r="FE48" s="185">
        <v>1</v>
      </c>
      <c r="FF48" s="185">
        <v>2</v>
      </c>
      <c r="FG48" s="185">
        <v>3</v>
      </c>
      <c r="FH48" s="185">
        <v>1</v>
      </c>
      <c r="FI48" s="185">
        <v>2</v>
      </c>
      <c r="FJ48" s="185">
        <v>1</v>
      </c>
      <c r="FK48" s="185">
        <v>2</v>
      </c>
      <c r="FL48" s="185">
        <v>2</v>
      </c>
      <c r="FM48" s="185">
        <v>1</v>
      </c>
      <c r="FN48" s="185" t="s">
        <v>176</v>
      </c>
      <c r="FO48" s="186" t="s">
        <v>176</v>
      </c>
      <c r="FP48" s="186" t="s">
        <v>176</v>
      </c>
      <c r="FQ48" s="185" t="s">
        <v>387</v>
      </c>
      <c r="FR48" s="186" t="s">
        <v>176</v>
      </c>
      <c r="FS48" s="186" t="s">
        <v>176</v>
      </c>
      <c r="FT48" s="186" t="s">
        <v>176</v>
      </c>
      <c r="FU48" s="186" t="s">
        <v>176</v>
      </c>
      <c r="FV48" s="186" t="s">
        <v>176</v>
      </c>
      <c r="FW48" s="185" t="s">
        <v>387</v>
      </c>
      <c r="FX48" s="186" t="s">
        <v>176</v>
      </c>
      <c r="FY48" s="186" t="s">
        <v>176</v>
      </c>
      <c r="FZ48" s="186" t="s">
        <v>176</v>
      </c>
      <c r="GA48" s="186" t="s">
        <v>176</v>
      </c>
      <c r="GB48" s="186" t="s">
        <v>176</v>
      </c>
      <c r="GC48" s="186" t="s">
        <v>176</v>
      </c>
      <c r="GD48" s="186" t="s">
        <v>176</v>
      </c>
      <c r="GE48" s="186" t="s">
        <v>176</v>
      </c>
      <c r="GF48" s="186" t="s">
        <v>176</v>
      </c>
      <c r="GG48" s="186" t="s">
        <v>176</v>
      </c>
      <c r="GH48" s="186" t="s">
        <v>176</v>
      </c>
      <c r="GI48" s="190" t="s">
        <v>176</v>
      </c>
      <c r="GJ48" s="263">
        <f t="shared" si="1"/>
        <v>65</v>
      </c>
    </row>
    <row r="49" spans="1:192" ht="25.5" x14ac:dyDescent="0.25">
      <c r="A49" s="272" t="s">
        <v>183</v>
      </c>
      <c r="B49" s="273" t="s">
        <v>605</v>
      </c>
      <c r="C49" s="273" t="s">
        <v>230</v>
      </c>
      <c r="D49" s="189">
        <v>1</v>
      </c>
      <c r="E49" s="189">
        <v>1</v>
      </c>
      <c r="F49" s="189">
        <v>1</v>
      </c>
      <c r="G49" s="189">
        <v>1</v>
      </c>
      <c r="H49" s="189">
        <v>1</v>
      </c>
      <c r="I49" s="189">
        <v>1</v>
      </c>
      <c r="J49" s="189" t="s">
        <v>176</v>
      </c>
      <c r="K49" s="189" t="s">
        <v>176</v>
      </c>
      <c r="L49" s="185">
        <v>1</v>
      </c>
      <c r="M49" s="185">
        <v>1</v>
      </c>
      <c r="N49" s="189" t="s">
        <v>176</v>
      </c>
      <c r="O49" s="189" t="s">
        <v>176</v>
      </c>
      <c r="P49" s="189" t="s">
        <v>176</v>
      </c>
      <c r="Q49" s="189" t="s">
        <v>176</v>
      </c>
      <c r="R49" s="189">
        <v>1</v>
      </c>
      <c r="S49" s="189" t="s">
        <v>176</v>
      </c>
      <c r="T49" s="185">
        <v>2</v>
      </c>
      <c r="U49" s="189" t="s">
        <v>176</v>
      </c>
      <c r="V49" s="189" t="s">
        <v>176</v>
      </c>
      <c r="W49" s="189" t="s">
        <v>176</v>
      </c>
      <c r="X49" s="189" t="s">
        <v>176</v>
      </c>
      <c r="Y49" s="185">
        <v>2</v>
      </c>
      <c r="Z49" s="189">
        <v>1</v>
      </c>
      <c r="AA49" s="189">
        <v>1</v>
      </c>
      <c r="AB49" s="189">
        <v>1</v>
      </c>
      <c r="AC49" s="189">
        <v>1</v>
      </c>
      <c r="AD49" s="189">
        <v>1</v>
      </c>
      <c r="AE49" s="189">
        <v>1</v>
      </c>
      <c r="AF49" s="189" t="s">
        <v>176</v>
      </c>
      <c r="AG49" s="189" t="s">
        <v>176</v>
      </c>
      <c r="AH49" s="189" t="s">
        <v>176</v>
      </c>
      <c r="AI49" s="189">
        <v>1</v>
      </c>
      <c r="AJ49" s="189">
        <v>1</v>
      </c>
      <c r="AK49" s="189" t="s">
        <v>176</v>
      </c>
      <c r="AL49" s="189" t="s">
        <v>176</v>
      </c>
      <c r="AM49" s="189" t="s">
        <v>176</v>
      </c>
      <c r="AN49" s="185">
        <v>1</v>
      </c>
      <c r="AO49" s="189" t="s">
        <v>176</v>
      </c>
      <c r="AP49" s="189" t="s">
        <v>176</v>
      </c>
      <c r="AQ49" s="189" t="s">
        <v>176</v>
      </c>
      <c r="AR49" s="189" t="s">
        <v>176</v>
      </c>
      <c r="AS49" s="189">
        <v>2</v>
      </c>
      <c r="AT49" s="189">
        <v>1</v>
      </c>
      <c r="AU49" s="189">
        <v>2</v>
      </c>
      <c r="AV49" s="189" t="s">
        <v>176</v>
      </c>
      <c r="AW49" s="189">
        <v>3</v>
      </c>
      <c r="AX49" s="189">
        <v>3</v>
      </c>
      <c r="AY49" s="189">
        <v>2</v>
      </c>
      <c r="AZ49" s="189">
        <v>3</v>
      </c>
      <c r="BA49" s="189">
        <v>1</v>
      </c>
      <c r="BB49" s="185">
        <v>2</v>
      </c>
      <c r="BC49" s="189">
        <v>2</v>
      </c>
      <c r="BD49" s="189"/>
      <c r="BE49" s="189">
        <v>2</v>
      </c>
      <c r="BF49" s="189">
        <v>1</v>
      </c>
      <c r="BG49" s="189">
        <v>2</v>
      </c>
      <c r="BH49" s="189">
        <v>1</v>
      </c>
      <c r="BI49" s="189">
        <v>2</v>
      </c>
      <c r="BJ49" s="189">
        <v>1</v>
      </c>
      <c r="BK49" s="189" t="s">
        <v>176</v>
      </c>
      <c r="BL49" s="189" t="s">
        <v>176</v>
      </c>
      <c r="BM49" s="189" t="s">
        <v>176</v>
      </c>
      <c r="BN49" s="189" t="s">
        <v>176</v>
      </c>
      <c r="BO49" s="189" t="s">
        <v>176</v>
      </c>
      <c r="BP49" s="189" t="s">
        <v>176</v>
      </c>
      <c r="BQ49" s="189" t="s">
        <v>176</v>
      </c>
      <c r="BR49" s="189" t="s">
        <v>176</v>
      </c>
      <c r="BS49" s="189" t="s">
        <v>176</v>
      </c>
      <c r="BT49" s="189" t="s">
        <v>176</v>
      </c>
      <c r="BU49" s="189" t="s">
        <v>176</v>
      </c>
      <c r="BV49" s="189" t="s">
        <v>176</v>
      </c>
      <c r="BW49" s="189" t="s">
        <v>176</v>
      </c>
      <c r="BX49" s="189" t="s">
        <v>176</v>
      </c>
      <c r="BY49" s="189" t="s">
        <v>176</v>
      </c>
      <c r="BZ49" s="189" t="s">
        <v>176</v>
      </c>
      <c r="CA49" s="189" t="s">
        <v>176</v>
      </c>
      <c r="CB49" s="189" t="s">
        <v>176</v>
      </c>
      <c r="CC49" s="189" t="s">
        <v>176</v>
      </c>
      <c r="CD49" s="189" t="s">
        <v>176</v>
      </c>
      <c r="CE49" s="189" t="s">
        <v>176</v>
      </c>
      <c r="CF49" s="189" t="s">
        <v>176</v>
      </c>
      <c r="CG49" s="189">
        <v>2</v>
      </c>
      <c r="CH49" s="189" t="s">
        <v>176</v>
      </c>
      <c r="CI49" s="189" t="s">
        <v>176</v>
      </c>
      <c r="CJ49" s="185">
        <v>1</v>
      </c>
      <c r="CK49" s="189">
        <v>1</v>
      </c>
      <c r="CL49" s="189">
        <v>1</v>
      </c>
      <c r="CM49" s="189">
        <v>1</v>
      </c>
      <c r="CN49" s="189">
        <v>1</v>
      </c>
      <c r="CO49" s="189">
        <v>1</v>
      </c>
      <c r="CP49" s="189" t="s">
        <v>176</v>
      </c>
      <c r="CQ49" s="189">
        <v>2</v>
      </c>
      <c r="CR49" s="189">
        <v>1</v>
      </c>
      <c r="CS49" s="189" t="s">
        <v>176</v>
      </c>
      <c r="CT49" s="189" t="s">
        <v>176</v>
      </c>
      <c r="CU49" s="189" t="s">
        <v>176</v>
      </c>
      <c r="CV49" s="185" t="s">
        <v>176</v>
      </c>
      <c r="CW49" s="185" t="s">
        <v>176</v>
      </c>
      <c r="CX49" s="185" t="s">
        <v>176</v>
      </c>
      <c r="CY49" s="185" t="s">
        <v>176</v>
      </c>
      <c r="CZ49" s="189" t="s">
        <v>176</v>
      </c>
      <c r="DA49" s="189" t="s">
        <v>176</v>
      </c>
      <c r="DB49" s="189" t="s">
        <v>176</v>
      </c>
      <c r="DC49" s="189" t="s">
        <v>176</v>
      </c>
      <c r="DD49" s="189" t="s">
        <v>176</v>
      </c>
      <c r="DE49" s="189" t="s">
        <v>176</v>
      </c>
      <c r="DF49" s="189" t="s">
        <v>176</v>
      </c>
      <c r="DG49" s="189" t="s">
        <v>176</v>
      </c>
      <c r="DH49" s="189" t="s">
        <v>176</v>
      </c>
      <c r="DI49" s="189" t="s">
        <v>176</v>
      </c>
      <c r="DJ49" s="189" t="s">
        <v>176</v>
      </c>
      <c r="DK49" s="189" t="s">
        <v>176</v>
      </c>
      <c r="DL49" s="189" t="s">
        <v>176</v>
      </c>
      <c r="DM49" s="189" t="s">
        <v>176</v>
      </c>
      <c r="DN49" s="189" t="s">
        <v>176</v>
      </c>
      <c r="DO49" s="189" t="s">
        <v>176</v>
      </c>
      <c r="DP49" s="189" t="s">
        <v>176</v>
      </c>
      <c r="DQ49" s="189" t="s">
        <v>176</v>
      </c>
      <c r="DR49" s="189" t="s">
        <v>176</v>
      </c>
      <c r="DS49" s="189" t="s">
        <v>176</v>
      </c>
      <c r="DT49" s="189" t="s">
        <v>176</v>
      </c>
      <c r="DU49" s="189" t="s">
        <v>176</v>
      </c>
      <c r="DV49" s="189" t="s">
        <v>176</v>
      </c>
      <c r="DW49" s="189" t="s">
        <v>176</v>
      </c>
      <c r="DX49" s="189" t="s">
        <v>176</v>
      </c>
      <c r="DY49" s="189" t="s">
        <v>176</v>
      </c>
      <c r="DZ49" s="189" t="s">
        <v>176</v>
      </c>
      <c r="EA49" s="189" t="s">
        <v>176</v>
      </c>
      <c r="EB49" s="189" t="s">
        <v>176</v>
      </c>
      <c r="EC49" s="189" t="s">
        <v>176</v>
      </c>
      <c r="ED49" s="189" t="s">
        <v>176</v>
      </c>
      <c r="EE49" s="189" t="s">
        <v>176</v>
      </c>
      <c r="EF49" s="189" t="s">
        <v>176</v>
      </c>
      <c r="EG49" s="189" t="s">
        <v>176</v>
      </c>
      <c r="EH49" s="189" t="s">
        <v>176</v>
      </c>
      <c r="EI49" s="189" t="s">
        <v>176</v>
      </c>
      <c r="EJ49" s="189" t="s">
        <v>176</v>
      </c>
      <c r="EK49" s="189" t="s">
        <v>176</v>
      </c>
      <c r="EL49" s="189" t="s">
        <v>176</v>
      </c>
      <c r="EM49" s="189" t="s">
        <v>176</v>
      </c>
      <c r="EN49" s="189" t="s">
        <v>176</v>
      </c>
      <c r="EO49" s="189" t="s">
        <v>176</v>
      </c>
      <c r="EP49" s="189" t="s">
        <v>176</v>
      </c>
      <c r="EQ49" s="189" t="s">
        <v>176</v>
      </c>
      <c r="ER49" s="189" t="s">
        <v>176</v>
      </c>
      <c r="ES49" s="189" t="s">
        <v>176</v>
      </c>
      <c r="ET49" s="189" t="s">
        <v>176</v>
      </c>
      <c r="EU49" s="406" t="s">
        <v>176</v>
      </c>
      <c r="EV49" s="189" t="s">
        <v>176</v>
      </c>
      <c r="EW49" s="189">
        <v>2</v>
      </c>
      <c r="EX49" s="189">
        <v>2</v>
      </c>
      <c r="EY49" s="189">
        <v>2</v>
      </c>
      <c r="EZ49" s="189">
        <v>2</v>
      </c>
      <c r="FA49" s="189" t="s">
        <v>176</v>
      </c>
      <c r="FB49" s="189">
        <v>2</v>
      </c>
      <c r="FC49" s="189">
        <v>3</v>
      </c>
      <c r="FD49" s="189">
        <v>3</v>
      </c>
      <c r="FE49" s="189">
        <v>2</v>
      </c>
      <c r="FF49" s="185">
        <v>2</v>
      </c>
      <c r="FG49" s="189">
        <v>3</v>
      </c>
      <c r="FH49" s="189">
        <v>3</v>
      </c>
      <c r="FI49" s="189">
        <v>2</v>
      </c>
      <c r="FJ49" s="189">
        <v>2</v>
      </c>
      <c r="FK49" s="189">
        <v>2</v>
      </c>
      <c r="FL49" s="189">
        <v>2</v>
      </c>
      <c r="FM49" s="189">
        <v>2</v>
      </c>
      <c r="FN49" s="189" t="s">
        <v>176</v>
      </c>
      <c r="FO49" s="191" t="s">
        <v>176</v>
      </c>
      <c r="FP49" s="191" t="s">
        <v>176</v>
      </c>
      <c r="FQ49" s="189" t="s">
        <v>387</v>
      </c>
      <c r="FR49" s="191" t="s">
        <v>176</v>
      </c>
      <c r="FS49" s="191" t="s">
        <v>176</v>
      </c>
      <c r="FT49" s="191" t="s">
        <v>176</v>
      </c>
      <c r="FU49" s="191" t="s">
        <v>176</v>
      </c>
      <c r="FV49" s="191" t="s">
        <v>176</v>
      </c>
      <c r="FW49" s="189" t="s">
        <v>387</v>
      </c>
      <c r="FX49" s="191" t="s">
        <v>176</v>
      </c>
      <c r="FY49" s="191" t="s">
        <v>176</v>
      </c>
      <c r="FZ49" s="191" t="s">
        <v>176</v>
      </c>
      <c r="GA49" s="191" t="s">
        <v>176</v>
      </c>
      <c r="GB49" s="191" t="s">
        <v>176</v>
      </c>
      <c r="GC49" s="191" t="s">
        <v>176</v>
      </c>
      <c r="GD49" s="191" t="s">
        <v>176</v>
      </c>
      <c r="GE49" s="191" t="s">
        <v>176</v>
      </c>
      <c r="GF49" s="191" t="s">
        <v>176</v>
      </c>
      <c r="GG49" s="191" t="s">
        <v>176</v>
      </c>
      <c r="GH49" s="191" t="s">
        <v>176</v>
      </c>
      <c r="GI49" s="192" t="s">
        <v>176</v>
      </c>
      <c r="GJ49" s="275">
        <f t="shared" si="1"/>
        <v>99</v>
      </c>
    </row>
    <row r="50" spans="1:192" x14ac:dyDescent="0.25">
      <c r="A50" s="258" t="s">
        <v>183</v>
      </c>
      <c r="B50" s="261" t="s">
        <v>219</v>
      </c>
      <c r="C50" s="282" t="s">
        <v>230</v>
      </c>
      <c r="D50" s="185">
        <v>1</v>
      </c>
      <c r="E50" s="185">
        <v>1</v>
      </c>
      <c r="F50" s="185">
        <v>1</v>
      </c>
      <c r="G50" s="185">
        <v>1</v>
      </c>
      <c r="H50" s="185">
        <v>1</v>
      </c>
      <c r="I50" s="185">
        <v>1</v>
      </c>
      <c r="J50" s="185" t="s">
        <v>176</v>
      </c>
      <c r="K50" s="185" t="s">
        <v>176</v>
      </c>
      <c r="L50" s="185">
        <v>1</v>
      </c>
      <c r="M50" s="185">
        <v>1</v>
      </c>
      <c r="N50" s="185" t="s">
        <v>176</v>
      </c>
      <c r="O50" s="185" t="s">
        <v>176</v>
      </c>
      <c r="P50" s="185" t="s">
        <v>176</v>
      </c>
      <c r="Q50" s="185" t="s">
        <v>176</v>
      </c>
      <c r="R50" s="185">
        <v>1</v>
      </c>
      <c r="S50" s="185" t="s">
        <v>176</v>
      </c>
      <c r="T50" s="185">
        <v>2</v>
      </c>
      <c r="U50" s="185" t="s">
        <v>176</v>
      </c>
      <c r="V50" s="185" t="s">
        <v>176</v>
      </c>
      <c r="W50" s="185" t="s">
        <v>176</v>
      </c>
      <c r="X50" s="185" t="s">
        <v>176</v>
      </c>
      <c r="Y50" s="185">
        <v>2</v>
      </c>
      <c r="Z50" s="185">
        <v>1</v>
      </c>
      <c r="AA50" s="185">
        <v>1</v>
      </c>
      <c r="AB50" s="185">
        <v>1</v>
      </c>
      <c r="AC50" s="185">
        <v>1</v>
      </c>
      <c r="AD50" s="185">
        <v>1</v>
      </c>
      <c r="AE50" s="185">
        <v>1</v>
      </c>
      <c r="AF50" s="189" t="s">
        <v>176</v>
      </c>
      <c r="AG50" s="185" t="s">
        <v>176</v>
      </c>
      <c r="AH50" s="185" t="s">
        <v>176</v>
      </c>
      <c r="AI50" s="185">
        <v>1</v>
      </c>
      <c r="AJ50" s="185">
        <v>1</v>
      </c>
      <c r="AK50" s="189" t="s">
        <v>176</v>
      </c>
      <c r="AL50" s="185" t="s">
        <v>176</v>
      </c>
      <c r="AM50" s="185">
        <v>1</v>
      </c>
      <c r="AN50" s="185">
        <v>1</v>
      </c>
      <c r="AO50" s="185" t="s">
        <v>176</v>
      </c>
      <c r="AP50" s="185" t="s">
        <v>176</v>
      </c>
      <c r="AQ50" s="185" t="s">
        <v>176</v>
      </c>
      <c r="AR50" s="189" t="s">
        <v>176</v>
      </c>
      <c r="AS50" s="185">
        <v>2</v>
      </c>
      <c r="AT50" s="185">
        <v>1</v>
      </c>
      <c r="AU50" s="185">
        <v>2</v>
      </c>
      <c r="AV50" s="185" t="s">
        <v>176</v>
      </c>
      <c r="AW50" s="185">
        <v>3</v>
      </c>
      <c r="AX50" s="185">
        <v>3</v>
      </c>
      <c r="AY50" s="185">
        <v>2</v>
      </c>
      <c r="AZ50" s="185">
        <v>2</v>
      </c>
      <c r="BA50" s="185">
        <v>3</v>
      </c>
      <c r="BB50" s="185">
        <v>2</v>
      </c>
      <c r="BC50" s="185">
        <v>2</v>
      </c>
      <c r="BD50" s="185"/>
      <c r="BE50" s="185">
        <v>1</v>
      </c>
      <c r="BF50" s="185">
        <v>1</v>
      </c>
      <c r="BG50" s="185">
        <v>2</v>
      </c>
      <c r="BH50" s="185">
        <v>2</v>
      </c>
      <c r="BI50" s="185">
        <v>2</v>
      </c>
      <c r="BJ50" s="185">
        <v>2</v>
      </c>
      <c r="BK50" s="185" t="s">
        <v>176</v>
      </c>
      <c r="BL50" s="185" t="s">
        <v>176</v>
      </c>
      <c r="BM50" s="185" t="s">
        <v>176</v>
      </c>
      <c r="BN50" s="185" t="s">
        <v>176</v>
      </c>
      <c r="BO50" s="185" t="s">
        <v>176</v>
      </c>
      <c r="BP50" s="185" t="s">
        <v>176</v>
      </c>
      <c r="BQ50" s="185" t="s">
        <v>176</v>
      </c>
      <c r="BR50" s="185" t="s">
        <v>176</v>
      </c>
      <c r="BS50" s="185" t="s">
        <v>176</v>
      </c>
      <c r="BT50" s="185" t="s">
        <v>176</v>
      </c>
      <c r="BU50" s="185" t="s">
        <v>176</v>
      </c>
      <c r="BV50" s="185" t="s">
        <v>176</v>
      </c>
      <c r="BW50" s="185" t="s">
        <v>176</v>
      </c>
      <c r="BX50" s="185" t="s">
        <v>176</v>
      </c>
      <c r="BY50" s="185" t="s">
        <v>176</v>
      </c>
      <c r="BZ50" s="185" t="s">
        <v>176</v>
      </c>
      <c r="CA50" s="185" t="s">
        <v>176</v>
      </c>
      <c r="CB50" s="185" t="s">
        <v>176</v>
      </c>
      <c r="CC50" s="185" t="s">
        <v>176</v>
      </c>
      <c r="CD50" s="185" t="s">
        <v>176</v>
      </c>
      <c r="CE50" s="185" t="s">
        <v>176</v>
      </c>
      <c r="CF50" s="185" t="s">
        <v>176</v>
      </c>
      <c r="CG50" s="185">
        <v>2</v>
      </c>
      <c r="CH50" s="185" t="s">
        <v>176</v>
      </c>
      <c r="CI50" s="185" t="s">
        <v>176</v>
      </c>
      <c r="CJ50" s="185">
        <v>1</v>
      </c>
      <c r="CK50" s="185">
        <v>2</v>
      </c>
      <c r="CL50" s="185">
        <v>1</v>
      </c>
      <c r="CM50" s="185">
        <v>1</v>
      </c>
      <c r="CN50" s="185">
        <v>1</v>
      </c>
      <c r="CO50" s="185">
        <v>1</v>
      </c>
      <c r="CP50" s="185">
        <v>1</v>
      </c>
      <c r="CQ50" s="185">
        <v>1</v>
      </c>
      <c r="CR50" s="185">
        <v>1</v>
      </c>
      <c r="CS50" s="185" t="s">
        <v>176</v>
      </c>
      <c r="CT50" s="185" t="s">
        <v>176</v>
      </c>
      <c r="CU50" s="185" t="s">
        <v>176</v>
      </c>
      <c r="CV50" s="185" t="s">
        <v>176</v>
      </c>
      <c r="CW50" s="185" t="s">
        <v>176</v>
      </c>
      <c r="CX50" s="185" t="s">
        <v>176</v>
      </c>
      <c r="CY50" s="185" t="s">
        <v>176</v>
      </c>
      <c r="CZ50" s="185" t="s">
        <v>176</v>
      </c>
      <c r="DA50" s="185" t="s">
        <v>176</v>
      </c>
      <c r="DB50" s="185" t="s">
        <v>176</v>
      </c>
      <c r="DC50" s="185" t="s">
        <v>176</v>
      </c>
      <c r="DD50" s="185" t="s">
        <v>176</v>
      </c>
      <c r="DE50" s="185" t="s">
        <v>176</v>
      </c>
      <c r="DF50" s="185" t="s">
        <v>176</v>
      </c>
      <c r="DG50" s="185" t="s">
        <v>176</v>
      </c>
      <c r="DH50" s="185" t="s">
        <v>176</v>
      </c>
      <c r="DI50" s="185" t="s">
        <v>176</v>
      </c>
      <c r="DJ50" s="185" t="s">
        <v>176</v>
      </c>
      <c r="DK50" s="185" t="s">
        <v>176</v>
      </c>
      <c r="DL50" s="185" t="s">
        <v>176</v>
      </c>
      <c r="DM50" s="185" t="s">
        <v>176</v>
      </c>
      <c r="DN50" s="185" t="s">
        <v>176</v>
      </c>
      <c r="DO50" s="185" t="s">
        <v>176</v>
      </c>
      <c r="DP50" s="185" t="s">
        <v>176</v>
      </c>
      <c r="DQ50" s="185" t="s">
        <v>176</v>
      </c>
      <c r="DR50" s="185" t="s">
        <v>176</v>
      </c>
      <c r="DS50" s="185" t="s">
        <v>176</v>
      </c>
      <c r="DT50" s="185" t="s">
        <v>176</v>
      </c>
      <c r="DU50" s="185" t="s">
        <v>176</v>
      </c>
      <c r="DV50" s="185" t="s">
        <v>176</v>
      </c>
      <c r="DW50" s="185" t="s">
        <v>176</v>
      </c>
      <c r="DX50" s="185" t="s">
        <v>176</v>
      </c>
      <c r="DY50" s="185" t="s">
        <v>176</v>
      </c>
      <c r="DZ50" s="185" t="s">
        <v>176</v>
      </c>
      <c r="EA50" s="185" t="s">
        <v>176</v>
      </c>
      <c r="EB50" s="185" t="s">
        <v>176</v>
      </c>
      <c r="EC50" s="185" t="s">
        <v>176</v>
      </c>
      <c r="ED50" s="185" t="s">
        <v>176</v>
      </c>
      <c r="EE50" s="185" t="s">
        <v>176</v>
      </c>
      <c r="EF50" s="185" t="s">
        <v>176</v>
      </c>
      <c r="EG50" s="185" t="s">
        <v>176</v>
      </c>
      <c r="EH50" s="185" t="s">
        <v>176</v>
      </c>
      <c r="EI50" s="185" t="s">
        <v>176</v>
      </c>
      <c r="EJ50" s="185" t="s">
        <v>176</v>
      </c>
      <c r="EK50" s="185" t="s">
        <v>176</v>
      </c>
      <c r="EL50" s="185" t="s">
        <v>176</v>
      </c>
      <c r="EM50" s="185" t="s">
        <v>176</v>
      </c>
      <c r="EN50" s="185" t="s">
        <v>176</v>
      </c>
      <c r="EO50" s="185" t="s">
        <v>176</v>
      </c>
      <c r="EP50" s="185" t="s">
        <v>176</v>
      </c>
      <c r="EQ50" s="185" t="s">
        <v>176</v>
      </c>
      <c r="ER50" s="185" t="s">
        <v>176</v>
      </c>
      <c r="ES50" s="185" t="s">
        <v>176</v>
      </c>
      <c r="ET50" s="185" t="s">
        <v>176</v>
      </c>
      <c r="EU50" s="406" t="s">
        <v>176</v>
      </c>
      <c r="EV50" s="185" t="s">
        <v>176</v>
      </c>
      <c r="EW50" s="189">
        <v>2</v>
      </c>
      <c r="EX50" s="185">
        <v>2</v>
      </c>
      <c r="EY50" s="185">
        <v>2</v>
      </c>
      <c r="EZ50" s="185">
        <v>2</v>
      </c>
      <c r="FA50" s="185" t="s">
        <v>176</v>
      </c>
      <c r="FB50" s="185">
        <v>2</v>
      </c>
      <c r="FC50" s="185">
        <v>3</v>
      </c>
      <c r="FD50" s="185">
        <v>3</v>
      </c>
      <c r="FE50" s="185">
        <v>2</v>
      </c>
      <c r="FF50" s="185">
        <v>2</v>
      </c>
      <c r="FG50" s="185">
        <v>3</v>
      </c>
      <c r="FH50" s="185">
        <v>3</v>
      </c>
      <c r="FI50" s="185">
        <v>2</v>
      </c>
      <c r="FJ50" s="185">
        <v>2</v>
      </c>
      <c r="FK50" s="185">
        <v>2</v>
      </c>
      <c r="FL50" s="185">
        <v>2</v>
      </c>
      <c r="FM50" s="185">
        <v>2</v>
      </c>
      <c r="FN50" s="185" t="s">
        <v>176</v>
      </c>
      <c r="FO50" s="186" t="s">
        <v>176</v>
      </c>
      <c r="FP50" s="186" t="s">
        <v>176</v>
      </c>
      <c r="FQ50" s="185" t="s">
        <v>387</v>
      </c>
      <c r="FR50" s="186" t="s">
        <v>176</v>
      </c>
      <c r="FS50" s="186" t="s">
        <v>176</v>
      </c>
      <c r="FT50" s="186" t="s">
        <v>176</v>
      </c>
      <c r="FU50" s="186" t="s">
        <v>176</v>
      </c>
      <c r="FV50" s="186" t="s">
        <v>176</v>
      </c>
      <c r="FW50" s="185" t="s">
        <v>387</v>
      </c>
      <c r="FX50" s="186" t="s">
        <v>176</v>
      </c>
      <c r="FY50" s="186" t="s">
        <v>176</v>
      </c>
      <c r="FZ50" s="186" t="s">
        <v>176</v>
      </c>
      <c r="GA50" s="186" t="s">
        <v>176</v>
      </c>
      <c r="GB50" s="186" t="s">
        <v>176</v>
      </c>
      <c r="GC50" s="186" t="s">
        <v>176</v>
      </c>
      <c r="GD50" s="186" t="s">
        <v>176</v>
      </c>
      <c r="GE50" s="186" t="s">
        <v>176</v>
      </c>
      <c r="GF50" s="186" t="s">
        <v>176</v>
      </c>
      <c r="GG50" s="186" t="s">
        <v>176</v>
      </c>
      <c r="GH50" s="186" t="s">
        <v>176</v>
      </c>
      <c r="GI50" s="190" t="s">
        <v>176</v>
      </c>
      <c r="GJ50" s="263">
        <f t="shared" si="1"/>
        <v>103</v>
      </c>
    </row>
    <row r="51" spans="1:192" x14ac:dyDescent="0.25">
      <c r="A51" s="258" t="s">
        <v>183</v>
      </c>
      <c r="B51" s="190" t="s">
        <v>381</v>
      </c>
      <c r="C51" s="190" t="s">
        <v>230</v>
      </c>
      <c r="D51" s="185">
        <v>1</v>
      </c>
      <c r="E51" s="185">
        <v>1</v>
      </c>
      <c r="F51" s="185">
        <v>1</v>
      </c>
      <c r="G51" s="185">
        <v>2</v>
      </c>
      <c r="H51" s="185">
        <v>2</v>
      </c>
      <c r="I51" s="185">
        <v>1</v>
      </c>
      <c r="J51" s="185" t="s">
        <v>176</v>
      </c>
      <c r="K51" s="185" t="s">
        <v>176</v>
      </c>
      <c r="L51" s="185">
        <v>1</v>
      </c>
      <c r="M51" s="185">
        <v>1</v>
      </c>
      <c r="N51" s="185" t="s">
        <v>176</v>
      </c>
      <c r="O51" s="185" t="s">
        <v>176</v>
      </c>
      <c r="P51" s="185" t="s">
        <v>176</v>
      </c>
      <c r="Q51" s="185" t="s">
        <v>176</v>
      </c>
      <c r="R51" s="185">
        <v>1</v>
      </c>
      <c r="S51" s="185" t="s">
        <v>176</v>
      </c>
      <c r="T51" s="185">
        <v>2</v>
      </c>
      <c r="U51" s="185" t="s">
        <v>176</v>
      </c>
      <c r="V51" s="185" t="s">
        <v>176</v>
      </c>
      <c r="W51" s="185" t="s">
        <v>176</v>
      </c>
      <c r="X51" s="185">
        <v>1</v>
      </c>
      <c r="Y51" s="185">
        <v>2</v>
      </c>
      <c r="Z51" s="185">
        <v>1</v>
      </c>
      <c r="AA51" s="185">
        <v>1</v>
      </c>
      <c r="AB51" s="185">
        <v>1</v>
      </c>
      <c r="AC51" s="185">
        <v>1</v>
      </c>
      <c r="AD51" s="185">
        <v>1</v>
      </c>
      <c r="AE51" s="185">
        <v>1</v>
      </c>
      <c r="AF51" s="189" t="s">
        <v>176</v>
      </c>
      <c r="AG51" s="185" t="s">
        <v>176</v>
      </c>
      <c r="AH51" s="185" t="s">
        <v>176</v>
      </c>
      <c r="AI51" s="185">
        <v>2</v>
      </c>
      <c r="AJ51" s="185">
        <v>1</v>
      </c>
      <c r="AK51" s="189" t="s">
        <v>176</v>
      </c>
      <c r="AL51" s="185" t="s">
        <v>176</v>
      </c>
      <c r="AM51" s="185" t="s">
        <v>176</v>
      </c>
      <c r="AN51" s="185">
        <v>1</v>
      </c>
      <c r="AO51" s="185" t="s">
        <v>176</v>
      </c>
      <c r="AP51" s="185" t="s">
        <v>176</v>
      </c>
      <c r="AQ51" s="185" t="s">
        <v>176</v>
      </c>
      <c r="AR51" s="185" t="s">
        <v>176</v>
      </c>
      <c r="AS51" s="185">
        <v>2</v>
      </c>
      <c r="AT51" s="185">
        <v>1</v>
      </c>
      <c r="AU51" s="185">
        <v>2</v>
      </c>
      <c r="AV51" s="185" t="s">
        <v>176</v>
      </c>
      <c r="AW51" s="185">
        <v>1</v>
      </c>
      <c r="AX51" s="185">
        <v>3</v>
      </c>
      <c r="AY51" s="185">
        <v>2</v>
      </c>
      <c r="AZ51" s="185">
        <v>2</v>
      </c>
      <c r="BA51" s="185" t="s">
        <v>176</v>
      </c>
      <c r="BB51" s="185">
        <v>2</v>
      </c>
      <c r="BC51" s="185" t="s">
        <v>176</v>
      </c>
      <c r="BD51" s="185" t="s">
        <v>176</v>
      </c>
      <c r="BE51" s="185" t="s">
        <v>176</v>
      </c>
      <c r="BF51" s="185" t="s">
        <v>176</v>
      </c>
      <c r="BG51" s="185" t="s">
        <v>176</v>
      </c>
      <c r="BH51" s="185" t="s">
        <v>176</v>
      </c>
      <c r="BI51" s="185" t="s">
        <v>176</v>
      </c>
      <c r="BJ51" s="185" t="s">
        <v>176</v>
      </c>
      <c r="BK51" s="185" t="s">
        <v>176</v>
      </c>
      <c r="BL51" s="185" t="s">
        <v>176</v>
      </c>
      <c r="BM51" s="185" t="s">
        <v>176</v>
      </c>
      <c r="BN51" s="185" t="s">
        <v>176</v>
      </c>
      <c r="BO51" s="185" t="s">
        <v>176</v>
      </c>
      <c r="BP51" s="185" t="s">
        <v>176</v>
      </c>
      <c r="BQ51" s="185" t="s">
        <v>176</v>
      </c>
      <c r="BR51" s="185" t="s">
        <v>176</v>
      </c>
      <c r="BS51" s="185" t="s">
        <v>176</v>
      </c>
      <c r="BT51" s="185" t="s">
        <v>176</v>
      </c>
      <c r="BU51" s="185" t="s">
        <v>176</v>
      </c>
      <c r="BV51" s="185" t="s">
        <v>176</v>
      </c>
      <c r="BW51" s="185" t="s">
        <v>176</v>
      </c>
      <c r="BX51" s="185" t="s">
        <v>176</v>
      </c>
      <c r="BY51" s="185" t="s">
        <v>176</v>
      </c>
      <c r="BZ51" s="185" t="s">
        <v>176</v>
      </c>
      <c r="CA51" s="185" t="s">
        <v>176</v>
      </c>
      <c r="CB51" s="185" t="s">
        <v>176</v>
      </c>
      <c r="CC51" s="185" t="s">
        <v>176</v>
      </c>
      <c r="CD51" s="185" t="s">
        <v>176</v>
      </c>
      <c r="CE51" s="185" t="s">
        <v>176</v>
      </c>
      <c r="CF51" s="185" t="s">
        <v>176</v>
      </c>
      <c r="CG51" s="185">
        <v>3</v>
      </c>
      <c r="CH51" s="185">
        <v>3</v>
      </c>
      <c r="CI51" s="185">
        <v>2</v>
      </c>
      <c r="CJ51" s="185">
        <v>2</v>
      </c>
      <c r="CK51" s="185">
        <v>1</v>
      </c>
      <c r="CL51" s="185">
        <v>1</v>
      </c>
      <c r="CM51" s="185">
        <v>1</v>
      </c>
      <c r="CN51" s="185" t="s">
        <v>176</v>
      </c>
      <c r="CO51" s="185" t="s">
        <v>176</v>
      </c>
      <c r="CP51" s="185" t="s">
        <v>176</v>
      </c>
      <c r="CQ51" s="185" t="s">
        <v>176</v>
      </c>
      <c r="CR51" s="185">
        <v>2</v>
      </c>
      <c r="CS51" s="185" t="s">
        <v>176</v>
      </c>
      <c r="CT51" s="185" t="s">
        <v>176</v>
      </c>
      <c r="CU51" s="185" t="s">
        <v>176</v>
      </c>
      <c r="CV51" s="189" t="s">
        <v>176</v>
      </c>
      <c r="CW51" s="189" t="s">
        <v>176</v>
      </c>
      <c r="CX51" s="189" t="s">
        <v>176</v>
      </c>
      <c r="CY51" s="189" t="s">
        <v>176</v>
      </c>
      <c r="CZ51" s="185" t="s">
        <v>176</v>
      </c>
      <c r="DA51" s="185" t="s">
        <v>176</v>
      </c>
      <c r="DB51" s="185" t="s">
        <v>176</v>
      </c>
      <c r="DC51" s="185" t="s">
        <v>176</v>
      </c>
      <c r="DD51" s="185" t="s">
        <v>176</v>
      </c>
      <c r="DE51" s="185" t="s">
        <v>176</v>
      </c>
      <c r="DF51" s="185" t="s">
        <v>176</v>
      </c>
      <c r="DG51" s="185" t="s">
        <v>176</v>
      </c>
      <c r="DH51" s="185" t="s">
        <v>176</v>
      </c>
      <c r="DI51" s="185" t="s">
        <v>176</v>
      </c>
      <c r="DJ51" s="185" t="s">
        <v>176</v>
      </c>
      <c r="DK51" s="185" t="s">
        <v>176</v>
      </c>
      <c r="DL51" s="185" t="s">
        <v>176</v>
      </c>
      <c r="DM51" s="185" t="s">
        <v>176</v>
      </c>
      <c r="DN51" s="185" t="s">
        <v>176</v>
      </c>
      <c r="DO51" s="185" t="s">
        <v>176</v>
      </c>
      <c r="DP51" s="185" t="s">
        <v>176</v>
      </c>
      <c r="DQ51" s="185" t="s">
        <v>176</v>
      </c>
      <c r="DR51" s="185" t="s">
        <v>176</v>
      </c>
      <c r="DS51" s="185" t="s">
        <v>176</v>
      </c>
      <c r="DT51" s="185" t="s">
        <v>176</v>
      </c>
      <c r="DU51" s="185" t="s">
        <v>176</v>
      </c>
      <c r="DV51" s="185" t="s">
        <v>176</v>
      </c>
      <c r="DW51" s="185" t="s">
        <v>176</v>
      </c>
      <c r="DX51" s="185" t="s">
        <v>176</v>
      </c>
      <c r="DY51" s="185" t="s">
        <v>176</v>
      </c>
      <c r="DZ51" s="185" t="s">
        <v>176</v>
      </c>
      <c r="EA51" s="185" t="s">
        <v>176</v>
      </c>
      <c r="EB51" s="185" t="s">
        <v>176</v>
      </c>
      <c r="EC51" s="185" t="s">
        <v>176</v>
      </c>
      <c r="ED51" s="185" t="s">
        <v>176</v>
      </c>
      <c r="EE51" s="185" t="s">
        <v>176</v>
      </c>
      <c r="EF51" s="185" t="s">
        <v>176</v>
      </c>
      <c r="EG51" s="185" t="s">
        <v>176</v>
      </c>
      <c r="EH51" s="185" t="s">
        <v>176</v>
      </c>
      <c r="EI51" s="185" t="s">
        <v>176</v>
      </c>
      <c r="EJ51" s="185" t="s">
        <v>176</v>
      </c>
      <c r="EK51" s="185" t="s">
        <v>176</v>
      </c>
      <c r="EL51" s="185" t="s">
        <v>176</v>
      </c>
      <c r="EM51" s="185" t="s">
        <v>176</v>
      </c>
      <c r="EN51" s="185" t="s">
        <v>176</v>
      </c>
      <c r="EO51" s="185" t="s">
        <v>176</v>
      </c>
      <c r="EP51" s="185" t="s">
        <v>176</v>
      </c>
      <c r="EQ51" s="185" t="s">
        <v>176</v>
      </c>
      <c r="ER51" s="185" t="s">
        <v>176</v>
      </c>
      <c r="ES51" s="185" t="s">
        <v>176</v>
      </c>
      <c r="ET51" s="185" t="s">
        <v>176</v>
      </c>
      <c r="EU51" s="406" t="s">
        <v>176</v>
      </c>
      <c r="EV51" s="185" t="s">
        <v>176</v>
      </c>
      <c r="EW51" s="189">
        <v>2</v>
      </c>
      <c r="EX51" s="185">
        <v>2</v>
      </c>
      <c r="EY51" s="185">
        <v>2</v>
      </c>
      <c r="EZ51" s="185">
        <v>2</v>
      </c>
      <c r="FA51" s="185" t="s">
        <v>176</v>
      </c>
      <c r="FB51" s="185">
        <v>3</v>
      </c>
      <c r="FC51" s="185">
        <v>3</v>
      </c>
      <c r="FD51" s="185">
        <v>3</v>
      </c>
      <c r="FE51" s="185">
        <v>2</v>
      </c>
      <c r="FF51" s="185">
        <v>2</v>
      </c>
      <c r="FG51" s="185">
        <v>3</v>
      </c>
      <c r="FH51" s="185">
        <v>3</v>
      </c>
      <c r="FI51" s="185">
        <v>2</v>
      </c>
      <c r="FJ51" s="185">
        <v>2</v>
      </c>
      <c r="FK51" s="185">
        <v>2</v>
      </c>
      <c r="FL51" s="185">
        <v>2</v>
      </c>
      <c r="FM51" s="185">
        <v>2</v>
      </c>
      <c r="FN51" s="185" t="s">
        <v>176</v>
      </c>
      <c r="FO51" s="185" t="s">
        <v>176</v>
      </c>
      <c r="FP51" s="185" t="s">
        <v>176</v>
      </c>
      <c r="FQ51" s="185" t="s">
        <v>160</v>
      </c>
      <c r="FR51" s="185" t="s">
        <v>176</v>
      </c>
      <c r="FS51" s="185" t="s">
        <v>176</v>
      </c>
      <c r="FT51" s="185" t="s">
        <v>176</v>
      </c>
      <c r="FU51" s="185" t="s">
        <v>176</v>
      </c>
      <c r="FV51" s="185" t="s">
        <v>176</v>
      </c>
      <c r="FW51" s="185" t="s">
        <v>176</v>
      </c>
      <c r="FX51" s="185" t="s">
        <v>176</v>
      </c>
      <c r="FY51" s="185" t="s">
        <v>160</v>
      </c>
      <c r="FZ51" s="185" t="s">
        <v>176</v>
      </c>
      <c r="GA51" s="185" t="s">
        <v>176</v>
      </c>
      <c r="GB51" s="185" t="s">
        <v>176</v>
      </c>
      <c r="GC51" s="185" t="s">
        <v>176</v>
      </c>
      <c r="GD51" s="185" t="s">
        <v>176</v>
      </c>
      <c r="GE51" s="185" t="s">
        <v>176</v>
      </c>
      <c r="GF51" s="185" t="s">
        <v>176</v>
      </c>
      <c r="GG51" s="185" t="s">
        <v>176</v>
      </c>
      <c r="GH51" s="185" t="s">
        <v>176</v>
      </c>
      <c r="GI51" s="188" t="s">
        <v>176</v>
      </c>
      <c r="GJ51" s="263">
        <f t="shared" si="1"/>
        <v>93</v>
      </c>
    </row>
    <row r="52" spans="1:192" ht="25.5" customHeight="1" x14ac:dyDescent="0.25">
      <c r="A52" s="258" t="s">
        <v>183</v>
      </c>
      <c r="B52" s="259" t="s">
        <v>200</v>
      </c>
      <c r="C52" s="282" t="s">
        <v>230</v>
      </c>
      <c r="D52" s="185">
        <v>1</v>
      </c>
      <c r="E52" s="185">
        <v>1</v>
      </c>
      <c r="F52" s="185">
        <v>1</v>
      </c>
      <c r="G52" s="185">
        <v>2</v>
      </c>
      <c r="H52" s="185">
        <v>2</v>
      </c>
      <c r="I52" s="185">
        <v>1</v>
      </c>
      <c r="J52" s="185" t="s">
        <v>176</v>
      </c>
      <c r="K52" s="185" t="s">
        <v>176</v>
      </c>
      <c r="L52" s="185">
        <v>1</v>
      </c>
      <c r="M52" s="185">
        <v>1</v>
      </c>
      <c r="N52" s="185" t="s">
        <v>176</v>
      </c>
      <c r="O52" s="185" t="s">
        <v>176</v>
      </c>
      <c r="P52" s="185" t="s">
        <v>176</v>
      </c>
      <c r="Q52" s="185" t="s">
        <v>176</v>
      </c>
      <c r="R52" s="185">
        <v>1</v>
      </c>
      <c r="S52" s="185" t="s">
        <v>176</v>
      </c>
      <c r="T52" s="185">
        <v>2</v>
      </c>
      <c r="U52" s="185" t="s">
        <v>176</v>
      </c>
      <c r="V52" s="185" t="s">
        <v>176</v>
      </c>
      <c r="W52" s="185" t="s">
        <v>176</v>
      </c>
      <c r="X52" s="185" t="s">
        <v>176</v>
      </c>
      <c r="Y52" s="185">
        <v>2</v>
      </c>
      <c r="Z52" s="185">
        <v>1</v>
      </c>
      <c r="AA52" s="185">
        <v>1</v>
      </c>
      <c r="AB52" s="185">
        <v>1</v>
      </c>
      <c r="AC52" s="185">
        <v>1</v>
      </c>
      <c r="AD52" s="185">
        <v>1</v>
      </c>
      <c r="AE52" s="185">
        <v>1</v>
      </c>
      <c r="AF52" s="189" t="s">
        <v>176</v>
      </c>
      <c r="AG52" s="185" t="s">
        <v>176</v>
      </c>
      <c r="AH52" s="185" t="s">
        <v>176</v>
      </c>
      <c r="AI52" s="185">
        <v>1</v>
      </c>
      <c r="AJ52" s="185">
        <v>1</v>
      </c>
      <c r="AK52" s="189">
        <v>1</v>
      </c>
      <c r="AL52" s="185" t="s">
        <v>176</v>
      </c>
      <c r="AM52" s="185">
        <v>1</v>
      </c>
      <c r="AN52" s="185">
        <v>1</v>
      </c>
      <c r="AO52" s="185" t="s">
        <v>176</v>
      </c>
      <c r="AP52" s="185" t="s">
        <v>176</v>
      </c>
      <c r="AQ52" s="185" t="s">
        <v>176</v>
      </c>
      <c r="AR52" s="185">
        <v>1</v>
      </c>
      <c r="AS52" s="185">
        <v>2</v>
      </c>
      <c r="AT52" s="185">
        <v>1</v>
      </c>
      <c r="AU52" s="185">
        <v>2</v>
      </c>
      <c r="AV52" s="185" t="s">
        <v>176</v>
      </c>
      <c r="AW52" s="185">
        <v>3</v>
      </c>
      <c r="AX52" s="185">
        <v>3</v>
      </c>
      <c r="AY52" s="185">
        <v>2</v>
      </c>
      <c r="AZ52" s="185">
        <v>3</v>
      </c>
      <c r="BA52" s="185">
        <v>1</v>
      </c>
      <c r="BB52" s="185">
        <v>2</v>
      </c>
      <c r="BC52" s="185">
        <v>2</v>
      </c>
      <c r="BD52" s="185">
        <v>2</v>
      </c>
      <c r="BE52" s="185">
        <v>1</v>
      </c>
      <c r="BF52" s="185">
        <v>1</v>
      </c>
      <c r="BG52" s="185">
        <v>1</v>
      </c>
      <c r="BH52" s="185">
        <v>1</v>
      </c>
      <c r="BI52" s="185">
        <v>1</v>
      </c>
      <c r="BJ52" s="185">
        <v>1</v>
      </c>
      <c r="BK52" s="185" t="s">
        <v>176</v>
      </c>
      <c r="BL52" s="185" t="s">
        <v>176</v>
      </c>
      <c r="BM52" s="185" t="s">
        <v>176</v>
      </c>
      <c r="BN52" s="185" t="s">
        <v>176</v>
      </c>
      <c r="BO52" s="185" t="s">
        <v>176</v>
      </c>
      <c r="BP52" s="185" t="s">
        <v>176</v>
      </c>
      <c r="BQ52" s="185" t="s">
        <v>176</v>
      </c>
      <c r="BR52" s="185" t="s">
        <v>176</v>
      </c>
      <c r="BS52" s="185" t="s">
        <v>176</v>
      </c>
      <c r="BT52" s="185" t="s">
        <v>176</v>
      </c>
      <c r="BU52" s="185" t="s">
        <v>176</v>
      </c>
      <c r="BV52" s="185" t="s">
        <v>176</v>
      </c>
      <c r="BW52" s="185" t="s">
        <v>176</v>
      </c>
      <c r="BX52" s="185" t="s">
        <v>176</v>
      </c>
      <c r="BY52" s="185" t="s">
        <v>176</v>
      </c>
      <c r="BZ52" s="185" t="s">
        <v>176</v>
      </c>
      <c r="CA52" s="185" t="s">
        <v>176</v>
      </c>
      <c r="CB52" s="185" t="s">
        <v>176</v>
      </c>
      <c r="CC52" s="185" t="s">
        <v>176</v>
      </c>
      <c r="CD52" s="185" t="s">
        <v>176</v>
      </c>
      <c r="CE52" s="185" t="s">
        <v>176</v>
      </c>
      <c r="CF52" s="185" t="s">
        <v>176</v>
      </c>
      <c r="CG52" s="185">
        <v>2</v>
      </c>
      <c r="CH52" s="185" t="s">
        <v>176</v>
      </c>
      <c r="CI52" s="185" t="s">
        <v>176</v>
      </c>
      <c r="CJ52" s="185">
        <v>1</v>
      </c>
      <c r="CK52" s="185">
        <v>1</v>
      </c>
      <c r="CL52" s="185">
        <v>1</v>
      </c>
      <c r="CM52" s="185">
        <v>1</v>
      </c>
      <c r="CN52" s="185">
        <v>1</v>
      </c>
      <c r="CO52" s="185">
        <v>1</v>
      </c>
      <c r="CP52" s="185">
        <v>3</v>
      </c>
      <c r="CQ52" s="185">
        <v>1</v>
      </c>
      <c r="CR52" s="185">
        <v>1</v>
      </c>
      <c r="CS52" s="185" t="s">
        <v>176</v>
      </c>
      <c r="CT52" s="185" t="s">
        <v>176</v>
      </c>
      <c r="CU52" s="185" t="s">
        <v>176</v>
      </c>
      <c r="CV52" s="185" t="s">
        <v>176</v>
      </c>
      <c r="CW52" s="185" t="s">
        <v>176</v>
      </c>
      <c r="CX52" s="185" t="s">
        <v>176</v>
      </c>
      <c r="CY52" s="185" t="s">
        <v>176</v>
      </c>
      <c r="CZ52" s="185" t="s">
        <v>176</v>
      </c>
      <c r="DA52" s="185" t="s">
        <v>176</v>
      </c>
      <c r="DB52" s="185" t="s">
        <v>176</v>
      </c>
      <c r="DC52" s="185" t="s">
        <v>176</v>
      </c>
      <c r="DD52" s="185" t="s">
        <v>176</v>
      </c>
      <c r="DE52" s="185" t="s">
        <v>176</v>
      </c>
      <c r="DF52" s="185" t="s">
        <v>176</v>
      </c>
      <c r="DG52" s="185" t="s">
        <v>176</v>
      </c>
      <c r="DH52" s="185" t="s">
        <v>176</v>
      </c>
      <c r="DI52" s="185" t="s">
        <v>176</v>
      </c>
      <c r="DJ52" s="185" t="s">
        <v>176</v>
      </c>
      <c r="DK52" s="185" t="s">
        <v>176</v>
      </c>
      <c r="DL52" s="185" t="s">
        <v>176</v>
      </c>
      <c r="DM52" s="185" t="s">
        <v>176</v>
      </c>
      <c r="DN52" s="185" t="s">
        <v>176</v>
      </c>
      <c r="DO52" s="185" t="s">
        <v>176</v>
      </c>
      <c r="DP52" s="185" t="s">
        <v>176</v>
      </c>
      <c r="DQ52" s="185" t="s">
        <v>176</v>
      </c>
      <c r="DR52" s="185" t="s">
        <v>176</v>
      </c>
      <c r="DS52" s="185" t="s">
        <v>176</v>
      </c>
      <c r="DT52" s="185" t="s">
        <v>176</v>
      </c>
      <c r="DU52" s="185" t="s">
        <v>176</v>
      </c>
      <c r="DV52" s="185" t="s">
        <v>176</v>
      </c>
      <c r="DW52" s="185" t="s">
        <v>176</v>
      </c>
      <c r="DX52" s="185" t="s">
        <v>176</v>
      </c>
      <c r="DY52" s="185" t="s">
        <v>176</v>
      </c>
      <c r="DZ52" s="185" t="s">
        <v>176</v>
      </c>
      <c r="EA52" s="185" t="s">
        <v>176</v>
      </c>
      <c r="EB52" s="185" t="s">
        <v>176</v>
      </c>
      <c r="EC52" s="185" t="s">
        <v>176</v>
      </c>
      <c r="ED52" s="185" t="s">
        <v>176</v>
      </c>
      <c r="EE52" s="185" t="s">
        <v>176</v>
      </c>
      <c r="EF52" s="185" t="s">
        <v>176</v>
      </c>
      <c r="EG52" s="185" t="s">
        <v>176</v>
      </c>
      <c r="EH52" s="185" t="s">
        <v>176</v>
      </c>
      <c r="EI52" s="185" t="s">
        <v>176</v>
      </c>
      <c r="EJ52" s="185" t="s">
        <v>176</v>
      </c>
      <c r="EK52" s="185" t="s">
        <v>176</v>
      </c>
      <c r="EL52" s="185" t="s">
        <v>176</v>
      </c>
      <c r="EM52" s="185" t="s">
        <v>176</v>
      </c>
      <c r="EN52" s="185" t="s">
        <v>176</v>
      </c>
      <c r="EO52" s="185" t="s">
        <v>176</v>
      </c>
      <c r="EP52" s="185" t="s">
        <v>176</v>
      </c>
      <c r="EQ52" s="185" t="s">
        <v>176</v>
      </c>
      <c r="ER52" s="185" t="s">
        <v>176</v>
      </c>
      <c r="ES52" s="185" t="s">
        <v>176</v>
      </c>
      <c r="ET52" s="185" t="s">
        <v>176</v>
      </c>
      <c r="EU52" s="406" t="s">
        <v>176</v>
      </c>
      <c r="EV52" s="185" t="s">
        <v>176</v>
      </c>
      <c r="EW52" s="189">
        <v>2</v>
      </c>
      <c r="EX52" s="185">
        <v>2</v>
      </c>
      <c r="EY52" s="185">
        <v>2</v>
      </c>
      <c r="EZ52" s="185">
        <v>2</v>
      </c>
      <c r="FA52" s="185" t="s">
        <v>176</v>
      </c>
      <c r="FB52" s="185">
        <v>2</v>
      </c>
      <c r="FC52" s="185">
        <v>3</v>
      </c>
      <c r="FD52" s="185">
        <v>3</v>
      </c>
      <c r="FE52" s="185">
        <v>2</v>
      </c>
      <c r="FF52" s="185">
        <v>2</v>
      </c>
      <c r="FG52" s="185">
        <v>3</v>
      </c>
      <c r="FH52" s="185">
        <v>3</v>
      </c>
      <c r="FI52" s="185">
        <v>2</v>
      </c>
      <c r="FJ52" s="185">
        <v>2</v>
      </c>
      <c r="FK52" s="185">
        <v>2</v>
      </c>
      <c r="FL52" s="185">
        <v>2</v>
      </c>
      <c r="FM52" s="185">
        <v>2</v>
      </c>
      <c r="FN52" s="185" t="s">
        <v>176</v>
      </c>
      <c r="FO52" s="186" t="s">
        <v>176</v>
      </c>
      <c r="FP52" s="186" t="s">
        <v>176</v>
      </c>
      <c r="FQ52" s="185" t="s">
        <v>387</v>
      </c>
      <c r="FR52" s="186" t="s">
        <v>176</v>
      </c>
      <c r="FS52" s="186" t="s">
        <v>176</v>
      </c>
      <c r="FT52" s="186" t="s">
        <v>176</v>
      </c>
      <c r="FU52" s="186" t="s">
        <v>176</v>
      </c>
      <c r="FV52" s="186" t="s">
        <v>176</v>
      </c>
      <c r="FW52" s="185" t="s">
        <v>387</v>
      </c>
      <c r="FX52" s="186" t="s">
        <v>176</v>
      </c>
      <c r="FY52" s="186" t="s">
        <v>176</v>
      </c>
      <c r="FZ52" s="186" t="s">
        <v>176</v>
      </c>
      <c r="GA52" s="186" t="s">
        <v>176</v>
      </c>
      <c r="GB52" s="186" t="s">
        <v>176</v>
      </c>
      <c r="GC52" s="186" t="s">
        <v>176</v>
      </c>
      <c r="GD52" s="186" t="s">
        <v>176</v>
      </c>
      <c r="GE52" s="186" t="s">
        <v>176</v>
      </c>
      <c r="GF52" s="186" t="s">
        <v>176</v>
      </c>
      <c r="GG52" s="186" t="s">
        <v>176</v>
      </c>
      <c r="GH52" s="186" t="s">
        <v>176</v>
      </c>
      <c r="GI52" s="190" t="s">
        <v>176</v>
      </c>
      <c r="GJ52" s="263">
        <f t="shared" si="1"/>
        <v>105</v>
      </c>
    </row>
    <row r="53" spans="1:192" x14ac:dyDescent="0.25">
      <c r="A53" s="258" t="s">
        <v>227</v>
      </c>
      <c r="B53" s="261" t="s">
        <v>601</v>
      </c>
      <c r="C53" s="261" t="s">
        <v>766</v>
      </c>
      <c r="D53" s="185">
        <v>2</v>
      </c>
      <c r="E53" s="185">
        <v>2</v>
      </c>
      <c r="F53" s="185">
        <v>3</v>
      </c>
      <c r="G53" s="185">
        <v>2</v>
      </c>
      <c r="H53" s="185">
        <v>2</v>
      </c>
      <c r="I53" s="185">
        <v>2</v>
      </c>
      <c r="J53" s="185">
        <v>1</v>
      </c>
      <c r="K53" s="185">
        <v>1</v>
      </c>
      <c r="L53" s="185">
        <v>3</v>
      </c>
      <c r="M53" s="185">
        <v>3</v>
      </c>
      <c r="N53" s="185">
        <v>2</v>
      </c>
      <c r="O53" s="185">
        <v>2</v>
      </c>
      <c r="P53" s="185">
        <v>2</v>
      </c>
      <c r="Q53" s="185">
        <v>3</v>
      </c>
      <c r="R53" s="185">
        <v>3</v>
      </c>
      <c r="S53" s="185">
        <v>3</v>
      </c>
      <c r="T53" s="185">
        <v>3</v>
      </c>
      <c r="U53" s="185">
        <v>3</v>
      </c>
      <c r="V53" s="185">
        <v>3</v>
      </c>
      <c r="W53" s="185">
        <v>3</v>
      </c>
      <c r="X53" s="185">
        <v>3</v>
      </c>
      <c r="Y53" s="185">
        <v>3</v>
      </c>
      <c r="Z53" s="185">
        <v>2</v>
      </c>
      <c r="AA53" s="185">
        <v>2</v>
      </c>
      <c r="AB53" s="185">
        <v>2</v>
      </c>
      <c r="AC53" s="185">
        <v>2</v>
      </c>
      <c r="AD53" s="185">
        <v>1</v>
      </c>
      <c r="AE53" s="185">
        <v>1</v>
      </c>
      <c r="AF53" s="185">
        <v>2</v>
      </c>
      <c r="AG53" s="193">
        <v>2</v>
      </c>
      <c r="AH53" s="185">
        <v>2</v>
      </c>
      <c r="AI53" s="185">
        <v>3</v>
      </c>
      <c r="AJ53" s="185">
        <v>1</v>
      </c>
      <c r="AK53" s="185">
        <v>1</v>
      </c>
      <c r="AL53" s="185">
        <v>1</v>
      </c>
      <c r="AM53" s="185" t="s">
        <v>176</v>
      </c>
      <c r="AN53" s="185">
        <v>2</v>
      </c>
      <c r="AO53" s="185" t="s">
        <v>176</v>
      </c>
      <c r="AP53" s="185" t="s">
        <v>176</v>
      </c>
      <c r="AQ53" s="185" t="s">
        <v>176</v>
      </c>
      <c r="AR53" s="185">
        <v>1</v>
      </c>
      <c r="AS53" s="185">
        <v>3</v>
      </c>
      <c r="AT53" s="185">
        <v>3</v>
      </c>
      <c r="AU53" s="185">
        <v>3</v>
      </c>
      <c r="AV53" s="185">
        <v>1</v>
      </c>
      <c r="AW53" s="185">
        <v>3</v>
      </c>
      <c r="AX53" s="185">
        <v>3</v>
      </c>
      <c r="AY53" s="185">
        <v>3</v>
      </c>
      <c r="AZ53" s="185">
        <v>1</v>
      </c>
      <c r="BA53" s="185">
        <v>1</v>
      </c>
      <c r="BB53" s="185">
        <v>3</v>
      </c>
      <c r="BC53" s="185" t="s">
        <v>176</v>
      </c>
      <c r="BD53" s="185"/>
      <c r="BE53" s="185" t="s">
        <v>176</v>
      </c>
      <c r="BF53" s="185" t="s">
        <v>176</v>
      </c>
      <c r="BG53" s="185" t="s">
        <v>176</v>
      </c>
      <c r="BH53" s="185" t="s">
        <v>176</v>
      </c>
      <c r="BI53" s="185" t="s">
        <v>176</v>
      </c>
      <c r="BJ53" s="185" t="s">
        <v>176</v>
      </c>
      <c r="BK53" s="185">
        <v>3</v>
      </c>
      <c r="BL53" s="185">
        <v>2</v>
      </c>
      <c r="BM53" s="185">
        <v>2</v>
      </c>
      <c r="BN53" s="185">
        <v>2</v>
      </c>
      <c r="BO53" s="185">
        <v>2</v>
      </c>
      <c r="BP53" s="185">
        <v>2</v>
      </c>
      <c r="BQ53" s="185">
        <v>2</v>
      </c>
      <c r="BR53" s="185">
        <v>2</v>
      </c>
      <c r="BS53" s="185">
        <v>2</v>
      </c>
      <c r="BT53" s="185">
        <v>2</v>
      </c>
      <c r="BU53" s="185" t="s">
        <v>176</v>
      </c>
      <c r="BV53" s="185" t="s">
        <v>176</v>
      </c>
      <c r="BW53" s="185" t="s">
        <v>176</v>
      </c>
      <c r="BX53" s="185" t="s">
        <v>176</v>
      </c>
      <c r="BY53" s="185" t="s">
        <v>176</v>
      </c>
      <c r="BZ53" s="185" t="s">
        <v>176</v>
      </c>
      <c r="CA53" s="185" t="s">
        <v>176</v>
      </c>
      <c r="CB53" s="185" t="s">
        <v>176</v>
      </c>
      <c r="CC53" s="185" t="s">
        <v>176</v>
      </c>
      <c r="CD53" s="185" t="s">
        <v>176</v>
      </c>
      <c r="CE53" s="185">
        <v>2</v>
      </c>
      <c r="CF53" s="185" t="s">
        <v>176</v>
      </c>
      <c r="CG53" s="185">
        <v>2</v>
      </c>
      <c r="CH53" s="185">
        <v>2</v>
      </c>
      <c r="CI53" s="185" t="s">
        <v>176</v>
      </c>
      <c r="CJ53" s="185" t="s">
        <v>176</v>
      </c>
      <c r="CK53" s="185">
        <v>1</v>
      </c>
      <c r="CL53" s="185">
        <v>2</v>
      </c>
      <c r="CM53" s="185">
        <v>2</v>
      </c>
      <c r="CN53" s="185">
        <v>2</v>
      </c>
      <c r="CO53" s="185">
        <v>1</v>
      </c>
      <c r="CP53" s="185">
        <v>1</v>
      </c>
      <c r="CQ53" s="185" t="s">
        <v>176</v>
      </c>
      <c r="CR53" s="185">
        <v>1</v>
      </c>
      <c r="CS53" s="185">
        <v>2</v>
      </c>
      <c r="CT53" s="185" t="s">
        <v>176</v>
      </c>
      <c r="CU53" s="185" t="s">
        <v>176</v>
      </c>
      <c r="CV53" s="189" t="s">
        <v>176</v>
      </c>
      <c r="CW53" s="189" t="s">
        <v>176</v>
      </c>
      <c r="CX53" s="189" t="s">
        <v>176</v>
      </c>
      <c r="CY53" s="189" t="s">
        <v>176</v>
      </c>
      <c r="CZ53" s="185" t="s">
        <v>176</v>
      </c>
      <c r="DA53" s="185" t="s">
        <v>176</v>
      </c>
      <c r="DB53" s="185" t="s">
        <v>176</v>
      </c>
      <c r="DC53" s="185" t="s">
        <v>176</v>
      </c>
      <c r="DD53" s="185" t="s">
        <v>176</v>
      </c>
      <c r="DE53" s="185" t="s">
        <v>176</v>
      </c>
      <c r="DF53" s="185" t="s">
        <v>176</v>
      </c>
      <c r="DG53" s="185" t="s">
        <v>176</v>
      </c>
      <c r="DH53" s="185" t="s">
        <v>176</v>
      </c>
      <c r="DI53" s="185" t="s">
        <v>176</v>
      </c>
      <c r="DJ53" s="185" t="s">
        <v>176</v>
      </c>
      <c r="DK53" s="185" t="s">
        <v>176</v>
      </c>
      <c r="DL53" s="185" t="s">
        <v>176</v>
      </c>
      <c r="DM53" s="185" t="s">
        <v>176</v>
      </c>
      <c r="DN53" s="185" t="s">
        <v>176</v>
      </c>
      <c r="DO53" s="185" t="s">
        <v>176</v>
      </c>
      <c r="DP53" s="185" t="s">
        <v>176</v>
      </c>
      <c r="DQ53" s="185" t="s">
        <v>176</v>
      </c>
      <c r="DR53" s="185" t="s">
        <v>176</v>
      </c>
      <c r="DS53" s="185" t="s">
        <v>176</v>
      </c>
      <c r="DT53" s="185" t="s">
        <v>176</v>
      </c>
      <c r="DU53" s="185" t="s">
        <v>176</v>
      </c>
      <c r="DV53" s="185" t="s">
        <v>176</v>
      </c>
      <c r="DW53" s="185" t="s">
        <v>176</v>
      </c>
      <c r="DX53" s="185" t="s">
        <v>176</v>
      </c>
      <c r="DY53" s="185" t="s">
        <v>176</v>
      </c>
      <c r="DZ53" s="185" t="s">
        <v>176</v>
      </c>
      <c r="EA53" s="185" t="s">
        <v>176</v>
      </c>
      <c r="EB53" s="185" t="s">
        <v>176</v>
      </c>
      <c r="EC53" s="185" t="s">
        <v>176</v>
      </c>
      <c r="ED53" s="185" t="s">
        <v>176</v>
      </c>
      <c r="EE53" s="185" t="s">
        <v>176</v>
      </c>
      <c r="EF53" s="185" t="s">
        <v>176</v>
      </c>
      <c r="EG53" s="185" t="s">
        <v>176</v>
      </c>
      <c r="EH53" s="185" t="s">
        <v>176</v>
      </c>
      <c r="EI53" s="185" t="s">
        <v>176</v>
      </c>
      <c r="EJ53" s="185" t="s">
        <v>176</v>
      </c>
      <c r="EK53" s="185" t="s">
        <v>176</v>
      </c>
      <c r="EL53" s="185" t="s">
        <v>176</v>
      </c>
      <c r="EM53" s="185" t="s">
        <v>176</v>
      </c>
      <c r="EN53" s="185" t="s">
        <v>176</v>
      </c>
      <c r="EO53" s="185" t="s">
        <v>176</v>
      </c>
      <c r="EP53" s="185" t="s">
        <v>176</v>
      </c>
      <c r="EQ53" s="185" t="s">
        <v>176</v>
      </c>
      <c r="ER53" s="185" t="s">
        <v>176</v>
      </c>
      <c r="ES53" s="185" t="s">
        <v>176</v>
      </c>
      <c r="ET53" s="185" t="s">
        <v>176</v>
      </c>
      <c r="EU53" s="406" t="s">
        <v>176</v>
      </c>
      <c r="EV53" s="185" t="s">
        <v>176</v>
      </c>
      <c r="EW53" s="185">
        <v>2</v>
      </c>
      <c r="EX53" s="185">
        <v>2</v>
      </c>
      <c r="EY53" s="185">
        <v>2</v>
      </c>
      <c r="EZ53" s="185">
        <v>2</v>
      </c>
      <c r="FA53" s="185" t="s">
        <v>176</v>
      </c>
      <c r="FB53" s="185">
        <v>3</v>
      </c>
      <c r="FC53" s="185">
        <v>3</v>
      </c>
      <c r="FD53" s="185">
        <v>3</v>
      </c>
      <c r="FE53" s="185">
        <v>3</v>
      </c>
      <c r="FF53" s="185">
        <v>3</v>
      </c>
      <c r="FG53" s="185">
        <v>3</v>
      </c>
      <c r="FH53" s="185">
        <v>3</v>
      </c>
      <c r="FI53" s="185">
        <v>3</v>
      </c>
      <c r="FJ53" s="185">
        <v>3</v>
      </c>
      <c r="FK53" s="185">
        <v>3</v>
      </c>
      <c r="FL53" s="185">
        <v>3</v>
      </c>
      <c r="FM53" s="185">
        <v>3</v>
      </c>
      <c r="FN53" s="185">
        <v>3</v>
      </c>
      <c r="FO53" s="185" t="s">
        <v>176</v>
      </c>
      <c r="FP53" s="185" t="s">
        <v>176</v>
      </c>
      <c r="FQ53" s="185" t="s">
        <v>387</v>
      </c>
      <c r="FR53" s="185" t="s">
        <v>176</v>
      </c>
      <c r="FS53" s="185" t="s">
        <v>176</v>
      </c>
      <c r="FT53" s="185" t="s">
        <v>176</v>
      </c>
      <c r="FU53" s="185" t="s">
        <v>176</v>
      </c>
      <c r="FV53" s="185" t="s">
        <v>176</v>
      </c>
      <c r="FW53" s="185" t="s">
        <v>176</v>
      </c>
      <c r="FX53" s="185" t="s">
        <v>176</v>
      </c>
      <c r="FY53" s="185" t="s">
        <v>176</v>
      </c>
      <c r="FZ53" s="185" t="s">
        <v>176</v>
      </c>
      <c r="GA53" s="185" t="s">
        <v>176</v>
      </c>
      <c r="GB53" s="185" t="s">
        <v>176</v>
      </c>
      <c r="GC53" s="185" t="s">
        <v>176</v>
      </c>
      <c r="GD53" s="185" t="s">
        <v>176</v>
      </c>
      <c r="GE53" s="185" t="s">
        <v>176</v>
      </c>
      <c r="GF53" s="185" t="s">
        <v>176</v>
      </c>
      <c r="GG53" s="185" t="s">
        <v>176</v>
      </c>
      <c r="GH53" s="185" t="s">
        <v>176</v>
      </c>
      <c r="GI53" s="185" t="s">
        <v>176</v>
      </c>
      <c r="GJ53" s="263">
        <f t="shared" si="1"/>
        <v>189</v>
      </c>
    </row>
    <row r="54" spans="1:192" x14ac:dyDescent="0.25">
      <c r="A54" s="272" t="s">
        <v>227</v>
      </c>
      <c r="B54" s="276" t="s">
        <v>723</v>
      </c>
      <c r="C54" s="276" t="s">
        <v>766</v>
      </c>
      <c r="D54" s="185">
        <v>2</v>
      </c>
      <c r="E54" s="185">
        <v>2</v>
      </c>
      <c r="F54" s="185">
        <v>3</v>
      </c>
      <c r="G54" s="185">
        <v>1</v>
      </c>
      <c r="H54" s="185">
        <v>1</v>
      </c>
      <c r="I54" s="185">
        <v>1</v>
      </c>
      <c r="J54" s="185" t="s">
        <v>176</v>
      </c>
      <c r="K54" s="185" t="s">
        <v>176</v>
      </c>
      <c r="L54" s="185">
        <v>2</v>
      </c>
      <c r="M54" s="185">
        <v>1</v>
      </c>
      <c r="N54" s="185" t="s">
        <v>176</v>
      </c>
      <c r="O54" s="185" t="s">
        <v>176</v>
      </c>
      <c r="P54" s="185">
        <v>1</v>
      </c>
      <c r="Q54" s="185">
        <v>1</v>
      </c>
      <c r="R54" s="185" t="s">
        <v>176</v>
      </c>
      <c r="S54" s="185" t="s">
        <v>176</v>
      </c>
      <c r="T54" s="185" t="s">
        <v>176</v>
      </c>
      <c r="U54" s="185" t="s">
        <v>176</v>
      </c>
      <c r="V54" s="185" t="s">
        <v>176</v>
      </c>
      <c r="W54" s="185" t="s">
        <v>176</v>
      </c>
      <c r="X54" s="185" t="s">
        <v>176</v>
      </c>
      <c r="Y54" s="185">
        <v>2</v>
      </c>
      <c r="Z54" s="185">
        <v>2</v>
      </c>
      <c r="AA54" s="185">
        <v>2</v>
      </c>
      <c r="AB54" s="185">
        <v>1</v>
      </c>
      <c r="AC54" s="185">
        <v>1</v>
      </c>
      <c r="AD54" s="185">
        <v>2</v>
      </c>
      <c r="AE54" s="185">
        <v>2</v>
      </c>
      <c r="AF54" s="185" t="s">
        <v>176</v>
      </c>
      <c r="AG54" s="185">
        <v>1</v>
      </c>
      <c r="AH54" s="185">
        <v>1</v>
      </c>
      <c r="AI54" s="185">
        <v>2</v>
      </c>
      <c r="AJ54" s="185">
        <v>3</v>
      </c>
      <c r="AK54" s="185">
        <v>1</v>
      </c>
      <c r="AL54" s="185">
        <v>3</v>
      </c>
      <c r="AM54" s="185">
        <v>3</v>
      </c>
      <c r="AN54" s="185">
        <v>3</v>
      </c>
      <c r="AO54" s="185">
        <v>3</v>
      </c>
      <c r="AP54" s="185">
        <v>3</v>
      </c>
      <c r="AQ54" s="185">
        <v>3</v>
      </c>
      <c r="AR54" s="185">
        <v>2</v>
      </c>
      <c r="AS54" s="185">
        <v>3</v>
      </c>
      <c r="AT54" s="185">
        <v>3</v>
      </c>
      <c r="AU54" s="185">
        <v>2</v>
      </c>
      <c r="AV54" s="185">
        <v>1</v>
      </c>
      <c r="AW54" s="185">
        <v>1</v>
      </c>
      <c r="AX54" s="185" t="s">
        <v>176</v>
      </c>
      <c r="AY54" s="185" t="s">
        <v>176</v>
      </c>
      <c r="AZ54" s="185" t="s">
        <v>176</v>
      </c>
      <c r="BA54" s="185" t="s">
        <v>176</v>
      </c>
      <c r="BB54" s="185" t="s">
        <v>176</v>
      </c>
      <c r="BC54" s="185" t="s">
        <v>176</v>
      </c>
      <c r="BD54" s="185" t="s">
        <v>176</v>
      </c>
      <c r="BE54" s="185" t="s">
        <v>176</v>
      </c>
      <c r="BF54" s="185" t="s">
        <v>176</v>
      </c>
      <c r="BG54" s="185" t="s">
        <v>176</v>
      </c>
      <c r="BH54" s="185" t="s">
        <v>176</v>
      </c>
      <c r="BI54" s="185" t="s">
        <v>176</v>
      </c>
      <c r="BJ54" s="185" t="s">
        <v>176</v>
      </c>
      <c r="BK54" s="185">
        <v>2</v>
      </c>
      <c r="BL54" s="185">
        <v>2</v>
      </c>
      <c r="BM54" s="185">
        <v>2</v>
      </c>
      <c r="BN54" s="185">
        <v>2</v>
      </c>
      <c r="BO54" s="185">
        <v>2</v>
      </c>
      <c r="BP54" s="185">
        <v>2</v>
      </c>
      <c r="BQ54" s="185">
        <v>2</v>
      </c>
      <c r="BR54" s="185">
        <v>2</v>
      </c>
      <c r="BS54" s="185">
        <v>2</v>
      </c>
      <c r="BT54" s="185">
        <v>2</v>
      </c>
      <c r="BU54" s="185" t="s">
        <v>176</v>
      </c>
      <c r="BV54" s="185" t="s">
        <v>176</v>
      </c>
      <c r="BW54" s="185" t="s">
        <v>176</v>
      </c>
      <c r="BX54" s="185" t="s">
        <v>176</v>
      </c>
      <c r="BY54" s="185" t="s">
        <v>176</v>
      </c>
      <c r="BZ54" s="185" t="s">
        <v>176</v>
      </c>
      <c r="CA54" s="185" t="s">
        <v>176</v>
      </c>
      <c r="CB54" s="185" t="s">
        <v>176</v>
      </c>
      <c r="CC54" s="185" t="s">
        <v>176</v>
      </c>
      <c r="CD54" s="185" t="s">
        <v>176</v>
      </c>
      <c r="CE54" s="185" t="s">
        <v>176</v>
      </c>
      <c r="CF54" s="185" t="s">
        <v>176</v>
      </c>
      <c r="CG54" s="185">
        <v>1</v>
      </c>
      <c r="CH54" s="185" t="s">
        <v>176</v>
      </c>
      <c r="CI54" s="185" t="s">
        <v>176</v>
      </c>
      <c r="CJ54" s="185" t="s">
        <v>176</v>
      </c>
      <c r="CK54" s="185">
        <v>3</v>
      </c>
      <c r="CL54" s="185">
        <v>3</v>
      </c>
      <c r="CM54" s="185">
        <v>3</v>
      </c>
      <c r="CN54" s="185">
        <v>3</v>
      </c>
      <c r="CO54" s="185">
        <v>2</v>
      </c>
      <c r="CP54" s="185">
        <v>1</v>
      </c>
      <c r="CQ54" s="185">
        <v>1</v>
      </c>
      <c r="CR54" s="185">
        <v>1</v>
      </c>
      <c r="CS54" s="185">
        <v>3</v>
      </c>
      <c r="CT54" s="185">
        <v>2</v>
      </c>
      <c r="CU54" s="185">
        <v>2</v>
      </c>
      <c r="CV54" s="185">
        <v>1</v>
      </c>
      <c r="CW54" s="185">
        <v>1</v>
      </c>
      <c r="CX54" s="185">
        <v>2</v>
      </c>
      <c r="CY54" s="185">
        <v>2</v>
      </c>
      <c r="CZ54" s="185">
        <v>1</v>
      </c>
      <c r="DA54" s="185" t="s">
        <v>176</v>
      </c>
      <c r="DB54" s="185" t="s">
        <v>176</v>
      </c>
      <c r="DC54" s="185">
        <v>1</v>
      </c>
      <c r="DD54" s="185">
        <v>1</v>
      </c>
      <c r="DE54" s="185">
        <v>1</v>
      </c>
      <c r="DF54" s="185">
        <v>1</v>
      </c>
      <c r="DG54" s="185" t="s">
        <v>176</v>
      </c>
      <c r="DH54" s="185" t="s">
        <v>176</v>
      </c>
      <c r="DI54" s="185" t="s">
        <v>176</v>
      </c>
      <c r="DJ54" s="185" t="s">
        <v>176</v>
      </c>
      <c r="DK54" s="185" t="s">
        <v>176</v>
      </c>
      <c r="DL54" s="185" t="s">
        <v>176</v>
      </c>
      <c r="DM54" s="185" t="s">
        <v>176</v>
      </c>
      <c r="DN54" s="185" t="s">
        <v>176</v>
      </c>
      <c r="DO54" s="185" t="s">
        <v>176</v>
      </c>
      <c r="DP54" s="185" t="s">
        <v>176</v>
      </c>
      <c r="DQ54" s="185" t="s">
        <v>176</v>
      </c>
      <c r="DR54" s="185" t="s">
        <v>176</v>
      </c>
      <c r="DS54" s="185" t="s">
        <v>176</v>
      </c>
      <c r="DT54" s="185" t="s">
        <v>176</v>
      </c>
      <c r="DU54" s="185" t="s">
        <v>176</v>
      </c>
      <c r="DV54" s="185" t="s">
        <v>176</v>
      </c>
      <c r="DW54" s="185">
        <v>2</v>
      </c>
      <c r="DX54" s="185">
        <v>2</v>
      </c>
      <c r="DY54" s="185">
        <v>2</v>
      </c>
      <c r="DZ54" s="185">
        <v>2</v>
      </c>
      <c r="EA54" s="185">
        <v>1</v>
      </c>
      <c r="EB54" s="185">
        <v>1</v>
      </c>
      <c r="EC54" s="185">
        <v>1</v>
      </c>
      <c r="ED54" s="185">
        <v>2</v>
      </c>
      <c r="EE54" s="185">
        <v>1</v>
      </c>
      <c r="EF54" s="185">
        <v>1</v>
      </c>
      <c r="EG54" s="185">
        <v>1</v>
      </c>
      <c r="EH54" s="185">
        <v>1</v>
      </c>
      <c r="EI54" s="185">
        <v>2</v>
      </c>
      <c r="EJ54" s="185">
        <v>1</v>
      </c>
      <c r="EK54" s="185">
        <v>2</v>
      </c>
      <c r="EL54" s="185">
        <v>2</v>
      </c>
      <c r="EM54" s="185">
        <v>2</v>
      </c>
      <c r="EN54" s="185" t="s">
        <v>176</v>
      </c>
      <c r="EO54" s="185" t="s">
        <v>176</v>
      </c>
      <c r="EP54" s="185" t="s">
        <v>176</v>
      </c>
      <c r="EQ54" s="185" t="s">
        <v>176</v>
      </c>
      <c r="ER54" s="185" t="s">
        <v>176</v>
      </c>
      <c r="ES54" s="185" t="s">
        <v>176</v>
      </c>
      <c r="ET54" s="185" t="s">
        <v>176</v>
      </c>
      <c r="EU54" s="406" t="s">
        <v>176</v>
      </c>
      <c r="EV54" s="185" t="s">
        <v>176</v>
      </c>
      <c r="EW54" s="185">
        <v>3</v>
      </c>
      <c r="EX54" s="185">
        <v>1</v>
      </c>
      <c r="EY54" s="185">
        <v>1</v>
      </c>
      <c r="EZ54" s="185">
        <v>1</v>
      </c>
      <c r="FA54" s="185" t="s">
        <v>176</v>
      </c>
      <c r="FB54" s="185">
        <v>1</v>
      </c>
      <c r="FC54" s="185">
        <v>3</v>
      </c>
      <c r="FD54" s="185">
        <v>2</v>
      </c>
      <c r="FE54" s="185">
        <v>2</v>
      </c>
      <c r="FF54" s="185">
        <v>3</v>
      </c>
      <c r="FG54" s="185">
        <v>3</v>
      </c>
      <c r="FH54" s="185">
        <v>2</v>
      </c>
      <c r="FI54" s="185">
        <v>3</v>
      </c>
      <c r="FJ54" s="185">
        <v>2</v>
      </c>
      <c r="FK54" s="185">
        <v>2</v>
      </c>
      <c r="FL54" s="185">
        <v>2</v>
      </c>
      <c r="FM54" s="185">
        <v>2</v>
      </c>
      <c r="FN54" s="185">
        <v>2</v>
      </c>
      <c r="FO54" s="189" t="s">
        <v>176</v>
      </c>
      <c r="FP54" s="189" t="s">
        <v>176</v>
      </c>
      <c r="FQ54" s="189" t="s">
        <v>160</v>
      </c>
      <c r="FR54" s="189" t="s">
        <v>176</v>
      </c>
      <c r="FS54" s="189" t="s">
        <v>176</v>
      </c>
      <c r="FT54" s="189" t="s">
        <v>176</v>
      </c>
      <c r="FU54" s="189" t="s">
        <v>176</v>
      </c>
      <c r="FV54" s="185" t="s">
        <v>160</v>
      </c>
      <c r="FW54" s="189" t="s">
        <v>176</v>
      </c>
      <c r="FX54" s="189" t="s">
        <v>176</v>
      </c>
      <c r="FY54" s="189" t="s">
        <v>176</v>
      </c>
      <c r="FZ54" s="189" t="s">
        <v>176</v>
      </c>
      <c r="GA54" s="189" t="s">
        <v>176</v>
      </c>
      <c r="GB54" s="189" t="s">
        <v>176</v>
      </c>
      <c r="GC54" s="464" t="s">
        <v>176</v>
      </c>
      <c r="GD54" s="189" t="s">
        <v>176</v>
      </c>
      <c r="GE54" s="189" t="s">
        <v>176</v>
      </c>
      <c r="GF54" s="189" t="s">
        <v>176</v>
      </c>
      <c r="GG54" s="189" t="s">
        <v>176</v>
      </c>
      <c r="GH54" s="189" t="s">
        <v>176</v>
      </c>
      <c r="GI54" s="189" t="s">
        <v>176</v>
      </c>
      <c r="GJ54" s="275">
        <f t="shared" si="1"/>
        <v>182</v>
      </c>
    </row>
    <row r="55" spans="1:192" s="386" customFormat="1" ht="25.5" customHeight="1" x14ac:dyDescent="0.25">
      <c r="A55" s="258" t="s">
        <v>227</v>
      </c>
      <c r="B55" s="190" t="s">
        <v>573</v>
      </c>
      <c r="C55" s="261" t="s">
        <v>766</v>
      </c>
      <c r="D55" s="185">
        <v>2</v>
      </c>
      <c r="E55" s="185">
        <v>2</v>
      </c>
      <c r="F55" s="185">
        <v>3</v>
      </c>
      <c r="G55" s="185">
        <v>2</v>
      </c>
      <c r="H55" s="185">
        <v>2</v>
      </c>
      <c r="I55" s="185">
        <v>1</v>
      </c>
      <c r="J55" s="185" t="s">
        <v>176</v>
      </c>
      <c r="K55" s="185" t="s">
        <v>176</v>
      </c>
      <c r="L55" s="185">
        <v>2</v>
      </c>
      <c r="M55" s="185">
        <v>2</v>
      </c>
      <c r="N55" s="185" t="s">
        <v>176</v>
      </c>
      <c r="O55" s="185" t="s">
        <v>176</v>
      </c>
      <c r="P55" s="185">
        <v>2</v>
      </c>
      <c r="Q55" s="185">
        <v>2</v>
      </c>
      <c r="R55" s="185" t="s">
        <v>176</v>
      </c>
      <c r="S55" s="185" t="s">
        <v>176</v>
      </c>
      <c r="T55" s="185" t="s">
        <v>176</v>
      </c>
      <c r="U55" s="185" t="s">
        <v>176</v>
      </c>
      <c r="V55" s="185" t="s">
        <v>176</v>
      </c>
      <c r="W55" s="185" t="s">
        <v>176</v>
      </c>
      <c r="X55" s="185" t="s">
        <v>176</v>
      </c>
      <c r="Y55" s="185">
        <v>2</v>
      </c>
      <c r="Z55" s="185">
        <v>1</v>
      </c>
      <c r="AA55" s="185">
        <v>1</v>
      </c>
      <c r="AB55" s="185">
        <v>1</v>
      </c>
      <c r="AC55" s="185">
        <v>1</v>
      </c>
      <c r="AD55" s="185">
        <v>1</v>
      </c>
      <c r="AE55" s="185">
        <v>1</v>
      </c>
      <c r="AF55" s="185" t="s">
        <v>176</v>
      </c>
      <c r="AG55" s="185">
        <v>1</v>
      </c>
      <c r="AH55" s="185">
        <v>1</v>
      </c>
      <c r="AI55" s="185">
        <v>3</v>
      </c>
      <c r="AJ55" s="185">
        <v>1</v>
      </c>
      <c r="AK55" s="185" t="s">
        <v>176</v>
      </c>
      <c r="AL55" s="185">
        <v>1</v>
      </c>
      <c r="AM55" s="194">
        <v>2</v>
      </c>
      <c r="AN55" s="194">
        <v>2</v>
      </c>
      <c r="AO55" s="185" t="s">
        <v>176</v>
      </c>
      <c r="AP55" s="185">
        <v>2</v>
      </c>
      <c r="AQ55" s="185">
        <v>2</v>
      </c>
      <c r="AR55" s="194">
        <v>1</v>
      </c>
      <c r="AS55" s="185">
        <v>3</v>
      </c>
      <c r="AT55" s="185">
        <v>3</v>
      </c>
      <c r="AU55" s="185">
        <v>3</v>
      </c>
      <c r="AV55" s="185">
        <v>1</v>
      </c>
      <c r="AW55" s="185" t="s">
        <v>176</v>
      </c>
      <c r="AX55" s="185" t="s">
        <v>176</v>
      </c>
      <c r="AY55" s="185" t="s">
        <v>176</v>
      </c>
      <c r="AZ55" s="185">
        <v>1</v>
      </c>
      <c r="BA55" s="185" t="s">
        <v>176</v>
      </c>
      <c r="BB55" s="185" t="s">
        <v>176</v>
      </c>
      <c r="BC55" s="185" t="s">
        <v>176</v>
      </c>
      <c r="BD55" s="413" t="s">
        <v>176</v>
      </c>
      <c r="BE55" s="185" t="s">
        <v>176</v>
      </c>
      <c r="BF55" s="185" t="s">
        <v>176</v>
      </c>
      <c r="BG55" s="185" t="s">
        <v>176</v>
      </c>
      <c r="BH55" s="185" t="s">
        <v>176</v>
      </c>
      <c r="BI55" s="185" t="s">
        <v>176</v>
      </c>
      <c r="BJ55" s="185" t="s">
        <v>176</v>
      </c>
      <c r="BK55" s="185">
        <v>1</v>
      </c>
      <c r="BL55" s="185" t="s">
        <v>176</v>
      </c>
      <c r="BM55" s="185" t="s">
        <v>176</v>
      </c>
      <c r="BN55" s="185" t="s">
        <v>176</v>
      </c>
      <c r="BO55" s="185" t="s">
        <v>176</v>
      </c>
      <c r="BP55" s="185" t="s">
        <v>176</v>
      </c>
      <c r="BQ55" s="185" t="s">
        <v>176</v>
      </c>
      <c r="BR55" s="185" t="s">
        <v>176</v>
      </c>
      <c r="BS55" s="185" t="s">
        <v>176</v>
      </c>
      <c r="BT55" s="185" t="s">
        <v>176</v>
      </c>
      <c r="BU55" s="185" t="s">
        <v>176</v>
      </c>
      <c r="BV55" s="185" t="s">
        <v>176</v>
      </c>
      <c r="BW55" s="185" t="s">
        <v>176</v>
      </c>
      <c r="BX55" s="185" t="s">
        <v>176</v>
      </c>
      <c r="BY55" s="185" t="s">
        <v>176</v>
      </c>
      <c r="BZ55" s="185" t="s">
        <v>176</v>
      </c>
      <c r="CA55" s="185" t="s">
        <v>176</v>
      </c>
      <c r="CB55" s="185" t="s">
        <v>176</v>
      </c>
      <c r="CC55" s="185" t="s">
        <v>176</v>
      </c>
      <c r="CD55" s="185" t="s">
        <v>176</v>
      </c>
      <c r="CE55" s="185">
        <v>1</v>
      </c>
      <c r="CF55" s="185" t="s">
        <v>176</v>
      </c>
      <c r="CG55" s="185">
        <v>2</v>
      </c>
      <c r="CH55" s="185">
        <v>2</v>
      </c>
      <c r="CI55" s="185" t="s">
        <v>176</v>
      </c>
      <c r="CJ55" s="185" t="s">
        <v>176</v>
      </c>
      <c r="CK55" s="185">
        <v>1</v>
      </c>
      <c r="CL55" s="185">
        <v>2</v>
      </c>
      <c r="CM55" s="185">
        <v>3</v>
      </c>
      <c r="CN55" s="185">
        <v>3</v>
      </c>
      <c r="CO55" s="185" t="s">
        <v>176</v>
      </c>
      <c r="CP55" s="185" t="s">
        <v>176</v>
      </c>
      <c r="CQ55" s="185" t="s">
        <v>176</v>
      </c>
      <c r="CR55" s="185" t="s">
        <v>176</v>
      </c>
      <c r="CS55" s="185">
        <v>2</v>
      </c>
      <c r="CT55" s="185" t="s">
        <v>176</v>
      </c>
      <c r="CU55" s="185" t="s">
        <v>176</v>
      </c>
      <c r="CV55" s="185" t="s">
        <v>176</v>
      </c>
      <c r="CW55" s="185" t="s">
        <v>176</v>
      </c>
      <c r="CX55" s="185" t="s">
        <v>176</v>
      </c>
      <c r="CY55" s="185" t="s">
        <v>176</v>
      </c>
      <c r="CZ55" s="185" t="s">
        <v>176</v>
      </c>
      <c r="DA55" s="185" t="s">
        <v>176</v>
      </c>
      <c r="DB55" s="185" t="s">
        <v>176</v>
      </c>
      <c r="DC55" s="185" t="s">
        <v>176</v>
      </c>
      <c r="DD55" s="185" t="s">
        <v>176</v>
      </c>
      <c r="DE55" s="185" t="s">
        <v>176</v>
      </c>
      <c r="DF55" s="185" t="s">
        <v>176</v>
      </c>
      <c r="DG55" s="185" t="s">
        <v>176</v>
      </c>
      <c r="DH55" s="185" t="s">
        <v>176</v>
      </c>
      <c r="DI55" s="185" t="s">
        <v>176</v>
      </c>
      <c r="DJ55" s="185" t="s">
        <v>176</v>
      </c>
      <c r="DK55" s="185" t="s">
        <v>176</v>
      </c>
      <c r="DL55" s="185" t="s">
        <v>176</v>
      </c>
      <c r="DM55" s="185" t="s">
        <v>176</v>
      </c>
      <c r="DN55" s="185" t="s">
        <v>176</v>
      </c>
      <c r="DO55" s="185" t="s">
        <v>176</v>
      </c>
      <c r="DP55" s="185" t="s">
        <v>176</v>
      </c>
      <c r="DQ55" s="185" t="s">
        <v>176</v>
      </c>
      <c r="DR55" s="185" t="s">
        <v>176</v>
      </c>
      <c r="DS55" s="185" t="s">
        <v>176</v>
      </c>
      <c r="DT55" s="185" t="s">
        <v>176</v>
      </c>
      <c r="DU55" s="185" t="s">
        <v>176</v>
      </c>
      <c r="DV55" s="185" t="s">
        <v>176</v>
      </c>
      <c r="DW55" s="185" t="s">
        <v>176</v>
      </c>
      <c r="DX55" s="185" t="s">
        <v>176</v>
      </c>
      <c r="DY55" s="185" t="s">
        <v>176</v>
      </c>
      <c r="DZ55" s="185" t="s">
        <v>176</v>
      </c>
      <c r="EA55" s="185" t="s">
        <v>176</v>
      </c>
      <c r="EB55" s="185" t="s">
        <v>176</v>
      </c>
      <c r="EC55" s="185" t="s">
        <v>176</v>
      </c>
      <c r="ED55" s="185" t="s">
        <v>176</v>
      </c>
      <c r="EE55" s="185" t="s">
        <v>176</v>
      </c>
      <c r="EF55" s="185" t="s">
        <v>176</v>
      </c>
      <c r="EG55" s="185" t="s">
        <v>176</v>
      </c>
      <c r="EH55" s="185" t="s">
        <v>176</v>
      </c>
      <c r="EI55" s="185" t="s">
        <v>176</v>
      </c>
      <c r="EJ55" s="185" t="s">
        <v>176</v>
      </c>
      <c r="EK55" s="185" t="s">
        <v>176</v>
      </c>
      <c r="EL55" s="185" t="s">
        <v>176</v>
      </c>
      <c r="EM55" s="185" t="s">
        <v>176</v>
      </c>
      <c r="EN55" s="185" t="s">
        <v>176</v>
      </c>
      <c r="EO55" s="185" t="s">
        <v>176</v>
      </c>
      <c r="EP55" s="185" t="s">
        <v>176</v>
      </c>
      <c r="EQ55" s="185" t="s">
        <v>176</v>
      </c>
      <c r="ER55" s="185" t="s">
        <v>176</v>
      </c>
      <c r="ES55" s="185" t="s">
        <v>176</v>
      </c>
      <c r="ET55" s="185" t="s">
        <v>176</v>
      </c>
      <c r="EU55" s="406" t="s">
        <v>176</v>
      </c>
      <c r="EV55" s="185" t="s">
        <v>176</v>
      </c>
      <c r="EW55" s="185">
        <v>2</v>
      </c>
      <c r="EX55" s="185">
        <v>2</v>
      </c>
      <c r="EY55" s="185">
        <v>2</v>
      </c>
      <c r="EZ55" s="185">
        <v>2</v>
      </c>
      <c r="FA55" s="185" t="s">
        <v>176</v>
      </c>
      <c r="FB55" s="185">
        <v>3</v>
      </c>
      <c r="FC55" s="185">
        <v>3</v>
      </c>
      <c r="FD55" s="185">
        <v>3</v>
      </c>
      <c r="FE55" s="185">
        <v>3</v>
      </c>
      <c r="FF55" s="185">
        <v>3</v>
      </c>
      <c r="FG55" s="185">
        <v>3</v>
      </c>
      <c r="FH55" s="185">
        <v>3</v>
      </c>
      <c r="FI55" s="185">
        <v>3</v>
      </c>
      <c r="FJ55" s="185">
        <v>3</v>
      </c>
      <c r="FK55" s="185">
        <v>3</v>
      </c>
      <c r="FL55" s="185">
        <v>3</v>
      </c>
      <c r="FM55" s="185">
        <v>3</v>
      </c>
      <c r="FN55" s="185">
        <v>3</v>
      </c>
      <c r="FO55" s="185" t="s">
        <v>176</v>
      </c>
      <c r="FP55" s="185" t="s">
        <v>176</v>
      </c>
      <c r="FQ55" s="185" t="s">
        <v>387</v>
      </c>
      <c r="FR55" s="185" t="s">
        <v>176</v>
      </c>
      <c r="FS55" s="185" t="s">
        <v>176</v>
      </c>
      <c r="FT55" s="185" t="s">
        <v>176</v>
      </c>
      <c r="FU55" s="185" t="s">
        <v>176</v>
      </c>
      <c r="FV55" s="185" t="s">
        <v>176</v>
      </c>
      <c r="FW55" s="185" t="s">
        <v>176</v>
      </c>
      <c r="FX55" s="185" t="s">
        <v>176</v>
      </c>
      <c r="FY55" s="185" t="s">
        <v>176</v>
      </c>
      <c r="FZ55" s="185" t="s">
        <v>176</v>
      </c>
      <c r="GA55" s="185" t="s">
        <v>176</v>
      </c>
      <c r="GB55" s="185" t="s">
        <v>176</v>
      </c>
      <c r="GC55" s="185" t="s">
        <v>176</v>
      </c>
      <c r="GD55" s="185" t="s">
        <v>176</v>
      </c>
      <c r="GE55" s="185" t="s">
        <v>176</v>
      </c>
      <c r="GF55" s="185" t="s">
        <v>176</v>
      </c>
      <c r="GG55" s="185" t="s">
        <v>176</v>
      </c>
      <c r="GH55" s="185" t="s">
        <v>176</v>
      </c>
      <c r="GI55" s="188" t="s">
        <v>176</v>
      </c>
      <c r="GJ55" s="263">
        <f t="shared" si="1"/>
        <v>119</v>
      </c>
    </row>
    <row r="56" spans="1:192" ht="25.5" customHeight="1" x14ac:dyDescent="0.25">
      <c r="A56" s="258" t="s">
        <v>227</v>
      </c>
      <c r="B56" s="277" t="s">
        <v>194</v>
      </c>
      <c r="C56" s="276" t="s">
        <v>761</v>
      </c>
      <c r="D56" s="185">
        <v>2</v>
      </c>
      <c r="E56" s="185">
        <v>2</v>
      </c>
      <c r="F56" s="185">
        <v>3</v>
      </c>
      <c r="G56" s="185">
        <v>2</v>
      </c>
      <c r="H56" s="185">
        <v>2</v>
      </c>
      <c r="I56" s="185">
        <v>1</v>
      </c>
      <c r="J56" s="185" t="s">
        <v>176</v>
      </c>
      <c r="K56" s="185" t="s">
        <v>176</v>
      </c>
      <c r="L56" s="185">
        <v>2</v>
      </c>
      <c r="M56" s="185">
        <v>2</v>
      </c>
      <c r="N56" s="185" t="s">
        <v>176</v>
      </c>
      <c r="O56" s="185" t="s">
        <v>176</v>
      </c>
      <c r="P56" s="185">
        <v>2</v>
      </c>
      <c r="Q56" s="185">
        <v>2</v>
      </c>
      <c r="R56" s="185" t="s">
        <v>176</v>
      </c>
      <c r="S56" s="185" t="s">
        <v>176</v>
      </c>
      <c r="T56" s="185" t="s">
        <v>176</v>
      </c>
      <c r="U56" s="185">
        <v>1</v>
      </c>
      <c r="V56" s="185" t="s">
        <v>176</v>
      </c>
      <c r="W56" s="185" t="s">
        <v>176</v>
      </c>
      <c r="X56" s="185" t="s">
        <v>176</v>
      </c>
      <c r="Y56" s="185">
        <v>2</v>
      </c>
      <c r="Z56" s="185">
        <v>1</v>
      </c>
      <c r="AA56" s="185">
        <v>1</v>
      </c>
      <c r="AB56" s="185">
        <v>1</v>
      </c>
      <c r="AC56" s="185">
        <v>1</v>
      </c>
      <c r="AD56" s="185">
        <v>1</v>
      </c>
      <c r="AE56" s="185">
        <v>1</v>
      </c>
      <c r="AF56" s="185" t="s">
        <v>176</v>
      </c>
      <c r="AG56" s="185" t="s">
        <v>176</v>
      </c>
      <c r="AH56" s="185" t="s">
        <v>176</v>
      </c>
      <c r="AI56" s="185">
        <v>2</v>
      </c>
      <c r="AJ56" s="185">
        <v>1</v>
      </c>
      <c r="AK56" s="185" t="s">
        <v>176</v>
      </c>
      <c r="AL56" s="185">
        <v>2</v>
      </c>
      <c r="AM56" s="185">
        <v>1</v>
      </c>
      <c r="AN56" s="185">
        <v>2</v>
      </c>
      <c r="AO56" s="185" t="s">
        <v>176</v>
      </c>
      <c r="AP56" s="185" t="s">
        <v>176</v>
      </c>
      <c r="AQ56" s="185" t="s">
        <v>176</v>
      </c>
      <c r="AR56" s="185">
        <v>1</v>
      </c>
      <c r="AS56" s="185">
        <v>2</v>
      </c>
      <c r="AT56" s="185">
        <v>2</v>
      </c>
      <c r="AU56" s="185">
        <v>2</v>
      </c>
      <c r="AV56" s="185">
        <v>2</v>
      </c>
      <c r="AW56" s="185">
        <v>1</v>
      </c>
      <c r="AX56" s="185" t="s">
        <v>176</v>
      </c>
      <c r="AY56" s="185" t="s">
        <v>176</v>
      </c>
      <c r="AZ56" s="185" t="s">
        <v>176</v>
      </c>
      <c r="BA56" s="185" t="s">
        <v>176</v>
      </c>
      <c r="BB56" s="185" t="s">
        <v>176</v>
      </c>
      <c r="BC56" s="185" t="s">
        <v>176</v>
      </c>
      <c r="BD56" s="185" t="s">
        <v>176</v>
      </c>
      <c r="BE56" s="185" t="s">
        <v>176</v>
      </c>
      <c r="BF56" s="185" t="s">
        <v>176</v>
      </c>
      <c r="BG56" s="185" t="s">
        <v>176</v>
      </c>
      <c r="BH56" s="185" t="s">
        <v>176</v>
      </c>
      <c r="BI56" s="185" t="s">
        <v>176</v>
      </c>
      <c r="BJ56" s="185" t="s">
        <v>176</v>
      </c>
      <c r="BK56" s="185">
        <v>3</v>
      </c>
      <c r="BL56" s="185">
        <v>1</v>
      </c>
      <c r="BM56" s="185">
        <v>1</v>
      </c>
      <c r="BN56" s="185">
        <v>1</v>
      </c>
      <c r="BO56" s="185">
        <v>1</v>
      </c>
      <c r="BP56" s="185">
        <v>1</v>
      </c>
      <c r="BQ56" s="185">
        <v>1</v>
      </c>
      <c r="BR56" s="185">
        <v>1</v>
      </c>
      <c r="BS56" s="185">
        <v>1</v>
      </c>
      <c r="BT56" s="185">
        <v>1</v>
      </c>
      <c r="BU56" s="185" t="s">
        <v>176</v>
      </c>
      <c r="BV56" s="185" t="s">
        <v>176</v>
      </c>
      <c r="BW56" s="185" t="s">
        <v>176</v>
      </c>
      <c r="BX56" s="185" t="s">
        <v>176</v>
      </c>
      <c r="BY56" s="185" t="s">
        <v>176</v>
      </c>
      <c r="BZ56" s="185" t="s">
        <v>176</v>
      </c>
      <c r="CA56" s="185" t="s">
        <v>176</v>
      </c>
      <c r="CB56" s="185" t="s">
        <v>176</v>
      </c>
      <c r="CC56" s="185" t="s">
        <v>176</v>
      </c>
      <c r="CD56" s="185" t="s">
        <v>176</v>
      </c>
      <c r="CE56" s="185" t="s">
        <v>176</v>
      </c>
      <c r="CF56" s="185" t="s">
        <v>176</v>
      </c>
      <c r="CG56" s="185">
        <v>2</v>
      </c>
      <c r="CH56" s="185" t="s">
        <v>176</v>
      </c>
      <c r="CI56" s="185" t="s">
        <v>176</v>
      </c>
      <c r="CJ56" s="185" t="s">
        <v>176</v>
      </c>
      <c r="CK56" s="185">
        <v>2</v>
      </c>
      <c r="CL56" s="185">
        <v>2</v>
      </c>
      <c r="CM56" s="185">
        <v>3</v>
      </c>
      <c r="CN56" s="185">
        <v>3</v>
      </c>
      <c r="CO56" s="185" t="s">
        <v>176</v>
      </c>
      <c r="CP56" s="185">
        <v>1</v>
      </c>
      <c r="CQ56" s="185" t="s">
        <v>176</v>
      </c>
      <c r="CR56" s="185" t="s">
        <v>176</v>
      </c>
      <c r="CS56" s="185">
        <v>1</v>
      </c>
      <c r="CT56" s="185" t="s">
        <v>176</v>
      </c>
      <c r="CU56" s="185" t="s">
        <v>176</v>
      </c>
      <c r="CV56" s="185" t="s">
        <v>176</v>
      </c>
      <c r="CW56" s="185" t="s">
        <v>176</v>
      </c>
      <c r="CX56" s="185" t="s">
        <v>176</v>
      </c>
      <c r="CY56" s="185" t="s">
        <v>176</v>
      </c>
      <c r="CZ56" s="185" t="s">
        <v>176</v>
      </c>
      <c r="DA56" s="185" t="s">
        <v>176</v>
      </c>
      <c r="DB56" s="185" t="s">
        <v>176</v>
      </c>
      <c r="DC56" s="185" t="s">
        <v>176</v>
      </c>
      <c r="DD56" s="185" t="s">
        <v>176</v>
      </c>
      <c r="DE56" s="185" t="s">
        <v>176</v>
      </c>
      <c r="DF56" s="185" t="s">
        <v>176</v>
      </c>
      <c r="DG56" s="185" t="s">
        <v>176</v>
      </c>
      <c r="DH56" s="185" t="s">
        <v>176</v>
      </c>
      <c r="DI56" s="185" t="s">
        <v>176</v>
      </c>
      <c r="DJ56" s="185" t="s">
        <v>176</v>
      </c>
      <c r="DK56" s="185" t="s">
        <v>176</v>
      </c>
      <c r="DL56" s="185" t="s">
        <v>176</v>
      </c>
      <c r="DM56" s="185" t="s">
        <v>176</v>
      </c>
      <c r="DN56" s="185" t="s">
        <v>176</v>
      </c>
      <c r="DO56" s="185" t="s">
        <v>176</v>
      </c>
      <c r="DP56" s="185" t="s">
        <v>176</v>
      </c>
      <c r="DQ56" s="185" t="s">
        <v>176</v>
      </c>
      <c r="DR56" s="185" t="s">
        <v>176</v>
      </c>
      <c r="DS56" s="185" t="s">
        <v>176</v>
      </c>
      <c r="DT56" s="185" t="s">
        <v>176</v>
      </c>
      <c r="DU56" s="185" t="s">
        <v>176</v>
      </c>
      <c r="DV56" s="185" t="s">
        <v>176</v>
      </c>
      <c r="DW56" s="185" t="s">
        <v>176</v>
      </c>
      <c r="DX56" s="185" t="s">
        <v>176</v>
      </c>
      <c r="DY56" s="185" t="s">
        <v>176</v>
      </c>
      <c r="DZ56" s="185" t="s">
        <v>176</v>
      </c>
      <c r="EA56" s="185" t="s">
        <v>176</v>
      </c>
      <c r="EB56" s="185" t="s">
        <v>176</v>
      </c>
      <c r="EC56" s="185" t="s">
        <v>176</v>
      </c>
      <c r="ED56" s="185" t="s">
        <v>176</v>
      </c>
      <c r="EE56" s="185" t="s">
        <v>176</v>
      </c>
      <c r="EF56" s="185" t="s">
        <v>176</v>
      </c>
      <c r="EG56" s="185" t="s">
        <v>176</v>
      </c>
      <c r="EH56" s="185" t="s">
        <v>176</v>
      </c>
      <c r="EI56" s="185" t="s">
        <v>176</v>
      </c>
      <c r="EJ56" s="185" t="s">
        <v>176</v>
      </c>
      <c r="EK56" s="185" t="s">
        <v>176</v>
      </c>
      <c r="EL56" s="185" t="s">
        <v>176</v>
      </c>
      <c r="EM56" s="185">
        <v>2</v>
      </c>
      <c r="EN56" s="185" t="s">
        <v>176</v>
      </c>
      <c r="EO56" s="185" t="s">
        <v>176</v>
      </c>
      <c r="EP56" s="185" t="s">
        <v>176</v>
      </c>
      <c r="EQ56" s="185" t="s">
        <v>176</v>
      </c>
      <c r="ER56" s="185" t="s">
        <v>176</v>
      </c>
      <c r="ES56" s="185" t="s">
        <v>176</v>
      </c>
      <c r="ET56" s="185" t="s">
        <v>176</v>
      </c>
      <c r="EU56" s="406" t="s">
        <v>176</v>
      </c>
      <c r="EV56" s="185" t="s">
        <v>176</v>
      </c>
      <c r="EW56" s="185">
        <v>2</v>
      </c>
      <c r="EX56" s="185">
        <v>2</v>
      </c>
      <c r="EY56" s="185">
        <v>2</v>
      </c>
      <c r="EZ56" s="185">
        <v>1</v>
      </c>
      <c r="FA56" s="185">
        <v>1</v>
      </c>
      <c r="FB56" s="185">
        <v>3</v>
      </c>
      <c r="FC56" s="185">
        <v>3</v>
      </c>
      <c r="FD56" s="185">
        <v>3</v>
      </c>
      <c r="FE56" s="185">
        <v>3</v>
      </c>
      <c r="FF56" s="185">
        <v>3</v>
      </c>
      <c r="FG56" s="185">
        <v>3</v>
      </c>
      <c r="FH56" s="185">
        <v>3</v>
      </c>
      <c r="FI56" s="185">
        <v>3</v>
      </c>
      <c r="FJ56" s="185">
        <v>3</v>
      </c>
      <c r="FK56" s="185">
        <v>3</v>
      </c>
      <c r="FL56" s="185">
        <v>3</v>
      </c>
      <c r="FM56" s="185">
        <v>3</v>
      </c>
      <c r="FN56" s="185">
        <v>3</v>
      </c>
      <c r="FO56" s="185" t="s">
        <v>176</v>
      </c>
      <c r="FP56" s="185" t="s">
        <v>176</v>
      </c>
      <c r="FQ56" s="185" t="s">
        <v>160</v>
      </c>
      <c r="FR56" s="185" t="s">
        <v>176</v>
      </c>
      <c r="FS56" s="185" t="s">
        <v>176</v>
      </c>
      <c r="FT56" s="185" t="s">
        <v>176</v>
      </c>
      <c r="FU56" s="185" t="s">
        <v>176</v>
      </c>
      <c r="FV56" s="185" t="s">
        <v>176</v>
      </c>
      <c r="FW56" s="185" t="s">
        <v>160</v>
      </c>
      <c r="FX56" s="185" t="s">
        <v>176</v>
      </c>
      <c r="FY56" s="185" t="s">
        <v>176</v>
      </c>
      <c r="FZ56" s="185" t="s">
        <v>176</v>
      </c>
      <c r="GA56" s="185" t="s">
        <v>160</v>
      </c>
      <c r="GB56" s="185" t="s">
        <v>176</v>
      </c>
      <c r="GC56" s="185" t="s">
        <v>176</v>
      </c>
      <c r="GD56" s="185" t="s">
        <v>176</v>
      </c>
      <c r="GE56" s="185" t="s">
        <v>176</v>
      </c>
      <c r="GF56" s="185" t="s">
        <v>176</v>
      </c>
      <c r="GG56" s="185" t="s">
        <v>176</v>
      </c>
      <c r="GH56" s="185" t="s">
        <v>176</v>
      </c>
      <c r="GI56" s="185" t="s">
        <v>176</v>
      </c>
      <c r="GJ56" s="263">
        <f t="shared" si="1"/>
        <v>122</v>
      </c>
    </row>
    <row r="57" spans="1:192" ht="25.5" customHeight="1" x14ac:dyDescent="0.25">
      <c r="A57" s="258" t="s">
        <v>227</v>
      </c>
      <c r="B57" s="283" t="s">
        <v>602</v>
      </c>
      <c r="C57" s="283" t="s">
        <v>254</v>
      </c>
      <c r="D57" s="185">
        <v>2</v>
      </c>
      <c r="E57" s="185">
        <v>2</v>
      </c>
      <c r="F57" s="185">
        <v>3</v>
      </c>
      <c r="G57" s="185">
        <v>2</v>
      </c>
      <c r="H57" s="185">
        <v>2</v>
      </c>
      <c r="I57" s="185">
        <v>1</v>
      </c>
      <c r="J57" s="185" t="s">
        <v>176</v>
      </c>
      <c r="K57" s="185" t="s">
        <v>176</v>
      </c>
      <c r="L57" s="185">
        <v>2</v>
      </c>
      <c r="M57" s="185">
        <v>2</v>
      </c>
      <c r="N57" s="185" t="s">
        <v>176</v>
      </c>
      <c r="O57" s="185" t="s">
        <v>176</v>
      </c>
      <c r="P57" s="185">
        <v>2</v>
      </c>
      <c r="Q57" s="185">
        <v>2</v>
      </c>
      <c r="R57" s="185" t="s">
        <v>176</v>
      </c>
      <c r="S57" s="185" t="s">
        <v>176</v>
      </c>
      <c r="T57" s="185" t="s">
        <v>176</v>
      </c>
      <c r="U57" s="185">
        <v>1</v>
      </c>
      <c r="V57" s="185" t="s">
        <v>176</v>
      </c>
      <c r="W57" s="185" t="s">
        <v>176</v>
      </c>
      <c r="X57" s="185" t="s">
        <v>176</v>
      </c>
      <c r="Y57" s="185">
        <v>2</v>
      </c>
      <c r="Z57" s="185">
        <v>1</v>
      </c>
      <c r="AA57" s="185">
        <v>1</v>
      </c>
      <c r="AB57" s="185">
        <v>1</v>
      </c>
      <c r="AC57" s="185">
        <v>1</v>
      </c>
      <c r="AD57" s="185" t="s">
        <v>176</v>
      </c>
      <c r="AE57" s="185" t="s">
        <v>176</v>
      </c>
      <c r="AF57" s="185" t="s">
        <v>176</v>
      </c>
      <c r="AG57" s="185" t="s">
        <v>176</v>
      </c>
      <c r="AH57" s="185" t="s">
        <v>176</v>
      </c>
      <c r="AI57" s="185">
        <v>3</v>
      </c>
      <c r="AJ57" s="185">
        <v>1</v>
      </c>
      <c r="AK57" s="185" t="s">
        <v>176</v>
      </c>
      <c r="AL57" s="185" t="s">
        <v>176</v>
      </c>
      <c r="AM57" s="185" t="s">
        <v>176</v>
      </c>
      <c r="AN57" s="185">
        <v>2</v>
      </c>
      <c r="AO57" s="185" t="s">
        <v>176</v>
      </c>
      <c r="AP57" s="185" t="s">
        <v>176</v>
      </c>
      <c r="AQ57" s="185" t="s">
        <v>176</v>
      </c>
      <c r="AR57" s="185">
        <v>1</v>
      </c>
      <c r="AS57" s="185">
        <v>3</v>
      </c>
      <c r="AT57" s="185">
        <v>3</v>
      </c>
      <c r="AU57" s="185">
        <v>3</v>
      </c>
      <c r="AV57" s="185" t="s">
        <v>176</v>
      </c>
      <c r="AW57" s="185">
        <v>3</v>
      </c>
      <c r="AX57" s="185">
        <v>3</v>
      </c>
      <c r="AY57" s="185">
        <v>3</v>
      </c>
      <c r="AZ57" s="185">
        <v>1</v>
      </c>
      <c r="BA57" s="185">
        <v>1</v>
      </c>
      <c r="BB57" s="185">
        <v>3</v>
      </c>
      <c r="BC57" s="185" t="s">
        <v>176</v>
      </c>
      <c r="BD57" s="185"/>
      <c r="BE57" s="185" t="s">
        <v>176</v>
      </c>
      <c r="BF57" s="185" t="s">
        <v>176</v>
      </c>
      <c r="BG57" s="185" t="s">
        <v>176</v>
      </c>
      <c r="BH57" s="185" t="s">
        <v>176</v>
      </c>
      <c r="BI57" s="185" t="s">
        <v>176</v>
      </c>
      <c r="BJ57" s="185" t="s">
        <v>176</v>
      </c>
      <c r="BK57" s="185" t="s">
        <v>176</v>
      </c>
      <c r="BL57" s="185" t="s">
        <v>176</v>
      </c>
      <c r="BM57" s="185" t="s">
        <v>176</v>
      </c>
      <c r="BN57" s="185" t="s">
        <v>176</v>
      </c>
      <c r="BO57" s="185" t="s">
        <v>176</v>
      </c>
      <c r="BP57" s="185" t="s">
        <v>176</v>
      </c>
      <c r="BQ57" s="185" t="s">
        <v>176</v>
      </c>
      <c r="BR57" s="185" t="s">
        <v>176</v>
      </c>
      <c r="BS57" s="185" t="s">
        <v>176</v>
      </c>
      <c r="BT57" s="185" t="s">
        <v>176</v>
      </c>
      <c r="BU57" s="185" t="s">
        <v>176</v>
      </c>
      <c r="BV57" s="185" t="s">
        <v>176</v>
      </c>
      <c r="BW57" s="185" t="s">
        <v>176</v>
      </c>
      <c r="BX57" s="185" t="s">
        <v>176</v>
      </c>
      <c r="BY57" s="185" t="s">
        <v>176</v>
      </c>
      <c r="BZ57" s="185" t="s">
        <v>176</v>
      </c>
      <c r="CA57" s="185" t="s">
        <v>176</v>
      </c>
      <c r="CB57" s="185" t="s">
        <v>176</v>
      </c>
      <c r="CC57" s="185" t="s">
        <v>176</v>
      </c>
      <c r="CD57" s="185" t="s">
        <v>176</v>
      </c>
      <c r="CE57" s="185">
        <v>2</v>
      </c>
      <c r="CF57" s="185" t="s">
        <v>176</v>
      </c>
      <c r="CG57" s="185">
        <v>3</v>
      </c>
      <c r="CH57" s="185">
        <v>2</v>
      </c>
      <c r="CI57" s="185" t="s">
        <v>176</v>
      </c>
      <c r="CJ57" s="185" t="s">
        <v>176</v>
      </c>
      <c r="CK57" s="185">
        <v>1</v>
      </c>
      <c r="CL57" s="185">
        <v>1</v>
      </c>
      <c r="CM57" s="185">
        <v>1</v>
      </c>
      <c r="CN57" s="185">
        <v>1</v>
      </c>
      <c r="CO57" s="185" t="s">
        <v>176</v>
      </c>
      <c r="CP57" s="185" t="s">
        <v>176</v>
      </c>
      <c r="CQ57" s="185" t="s">
        <v>176</v>
      </c>
      <c r="CR57" s="185" t="s">
        <v>176</v>
      </c>
      <c r="CS57" s="185" t="s">
        <v>176</v>
      </c>
      <c r="CT57" s="185" t="s">
        <v>176</v>
      </c>
      <c r="CU57" s="185" t="s">
        <v>176</v>
      </c>
      <c r="CV57" s="189" t="s">
        <v>176</v>
      </c>
      <c r="CW57" s="189" t="s">
        <v>176</v>
      </c>
      <c r="CX57" s="189" t="s">
        <v>176</v>
      </c>
      <c r="CY57" s="189" t="s">
        <v>176</v>
      </c>
      <c r="CZ57" s="185" t="s">
        <v>176</v>
      </c>
      <c r="DA57" s="185" t="s">
        <v>176</v>
      </c>
      <c r="DB57" s="185" t="s">
        <v>176</v>
      </c>
      <c r="DC57" s="185" t="s">
        <v>176</v>
      </c>
      <c r="DD57" s="185" t="s">
        <v>176</v>
      </c>
      <c r="DE57" s="185" t="s">
        <v>176</v>
      </c>
      <c r="DF57" s="185" t="s">
        <v>176</v>
      </c>
      <c r="DG57" s="185" t="s">
        <v>176</v>
      </c>
      <c r="DH57" s="185" t="s">
        <v>176</v>
      </c>
      <c r="DI57" s="185" t="s">
        <v>176</v>
      </c>
      <c r="DJ57" s="185" t="s">
        <v>176</v>
      </c>
      <c r="DK57" s="185" t="s">
        <v>176</v>
      </c>
      <c r="DL57" s="185" t="s">
        <v>176</v>
      </c>
      <c r="DM57" s="185" t="s">
        <v>176</v>
      </c>
      <c r="DN57" s="185" t="s">
        <v>176</v>
      </c>
      <c r="DO57" s="185" t="s">
        <v>176</v>
      </c>
      <c r="DP57" s="185" t="s">
        <v>176</v>
      </c>
      <c r="DQ57" s="185" t="s">
        <v>176</v>
      </c>
      <c r="DR57" s="185" t="s">
        <v>176</v>
      </c>
      <c r="DS57" s="185" t="s">
        <v>176</v>
      </c>
      <c r="DT57" s="185" t="s">
        <v>176</v>
      </c>
      <c r="DU57" s="185" t="s">
        <v>176</v>
      </c>
      <c r="DV57" s="185" t="s">
        <v>176</v>
      </c>
      <c r="DW57" s="185" t="s">
        <v>176</v>
      </c>
      <c r="DX57" s="185" t="s">
        <v>176</v>
      </c>
      <c r="DY57" s="185" t="s">
        <v>176</v>
      </c>
      <c r="DZ57" s="185" t="s">
        <v>176</v>
      </c>
      <c r="EA57" s="185" t="s">
        <v>176</v>
      </c>
      <c r="EB57" s="185" t="s">
        <v>176</v>
      </c>
      <c r="EC57" s="185" t="s">
        <v>176</v>
      </c>
      <c r="ED57" s="185" t="s">
        <v>176</v>
      </c>
      <c r="EE57" s="185" t="s">
        <v>176</v>
      </c>
      <c r="EF57" s="185" t="s">
        <v>176</v>
      </c>
      <c r="EG57" s="185" t="s">
        <v>176</v>
      </c>
      <c r="EH57" s="185" t="s">
        <v>176</v>
      </c>
      <c r="EI57" s="185" t="s">
        <v>176</v>
      </c>
      <c r="EJ57" s="185" t="s">
        <v>176</v>
      </c>
      <c r="EK57" s="185" t="s">
        <v>176</v>
      </c>
      <c r="EL57" s="185" t="s">
        <v>176</v>
      </c>
      <c r="EM57" s="185" t="s">
        <v>176</v>
      </c>
      <c r="EN57" s="185" t="s">
        <v>176</v>
      </c>
      <c r="EO57" s="185" t="s">
        <v>176</v>
      </c>
      <c r="EP57" s="185" t="s">
        <v>176</v>
      </c>
      <c r="EQ57" s="185" t="s">
        <v>176</v>
      </c>
      <c r="ER57" s="185" t="s">
        <v>176</v>
      </c>
      <c r="ES57" s="185" t="s">
        <v>176</v>
      </c>
      <c r="ET57" s="185" t="s">
        <v>176</v>
      </c>
      <c r="EU57" s="406" t="s">
        <v>176</v>
      </c>
      <c r="EV57" s="185" t="s">
        <v>176</v>
      </c>
      <c r="EW57" s="185">
        <v>2</v>
      </c>
      <c r="EX57" s="185">
        <v>2</v>
      </c>
      <c r="EY57" s="185">
        <v>2</v>
      </c>
      <c r="EZ57" s="185">
        <v>2</v>
      </c>
      <c r="FA57" s="185" t="s">
        <v>176</v>
      </c>
      <c r="FB57" s="185">
        <v>3</v>
      </c>
      <c r="FC57" s="185">
        <v>3</v>
      </c>
      <c r="FD57" s="185">
        <v>3</v>
      </c>
      <c r="FE57" s="185">
        <v>3</v>
      </c>
      <c r="FF57" s="185">
        <v>3</v>
      </c>
      <c r="FG57" s="185">
        <v>3</v>
      </c>
      <c r="FH57" s="185">
        <v>3</v>
      </c>
      <c r="FI57" s="185">
        <v>3</v>
      </c>
      <c r="FJ57" s="185">
        <v>3</v>
      </c>
      <c r="FK57" s="185">
        <v>3</v>
      </c>
      <c r="FL57" s="185">
        <v>3</v>
      </c>
      <c r="FM57" s="185">
        <v>3</v>
      </c>
      <c r="FN57" s="185">
        <v>3</v>
      </c>
      <c r="FO57" s="185" t="s">
        <v>176</v>
      </c>
      <c r="FP57" s="185" t="s">
        <v>176</v>
      </c>
      <c r="FQ57" s="185" t="s">
        <v>387</v>
      </c>
      <c r="FR57" s="185" t="s">
        <v>176</v>
      </c>
      <c r="FS57" s="185" t="s">
        <v>176</v>
      </c>
      <c r="FT57" s="185" t="s">
        <v>176</v>
      </c>
      <c r="FU57" s="185" t="s">
        <v>176</v>
      </c>
      <c r="FV57" s="185" t="s">
        <v>176</v>
      </c>
      <c r="FW57" s="185" t="s">
        <v>176</v>
      </c>
      <c r="FX57" s="185" t="s">
        <v>176</v>
      </c>
      <c r="FY57" s="185" t="s">
        <v>176</v>
      </c>
      <c r="FZ57" s="185" t="s">
        <v>176</v>
      </c>
      <c r="GA57" s="185" t="s">
        <v>176</v>
      </c>
      <c r="GB57" s="185" t="s">
        <v>176</v>
      </c>
      <c r="GC57" s="185" t="s">
        <v>176</v>
      </c>
      <c r="GD57" s="185" t="s">
        <v>176</v>
      </c>
      <c r="GE57" s="185" t="s">
        <v>176</v>
      </c>
      <c r="GF57" s="185" t="s">
        <v>176</v>
      </c>
      <c r="GG57" s="185" t="s">
        <v>176</v>
      </c>
      <c r="GH57" s="185" t="s">
        <v>176</v>
      </c>
      <c r="GI57" s="185" t="s">
        <v>176</v>
      </c>
      <c r="GJ57" s="263">
        <f t="shared" si="1"/>
        <v>115</v>
      </c>
    </row>
    <row r="58" spans="1:192" ht="25.5" customHeight="1" x14ac:dyDescent="0.25">
      <c r="A58" s="258" t="s">
        <v>227</v>
      </c>
      <c r="B58" s="283" t="s">
        <v>603</v>
      </c>
      <c r="C58" s="283" t="s">
        <v>254</v>
      </c>
      <c r="D58" s="185">
        <v>2</v>
      </c>
      <c r="E58" s="185">
        <v>2</v>
      </c>
      <c r="F58" s="185">
        <v>3</v>
      </c>
      <c r="G58" s="185">
        <v>2</v>
      </c>
      <c r="H58" s="185">
        <v>2</v>
      </c>
      <c r="I58" s="185">
        <v>3</v>
      </c>
      <c r="J58" s="185">
        <v>2</v>
      </c>
      <c r="K58" s="185">
        <v>2</v>
      </c>
      <c r="L58" s="185">
        <v>3</v>
      </c>
      <c r="M58" s="185">
        <v>3</v>
      </c>
      <c r="N58" s="185">
        <v>2</v>
      </c>
      <c r="O58" s="185">
        <v>3</v>
      </c>
      <c r="P58" s="185">
        <v>2</v>
      </c>
      <c r="Q58" s="185">
        <v>3</v>
      </c>
      <c r="R58" s="185" t="s">
        <v>176</v>
      </c>
      <c r="S58" s="185" t="s">
        <v>176</v>
      </c>
      <c r="T58" s="185" t="s">
        <v>176</v>
      </c>
      <c r="U58" s="185" t="s">
        <v>176</v>
      </c>
      <c r="V58" s="185" t="s">
        <v>176</v>
      </c>
      <c r="W58" s="185" t="s">
        <v>176</v>
      </c>
      <c r="X58" s="185" t="s">
        <v>176</v>
      </c>
      <c r="Y58" s="185">
        <v>2</v>
      </c>
      <c r="Z58" s="185">
        <v>1</v>
      </c>
      <c r="AA58" s="185">
        <v>1</v>
      </c>
      <c r="AB58" s="185">
        <v>1</v>
      </c>
      <c r="AC58" s="185">
        <v>1</v>
      </c>
      <c r="AD58" s="185" t="s">
        <v>176</v>
      </c>
      <c r="AE58" s="185" t="s">
        <v>176</v>
      </c>
      <c r="AF58" s="185" t="s">
        <v>176</v>
      </c>
      <c r="AG58" s="185" t="s">
        <v>176</v>
      </c>
      <c r="AH58" s="185" t="s">
        <v>176</v>
      </c>
      <c r="AI58" s="185">
        <v>3</v>
      </c>
      <c r="AJ58" s="185" t="s">
        <v>176</v>
      </c>
      <c r="AK58" s="185" t="s">
        <v>176</v>
      </c>
      <c r="AL58" s="185" t="s">
        <v>176</v>
      </c>
      <c r="AM58" s="185" t="s">
        <v>176</v>
      </c>
      <c r="AN58" s="185">
        <v>2</v>
      </c>
      <c r="AO58" s="185" t="s">
        <v>176</v>
      </c>
      <c r="AP58" s="185" t="s">
        <v>176</v>
      </c>
      <c r="AQ58" s="185" t="s">
        <v>176</v>
      </c>
      <c r="AR58" s="185">
        <v>1</v>
      </c>
      <c r="AS58" s="185">
        <v>3</v>
      </c>
      <c r="AT58" s="185">
        <v>3</v>
      </c>
      <c r="AU58" s="185">
        <v>3</v>
      </c>
      <c r="AV58" s="185" t="s">
        <v>176</v>
      </c>
      <c r="AW58" s="185">
        <v>1</v>
      </c>
      <c r="AX58" s="185">
        <v>1</v>
      </c>
      <c r="AY58" s="185">
        <v>1</v>
      </c>
      <c r="AZ58" s="185" t="s">
        <v>176</v>
      </c>
      <c r="BA58" s="185" t="s">
        <v>176</v>
      </c>
      <c r="BB58" s="185" t="s">
        <v>176</v>
      </c>
      <c r="BC58" s="185" t="s">
        <v>176</v>
      </c>
      <c r="BD58" s="185"/>
      <c r="BE58" s="185" t="s">
        <v>176</v>
      </c>
      <c r="BF58" s="185" t="s">
        <v>176</v>
      </c>
      <c r="BG58" s="185" t="s">
        <v>176</v>
      </c>
      <c r="BH58" s="185" t="s">
        <v>176</v>
      </c>
      <c r="BI58" s="185" t="s">
        <v>176</v>
      </c>
      <c r="BJ58" s="185" t="s">
        <v>176</v>
      </c>
      <c r="BK58" s="185" t="s">
        <v>176</v>
      </c>
      <c r="BL58" s="185" t="s">
        <v>176</v>
      </c>
      <c r="BM58" s="185" t="s">
        <v>176</v>
      </c>
      <c r="BN58" s="185" t="s">
        <v>176</v>
      </c>
      <c r="BO58" s="185" t="s">
        <v>176</v>
      </c>
      <c r="BP58" s="185" t="s">
        <v>176</v>
      </c>
      <c r="BQ58" s="185" t="s">
        <v>176</v>
      </c>
      <c r="BR58" s="185" t="s">
        <v>176</v>
      </c>
      <c r="BS58" s="185" t="s">
        <v>176</v>
      </c>
      <c r="BT58" s="185" t="s">
        <v>176</v>
      </c>
      <c r="BU58" s="185" t="s">
        <v>176</v>
      </c>
      <c r="BV58" s="185" t="s">
        <v>176</v>
      </c>
      <c r="BW58" s="185" t="s">
        <v>176</v>
      </c>
      <c r="BX58" s="185" t="s">
        <v>176</v>
      </c>
      <c r="BY58" s="185" t="s">
        <v>176</v>
      </c>
      <c r="BZ58" s="185" t="s">
        <v>176</v>
      </c>
      <c r="CA58" s="185" t="s">
        <v>176</v>
      </c>
      <c r="CB58" s="185" t="s">
        <v>176</v>
      </c>
      <c r="CC58" s="185" t="s">
        <v>176</v>
      </c>
      <c r="CD58" s="185" t="s">
        <v>176</v>
      </c>
      <c r="CE58" s="185" t="s">
        <v>176</v>
      </c>
      <c r="CF58" s="185" t="s">
        <v>176</v>
      </c>
      <c r="CG58" s="185">
        <v>2</v>
      </c>
      <c r="CH58" s="185" t="s">
        <v>176</v>
      </c>
      <c r="CI58" s="185" t="s">
        <v>176</v>
      </c>
      <c r="CJ58" s="185" t="s">
        <v>176</v>
      </c>
      <c r="CK58" s="185">
        <v>1</v>
      </c>
      <c r="CL58" s="185">
        <v>1</v>
      </c>
      <c r="CM58" s="185">
        <v>1</v>
      </c>
      <c r="CN58" s="185">
        <v>1</v>
      </c>
      <c r="CO58" s="185" t="s">
        <v>176</v>
      </c>
      <c r="CP58" s="185" t="s">
        <v>176</v>
      </c>
      <c r="CQ58" s="185" t="s">
        <v>176</v>
      </c>
      <c r="CR58" s="185" t="s">
        <v>176</v>
      </c>
      <c r="CS58" s="185" t="s">
        <v>176</v>
      </c>
      <c r="CT58" s="185" t="s">
        <v>176</v>
      </c>
      <c r="CU58" s="185" t="s">
        <v>176</v>
      </c>
      <c r="CV58" s="185" t="s">
        <v>176</v>
      </c>
      <c r="CW58" s="185" t="s">
        <v>176</v>
      </c>
      <c r="CX58" s="185" t="s">
        <v>176</v>
      </c>
      <c r="CY58" s="185" t="s">
        <v>176</v>
      </c>
      <c r="CZ58" s="185" t="s">
        <v>176</v>
      </c>
      <c r="DA58" s="185" t="s">
        <v>176</v>
      </c>
      <c r="DB58" s="185" t="s">
        <v>176</v>
      </c>
      <c r="DC58" s="185" t="s">
        <v>176</v>
      </c>
      <c r="DD58" s="185" t="s">
        <v>176</v>
      </c>
      <c r="DE58" s="185" t="s">
        <v>176</v>
      </c>
      <c r="DF58" s="185" t="s">
        <v>176</v>
      </c>
      <c r="DG58" s="185" t="s">
        <v>176</v>
      </c>
      <c r="DH58" s="185" t="s">
        <v>176</v>
      </c>
      <c r="DI58" s="185" t="s">
        <v>176</v>
      </c>
      <c r="DJ58" s="185" t="s">
        <v>176</v>
      </c>
      <c r="DK58" s="185" t="s">
        <v>176</v>
      </c>
      <c r="DL58" s="185" t="s">
        <v>176</v>
      </c>
      <c r="DM58" s="185" t="s">
        <v>176</v>
      </c>
      <c r="DN58" s="185" t="s">
        <v>176</v>
      </c>
      <c r="DO58" s="185" t="s">
        <v>176</v>
      </c>
      <c r="DP58" s="185" t="s">
        <v>176</v>
      </c>
      <c r="DQ58" s="185" t="s">
        <v>176</v>
      </c>
      <c r="DR58" s="185" t="s">
        <v>176</v>
      </c>
      <c r="DS58" s="185" t="s">
        <v>176</v>
      </c>
      <c r="DT58" s="185" t="s">
        <v>176</v>
      </c>
      <c r="DU58" s="185" t="s">
        <v>176</v>
      </c>
      <c r="DV58" s="185" t="s">
        <v>176</v>
      </c>
      <c r="DW58" s="185" t="s">
        <v>176</v>
      </c>
      <c r="DX58" s="185" t="s">
        <v>176</v>
      </c>
      <c r="DY58" s="185" t="s">
        <v>176</v>
      </c>
      <c r="DZ58" s="185" t="s">
        <v>176</v>
      </c>
      <c r="EA58" s="185" t="s">
        <v>176</v>
      </c>
      <c r="EB58" s="185" t="s">
        <v>176</v>
      </c>
      <c r="EC58" s="185" t="s">
        <v>176</v>
      </c>
      <c r="ED58" s="185" t="s">
        <v>176</v>
      </c>
      <c r="EE58" s="185" t="s">
        <v>176</v>
      </c>
      <c r="EF58" s="185" t="s">
        <v>176</v>
      </c>
      <c r="EG58" s="185" t="s">
        <v>176</v>
      </c>
      <c r="EH58" s="185" t="s">
        <v>176</v>
      </c>
      <c r="EI58" s="185" t="s">
        <v>176</v>
      </c>
      <c r="EJ58" s="185" t="s">
        <v>176</v>
      </c>
      <c r="EK58" s="185" t="s">
        <v>176</v>
      </c>
      <c r="EL58" s="185" t="s">
        <v>176</v>
      </c>
      <c r="EM58" s="185" t="s">
        <v>176</v>
      </c>
      <c r="EN58" s="185" t="s">
        <v>176</v>
      </c>
      <c r="EO58" s="185" t="s">
        <v>176</v>
      </c>
      <c r="EP58" s="185" t="s">
        <v>176</v>
      </c>
      <c r="EQ58" s="185" t="s">
        <v>176</v>
      </c>
      <c r="ER58" s="185" t="s">
        <v>176</v>
      </c>
      <c r="ES58" s="185" t="s">
        <v>176</v>
      </c>
      <c r="ET58" s="185" t="s">
        <v>176</v>
      </c>
      <c r="EU58" s="406" t="s">
        <v>176</v>
      </c>
      <c r="EV58" s="185" t="s">
        <v>176</v>
      </c>
      <c r="EW58" s="185">
        <v>2</v>
      </c>
      <c r="EX58" s="185">
        <v>2</v>
      </c>
      <c r="EY58" s="185">
        <v>2</v>
      </c>
      <c r="EZ58" s="185">
        <v>2</v>
      </c>
      <c r="FA58" s="185" t="s">
        <v>176</v>
      </c>
      <c r="FB58" s="185">
        <v>3</v>
      </c>
      <c r="FC58" s="185">
        <v>3</v>
      </c>
      <c r="FD58" s="185">
        <v>3</v>
      </c>
      <c r="FE58" s="185">
        <v>3</v>
      </c>
      <c r="FF58" s="185">
        <v>3</v>
      </c>
      <c r="FG58" s="185">
        <v>3</v>
      </c>
      <c r="FH58" s="185">
        <v>3</v>
      </c>
      <c r="FI58" s="185">
        <v>3</v>
      </c>
      <c r="FJ58" s="185">
        <v>3</v>
      </c>
      <c r="FK58" s="185">
        <v>3</v>
      </c>
      <c r="FL58" s="185">
        <v>3</v>
      </c>
      <c r="FM58" s="185">
        <v>3</v>
      </c>
      <c r="FN58" s="185">
        <v>3</v>
      </c>
      <c r="FO58" s="185" t="s">
        <v>176</v>
      </c>
      <c r="FP58" s="185" t="s">
        <v>176</v>
      </c>
      <c r="FQ58" s="185" t="s">
        <v>387</v>
      </c>
      <c r="FR58" s="185" t="s">
        <v>176</v>
      </c>
      <c r="FS58" s="185" t="s">
        <v>176</v>
      </c>
      <c r="FT58" s="185" t="s">
        <v>176</v>
      </c>
      <c r="FU58" s="185" t="s">
        <v>176</v>
      </c>
      <c r="FV58" s="185" t="s">
        <v>176</v>
      </c>
      <c r="FW58" s="185" t="s">
        <v>176</v>
      </c>
      <c r="FX58" s="185" t="s">
        <v>176</v>
      </c>
      <c r="FY58" s="185" t="s">
        <v>176</v>
      </c>
      <c r="FZ58" s="185" t="s">
        <v>176</v>
      </c>
      <c r="GA58" s="185" t="s">
        <v>176</v>
      </c>
      <c r="GB58" s="185" t="s">
        <v>176</v>
      </c>
      <c r="GC58" s="185" t="s">
        <v>176</v>
      </c>
      <c r="GD58" s="185" t="s">
        <v>176</v>
      </c>
      <c r="GE58" s="185" t="s">
        <v>176</v>
      </c>
      <c r="GF58" s="185" t="s">
        <v>176</v>
      </c>
      <c r="GG58" s="185" t="s">
        <v>176</v>
      </c>
      <c r="GH58" s="185" t="s">
        <v>176</v>
      </c>
      <c r="GI58" s="185" t="s">
        <v>176</v>
      </c>
      <c r="GJ58" s="263">
        <f t="shared" si="1"/>
        <v>111</v>
      </c>
    </row>
    <row r="59" spans="1:192" ht="25.5" customHeight="1" x14ac:dyDescent="0.25">
      <c r="A59" s="258" t="s">
        <v>227</v>
      </c>
      <c r="B59" s="283" t="s">
        <v>663</v>
      </c>
      <c r="C59" s="283" t="s">
        <v>254</v>
      </c>
      <c r="D59" s="185">
        <v>2</v>
      </c>
      <c r="E59" s="185">
        <v>2</v>
      </c>
      <c r="F59" s="185">
        <v>3</v>
      </c>
      <c r="G59" s="185">
        <v>2</v>
      </c>
      <c r="H59" s="185">
        <v>2</v>
      </c>
      <c r="I59" s="185">
        <v>3</v>
      </c>
      <c r="J59" s="185">
        <v>2</v>
      </c>
      <c r="K59" s="185">
        <v>2</v>
      </c>
      <c r="L59" s="185">
        <v>3</v>
      </c>
      <c r="M59" s="185">
        <v>3</v>
      </c>
      <c r="N59" s="185">
        <v>2</v>
      </c>
      <c r="O59" s="185">
        <v>3</v>
      </c>
      <c r="P59" s="185">
        <v>2</v>
      </c>
      <c r="Q59" s="185">
        <v>3</v>
      </c>
      <c r="R59" s="185" t="s">
        <v>176</v>
      </c>
      <c r="S59" s="185" t="s">
        <v>176</v>
      </c>
      <c r="T59" s="185" t="s">
        <v>176</v>
      </c>
      <c r="U59" s="185" t="s">
        <v>176</v>
      </c>
      <c r="V59" s="185" t="s">
        <v>176</v>
      </c>
      <c r="W59" s="185" t="s">
        <v>176</v>
      </c>
      <c r="X59" s="185" t="s">
        <v>176</v>
      </c>
      <c r="Y59" s="185">
        <v>2</v>
      </c>
      <c r="Z59" s="185">
        <v>1</v>
      </c>
      <c r="AA59" s="185">
        <v>1</v>
      </c>
      <c r="AB59" s="185">
        <v>1</v>
      </c>
      <c r="AC59" s="185">
        <v>1</v>
      </c>
      <c r="AD59" s="185" t="s">
        <v>176</v>
      </c>
      <c r="AE59" s="185" t="s">
        <v>176</v>
      </c>
      <c r="AF59" s="185" t="s">
        <v>176</v>
      </c>
      <c r="AG59" s="185" t="s">
        <v>176</v>
      </c>
      <c r="AH59" s="185" t="s">
        <v>176</v>
      </c>
      <c r="AI59" s="185">
        <v>3</v>
      </c>
      <c r="AJ59" s="185" t="s">
        <v>176</v>
      </c>
      <c r="AK59" s="185" t="s">
        <v>176</v>
      </c>
      <c r="AL59" s="185" t="s">
        <v>176</v>
      </c>
      <c r="AM59" s="185" t="s">
        <v>176</v>
      </c>
      <c r="AN59" s="185">
        <v>2</v>
      </c>
      <c r="AO59" s="185" t="s">
        <v>176</v>
      </c>
      <c r="AP59" s="185" t="s">
        <v>176</v>
      </c>
      <c r="AQ59" s="185" t="s">
        <v>176</v>
      </c>
      <c r="AR59" s="185">
        <v>1</v>
      </c>
      <c r="AS59" s="185">
        <v>3</v>
      </c>
      <c r="AT59" s="185">
        <v>3</v>
      </c>
      <c r="AU59" s="185">
        <v>3</v>
      </c>
      <c r="AV59" s="185" t="s">
        <v>176</v>
      </c>
      <c r="AW59" s="185">
        <v>1</v>
      </c>
      <c r="AX59" s="185">
        <v>1</v>
      </c>
      <c r="AY59" s="185">
        <v>1</v>
      </c>
      <c r="AZ59" s="185" t="s">
        <v>176</v>
      </c>
      <c r="BA59" s="185" t="s">
        <v>176</v>
      </c>
      <c r="BB59" s="185" t="s">
        <v>176</v>
      </c>
      <c r="BC59" s="185" t="s">
        <v>176</v>
      </c>
      <c r="BD59" s="185" t="s">
        <v>176</v>
      </c>
      <c r="BE59" s="185" t="s">
        <v>176</v>
      </c>
      <c r="BF59" s="185" t="s">
        <v>176</v>
      </c>
      <c r="BG59" s="185" t="s">
        <v>176</v>
      </c>
      <c r="BH59" s="185" t="s">
        <v>176</v>
      </c>
      <c r="BI59" s="185" t="s">
        <v>176</v>
      </c>
      <c r="BJ59" s="185" t="s">
        <v>176</v>
      </c>
      <c r="BK59" s="185" t="s">
        <v>176</v>
      </c>
      <c r="BL59" s="185" t="s">
        <v>176</v>
      </c>
      <c r="BM59" s="185" t="s">
        <v>176</v>
      </c>
      <c r="BN59" s="185" t="s">
        <v>176</v>
      </c>
      <c r="BO59" s="185" t="s">
        <v>176</v>
      </c>
      <c r="BP59" s="185" t="s">
        <v>176</v>
      </c>
      <c r="BQ59" s="185" t="s">
        <v>176</v>
      </c>
      <c r="BR59" s="185" t="s">
        <v>176</v>
      </c>
      <c r="BS59" s="185" t="s">
        <v>176</v>
      </c>
      <c r="BT59" s="185" t="s">
        <v>176</v>
      </c>
      <c r="BU59" s="185" t="s">
        <v>176</v>
      </c>
      <c r="BV59" s="185" t="s">
        <v>176</v>
      </c>
      <c r="BW59" s="185" t="s">
        <v>176</v>
      </c>
      <c r="BX59" s="185" t="s">
        <v>176</v>
      </c>
      <c r="BY59" s="185" t="s">
        <v>176</v>
      </c>
      <c r="BZ59" s="185" t="s">
        <v>176</v>
      </c>
      <c r="CA59" s="185" t="s">
        <v>176</v>
      </c>
      <c r="CB59" s="185" t="s">
        <v>176</v>
      </c>
      <c r="CC59" s="185" t="s">
        <v>176</v>
      </c>
      <c r="CD59" s="185" t="s">
        <v>176</v>
      </c>
      <c r="CE59" s="185" t="s">
        <v>176</v>
      </c>
      <c r="CF59" s="185" t="s">
        <v>176</v>
      </c>
      <c r="CG59" s="185">
        <v>2</v>
      </c>
      <c r="CH59" s="185" t="s">
        <v>176</v>
      </c>
      <c r="CI59" s="185" t="s">
        <v>176</v>
      </c>
      <c r="CJ59" s="185" t="s">
        <v>176</v>
      </c>
      <c r="CK59" s="185">
        <v>1</v>
      </c>
      <c r="CL59" s="185">
        <v>1</v>
      </c>
      <c r="CM59" s="185">
        <v>1</v>
      </c>
      <c r="CN59" s="185">
        <v>1</v>
      </c>
      <c r="CO59" s="185" t="s">
        <v>176</v>
      </c>
      <c r="CP59" s="185" t="s">
        <v>176</v>
      </c>
      <c r="CQ59" s="185" t="s">
        <v>176</v>
      </c>
      <c r="CR59" s="185" t="s">
        <v>176</v>
      </c>
      <c r="CS59" s="185" t="s">
        <v>176</v>
      </c>
      <c r="CT59" s="185" t="s">
        <v>176</v>
      </c>
      <c r="CU59" s="185" t="s">
        <v>176</v>
      </c>
      <c r="CV59" s="185" t="s">
        <v>176</v>
      </c>
      <c r="CW59" s="185" t="s">
        <v>176</v>
      </c>
      <c r="CX59" s="185" t="s">
        <v>176</v>
      </c>
      <c r="CY59" s="185" t="s">
        <v>176</v>
      </c>
      <c r="CZ59" s="185" t="s">
        <v>176</v>
      </c>
      <c r="DA59" s="185" t="s">
        <v>176</v>
      </c>
      <c r="DB59" s="185" t="s">
        <v>176</v>
      </c>
      <c r="DC59" s="185" t="s">
        <v>176</v>
      </c>
      <c r="DD59" s="185" t="s">
        <v>176</v>
      </c>
      <c r="DE59" s="185" t="s">
        <v>176</v>
      </c>
      <c r="DF59" s="185" t="s">
        <v>176</v>
      </c>
      <c r="DG59" s="185" t="s">
        <v>176</v>
      </c>
      <c r="DH59" s="185" t="s">
        <v>176</v>
      </c>
      <c r="DI59" s="185" t="s">
        <v>176</v>
      </c>
      <c r="DJ59" s="185" t="s">
        <v>176</v>
      </c>
      <c r="DK59" s="185" t="s">
        <v>176</v>
      </c>
      <c r="DL59" s="185" t="s">
        <v>176</v>
      </c>
      <c r="DM59" s="185" t="s">
        <v>176</v>
      </c>
      <c r="DN59" s="185" t="s">
        <v>176</v>
      </c>
      <c r="DO59" s="185" t="s">
        <v>176</v>
      </c>
      <c r="DP59" s="185" t="s">
        <v>176</v>
      </c>
      <c r="DQ59" s="185" t="s">
        <v>176</v>
      </c>
      <c r="DR59" s="185" t="s">
        <v>176</v>
      </c>
      <c r="DS59" s="185" t="s">
        <v>176</v>
      </c>
      <c r="DT59" s="185" t="s">
        <v>176</v>
      </c>
      <c r="DU59" s="185" t="s">
        <v>176</v>
      </c>
      <c r="DV59" s="185" t="s">
        <v>176</v>
      </c>
      <c r="DW59" s="185" t="s">
        <v>176</v>
      </c>
      <c r="DX59" s="185" t="s">
        <v>176</v>
      </c>
      <c r="DY59" s="185" t="s">
        <v>176</v>
      </c>
      <c r="DZ59" s="185" t="s">
        <v>176</v>
      </c>
      <c r="EA59" s="185" t="s">
        <v>176</v>
      </c>
      <c r="EB59" s="185" t="s">
        <v>176</v>
      </c>
      <c r="EC59" s="185" t="s">
        <v>176</v>
      </c>
      <c r="ED59" s="185" t="s">
        <v>176</v>
      </c>
      <c r="EE59" s="185" t="s">
        <v>176</v>
      </c>
      <c r="EF59" s="185" t="s">
        <v>176</v>
      </c>
      <c r="EG59" s="185" t="s">
        <v>176</v>
      </c>
      <c r="EH59" s="185" t="s">
        <v>176</v>
      </c>
      <c r="EI59" s="185" t="s">
        <v>176</v>
      </c>
      <c r="EJ59" s="185" t="s">
        <v>176</v>
      </c>
      <c r="EK59" s="185" t="s">
        <v>176</v>
      </c>
      <c r="EL59" s="185" t="s">
        <v>176</v>
      </c>
      <c r="EM59" s="185" t="s">
        <v>176</v>
      </c>
      <c r="EN59" s="185" t="s">
        <v>176</v>
      </c>
      <c r="EO59" s="185" t="s">
        <v>176</v>
      </c>
      <c r="EP59" s="185" t="s">
        <v>176</v>
      </c>
      <c r="EQ59" s="185" t="s">
        <v>176</v>
      </c>
      <c r="ER59" s="185" t="s">
        <v>176</v>
      </c>
      <c r="ES59" s="185" t="s">
        <v>176</v>
      </c>
      <c r="ET59" s="185" t="s">
        <v>176</v>
      </c>
      <c r="EU59" s="406" t="s">
        <v>176</v>
      </c>
      <c r="EV59" s="185" t="s">
        <v>176</v>
      </c>
      <c r="EW59" s="185">
        <v>2</v>
      </c>
      <c r="EX59" s="185">
        <v>2</v>
      </c>
      <c r="EY59" s="185">
        <v>2</v>
      </c>
      <c r="EZ59" s="185">
        <v>2</v>
      </c>
      <c r="FA59" s="185" t="s">
        <v>176</v>
      </c>
      <c r="FB59" s="185">
        <v>3</v>
      </c>
      <c r="FC59" s="185">
        <v>3</v>
      </c>
      <c r="FD59" s="185">
        <v>3</v>
      </c>
      <c r="FE59" s="185">
        <v>3</v>
      </c>
      <c r="FF59" s="185">
        <v>3</v>
      </c>
      <c r="FG59" s="185">
        <v>3</v>
      </c>
      <c r="FH59" s="185">
        <v>3</v>
      </c>
      <c r="FI59" s="185">
        <v>3</v>
      </c>
      <c r="FJ59" s="185">
        <v>3</v>
      </c>
      <c r="FK59" s="185">
        <v>3</v>
      </c>
      <c r="FL59" s="185">
        <v>3</v>
      </c>
      <c r="FM59" s="185">
        <v>3</v>
      </c>
      <c r="FN59" s="185">
        <v>3</v>
      </c>
      <c r="FO59" s="185" t="s">
        <v>176</v>
      </c>
      <c r="FP59" s="185" t="s">
        <v>176</v>
      </c>
      <c r="FQ59" s="185" t="s">
        <v>387</v>
      </c>
      <c r="FR59" s="185" t="s">
        <v>176</v>
      </c>
      <c r="FS59" s="185" t="s">
        <v>176</v>
      </c>
      <c r="FT59" s="185" t="s">
        <v>176</v>
      </c>
      <c r="FU59" s="185" t="s">
        <v>176</v>
      </c>
      <c r="FV59" s="185" t="s">
        <v>176</v>
      </c>
      <c r="FW59" s="185" t="s">
        <v>176</v>
      </c>
      <c r="FX59" s="185" t="s">
        <v>176</v>
      </c>
      <c r="FY59" s="185" t="s">
        <v>176</v>
      </c>
      <c r="FZ59" s="185" t="s">
        <v>176</v>
      </c>
      <c r="GA59" s="185" t="s">
        <v>176</v>
      </c>
      <c r="GB59" s="185" t="s">
        <v>176</v>
      </c>
      <c r="GC59" s="185" t="s">
        <v>176</v>
      </c>
      <c r="GD59" s="185" t="s">
        <v>176</v>
      </c>
      <c r="GE59" s="185" t="s">
        <v>176</v>
      </c>
      <c r="GF59" s="185" t="s">
        <v>176</v>
      </c>
      <c r="GG59" s="185" t="s">
        <v>176</v>
      </c>
      <c r="GH59" s="185" t="s">
        <v>176</v>
      </c>
      <c r="GI59" s="185" t="s">
        <v>176</v>
      </c>
      <c r="GJ59" s="263">
        <f t="shared" si="1"/>
        <v>111</v>
      </c>
    </row>
    <row r="60" spans="1:192" ht="25.5" customHeight="1" x14ac:dyDescent="0.25">
      <c r="A60" s="258" t="s">
        <v>227</v>
      </c>
      <c r="B60" s="266" t="s">
        <v>195</v>
      </c>
      <c r="C60" s="261" t="s">
        <v>766</v>
      </c>
      <c r="D60" s="185">
        <v>2</v>
      </c>
      <c r="E60" s="185">
        <v>2</v>
      </c>
      <c r="F60" s="185">
        <v>3</v>
      </c>
      <c r="G60" s="185">
        <v>2</v>
      </c>
      <c r="H60" s="185">
        <v>2</v>
      </c>
      <c r="I60" s="185">
        <v>1</v>
      </c>
      <c r="J60" s="185" t="s">
        <v>176</v>
      </c>
      <c r="K60" s="185" t="s">
        <v>176</v>
      </c>
      <c r="L60" s="185">
        <v>2</v>
      </c>
      <c r="M60" s="185">
        <v>2</v>
      </c>
      <c r="N60" s="185" t="s">
        <v>176</v>
      </c>
      <c r="O60" s="185" t="s">
        <v>176</v>
      </c>
      <c r="P60" s="185">
        <v>2</v>
      </c>
      <c r="Q60" s="185">
        <v>2</v>
      </c>
      <c r="R60" s="185">
        <v>1</v>
      </c>
      <c r="S60" s="185" t="s">
        <v>176</v>
      </c>
      <c r="T60" s="185">
        <v>2</v>
      </c>
      <c r="U60" s="185">
        <v>1</v>
      </c>
      <c r="V60" s="185" t="s">
        <v>176</v>
      </c>
      <c r="W60" s="185" t="s">
        <v>176</v>
      </c>
      <c r="X60" s="185" t="s">
        <v>176</v>
      </c>
      <c r="Y60" s="185">
        <v>2</v>
      </c>
      <c r="Z60" s="185">
        <v>2</v>
      </c>
      <c r="AA60" s="185">
        <v>2</v>
      </c>
      <c r="AB60" s="185">
        <v>2</v>
      </c>
      <c r="AC60" s="185">
        <v>2</v>
      </c>
      <c r="AD60" s="185">
        <v>2</v>
      </c>
      <c r="AE60" s="185">
        <v>2</v>
      </c>
      <c r="AF60" s="185">
        <v>1</v>
      </c>
      <c r="AG60" s="185" t="s">
        <v>176</v>
      </c>
      <c r="AH60" s="185" t="s">
        <v>176</v>
      </c>
      <c r="AI60" s="185">
        <v>2</v>
      </c>
      <c r="AJ60" s="185">
        <v>2</v>
      </c>
      <c r="AK60" s="185">
        <v>2</v>
      </c>
      <c r="AL60" s="185">
        <v>1</v>
      </c>
      <c r="AM60" s="185">
        <v>2</v>
      </c>
      <c r="AN60" s="185">
        <v>2</v>
      </c>
      <c r="AO60" s="185">
        <v>1</v>
      </c>
      <c r="AP60" s="185">
        <v>1</v>
      </c>
      <c r="AQ60" s="185" t="s">
        <v>176</v>
      </c>
      <c r="AR60" s="185">
        <v>2</v>
      </c>
      <c r="AS60" s="185">
        <v>2</v>
      </c>
      <c r="AT60" s="185">
        <v>1</v>
      </c>
      <c r="AU60" s="185">
        <v>2</v>
      </c>
      <c r="AV60" s="185" t="s">
        <v>176</v>
      </c>
      <c r="AW60" s="185">
        <v>3</v>
      </c>
      <c r="AX60" s="185">
        <v>3</v>
      </c>
      <c r="AY60" s="185">
        <v>3</v>
      </c>
      <c r="AZ60" s="185">
        <v>3</v>
      </c>
      <c r="BA60" s="185">
        <v>2</v>
      </c>
      <c r="BB60" s="185">
        <v>3</v>
      </c>
      <c r="BC60" s="185">
        <v>3</v>
      </c>
      <c r="BD60" s="185"/>
      <c r="BE60" s="185">
        <v>1</v>
      </c>
      <c r="BF60" s="185">
        <v>1</v>
      </c>
      <c r="BG60" s="185">
        <v>3</v>
      </c>
      <c r="BH60" s="185">
        <v>2</v>
      </c>
      <c r="BI60" s="185">
        <v>2</v>
      </c>
      <c r="BJ60" s="185">
        <v>3</v>
      </c>
      <c r="BK60" s="185">
        <v>1</v>
      </c>
      <c r="BL60" s="185" t="s">
        <v>176</v>
      </c>
      <c r="BM60" s="185" t="s">
        <v>176</v>
      </c>
      <c r="BN60" s="185" t="s">
        <v>176</v>
      </c>
      <c r="BO60" s="185" t="s">
        <v>176</v>
      </c>
      <c r="BP60" s="185" t="s">
        <v>176</v>
      </c>
      <c r="BQ60" s="185" t="s">
        <v>176</v>
      </c>
      <c r="BR60" s="185" t="s">
        <v>176</v>
      </c>
      <c r="BS60" s="185" t="s">
        <v>176</v>
      </c>
      <c r="BT60" s="185" t="s">
        <v>176</v>
      </c>
      <c r="BU60" s="185" t="s">
        <v>176</v>
      </c>
      <c r="BV60" s="185" t="s">
        <v>176</v>
      </c>
      <c r="BW60" s="185" t="s">
        <v>176</v>
      </c>
      <c r="BX60" s="185" t="s">
        <v>176</v>
      </c>
      <c r="BY60" s="185" t="s">
        <v>176</v>
      </c>
      <c r="BZ60" s="185" t="s">
        <v>176</v>
      </c>
      <c r="CA60" s="185" t="s">
        <v>176</v>
      </c>
      <c r="CB60" s="185" t="s">
        <v>176</v>
      </c>
      <c r="CC60" s="185" t="s">
        <v>176</v>
      </c>
      <c r="CD60" s="185" t="s">
        <v>176</v>
      </c>
      <c r="CE60" s="185" t="s">
        <v>176</v>
      </c>
      <c r="CF60" s="185" t="s">
        <v>176</v>
      </c>
      <c r="CG60" s="185">
        <v>2</v>
      </c>
      <c r="CH60" s="185">
        <v>1</v>
      </c>
      <c r="CI60" s="185">
        <v>1</v>
      </c>
      <c r="CJ60" s="185">
        <v>1</v>
      </c>
      <c r="CK60" s="185">
        <v>2</v>
      </c>
      <c r="CL60" s="185">
        <v>2</v>
      </c>
      <c r="CM60" s="185">
        <v>2</v>
      </c>
      <c r="CN60" s="185">
        <v>2</v>
      </c>
      <c r="CO60" s="185">
        <v>2</v>
      </c>
      <c r="CP60" s="185">
        <v>3</v>
      </c>
      <c r="CQ60" s="185">
        <v>1</v>
      </c>
      <c r="CR60" s="185">
        <v>1</v>
      </c>
      <c r="CS60" s="185" t="s">
        <v>176</v>
      </c>
      <c r="CT60" s="185" t="s">
        <v>176</v>
      </c>
      <c r="CU60" s="185" t="s">
        <v>176</v>
      </c>
      <c r="CV60" s="189" t="s">
        <v>176</v>
      </c>
      <c r="CW60" s="189" t="s">
        <v>176</v>
      </c>
      <c r="CX60" s="189" t="s">
        <v>176</v>
      </c>
      <c r="CY60" s="189" t="s">
        <v>176</v>
      </c>
      <c r="CZ60" s="185" t="s">
        <v>176</v>
      </c>
      <c r="DA60" s="185" t="s">
        <v>176</v>
      </c>
      <c r="DB60" s="185" t="s">
        <v>176</v>
      </c>
      <c r="DC60" s="185" t="s">
        <v>176</v>
      </c>
      <c r="DD60" s="185" t="s">
        <v>176</v>
      </c>
      <c r="DE60" s="185" t="s">
        <v>176</v>
      </c>
      <c r="DF60" s="185" t="s">
        <v>176</v>
      </c>
      <c r="DG60" s="185" t="s">
        <v>176</v>
      </c>
      <c r="DH60" s="185" t="s">
        <v>176</v>
      </c>
      <c r="DI60" s="185" t="s">
        <v>176</v>
      </c>
      <c r="DJ60" s="185" t="s">
        <v>176</v>
      </c>
      <c r="DK60" s="185" t="s">
        <v>176</v>
      </c>
      <c r="DL60" s="185" t="s">
        <v>176</v>
      </c>
      <c r="DM60" s="185" t="s">
        <v>176</v>
      </c>
      <c r="DN60" s="185" t="s">
        <v>176</v>
      </c>
      <c r="DO60" s="185" t="s">
        <v>176</v>
      </c>
      <c r="DP60" s="185" t="s">
        <v>176</v>
      </c>
      <c r="DQ60" s="185" t="s">
        <v>176</v>
      </c>
      <c r="DR60" s="185" t="s">
        <v>176</v>
      </c>
      <c r="DS60" s="185" t="s">
        <v>176</v>
      </c>
      <c r="DT60" s="185" t="s">
        <v>176</v>
      </c>
      <c r="DU60" s="185" t="s">
        <v>176</v>
      </c>
      <c r="DV60" s="185" t="s">
        <v>176</v>
      </c>
      <c r="DW60" s="185" t="s">
        <v>176</v>
      </c>
      <c r="DX60" s="185" t="s">
        <v>176</v>
      </c>
      <c r="DY60" s="185" t="s">
        <v>176</v>
      </c>
      <c r="DZ60" s="185" t="s">
        <v>176</v>
      </c>
      <c r="EA60" s="185" t="s">
        <v>176</v>
      </c>
      <c r="EB60" s="185" t="s">
        <v>176</v>
      </c>
      <c r="EC60" s="185" t="s">
        <v>176</v>
      </c>
      <c r="ED60" s="185" t="s">
        <v>176</v>
      </c>
      <c r="EE60" s="185" t="s">
        <v>176</v>
      </c>
      <c r="EF60" s="185" t="s">
        <v>176</v>
      </c>
      <c r="EG60" s="185" t="s">
        <v>176</v>
      </c>
      <c r="EH60" s="185" t="s">
        <v>176</v>
      </c>
      <c r="EI60" s="185" t="s">
        <v>176</v>
      </c>
      <c r="EJ60" s="185" t="s">
        <v>176</v>
      </c>
      <c r="EK60" s="185" t="s">
        <v>176</v>
      </c>
      <c r="EL60" s="185" t="s">
        <v>176</v>
      </c>
      <c r="EM60" s="185" t="s">
        <v>176</v>
      </c>
      <c r="EN60" s="185" t="s">
        <v>176</v>
      </c>
      <c r="EO60" s="185" t="s">
        <v>176</v>
      </c>
      <c r="EP60" s="185" t="s">
        <v>176</v>
      </c>
      <c r="EQ60" s="185" t="s">
        <v>176</v>
      </c>
      <c r="ER60" s="185" t="s">
        <v>176</v>
      </c>
      <c r="ES60" s="185" t="s">
        <v>176</v>
      </c>
      <c r="ET60" s="185" t="s">
        <v>176</v>
      </c>
      <c r="EU60" s="406" t="s">
        <v>176</v>
      </c>
      <c r="EV60" s="185" t="s">
        <v>176</v>
      </c>
      <c r="EW60" s="185">
        <v>2</v>
      </c>
      <c r="EX60" s="185">
        <v>2</v>
      </c>
      <c r="EY60" s="185">
        <v>2</v>
      </c>
      <c r="EZ60" s="185">
        <v>2</v>
      </c>
      <c r="FA60" s="185" t="s">
        <v>176</v>
      </c>
      <c r="FB60" s="185">
        <v>3</v>
      </c>
      <c r="FC60" s="185">
        <v>3</v>
      </c>
      <c r="FD60" s="185">
        <v>3</v>
      </c>
      <c r="FE60" s="185">
        <v>3</v>
      </c>
      <c r="FF60" s="185">
        <v>3</v>
      </c>
      <c r="FG60" s="185">
        <v>3</v>
      </c>
      <c r="FH60" s="185">
        <v>3</v>
      </c>
      <c r="FI60" s="185">
        <v>3</v>
      </c>
      <c r="FJ60" s="185">
        <v>3</v>
      </c>
      <c r="FK60" s="185">
        <v>3</v>
      </c>
      <c r="FL60" s="185">
        <v>3</v>
      </c>
      <c r="FM60" s="185">
        <v>3</v>
      </c>
      <c r="FN60" s="185">
        <v>3</v>
      </c>
      <c r="FO60" s="185" t="s">
        <v>176</v>
      </c>
      <c r="FP60" s="185" t="s">
        <v>176</v>
      </c>
      <c r="FQ60" s="185" t="s">
        <v>160</v>
      </c>
      <c r="FR60" s="185" t="s">
        <v>176</v>
      </c>
      <c r="FS60" s="185" t="s">
        <v>176</v>
      </c>
      <c r="FT60" s="185" t="s">
        <v>176</v>
      </c>
      <c r="FU60" s="185" t="s">
        <v>176</v>
      </c>
      <c r="FV60" s="185" t="s">
        <v>176</v>
      </c>
      <c r="FW60" s="185" t="s">
        <v>176</v>
      </c>
      <c r="FX60" s="185" t="s">
        <v>176</v>
      </c>
      <c r="FY60" s="185" t="s">
        <v>160</v>
      </c>
      <c r="FZ60" s="185" t="s">
        <v>176</v>
      </c>
      <c r="GA60" s="185" t="s">
        <v>176</v>
      </c>
      <c r="GB60" s="185" t="s">
        <v>176</v>
      </c>
      <c r="GC60" s="185" t="s">
        <v>176</v>
      </c>
      <c r="GD60" s="185" t="s">
        <v>176</v>
      </c>
      <c r="GE60" s="185" t="s">
        <v>176</v>
      </c>
      <c r="GF60" s="185" t="s">
        <v>176</v>
      </c>
      <c r="GG60" s="185" t="s">
        <v>176</v>
      </c>
      <c r="GH60" s="185" t="s">
        <v>176</v>
      </c>
      <c r="GI60" s="185" t="s">
        <v>176</v>
      </c>
      <c r="GJ60" s="263">
        <f t="shared" si="1"/>
        <v>159</v>
      </c>
    </row>
    <row r="61" spans="1:192" ht="25.5" customHeight="1" x14ac:dyDescent="0.25">
      <c r="A61" s="258" t="s">
        <v>227</v>
      </c>
      <c r="B61" s="259" t="s">
        <v>198</v>
      </c>
      <c r="C61" s="261" t="s">
        <v>766</v>
      </c>
      <c r="D61" s="185">
        <v>2</v>
      </c>
      <c r="E61" s="185">
        <v>2</v>
      </c>
      <c r="F61" s="185">
        <v>3</v>
      </c>
      <c r="G61" s="185">
        <v>2</v>
      </c>
      <c r="H61" s="185">
        <v>2</v>
      </c>
      <c r="I61" s="185">
        <v>1</v>
      </c>
      <c r="J61" s="185" t="s">
        <v>176</v>
      </c>
      <c r="K61" s="185" t="s">
        <v>176</v>
      </c>
      <c r="L61" s="185">
        <v>2</v>
      </c>
      <c r="M61" s="185">
        <v>2</v>
      </c>
      <c r="N61" s="185" t="s">
        <v>176</v>
      </c>
      <c r="O61" s="185" t="s">
        <v>176</v>
      </c>
      <c r="P61" s="185">
        <v>2</v>
      </c>
      <c r="Q61" s="185">
        <v>2</v>
      </c>
      <c r="R61" s="185" t="s">
        <v>176</v>
      </c>
      <c r="S61" s="185" t="s">
        <v>176</v>
      </c>
      <c r="T61" s="185" t="s">
        <v>176</v>
      </c>
      <c r="U61" s="185">
        <v>1</v>
      </c>
      <c r="V61" s="185" t="s">
        <v>176</v>
      </c>
      <c r="W61" s="185" t="s">
        <v>176</v>
      </c>
      <c r="X61" s="185">
        <v>1</v>
      </c>
      <c r="Y61" s="185">
        <v>2</v>
      </c>
      <c r="Z61" s="185">
        <v>1</v>
      </c>
      <c r="AA61" s="185">
        <v>1</v>
      </c>
      <c r="AB61" s="185">
        <v>2</v>
      </c>
      <c r="AC61" s="185">
        <v>2</v>
      </c>
      <c r="AD61" s="185">
        <v>1</v>
      </c>
      <c r="AE61" s="185">
        <v>1</v>
      </c>
      <c r="AF61" s="185" t="s">
        <v>176</v>
      </c>
      <c r="AG61" s="185">
        <v>1</v>
      </c>
      <c r="AH61" s="185">
        <v>1</v>
      </c>
      <c r="AI61" s="185">
        <v>3</v>
      </c>
      <c r="AJ61" s="185">
        <v>1</v>
      </c>
      <c r="AK61" s="185" t="s">
        <v>176</v>
      </c>
      <c r="AL61" s="185">
        <v>2</v>
      </c>
      <c r="AM61" s="194">
        <v>2</v>
      </c>
      <c r="AN61" s="194">
        <v>2</v>
      </c>
      <c r="AO61" s="185" t="s">
        <v>176</v>
      </c>
      <c r="AP61" s="185">
        <v>1</v>
      </c>
      <c r="AQ61" s="185">
        <v>1</v>
      </c>
      <c r="AR61" s="194">
        <v>2</v>
      </c>
      <c r="AS61" s="185">
        <v>3</v>
      </c>
      <c r="AT61" s="185">
        <v>3</v>
      </c>
      <c r="AU61" s="185">
        <v>3</v>
      </c>
      <c r="AV61" s="185">
        <v>1</v>
      </c>
      <c r="AW61" s="185">
        <v>3</v>
      </c>
      <c r="AX61" s="185">
        <v>3</v>
      </c>
      <c r="AY61" s="185">
        <v>3</v>
      </c>
      <c r="AZ61" s="185">
        <v>1</v>
      </c>
      <c r="BA61" s="185">
        <v>1</v>
      </c>
      <c r="BB61" s="185">
        <v>3</v>
      </c>
      <c r="BC61" s="185" t="s">
        <v>176</v>
      </c>
      <c r="BD61" s="185" t="s">
        <v>176</v>
      </c>
      <c r="BE61" s="185" t="s">
        <v>176</v>
      </c>
      <c r="BF61" s="185" t="s">
        <v>176</v>
      </c>
      <c r="BG61" s="185" t="s">
        <v>176</v>
      </c>
      <c r="BH61" s="185" t="s">
        <v>176</v>
      </c>
      <c r="BI61" s="185" t="s">
        <v>176</v>
      </c>
      <c r="BJ61" s="185" t="s">
        <v>176</v>
      </c>
      <c r="BK61" s="185">
        <v>3</v>
      </c>
      <c r="BL61" s="185">
        <v>2</v>
      </c>
      <c r="BM61" s="185">
        <v>2</v>
      </c>
      <c r="BN61" s="185">
        <v>2</v>
      </c>
      <c r="BO61" s="185">
        <v>2</v>
      </c>
      <c r="BP61" s="185">
        <v>2</v>
      </c>
      <c r="BQ61" s="185">
        <v>2</v>
      </c>
      <c r="BR61" s="185">
        <v>2</v>
      </c>
      <c r="BS61" s="185">
        <v>2</v>
      </c>
      <c r="BT61" s="185">
        <v>2</v>
      </c>
      <c r="BU61" s="185" t="s">
        <v>176</v>
      </c>
      <c r="BV61" s="185" t="s">
        <v>176</v>
      </c>
      <c r="BW61" s="185" t="s">
        <v>176</v>
      </c>
      <c r="BX61" s="185" t="s">
        <v>176</v>
      </c>
      <c r="BY61" s="185" t="s">
        <v>176</v>
      </c>
      <c r="BZ61" s="185" t="s">
        <v>176</v>
      </c>
      <c r="CA61" s="185" t="s">
        <v>176</v>
      </c>
      <c r="CB61" s="185" t="s">
        <v>176</v>
      </c>
      <c r="CC61" s="185" t="s">
        <v>176</v>
      </c>
      <c r="CD61" s="185" t="s">
        <v>176</v>
      </c>
      <c r="CE61" s="185">
        <v>2</v>
      </c>
      <c r="CF61" s="185" t="s">
        <v>176</v>
      </c>
      <c r="CG61" s="185">
        <v>2</v>
      </c>
      <c r="CH61" s="185">
        <v>2</v>
      </c>
      <c r="CI61" s="185" t="s">
        <v>176</v>
      </c>
      <c r="CJ61" s="185" t="s">
        <v>176</v>
      </c>
      <c r="CK61" s="185">
        <v>2</v>
      </c>
      <c r="CL61" s="185">
        <v>3</v>
      </c>
      <c r="CM61" s="185">
        <v>3</v>
      </c>
      <c r="CN61" s="185">
        <v>3</v>
      </c>
      <c r="CO61" s="185">
        <v>1</v>
      </c>
      <c r="CP61" s="185">
        <v>1</v>
      </c>
      <c r="CQ61" s="185">
        <v>1</v>
      </c>
      <c r="CR61" s="185">
        <v>1</v>
      </c>
      <c r="CS61" s="185">
        <v>2</v>
      </c>
      <c r="CT61" s="185" t="s">
        <v>176</v>
      </c>
      <c r="CU61" s="185" t="s">
        <v>176</v>
      </c>
      <c r="CV61" s="185" t="s">
        <v>176</v>
      </c>
      <c r="CW61" s="185" t="s">
        <v>176</v>
      </c>
      <c r="CX61" s="185" t="s">
        <v>176</v>
      </c>
      <c r="CY61" s="185" t="s">
        <v>176</v>
      </c>
      <c r="CZ61" s="185" t="s">
        <v>176</v>
      </c>
      <c r="DA61" s="185" t="s">
        <v>176</v>
      </c>
      <c r="DB61" s="185" t="s">
        <v>176</v>
      </c>
      <c r="DC61" s="185" t="s">
        <v>176</v>
      </c>
      <c r="DD61" s="185" t="s">
        <v>176</v>
      </c>
      <c r="DE61" s="185" t="s">
        <v>176</v>
      </c>
      <c r="DF61" s="185" t="s">
        <v>176</v>
      </c>
      <c r="DG61" s="185" t="s">
        <v>176</v>
      </c>
      <c r="DH61" s="185" t="s">
        <v>176</v>
      </c>
      <c r="DI61" s="185" t="s">
        <v>176</v>
      </c>
      <c r="DJ61" s="185" t="s">
        <v>176</v>
      </c>
      <c r="DK61" s="185" t="s">
        <v>176</v>
      </c>
      <c r="DL61" s="185" t="s">
        <v>176</v>
      </c>
      <c r="DM61" s="185" t="s">
        <v>176</v>
      </c>
      <c r="DN61" s="185" t="s">
        <v>176</v>
      </c>
      <c r="DO61" s="185" t="s">
        <v>176</v>
      </c>
      <c r="DP61" s="185" t="s">
        <v>176</v>
      </c>
      <c r="DQ61" s="185" t="s">
        <v>176</v>
      </c>
      <c r="DR61" s="185" t="s">
        <v>176</v>
      </c>
      <c r="DS61" s="185" t="s">
        <v>176</v>
      </c>
      <c r="DT61" s="185" t="s">
        <v>176</v>
      </c>
      <c r="DU61" s="185" t="s">
        <v>176</v>
      </c>
      <c r="DV61" s="185" t="s">
        <v>176</v>
      </c>
      <c r="DW61" s="185" t="s">
        <v>176</v>
      </c>
      <c r="DX61" s="185" t="s">
        <v>176</v>
      </c>
      <c r="DY61" s="185" t="s">
        <v>176</v>
      </c>
      <c r="DZ61" s="185" t="s">
        <v>176</v>
      </c>
      <c r="EA61" s="185" t="s">
        <v>176</v>
      </c>
      <c r="EB61" s="185" t="s">
        <v>176</v>
      </c>
      <c r="EC61" s="185" t="s">
        <v>176</v>
      </c>
      <c r="ED61" s="185" t="s">
        <v>176</v>
      </c>
      <c r="EE61" s="185" t="s">
        <v>176</v>
      </c>
      <c r="EF61" s="185" t="s">
        <v>176</v>
      </c>
      <c r="EG61" s="185" t="s">
        <v>176</v>
      </c>
      <c r="EH61" s="185" t="s">
        <v>176</v>
      </c>
      <c r="EI61" s="185" t="s">
        <v>176</v>
      </c>
      <c r="EJ61" s="185" t="s">
        <v>176</v>
      </c>
      <c r="EK61" s="185" t="s">
        <v>176</v>
      </c>
      <c r="EL61" s="185" t="s">
        <v>176</v>
      </c>
      <c r="EM61" s="185" t="s">
        <v>176</v>
      </c>
      <c r="EN61" s="185" t="s">
        <v>176</v>
      </c>
      <c r="EO61" s="185" t="s">
        <v>176</v>
      </c>
      <c r="EP61" s="185" t="s">
        <v>176</v>
      </c>
      <c r="EQ61" s="185" t="s">
        <v>176</v>
      </c>
      <c r="ER61" s="185" t="s">
        <v>176</v>
      </c>
      <c r="ES61" s="185" t="s">
        <v>176</v>
      </c>
      <c r="ET61" s="185" t="s">
        <v>176</v>
      </c>
      <c r="EU61" s="406" t="s">
        <v>176</v>
      </c>
      <c r="EV61" s="185" t="s">
        <v>176</v>
      </c>
      <c r="EW61" s="185">
        <v>2</v>
      </c>
      <c r="EX61" s="185">
        <v>2</v>
      </c>
      <c r="EY61" s="185">
        <v>2</v>
      </c>
      <c r="EZ61" s="185">
        <v>2</v>
      </c>
      <c r="FA61" s="185" t="s">
        <v>176</v>
      </c>
      <c r="FB61" s="185">
        <v>3</v>
      </c>
      <c r="FC61" s="185">
        <v>3</v>
      </c>
      <c r="FD61" s="185">
        <v>3</v>
      </c>
      <c r="FE61" s="185">
        <v>3</v>
      </c>
      <c r="FF61" s="185">
        <v>3</v>
      </c>
      <c r="FG61" s="185">
        <v>3</v>
      </c>
      <c r="FH61" s="185">
        <v>3</v>
      </c>
      <c r="FI61" s="185">
        <v>3</v>
      </c>
      <c r="FJ61" s="185">
        <v>3</v>
      </c>
      <c r="FK61" s="185">
        <v>3</v>
      </c>
      <c r="FL61" s="185">
        <v>3</v>
      </c>
      <c r="FM61" s="185">
        <v>3</v>
      </c>
      <c r="FN61" s="185">
        <v>3</v>
      </c>
      <c r="FO61" s="185" t="s">
        <v>176</v>
      </c>
      <c r="FP61" s="185" t="s">
        <v>176</v>
      </c>
      <c r="FQ61" s="185" t="s">
        <v>387</v>
      </c>
      <c r="FR61" s="185" t="s">
        <v>176</v>
      </c>
      <c r="FS61" s="185" t="s">
        <v>176</v>
      </c>
      <c r="FT61" s="185" t="s">
        <v>176</v>
      </c>
      <c r="FU61" s="185" t="s">
        <v>176</v>
      </c>
      <c r="FV61" s="185" t="s">
        <v>176</v>
      </c>
      <c r="FW61" s="185" t="s">
        <v>176</v>
      </c>
      <c r="FX61" s="185" t="s">
        <v>176</v>
      </c>
      <c r="FY61" s="185" t="s">
        <v>176</v>
      </c>
      <c r="FZ61" s="185" t="s">
        <v>176</v>
      </c>
      <c r="GA61" s="185" t="s">
        <v>176</v>
      </c>
      <c r="GB61" s="185" t="s">
        <v>176</v>
      </c>
      <c r="GC61" s="185" t="s">
        <v>176</v>
      </c>
      <c r="GD61" s="185" t="s">
        <v>176</v>
      </c>
      <c r="GE61" s="185" t="s">
        <v>176</v>
      </c>
      <c r="GF61" s="185" t="s">
        <v>176</v>
      </c>
      <c r="GG61" s="185" t="s">
        <v>176</v>
      </c>
      <c r="GH61" s="185" t="s">
        <v>176</v>
      </c>
      <c r="GI61" s="185" t="s">
        <v>176</v>
      </c>
      <c r="GJ61" s="263">
        <f t="shared" si="1"/>
        <v>163</v>
      </c>
    </row>
    <row r="62" spans="1:192" ht="25.5" customHeight="1" x14ac:dyDescent="0.25">
      <c r="A62" s="272" t="s">
        <v>227</v>
      </c>
      <c r="B62" s="276" t="s">
        <v>619</v>
      </c>
      <c r="C62" s="261" t="s">
        <v>766</v>
      </c>
      <c r="D62" s="185">
        <v>2</v>
      </c>
      <c r="E62" s="185">
        <v>2</v>
      </c>
      <c r="F62" s="185">
        <v>2</v>
      </c>
      <c r="G62" s="185">
        <v>2</v>
      </c>
      <c r="H62" s="185">
        <v>2</v>
      </c>
      <c r="I62" s="185">
        <v>1</v>
      </c>
      <c r="J62" s="185" t="s">
        <v>176</v>
      </c>
      <c r="K62" s="185" t="s">
        <v>176</v>
      </c>
      <c r="L62" s="185">
        <v>2</v>
      </c>
      <c r="M62" s="185">
        <v>2</v>
      </c>
      <c r="N62" s="185" t="s">
        <v>176</v>
      </c>
      <c r="O62" s="185" t="s">
        <v>176</v>
      </c>
      <c r="P62" s="185">
        <v>2</v>
      </c>
      <c r="Q62" s="185">
        <v>2</v>
      </c>
      <c r="R62" s="185" t="s">
        <v>176</v>
      </c>
      <c r="S62" s="185" t="s">
        <v>176</v>
      </c>
      <c r="T62" s="185" t="s">
        <v>176</v>
      </c>
      <c r="U62" s="185" t="s">
        <v>176</v>
      </c>
      <c r="V62" s="185" t="s">
        <v>176</v>
      </c>
      <c r="W62" s="185" t="s">
        <v>176</v>
      </c>
      <c r="X62" s="185" t="s">
        <v>176</v>
      </c>
      <c r="Y62" s="185">
        <v>2</v>
      </c>
      <c r="Z62" s="185">
        <v>3</v>
      </c>
      <c r="AA62" s="185">
        <v>3</v>
      </c>
      <c r="AB62" s="185">
        <v>2</v>
      </c>
      <c r="AC62" s="185">
        <v>2</v>
      </c>
      <c r="AD62" s="185">
        <v>3</v>
      </c>
      <c r="AE62" s="185">
        <v>3</v>
      </c>
      <c r="AF62" s="185">
        <v>2</v>
      </c>
      <c r="AG62" s="185">
        <v>2</v>
      </c>
      <c r="AH62" s="185">
        <v>2</v>
      </c>
      <c r="AI62" s="185">
        <v>3</v>
      </c>
      <c r="AJ62" s="194">
        <v>2</v>
      </c>
      <c r="AK62" s="185">
        <v>2</v>
      </c>
      <c r="AL62" s="185">
        <v>3</v>
      </c>
      <c r="AM62" s="185">
        <v>3</v>
      </c>
      <c r="AN62" s="185">
        <v>3</v>
      </c>
      <c r="AO62" s="185">
        <v>2</v>
      </c>
      <c r="AP62" s="194">
        <v>3</v>
      </c>
      <c r="AQ62" s="194">
        <v>3</v>
      </c>
      <c r="AR62" s="185">
        <v>3</v>
      </c>
      <c r="AS62" s="185">
        <v>3</v>
      </c>
      <c r="AT62" s="185">
        <v>2</v>
      </c>
      <c r="AU62" s="185">
        <v>2</v>
      </c>
      <c r="AV62" s="185">
        <v>1</v>
      </c>
      <c r="AW62" s="185">
        <v>1</v>
      </c>
      <c r="AX62" s="185">
        <v>1</v>
      </c>
      <c r="AY62" s="185">
        <v>1</v>
      </c>
      <c r="AZ62" s="185">
        <v>1</v>
      </c>
      <c r="BA62" s="185">
        <v>1</v>
      </c>
      <c r="BB62" s="185">
        <v>1</v>
      </c>
      <c r="BC62" s="185" t="s">
        <v>176</v>
      </c>
      <c r="BD62" s="185" t="s">
        <v>176</v>
      </c>
      <c r="BE62" s="185" t="s">
        <v>176</v>
      </c>
      <c r="BF62" s="185" t="s">
        <v>176</v>
      </c>
      <c r="BG62" s="185" t="s">
        <v>176</v>
      </c>
      <c r="BH62" s="185" t="s">
        <v>176</v>
      </c>
      <c r="BI62" s="185" t="s">
        <v>176</v>
      </c>
      <c r="BJ62" s="185" t="s">
        <v>176</v>
      </c>
      <c r="BK62" s="185" t="s">
        <v>176</v>
      </c>
      <c r="BL62" s="185" t="s">
        <v>176</v>
      </c>
      <c r="BM62" s="185" t="s">
        <v>176</v>
      </c>
      <c r="BN62" s="185" t="s">
        <v>176</v>
      </c>
      <c r="BO62" s="185" t="s">
        <v>176</v>
      </c>
      <c r="BP62" s="185" t="s">
        <v>176</v>
      </c>
      <c r="BQ62" s="185" t="s">
        <v>176</v>
      </c>
      <c r="BR62" s="185" t="s">
        <v>176</v>
      </c>
      <c r="BS62" s="185" t="s">
        <v>176</v>
      </c>
      <c r="BT62" s="185" t="s">
        <v>176</v>
      </c>
      <c r="BU62" s="185" t="s">
        <v>176</v>
      </c>
      <c r="BV62" s="185" t="s">
        <v>176</v>
      </c>
      <c r="BW62" s="185" t="s">
        <v>176</v>
      </c>
      <c r="BX62" s="185" t="s">
        <v>176</v>
      </c>
      <c r="BY62" s="185" t="s">
        <v>176</v>
      </c>
      <c r="BZ62" s="185" t="s">
        <v>176</v>
      </c>
      <c r="CA62" s="185" t="s">
        <v>176</v>
      </c>
      <c r="CB62" s="185" t="s">
        <v>176</v>
      </c>
      <c r="CC62" s="185" t="s">
        <v>176</v>
      </c>
      <c r="CD62" s="185" t="s">
        <v>176</v>
      </c>
      <c r="CE62" s="185">
        <v>1</v>
      </c>
      <c r="CF62" s="185" t="s">
        <v>176</v>
      </c>
      <c r="CG62" s="185">
        <v>2</v>
      </c>
      <c r="CH62" s="185">
        <v>2</v>
      </c>
      <c r="CI62" s="185" t="s">
        <v>176</v>
      </c>
      <c r="CJ62" s="185" t="s">
        <v>176</v>
      </c>
      <c r="CK62" s="185">
        <v>3</v>
      </c>
      <c r="CL62" s="185">
        <v>3</v>
      </c>
      <c r="CM62" s="185">
        <v>3</v>
      </c>
      <c r="CN62" s="185">
        <v>3</v>
      </c>
      <c r="CO62" s="185">
        <v>3</v>
      </c>
      <c r="CP62" s="185">
        <v>3</v>
      </c>
      <c r="CQ62" s="185">
        <v>3</v>
      </c>
      <c r="CR62" s="185">
        <v>3</v>
      </c>
      <c r="CS62" s="185">
        <v>2</v>
      </c>
      <c r="CT62" s="185" t="s">
        <v>176</v>
      </c>
      <c r="CU62" s="185" t="s">
        <v>176</v>
      </c>
      <c r="CV62" s="189" t="s">
        <v>176</v>
      </c>
      <c r="CW62" s="189" t="s">
        <v>176</v>
      </c>
      <c r="CX62" s="189" t="s">
        <v>176</v>
      </c>
      <c r="CY62" s="189" t="s">
        <v>176</v>
      </c>
      <c r="CZ62" s="185" t="s">
        <v>176</v>
      </c>
      <c r="DA62" s="185" t="s">
        <v>176</v>
      </c>
      <c r="DB62" s="185" t="s">
        <v>176</v>
      </c>
      <c r="DC62" s="185" t="s">
        <v>176</v>
      </c>
      <c r="DD62" s="185" t="s">
        <v>176</v>
      </c>
      <c r="DE62" s="185" t="s">
        <v>176</v>
      </c>
      <c r="DF62" s="185" t="s">
        <v>176</v>
      </c>
      <c r="DG62" s="185" t="s">
        <v>176</v>
      </c>
      <c r="DH62" s="185" t="s">
        <v>176</v>
      </c>
      <c r="DI62" s="185" t="s">
        <v>176</v>
      </c>
      <c r="DJ62" s="185" t="s">
        <v>176</v>
      </c>
      <c r="DK62" s="185" t="s">
        <v>176</v>
      </c>
      <c r="DL62" s="185" t="s">
        <v>176</v>
      </c>
      <c r="DM62" s="185" t="s">
        <v>176</v>
      </c>
      <c r="DN62" s="185" t="s">
        <v>176</v>
      </c>
      <c r="DO62" s="185" t="s">
        <v>176</v>
      </c>
      <c r="DP62" s="185" t="s">
        <v>176</v>
      </c>
      <c r="DQ62" s="185" t="s">
        <v>176</v>
      </c>
      <c r="DR62" s="185" t="s">
        <v>176</v>
      </c>
      <c r="DS62" s="185" t="s">
        <v>176</v>
      </c>
      <c r="DT62" s="185" t="s">
        <v>176</v>
      </c>
      <c r="DU62" s="185" t="s">
        <v>176</v>
      </c>
      <c r="DV62" s="185" t="s">
        <v>176</v>
      </c>
      <c r="DW62" s="185" t="s">
        <v>176</v>
      </c>
      <c r="DX62" s="185" t="s">
        <v>176</v>
      </c>
      <c r="DY62" s="185" t="s">
        <v>176</v>
      </c>
      <c r="DZ62" s="185" t="s">
        <v>176</v>
      </c>
      <c r="EA62" s="185" t="s">
        <v>176</v>
      </c>
      <c r="EB62" s="185" t="s">
        <v>176</v>
      </c>
      <c r="EC62" s="185" t="s">
        <v>176</v>
      </c>
      <c r="ED62" s="185" t="s">
        <v>176</v>
      </c>
      <c r="EE62" s="185" t="s">
        <v>176</v>
      </c>
      <c r="EF62" s="185" t="s">
        <v>176</v>
      </c>
      <c r="EG62" s="185" t="s">
        <v>176</v>
      </c>
      <c r="EH62" s="185" t="s">
        <v>176</v>
      </c>
      <c r="EI62" s="185" t="s">
        <v>176</v>
      </c>
      <c r="EJ62" s="185" t="s">
        <v>176</v>
      </c>
      <c r="EK62" s="185" t="s">
        <v>176</v>
      </c>
      <c r="EL62" s="185" t="s">
        <v>176</v>
      </c>
      <c r="EM62" s="185" t="s">
        <v>176</v>
      </c>
      <c r="EN62" s="185" t="s">
        <v>176</v>
      </c>
      <c r="EO62" s="185" t="s">
        <v>176</v>
      </c>
      <c r="EP62" s="185" t="s">
        <v>176</v>
      </c>
      <c r="EQ62" s="185" t="s">
        <v>176</v>
      </c>
      <c r="ER62" s="185" t="s">
        <v>176</v>
      </c>
      <c r="ES62" s="185" t="s">
        <v>176</v>
      </c>
      <c r="ET62" s="185" t="s">
        <v>176</v>
      </c>
      <c r="EU62" s="406" t="s">
        <v>176</v>
      </c>
      <c r="EV62" s="185" t="s">
        <v>176</v>
      </c>
      <c r="EW62" s="185">
        <v>2</v>
      </c>
      <c r="EX62" s="185">
        <v>2</v>
      </c>
      <c r="EY62" s="185">
        <v>2</v>
      </c>
      <c r="EZ62" s="185">
        <v>2</v>
      </c>
      <c r="FA62" s="185" t="s">
        <v>176</v>
      </c>
      <c r="FB62" s="185">
        <v>3</v>
      </c>
      <c r="FC62" s="185">
        <v>3</v>
      </c>
      <c r="FD62" s="185">
        <v>3</v>
      </c>
      <c r="FE62" s="185">
        <v>3</v>
      </c>
      <c r="FF62" s="185">
        <v>3</v>
      </c>
      <c r="FG62" s="185">
        <v>3</v>
      </c>
      <c r="FH62" s="185">
        <v>3</v>
      </c>
      <c r="FI62" s="185">
        <v>3</v>
      </c>
      <c r="FJ62" s="185">
        <v>3</v>
      </c>
      <c r="FK62" s="185">
        <v>3</v>
      </c>
      <c r="FL62" s="185">
        <v>3</v>
      </c>
      <c r="FM62" s="185">
        <v>3</v>
      </c>
      <c r="FN62" s="185">
        <v>3</v>
      </c>
      <c r="FO62" s="189" t="s">
        <v>387</v>
      </c>
      <c r="FP62" s="189" t="s">
        <v>176</v>
      </c>
      <c r="FQ62" s="189" t="s">
        <v>176</v>
      </c>
      <c r="FR62" s="185" t="s">
        <v>176</v>
      </c>
      <c r="FS62" s="185" t="s">
        <v>176</v>
      </c>
      <c r="FT62" s="185" t="s">
        <v>176</v>
      </c>
      <c r="FU62" s="185" t="s">
        <v>176</v>
      </c>
      <c r="FV62" s="185" t="s">
        <v>176</v>
      </c>
      <c r="FW62" s="185" t="s">
        <v>176</v>
      </c>
      <c r="FX62" s="185" t="s">
        <v>176</v>
      </c>
      <c r="FY62" s="189" t="s">
        <v>160</v>
      </c>
      <c r="FZ62" s="189" t="s">
        <v>176</v>
      </c>
      <c r="GA62" s="185" t="s">
        <v>176</v>
      </c>
      <c r="GB62" s="185" t="s">
        <v>176</v>
      </c>
      <c r="GC62" s="185" t="s">
        <v>176</v>
      </c>
      <c r="GD62" s="185" t="s">
        <v>176</v>
      </c>
      <c r="GE62" s="185" t="s">
        <v>176</v>
      </c>
      <c r="GF62" s="185" t="s">
        <v>176</v>
      </c>
      <c r="GG62" s="185" t="s">
        <v>176</v>
      </c>
      <c r="GH62" s="185" t="s">
        <v>176</v>
      </c>
      <c r="GI62" s="185" t="s">
        <v>176</v>
      </c>
      <c r="GJ62" s="275">
        <f t="shared" si="1"/>
        <v>162</v>
      </c>
    </row>
    <row r="63" spans="1:192" ht="25.5" customHeight="1" x14ac:dyDescent="0.25">
      <c r="A63" s="272" t="s">
        <v>227</v>
      </c>
      <c r="B63" s="274" t="s">
        <v>615</v>
      </c>
      <c r="C63" s="261" t="s">
        <v>766</v>
      </c>
      <c r="D63" s="185">
        <v>2</v>
      </c>
      <c r="E63" s="185">
        <v>2</v>
      </c>
      <c r="F63" s="185">
        <v>2</v>
      </c>
      <c r="G63" s="185">
        <v>2</v>
      </c>
      <c r="H63" s="185">
        <v>2</v>
      </c>
      <c r="I63" s="185">
        <v>1</v>
      </c>
      <c r="J63" s="185" t="s">
        <v>176</v>
      </c>
      <c r="K63" s="185" t="s">
        <v>176</v>
      </c>
      <c r="L63" s="185">
        <v>2</v>
      </c>
      <c r="M63" s="185">
        <v>2</v>
      </c>
      <c r="N63" s="185" t="s">
        <v>176</v>
      </c>
      <c r="O63" s="185" t="s">
        <v>176</v>
      </c>
      <c r="P63" s="185">
        <v>2</v>
      </c>
      <c r="Q63" s="185">
        <v>2</v>
      </c>
      <c r="R63" s="185" t="s">
        <v>176</v>
      </c>
      <c r="S63" s="185" t="s">
        <v>176</v>
      </c>
      <c r="T63" s="185" t="s">
        <v>176</v>
      </c>
      <c r="U63" s="185" t="s">
        <v>176</v>
      </c>
      <c r="V63" s="185" t="s">
        <v>176</v>
      </c>
      <c r="W63" s="195" t="s">
        <v>176</v>
      </c>
      <c r="X63" s="195" t="s">
        <v>176</v>
      </c>
      <c r="Y63" s="185">
        <v>2</v>
      </c>
      <c r="Z63" s="185">
        <v>3</v>
      </c>
      <c r="AA63" s="185">
        <v>3</v>
      </c>
      <c r="AB63" s="185">
        <v>2</v>
      </c>
      <c r="AC63" s="185">
        <v>2</v>
      </c>
      <c r="AD63" s="185">
        <v>3</v>
      </c>
      <c r="AE63" s="185">
        <v>3</v>
      </c>
      <c r="AF63" s="185">
        <v>2</v>
      </c>
      <c r="AG63" s="185">
        <v>2</v>
      </c>
      <c r="AH63" s="185">
        <v>2</v>
      </c>
      <c r="AI63" s="185">
        <v>3</v>
      </c>
      <c r="AJ63" s="194">
        <v>2</v>
      </c>
      <c r="AK63" s="185">
        <v>2</v>
      </c>
      <c r="AL63" s="185">
        <v>3</v>
      </c>
      <c r="AM63" s="185">
        <v>3</v>
      </c>
      <c r="AN63" s="185">
        <v>3</v>
      </c>
      <c r="AO63" s="185">
        <v>2</v>
      </c>
      <c r="AP63" s="194">
        <v>3</v>
      </c>
      <c r="AQ63" s="194">
        <v>3</v>
      </c>
      <c r="AR63" s="185">
        <v>3</v>
      </c>
      <c r="AS63" s="185">
        <v>3</v>
      </c>
      <c r="AT63" s="185">
        <v>2</v>
      </c>
      <c r="AU63" s="185">
        <v>2</v>
      </c>
      <c r="AV63" s="185">
        <v>1</v>
      </c>
      <c r="AW63" s="185">
        <v>1</v>
      </c>
      <c r="AX63" s="185">
        <v>1</v>
      </c>
      <c r="AY63" s="185">
        <v>1</v>
      </c>
      <c r="AZ63" s="185">
        <v>1</v>
      </c>
      <c r="BA63" s="185">
        <v>1</v>
      </c>
      <c r="BB63" s="195">
        <v>1</v>
      </c>
      <c r="BC63" s="195" t="s">
        <v>176</v>
      </c>
      <c r="BD63" s="195" t="s">
        <v>176</v>
      </c>
      <c r="BE63" s="195" t="s">
        <v>176</v>
      </c>
      <c r="BF63" s="195" t="s">
        <v>176</v>
      </c>
      <c r="BG63" s="195" t="s">
        <v>176</v>
      </c>
      <c r="BH63" s="195" t="s">
        <v>176</v>
      </c>
      <c r="BI63" s="195" t="s">
        <v>176</v>
      </c>
      <c r="BJ63" s="195" t="s">
        <v>176</v>
      </c>
      <c r="BK63" s="185" t="s">
        <v>176</v>
      </c>
      <c r="BL63" s="185" t="s">
        <v>176</v>
      </c>
      <c r="BM63" s="185" t="s">
        <v>176</v>
      </c>
      <c r="BN63" s="185" t="s">
        <v>176</v>
      </c>
      <c r="BO63" s="185" t="s">
        <v>176</v>
      </c>
      <c r="BP63" s="185" t="s">
        <v>176</v>
      </c>
      <c r="BQ63" s="185" t="s">
        <v>176</v>
      </c>
      <c r="BR63" s="185" t="s">
        <v>176</v>
      </c>
      <c r="BS63" s="185" t="s">
        <v>176</v>
      </c>
      <c r="BT63" s="185" t="s">
        <v>176</v>
      </c>
      <c r="BU63" s="185" t="s">
        <v>176</v>
      </c>
      <c r="BV63" s="185" t="s">
        <v>176</v>
      </c>
      <c r="BW63" s="185" t="s">
        <v>176</v>
      </c>
      <c r="BX63" s="185" t="s">
        <v>176</v>
      </c>
      <c r="BY63" s="185" t="s">
        <v>176</v>
      </c>
      <c r="BZ63" s="185" t="s">
        <v>176</v>
      </c>
      <c r="CA63" s="185" t="s">
        <v>176</v>
      </c>
      <c r="CB63" s="185" t="s">
        <v>176</v>
      </c>
      <c r="CC63" s="185" t="s">
        <v>176</v>
      </c>
      <c r="CD63" s="185" t="s">
        <v>176</v>
      </c>
      <c r="CE63" s="185">
        <v>1</v>
      </c>
      <c r="CF63" s="185" t="s">
        <v>176</v>
      </c>
      <c r="CG63" s="185">
        <v>2</v>
      </c>
      <c r="CH63" s="185">
        <v>2</v>
      </c>
      <c r="CI63" s="185" t="s">
        <v>176</v>
      </c>
      <c r="CJ63" s="185" t="s">
        <v>176</v>
      </c>
      <c r="CK63" s="185">
        <v>3</v>
      </c>
      <c r="CL63" s="185">
        <v>3</v>
      </c>
      <c r="CM63" s="185">
        <v>3</v>
      </c>
      <c r="CN63" s="185">
        <v>3</v>
      </c>
      <c r="CO63" s="185">
        <v>3</v>
      </c>
      <c r="CP63" s="185">
        <v>3</v>
      </c>
      <c r="CQ63" s="195">
        <v>3</v>
      </c>
      <c r="CR63" s="185">
        <v>3</v>
      </c>
      <c r="CS63" s="185">
        <v>2</v>
      </c>
      <c r="CT63" s="185" t="s">
        <v>176</v>
      </c>
      <c r="CU63" s="185" t="s">
        <v>176</v>
      </c>
      <c r="CV63" s="185" t="s">
        <v>176</v>
      </c>
      <c r="CW63" s="185" t="s">
        <v>176</v>
      </c>
      <c r="CX63" s="185" t="s">
        <v>176</v>
      </c>
      <c r="CY63" s="185" t="s">
        <v>176</v>
      </c>
      <c r="CZ63" s="185" t="s">
        <v>176</v>
      </c>
      <c r="DA63" s="185" t="s">
        <v>176</v>
      </c>
      <c r="DB63" s="185" t="s">
        <v>176</v>
      </c>
      <c r="DC63" s="185" t="s">
        <v>176</v>
      </c>
      <c r="DD63" s="185" t="s">
        <v>176</v>
      </c>
      <c r="DE63" s="185" t="s">
        <v>176</v>
      </c>
      <c r="DF63" s="185" t="s">
        <v>176</v>
      </c>
      <c r="DG63" s="185" t="s">
        <v>176</v>
      </c>
      <c r="DH63" s="185" t="s">
        <v>176</v>
      </c>
      <c r="DI63" s="185" t="s">
        <v>176</v>
      </c>
      <c r="DJ63" s="185" t="s">
        <v>176</v>
      </c>
      <c r="DK63" s="185" t="s">
        <v>176</v>
      </c>
      <c r="DL63" s="185" t="s">
        <v>176</v>
      </c>
      <c r="DM63" s="185" t="s">
        <v>176</v>
      </c>
      <c r="DN63" s="185" t="s">
        <v>176</v>
      </c>
      <c r="DO63" s="185" t="s">
        <v>176</v>
      </c>
      <c r="DP63" s="185" t="s">
        <v>176</v>
      </c>
      <c r="DQ63" s="185" t="s">
        <v>176</v>
      </c>
      <c r="DR63" s="185" t="s">
        <v>176</v>
      </c>
      <c r="DS63" s="185" t="s">
        <v>176</v>
      </c>
      <c r="DT63" s="185" t="s">
        <v>176</v>
      </c>
      <c r="DU63" s="185" t="s">
        <v>176</v>
      </c>
      <c r="DV63" s="185" t="s">
        <v>176</v>
      </c>
      <c r="DW63" s="185" t="s">
        <v>176</v>
      </c>
      <c r="DX63" s="185" t="s">
        <v>176</v>
      </c>
      <c r="DY63" s="185" t="s">
        <v>176</v>
      </c>
      <c r="DZ63" s="185" t="s">
        <v>176</v>
      </c>
      <c r="EA63" s="185" t="s">
        <v>176</v>
      </c>
      <c r="EB63" s="185" t="s">
        <v>176</v>
      </c>
      <c r="EC63" s="185" t="s">
        <v>176</v>
      </c>
      <c r="ED63" s="185" t="s">
        <v>176</v>
      </c>
      <c r="EE63" s="185" t="s">
        <v>176</v>
      </c>
      <c r="EF63" s="185" t="s">
        <v>176</v>
      </c>
      <c r="EG63" s="185" t="s">
        <v>176</v>
      </c>
      <c r="EH63" s="185" t="s">
        <v>176</v>
      </c>
      <c r="EI63" s="185" t="s">
        <v>176</v>
      </c>
      <c r="EJ63" s="185" t="s">
        <v>176</v>
      </c>
      <c r="EK63" s="185" t="s">
        <v>176</v>
      </c>
      <c r="EL63" s="185" t="s">
        <v>176</v>
      </c>
      <c r="EM63" s="185" t="s">
        <v>176</v>
      </c>
      <c r="EN63" s="185" t="s">
        <v>176</v>
      </c>
      <c r="EO63" s="185" t="s">
        <v>176</v>
      </c>
      <c r="EP63" s="185" t="s">
        <v>176</v>
      </c>
      <c r="EQ63" s="185" t="s">
        <v>176</v>
      </c>
      <c r="ER63" s="185" t="s">
        <v>176</v>
      </c>
      <c r="ES63" s="185" t="s">
        <v>176</v>
      </c>
      <c r="ET63" s="185" t="s">
        <v>176</v>
      </c>
      <c r="EU63" s="406" t="s">
        <v>176</v>
      </c>
      <c r="EV63" s="185" t="s">
        <v>176</v>
      </c>
      <c r="EW63" s="185">
        <v>2</v>
      </c>
      <c r="EX63" s="185">
        <v>2</v>
      </c>
      <c r="EY63" s="185">
        <v>2</v>
      </c>
      <c r="EZ63" s="185">
        <v>2</v>
      </c>
      <c r="FA63" s="185" t="s">
        <v>176</v>
      </c>
      <c r="FB63" s="185">
        <v>3</v>
      </c>
      <c r="FC63" s="185">
        <v>3</v>
      </c>
      <c r="FD63" s="185">
        <v>3</v>
      </c>
      <c r="FE63" s="185">
        <v>3</v>
      </c>
      <c r="FF63" s="185">
        <v>3</v>
      </c>
      <c r="FG63" s="185">
        <v>3</v>
      </c>
      <c r="FH63" s="185">
        <v>3</v>
      </c>
      <c r="FI63" s="185">
        <v>3</v>
      </c>
      <c r="FJ63" s="185">
        <v>3</v>
      </c>
      <c r="FK63" s="185">
        <v>3</v>
      </c>
      <c r="FL63" s="185">
        <v>3</v>
      </c>
      <c r="FM63" s="185">
        <v>3</v>
      </c>
      <c r="FN63" s="185">
        <v>3</v>
      </c>
      <c r="FO63" s="189"/>
      <c r="FP63" s="189"/>
      <c r="FQ63" s="189"/>
      <c r="FR63" s="189"/>
      <c r="FS63" s="189"/>
      <c r="FT63" s="189"/>
      <c r="FU63" s="189"/>
      <c r="FV63" s="189"/>
      <c r="FW63" s="189"/>
      <c r="FX63" s="189"/>
      <c r="FY63" s="189"/>
      <c r="FZ63" s="189"/>
      <c r="GA63" s="189"/>
      <c r="GB63" s="189"/>
      <c r="GC63" s="189"/>
      <c r="GD63" s="189"/>
      <c r="GE63" s="189"/>
      <c r="GF63" s="189"/>
      <c r="GG63" s="189"/>
      <c r="GH63" s="189"/>
      <c r="GI63" s="196"/>
      <c r="GJ63" s="275">
        <f t="shared" si="1"/>
        <v>162</v>
      </c>
    </row>
    <row r="64" spans="1:192" ht="25.5" customHeight="1" x14ac:dyDescent="0.25">
      <c r="A64" s="272" t="s">
        <v>227</v>
      </c>
      <c r="B64" s="274" t="s">
        <v>756</v>
      </c>
      <c r="C64" s="261" t="s">
        <v>766</v>
      </c>
      <c r="D64" s="185">
        <v>2</v>
      </c>
      <c r="E64" s="185">
        <v>2</v>
      </c>
      <c r="F64" s="185">
        <v>2</v>
      </c>
      <c r="G64" s="185">
        <v>2</v>
      </c>
      <c r="H64" s="185">
        <v>2</v>
      </c>
      <c r="I64" s="185">
        <v>1</v>
      </c>
      <c r="J64" s="185" t="s">
        <v>176</v>
      </c>
      <c r="K64" s="185" t="s">
        <v>176</v>
      </c>
      <c r="L64" s="185">
        <v>2</v>
      </c>
      <c r="M64" s="185">
        <v>2</v>
      </c>
      <c r="N64" s="185" t="s">
        <v>176</v>
      </c>
      <c r="O64" s="185" t="s">
        <v>176</v>
      </c>
      <c r="P64" s="185">
        <v>2</v>
      </c>
      <c r="Q64" s="185">
        <v>2</v>
      </c>
      <c r="R64" s="185" t="s">
        <v>176</v>
      </c>
      <c r="S64" s="185" t="s">
        <v>176</v>
      </c>
      <c r="T64" s="185" t="s">
        <v>176</v>
      </c>
      <c r="U64" s="185" t="s">
        <v>176</v>
      </c>
      <c r="V64" s="185" t="s">
        <v>176</v>
      </c>
      <c r="W64" s="195" t="s">
        <v>176</v>
      </c>
      <c r="X64" s="195" t="s">
        <v>176</v>
      </c>
      <c r="Y64" s="185">
        <v>2</v>
      </c>
      <c r="Z64" s="185">
        <v>3</v>
      </c>
      <c r="AA64" s="185">
        <v>3</v>
      </c>
      <c r="AB64" s="185">
        <v>2</v>
      </c>
      <c r="AC64" s="185">
        <v>2</v>
      </c>
      <c r="AD64" s="185">
        <v>3</v>
      </c>
      <c r="AE64" s="185">
        <v>3</v>
      </c>
      <c r="AF64" s="185">
        <v>2</v>
      </c>
      <c r="AG64" s="185">
        <v>2</v>
      </c>
      <c r="AH64" s="185">
        <v>2</v>
      </c>
      <c r="AI64" s="185">
        <v>3</v>
      </c>
      <c r="AJ64" s="194">
        <v>2</v>
      </c>
      <c r="AK64" s="185">
        <v>2</v>
      </c>
      <c r="AL64" s="185">
        <v>3</v>
      </c>
      <c r="AM64" s="185">
        <v>3</v>
      </c>
      <c r="AN64" s="185">
        <v>3</v>
      </c>
      <c r="AO64" s="185">
        <v>3</v>
      </c>
      <c r="AP64" s="194">
        <v>3</v>
      </c>
      <c r="AQ64" s="194">
        <v>3</v>
      </c>
      <c r="AR64" s="185">
        <v>3</v>
      </c>
      <c r="AS64" s="185">
        <v>3</v>
      </c>
      <c r="AT64" s="185">
        <v>3</v>
      </c>
      <c r="AU64" s="185">
        <v>2</v>
      </c>
      <c r="AV64" s="185">
        <v>1</v>
      </c>
      <c r="AW64" s="185">
        <v>1</v>
      </c>
      <c r="AX64" s="185">
        <v>1</v>
      </c>
      <c r="AY64" s="185">
        <v>1</v>
      </c>
      <c r="AZ64" s="185">
        <v>1</v>
      </c>
      <c r="BA64" s="185">
        <v>1</v>
      </c>
      <c r="BB64" s="195">
        <v>1</v>
      </c>
      <c r="BC64" s="195" t="s">
        <v>176</v>
      </c>
      <c r="BD64" s="195" t="s">
        <v>176</v>
      </c>
      <c r="BE64" s="195" t="s">
        <v>176</v>
      </c>
      <c r="BF64" s="195" t="s">
        <v>176</v>
      </c>
      <c r="BG64" s="195" t="s">
        <v>176</v>
      </c>
      <c r="BH64" s="195" t="s">
        <v>176</v>
      </c>
      <c r="BI64" s="195" t="s">
        <v>176</v>
      </c>
      <c r="BJ64" s="195" t="s">
        <v>176</v>
      </c>
      <c r="BK64" s="185" t="s">
        <v>176</v>
      </c>
      <c r="BL64" s="185" t="s">
        <v>176</v>
      </c>
      <c r="BM64" s="185" t="s">
        <v>176</v>
      </c>
      <c r="BN64" s="185" t="s">
        <v>176</v>
      </c>
      <c r="BO64" s="185" t="s">
        <v>176</v>
      </c>
      <c r="BP64" s="185" t="s">
        <v>176</v>
      </c>
      <c r="BQ64" s="185" t="s">
        <v>176</v>
      </c>
      <c r="BR64" s="185" t="s">
        <v>176</v>
      </c>
      <c r="BS64" s="185" t="s">
        <v>176</v>
      </c>
      <c r="BT64" s="185" t="s">
        <v>176</v>
      </c>
      <c r="BU64" s="185" t="s">
        <v>176</v>
      </c>
      <c r="BV64" s="185" t="s">
        <v>176</v>
      </c>
      <c r="BW64" s="185" t="s">
        <v>176</v>
      </c>
      <c r="BX64" s="185" t="s">
        <v>176</v>
      </c>
      <c r="BY64" s="185" t="s">
        <v>176</v>
      </c>
      <c r="BZ64" s="185" t="s">
        <v>176</v>
      </c>
      <c r="CA64" s="185" t="s">
        <v>176</v>
      </c>
      <c r="CB64" s="185" t="s">
        <v>176</v>
      </c>
      <c r="CC64" s="185" t="s">
        <v>176</v>
      </c>
      <c r="CD64" s="185" t="s">
        <v>176</v>
      </c>
      <c r="CE64" s="185">
        <v>1</v>
      </c>
      <c r="CF64" s="185" t="s">
        <v>176</v>
      </c>
      <c r="CG64" s="185">
        <v>2</v>
      </c>
      <c r="CH64" s="185">
        <v>2</v>
      </c>
      <c r="CI64" s="185" t="s">
        <v>176</v>
      </c>
      <c r="CJ64" s="185" t="s">
        <v>176</v>
      </c>
      <c r="CK64" s="185">
        <v>3</v>
      </c>
      <c r="CL64" s="185">
        <v>3</v>
      </c>
      <c r="CM64" s="185">
        <v>3</v>
      </c>
      <c r="CN64" s="185">
        <v>3</v>
      </c>
      <c r="CO64" s="185">
        <v>3</v>
      </c>
      <c r="CP64" s="185">
        <v>3</v>
      </c>
      <c r="CQ64" s="195">
        <v>3</v>
      </c>
      <c r="CR64" s="185">
        <v>3</v>
      </c>
      <c r="CS64" s="185">
        <v>2</v>
      </c>
      <c r="CT64" s="185">
        <v>2</v>
      </c>
      <c r="CU64" s="185">
        <v>2</v>
      </c>
      <c r="CV64" s="185" t="s">
        <v>176</v>
      </c>
      <c r="CW64" s="185" t="s">
        <v>176</v>
      </c>
      <c r="CX64" s="185" t="s">
        <v>176</v>
      </c>
      <c r="CY64" s="185" t="s">
        <v>176</v>
      </c>
      <c r="CZ64" s="185" t="s">
        <v>176</v>
      </c>
      <c r="DA64" s="185" t="s">
        <v>176</v>
      </c>
      <c r="DB64" s="185" t="s">
        <v>176</v>
      </c>
      <c r="DC64" s="185" t="s">
        <v>176</v>
      </c>
      <c r="DD64" s="185" t="s">
        <v>176</v>
      </c>
      <c r="DE64" s="185" t="s">
        <v>176</v>
      </c>
      <c r="DF64" s="185" t="s">
        <v>176</v>
      </c>
      <c r="DG64" s="185" t="s">
        <v>176</v>
      </c>
      <c r="DH64" s="185" t="s">
        <v>176</v>
      </c>
      <c r="DI64" s="185" t="s">
        <v>176</v>
      </c>
      <c r="DJ64" s="185" t="s">
        <v>176</v>
      </c>
      <c r="DK64" s="185" t="s">
        <v>176</v>
      </c>
      <c r="DL64" s="185" t="s">
        <v>176</v>
      </c>
      <c r="DM64" s="185" t="s">
        <v>176</v>
      </c>
      <c r="DN64" s="185" t="s">
        <v>176</v>
      </c>
      <c r="DO64" s="185" t="s">
        <v>176</v>
      </c>
      <c r="DP64" s="185" t="s">
        <v>176</v>
      </c>
      <c r="DQ64" s="185" t="s">
        <v>176</v>
      </c>
      <c r="DR64" s="185" t="s">
        <v>176</v>
      </c>
      <c r="DS64" s="185" t="s">
        <v>176</v>
      </c>
      <c r="DT64" s="185" t="s">
        <v>176</v>
      </c>
      <c r="DU64" s="185" t="s">
        <v>176</v>
      </c>
      <c r="DV64" s="185" t="s">
        <v>176</v>
      </c>
      <c r="DW64" s="185" t="s">
        <v>176</v>
      </c>
      <c r="DX64" s="185" t="s">
        <v>176</v>
      </c>
      <c r="DY64" s="185" t="s">
        <v>176</v>
      </c>
      <c r="DZ64" s="185" t="s">
        <v>176</v>
      </c>
      <c r="EA64" s="185" t="s">
        <v>176</v>
      </c>
      <c r="EB64" s="185" t="s">
        <v>176</v>
      </c>
      <c r="EC64" s="185" t="s">
        <v>176</v>
      </c>
      <c r="ED64" s="185" t="s">
        <v>176</v>
      </c>
      <c r="EE64" s="185" t="s">
        <v>176</v>
      </c>
      <c r="EF64" s="185" t="s">
        <v>176</v>
      </c>
      <c r="EG64" s="185" t="s">
        <v>176</v>
      </c>
      <c r="EH64" s="185" t="s">
        <v>176</v>
      </c>
      <c r="EI64" s="185" t="s">
        <v>176</v>
      </c>
      <c r="EJ64" s="185" t="s">
        <v>176</v>
      </c>
      <c r="EK64" s="185" t="s">
        <v>176</v>
      </c>
      <c r="EL64" s="185" t="s">
        <v>176</v>
      </c>
      <c r="EM64" s="185" t="s">
        <v>176</v>
      </c>
      <c r="EN64" s="185" t="s">
        <v>176</v>
      </c>
      <c r="EO64" s="185" t="s">
        <v>176</v>
      </c>
      <c r="EP64" s="185" t="s">
        <v>176</v>
      </c>
      <c r="EQ64" s="185" t="s">
        <v>176</v>
      </c>
      <c r="ER64" s="185" t="s">
        <v>176</v>
      </c>
      <c r="ES64" s="185" t="s">
        <v>176</v>
      </c>
      <c r="ET64" s="185" t="s">
        <v>176</v>
      </c>
      <c r="EU64" s="406" t="s">
        <v>176</v>
      </c>
      <c r="EV64" s="185" t="s">
        <v>176</v>
      </c>
      <c r="EW64" s="185">
        <v>2</v>
      </c>
      <c r="EX64" s="185">
        <v>2</v>
      </c>
      <c r="EY64" s="185">
        <v>2</v>
      </c>
      <c r="EZ64" s="185">
        <v>2</v>
      </c>
      <c r="FA64" s="185" t="s">
        <v>176</v>
      </c>
      <c r="FB64" s="185">
        <v>3</v>
      </c>
      <c r="FC64" s="185">
        <v>3</v>
      </c>
      <c r="FD64" s="185">
        <v>3</v>
      </c>
      <c r="FE64" s="185">
        <v>3</v>
      </c>
      <c r="FF64" s="185">
        <v>3</v>
      </c>
      <c r="FG64" s="185">
        <v>3</v>
      </c>
      <c r="FH64" s="185">
        <v>3</v>
      </c>
      <c r="FI64" s="185">
        <v>3</v>
      </c>
      <c r="FJ64" s="185">
        <v>3</v>
      </c>
      <c r="FK64" s="185">
        <v>3</v>
      </c>
      <c r="FL64" s="185">
        <v>3</v>
      </c>
      <c r="FM64" s="185">
        <v>3</v>
      </c>
      <c r="FN64" s="185">
        <v>3</v>
      </c>
      <c r="FO64" s="189"/>
      <c r="FP64" s="189"/>
      <c r="FQ64" s="189"/>
      <c r="FR64" s="189"/>
      <c r="FS64" s="189"/>
      <c r="FT64" s="189"/>
      <c r="FU64" s="189"/>
      <c r="FV64" s="189"/>
      <c r="FW64" s="189"/>
      <c r="FX64" s="189"/>
      <c r="FY64" s="189"/>
      <c r="FZ64" s="189"/>
      <c r="GA64" s="189"/>
      <c r="GB64" s="189"/>
      <c r="GC64" s="189"/>
      <c r="GD64" s="189"/>
      <c r="GE64" s="189"/>
      <c r="GF64" s="189"/>
      <c r="GG64" s="189"/>
      <c r="GH64" s="189"/>
      <c r="GI64" s="196"/>
      <c r="GJ64" s="275">
        <f t="shared" ref="GJ64" si="2">SUM(D64:FN64)</f>
        <v>168</v>
      </c>
    </row>
    <row r="65" spans="1:192" ht="25.5" customHeight="1" x14ac:dyDescent="0.25">
      <c r="A65" s="258" t="s">
        <v>227</v>
      </c>
      <c r="B65" s="261" t="s">
        <v>577</v>
      </c>
      <c r="C65" s="261" t="s">
        <v>766</v>
      </c>
      <c r="D65" s="185">
        <v>2</v>
      </c>
      <c r="E65" s="185">
        <v>2</v>
      </c>
      <c r="F65" s="185">
        <v>3</v>
      </c>
      <c r="G65" s="185">
        <v>1</v>
      </c>
      <c r="H65" s="185">
        <v>1</v>
      </c>
      <c r="I65" s="185">
        <v>1</v>
      </c>
      <c r="J65" s="185" t="s">
        <v>176</v>
      </c>
      <c r="K65" s="185" t="s">
        <v>176</v>
      </c>
      <c r="L65" s="185">
        <v>2</v>
      </c>
      <c r="M65" s="185">
        <v>2</v>
      </c>
      <c r="N65" s="185" t="s">
        <v>176</v>
      </c>
      <c r="O65" s="185" t="s">
        <v>176</v>
      </c>
      <c r="P65" s="185">
        <v>2</v>
      </c>
      <c r="Q65" s="185">
        <v>2</v>
      </c>
      <c r="R65" s="185" t="s">
        <v>176</v>
      </c>
      <c r="S65" s="185" t="s">
        <v>176</v>
      </c>
      <c r="T65" s="185" t="s">
        <v>176</v>
      </c>
      <c r="U65" s="185" t="s">
        <v>176</v>
      </c>
      <c r="V65" s="185" t="s">
        <v>176</v>
      </c>
      <c r="W65" s="195" t="s">
        <v>176</v>
      </c>
      <c r="X65" s="195">
        <v>1</v>
      </c>
      <c r="Y65" s="185">
        <v>2</v>
      </c>
      <c r="Z65" s="185">
        <v>1</v>
      </c>
      <c r="AA65" s="185">
        <v>2</v>
      </c>
      <c r="AB65" s="185">
        <v>1</v>
      </c>
      <c r="AC65" s="185">
        <v>2</v>
      </c>
      <c r="AD65" s="185">
        <v>2</v>
      </c>
      <c r="AE65" s="185">
        <v>1</v>
      </c>
      <c r="AF65" s="185" t="s">
        <v>176</v>
      </c>
      <c r="AG65" s="185">
        <v>1</v>
      </c>
      <c r="AH65" s="185">
        <v>1</v>
      </c>
      <c r="AI65" s="185">
        <v>3</v>
      </c>
      <c r="AJ65" s="185">
        <v>3</v>
      </c>
      <c r="AK65" s="185">
        <v>3</v>
      </c>
      <c r="AL65" s="185">
        <v>3</v>
      </c>
      <c r="AM65" s="185">
        <v>3</v>
      </c>
      <c r="AN65" s="185">
        <v>3</v>
      </c>
      <c r="AO65" s="185">
        <v>3</v>
      </c>
      <c r="AP65" s="185">
        <v>3</v>
      </c>
      <c r="AQ65" s="185">
        <v>3</v>
      </c>
      <c r="AR65" s="185">
        <v>3</v>
      </c>
      <c r="AS65" s="185">
        <v>3</v>
      </c>
      <c r="AT65" s="185">
        <v>3</v>
      </c>
      <c r="AU65" s="185">
        <v>2</v>
      </c>
      <c r="AV65" s="185">
        <v>1</v>
      </c>
      <c r="AW65" s="185" t="s">
        <v>176</v>
      </c>
      <c r="AX65" s="185">
        <v>1</v>
      </c>
      <c r="AY65" s="185">
        <v>1</v>
      </c>
      <c r="AZ65" s="185" t="s">
        <v>176</v>
      </c>
      <c r="BA65" s="185" t="s">
        <v>176</v>
      </c>
      <c r="BB65" s="195" t="s">
        <v>176</v>
      </c>
      <c r="BC65" s="195" t="s">
        <v>176</v>
      </c>
      <c r="BD65" s="195" t="s">
        <v>176</v>
      </c>
      <c r="BE65" s="195" t="s">
        <v>176</v>
      </c>
      <c r="BF65" s="195" t="s">
        <v>176</v>
      </c>
      <c r="BG65" s="195" t="s">
        <v>176</v>
      </c>
      <c r="BH65" s="195" t="s">
        <v>176</v>
      </c>
      <c r="BI65" s="195" t="s">
        <v>176</v>
      </c>
      <c r="BJ65" s="195" t="s">
        <v>176</v>
      </c>
      <c r="BK65" s="185" t="s">
        <v>176</v>
      </c>
      <c r="BL65" s="185" t="s">
        <v>176</v>
      </c>
      <c r="BM65" s="185" t="s">
        <v>176</v>
      </c>
      <c r="BN65" s="185" t="s">
        <v>176</v>
      </c>
      <c r="BO65" s="185" t="s">
        <v>176</v>
      </c>
      <c r="BP65" s="185" t="s">
        <v>176</v>
      </c>
      <c r="BQ65" s="185" t="s">
        <v>176</v>
      </c>
      <c r="BR65" s="185" t="s">
        <v>176</v>
      </c>
      <c r="BS65" s="185" t="s">
        <v>176</v>
      </c>
      <c r="BT65" s="185" t="s">
        <v>176</v>
      </c>
      <c r="BU65" s="185" t="s">
        <v>176</v>
      </c>
      <c r="BV65" s="185" t="s">
        <v>176</v>
      </c>
      <c r="BW65" s="185" t="s">
        <v>176</v>
      </c>
      <c r="BX65" s="185" t="s">
        <v>176</v>
      </c>
      <c r="BY65" s="185" t="s">
        <v>176</v>
      </c>
      <c r="BZ65" s="185" t="s">
        <v>176</v>
      </c>
      <c r="CA65" s="185" t="s">
        <v>176</v>
      </c>
      <c r="CB65" s="185" t="s">
        <v>176</v>
      </c>
      <c r="CC65" s="185" t="s">
        <v>176</v>
      </c>
      <c r="CD65" s="185" t="s">
        <v>176</v>
      </c>
      <c r="CE65" s="185">
        <v>1</v>
      </c>
      <c r="CF65" s="185" t="s">
        <v>176</v>
      </c>
      <c r="CG65" s="185">
        <v>2</v>
      </c>
      <c r="CH65" s="185">
        <v>2</v>
      </c>
      <c r="CI65" s="185" t="s">
        <v>176</v>
      </c>
      <c r="CJ65" s="185" t="s">
        <v>176</v>
      </c>
      <c r="CK65" s="185">
        <v>3</v>
      </c>
      <c r="CL65" s="185">
        <v>3</v>
      </c>
      <c r="CM65" s="185">
        <v>3</v>
      </c>
      <c r="CN65" s="185">
        <v>3</v>
      </c>
      <c r="CO65" s="185">
        <v>3</v>
      </c>
      <c r="CP65" s="185">
        <v>2</v>
      </c>
      <c r="CQ65" s="195">
        <v>2</v>
      </c>
      <c r="CR65" s="185">
        <v>1</v>
      </c>
      <c r="CS65" s="185">
        <v>3</v>
      </c>
      <c r="CT65" s="185" t="s">
        <v>176</v>
      </c>
      <c r="CU65" s="185" t="s">
        <v>176</v>
      </c>
      <c r="CV65" s="185" t="s">
        <v>176</v>
      </c>
      <c r="CW65" s="185" t="s">
        <v>176</v>
      </c>
      <c r="CX65" s="185" t="s">
        <v>176</v>
      </c>
      <c r="CY65" s="185" t="s">
        <v>176</v>
      </c>
      <c r="CZ65" s="185" t="s">
        <v>176</v>
      </c>
      <c r="DA65" s="185" t="s">
        <v>176</v>
      </c>
      <c r="DB65" s="185" t="s">
        <v>176</v>
      </c>
      <c r="DC65" s="185" t="s">
        <v>176</v>
      </c>
      <c r="DD65" s="185" t="s">
        <v>176</v>
      </c>
      <c r="DE65" s="185" t="s">
        <v>176</v>
      </c>
      <c r="DF65" s="185" t="s">
        <v>176</v>
      </c>
      <c r="DG65" s="185" t="s">
        <v>176</v>
      </c>
      <c r="DH65" s="185" t="s">
        <v>176</v>
      </c>
      <c r="DI65" s="185" t="s">
        <v>176</v>
      </c>
      <c r="DJ65" s="185" t="s">
        <v>176</v>
      </c>
      <c r="DK65" s="185" t="s">
        <v>176</v>
      </c>
      <c r="DL65" s="185" t="s">
        <v>176</v>
      </c>
      <c r="DM65" s="185" t="s">
        <v>176</v>
      </c>
      <c r="DN65" s="185" t="s">
        <v>176</v>
      </c>
      <c r="DO65" s="185" t="s">
        <v>176</v>
      </c>
      <c r="DP65" s="185" t="s">
        <v>176</v>
      </c>
      <c r="DQ65" s="185" t="s">
        <v>176</v>
      </c>
      <c r="DR65" s="185" t="s">
        <v>176</v>
      </c>
      <c r="DS65" s="185" t="s">
        <v>176</v>
      </c>
      <c r="DT65" s="185" t="s">
        <v>176</v>
      </c>
      <c r="DU65" s="185" t="s">
        <v>176</v>
      </c>
      <c r="DV65" s="185" t="s">
        <v>176</v>
      </c>
      <c r="DW65" s="185" t="s">
        <v>176</v>
      </c>
      <c r="DX65" s="185" t="s">
        <v>176</v>
      </c>
      <c r="DY65" s="185" t="s">
        <v>176</v>
      </c>
      <c r="DZ65" s="185" t="s">
        <v>176</v>
      </c>
      <c r="EA65" s="185" t="s">
        <v>176</v>
      </c>
      <c r="EB65" s="185" t="s">
        <v>176</v>
      </c>
      <c r="EC65" s="185" t="s">
        <v>176</v>
      </c>
      <c r="ED65" s="185" t="s">
        <v>176</v>
      </c>
      <c r="EE65" s="185" t="s">
        <v>176</v>
      </c>
      <c r="EF65" s="185" t="s">
        <v>176</v>
      </c>
      <c r="EG65" s="185" t="s">
        <v>176</v>
      </c>
      <c r="EH65" s="185" t="s">
        <v>176</v>
      </c>
      <c r="EI65" s="185" t="s">
        <v>176</v>
      </c>
      <c r="EJ65" s="185" t="s">
        <v>176</v>
      </c>
      <c r="EK65" s="185" t="s">
        <v>176</v>
      </c>
      <c r="EL65" s="185" t="s">
        <v>176</v>
      </c>
      <c r="EM65" s="185" t="s">
        <v>176</v>
      </c>
      <c r="EN65" s="185" t="s">
        <v>176</v>
      </c>
      <c r="EO65" s="185" t="s">
        <v>176</v>
      </c>
      <c r="EP65" s="185" t="s">
        <v>176</v>
      </c>
      <c r="EQ65" s="185" t="s">
        <v>176</v>
      </c>
      <c r="ER65" s="185" t="s">
        <v>176</v>
      </c>
      <c r="ES65" s="185" t="s">
        <v>176</v>
      </c>
      <c r="ET65" s="185" t="s">
        <v>176</v>
      </c>
      <c r="EU65" s="406" t="s">
        <v>176</v>
      </c>
      <c r="EV65" s="185" t="s">
        <v>176</v>
      </c>
      <c r="EW65" s="185">
        <v>2</v>
      </c>
      <c r="EX65" s="185">
        <v>2</v>
      </c>
      <c r="EY65" s="185">
        <v>2</v>
      </c>
      <c r="EZ65" s="185">
        <v>2</v>
      </c>
      <c r="FA65" s="185" t="s">
        <v>176</v>
      </c>
      <c r="FB65" s="185">
        <v>3</v>
      </c>
      <c r="FC65" s="185">
        <v>3</v>
      </c>
      <c r="FD65" s="185">
        <v>3</v>
      </c>
      <c r="FE65" s="185">
        <v>3</v>
      </c>
      <c r="FF65" s="185">
        <v>3</v>
      </c>
      <c r="FG65" s="185">
        <v>3</v>
      </c>
      <c r="FH65" s="185">
        <v>3</v>
      </c>
      <c r="FI65" s="185">
        <v>3</v>
      </c>
      <c r="FJ65" s="185">
        <v>3</v>
      </c>
      <c r="FK65" s="185">
        <v>3</v>
      </c>
      <c r="FL65" s="185">
        <v>3</v>
      </c>
      <c r="FM65" s="185">
        <v>3</v>
      </c>
      <c r="FN65" s="185">
        <v>3</v>
      </c>
      <c r="FO65" s="185" t="s">
        <v>176</v>
      </c>
      <c r="FP65" s="185" t="s">
        <v>176</v>
      </c>
      <c r="FQ65" s="185" t="s">
        <v>387</v>
      </c>
      <c r="FR65" s="185" t="s">
        <v>176</v>
      </c>
      <c r="FS65" s="185" t="s">
        <v>176</v>
      </c>
      <c r="FT65" s="185" t="s">
        <v>176</v>
      </c>
      <c r="FU65" s="185" t="s">
        <v>176</v>
      </c>
      <c r="FV65" s="185" t="s">
        <v>176</v>
      </c>
      <c r="FW65" s="185" t="s">
        <v>176</v>
      </c>
      <c r="FX65" s="185" t="s">
        <v>176</v>
      </c>
      <c r="FY65" s="185" t="s">
        <v>176</v>
      </c>
      <c r="FZ65" s="185" t="s">
        <v>176</v>
      </c>
      <c r="GA65" s="185" t="s">
        <v>176</v>
      </c>
      <c r="GB65" s="185" t="s">
        <v>176</v>
      </c>
      <c r="GC65" s="185" t="s">
        <v>176</v>
      </c>
      <c r="GD65" s="185" t="s">
        <v>176</v>
      </c>
      <c r="GE65" s="185" t="s">
        <v>176</v>
      </c>
      <c r="GF65" s="185" t="s">
        <v>176</v>
      </c>
      <c r="GG65" s="185" t="s">
        <v>176</v>
      </c>
      <c r="GH65" s="185" t="s">
        <v>176</v>
      </c>
      <c r="GI65" s="188" t="s">
        <v>176</v>
      </c>
      <c r="GJ65" s="263">
        <f t="shared" ref="GJ65:GJ82" si="3">SUM(D65:FN65)</f>
        <v>148</v>
      </c>
    </row>
    <row r="66" spans="1:192" ht="25.5" customHeight="1" x14ac:dyDescent="0.25">
      <c r="A66" s="258" t="s">
        <v>227</v>
      </c>
      <c r="B66" s="276" t="s">
        <v>739</v>
      </c>
      <c r="C66" s="276" t="s">
        <v>761</v>
      </c>
      <c r="D66" s="189">
        <v>2</v>
      </c>
      <c r="E66" s="189">
        <v>2</v>
      </c>
      <c r="F66" s="189">
        <v>3</v>
      </c>
      <c r="G66" s="189">
        <v>2</v>
      </c>
      <c r="H66" s="189">
        <v>2</v>
      </c>
      <c r="I66" s="189">
        <v>1</v>
      </c>
      <c r="J66" s="189" t="s">
        <v>176</v>
      </c>
      <c r="K66" s="189" t="s">
        <v>176</v>
      </c>
      <c r="L66" s="189">
        <v>2</v>
      </c>
      <c r="M66" s="189">
        <v>2</v>
      </c>
      <c r="N66" s="189" t="s">
        <v>176</v>
      </c>
      <c r="O66" s="189" t="s">
        <v>176</v>
      </c>
      <c r="P66" s="189">
        <v>2</v>
      </c>
      <c r="Q66" s="189">
        <v>2</v>
      </c>
      <c r="R66" s="189" t="s">
        <v>176</v>
      </c>
      <c r="S66" s="189" t="s">
        <v>176</v>
      </c>
      <c r="T66" s="189" t="s">
        <v>176</v>
      </c>
      <c r="U66" s="189" t="s">
        <v>176</v>
      </c>
      <c r="V66" s="189" t="s">
        <v>176</v>
      </c>
      <c r="W66" s="281" t="s">
        <v>176</v>
      </c>
      <c r="X66" s="281" t="s">
        <v>176</v>
      </c>
      <c r="Y66" s="189">
        <v>2</v>
      </c>
      <c r="Z66" s="189">
        <v>1</v>
      </c>
      <c r="AA66" s="189">
        <v>1</v>
      </c>
      <c r="AB66" s="189">
        <v>2</v>
      </c>
      <c r="AC66" s="189">
        <v>1</v>
      </c>
      <c r="AD66" s="189">
        <v>1</v>
      </c>
      <c r="AE66" s="189">
        <v>1</v>
      </c>
      <c r="AF66" s="189" t="s">
        <v>176</v>
      </c>
      <c r="AG66" s="189" t="s">
        <v>176</v>
      </c>
      <c r="AH66" s="189" t="s">
        <v>176</v>
      </c>
      <c r="AI66" s="189">
        <v>3</v>
      </c>
      <c r="AJ66" s="189">
        <v>1</v>
      </c>
      <c r="AK66" s="189" t="s">
        <v>176</v>
      </c>
      <c r="AL66" s="189" t="s">
        <v>176</v>
      </c>
      <c r="AM66" s="189">
        <v>1</v>
      </c>
      <c r="AN66" s="189">
        <v>1</v>
      </c>
      <c r="AO66" s="189" t="s">
        <v>176</v>
      </c>
      <c r="AP66" s="189">
        <v>1</v>
      </c>
      <c r="AQ66" s="189" t="s">
        <v>176</v>
      </c>
      <c r="AR66" s="189">
        <v>1</v>
      </c>
      <c r="AS66" s="189">
        <v>3</v>
      </c>
      <c r="AT66" s="189">
        <v>2</v>
      </c>
      <c r="AU66" s="189">
        <v>2</v>
      </c>
      <c r="AV66" s="189" t="s">
        <v>176</v>
      </c>
      <c r="AW66" s="189" t="s">
        <v>176</v>
      </c>
      <c r="AX66" s="189" t="s">
        <v>176</v>
      </c>
      <c r="AY66" s="189" t="s">
        <v>176</v>
      </c>
      <c r="AZ66" s="189" t="s">
        <v>176</v>
      </c>
      <c r="BA66" s="189" t="s">
        <v>176</v>
      </c>
      <c r="BB66" s="281" t="s">
        <v>176</v>
      </c>
      <c r="BC66" s="281" t="s">
        <v>176</v>
      </c>
      <c r="BD66" s="281"/>
      <c r="BE66" s="281" t="s">
        <v>176</v>
      </c>
      <c r="BF66" s="281" t="s">
        <v>176</v>
      </c>
      <c r="BG66" s="281" t="s">
        <v>176</v>
      </c>
      <c r="BH66" s="281" t="s">
        <v>176</v>
      </c>
      <c r="BI66" s="281" t="s">
        <v>176</v>
      </c>
      <c r="BJ66" s="281" t="s">
        <v>176</v>
      </c>
      <c r="BK66" s="189">
        <v>1</v>
      </c>
      <c r="BL66" s="189">
        <v>1</v>
      </c>
      <c r="BM66" s="189">
        <v>1</v>
      </c>
      <c r="BN66" s="189">
        <v>1</v>
      </c>
      <c r="BO66" s="189">
        <v>1</v>
      </c>
      <c r="BP66" s="189">
        <v>1</v>
      </c>
      <c r="BQ66" s="189">
        <v>1</v>
      </c>
      <c r="BR66" s="189">
        <v>1</v>
      </c>
      <c r="BS66" s="189">
        <v>1</v>
      </c>
      <c r="BT66" s="189">
        <v>3</v>
      </c>
      <c r="BU66" s="189" t="s">
        <v>176</v>
      </c>
      <c r="BV66" s="189" t="s">
        <v>176</v>
      </c>
      <c r="BW66" s="189" t="s">
        <v>176</v>
      </c>
      <c r="BX66" s="189" t="s">
        <v>176</v>
      </c>
      <c r="BY66" s="189" t="s">
        <v>176</v>
      </c>
      <c r="BZ66" s="189" t="s">
        <v>176</v>
      </c>
      <c r="CA66" s="189" t="s">
        <v>176</v>
      </c>
      <c r="CB66" s="189" t="s">
        <v>176</v>
      </c>
      <c r="CC66" s="189" t="s">
        <v>176</v>
      </c>
      <c r="CD66" s="189" t="s">
        <v>176</v>
      </c>
      <c r="CE66" s="189" t="s">
        <v>176</v>
      </c>
      <c r="CF66" s="189" t="s">
        <v>176</v>
      </c>
      <c r="CG66" s="189">
        <v>2</v>
      </c>
      <c r="CH66" s="189">
        <v>2</v>
      </c>
      <c r="CI66" s="189">
        <v>1</v>
      </c>
      <c r="CJ66" s="189" t="s">
        <v>176</v>
      </c>
      <c r="CK66" s="189">
        <v>1</v>
      </c>
      <c r="CL66" s="189">
        <v>1</v>
      </c>
      <c r="CM66" s="189">
        <v>2</v>
      </c>
      <c r="CN66" s="189">
        <v>2</v>
      </c>
      <c r="CO66" s="189" t="s">
        <v>176</v>
      </c>
      <c r="CP66" s="189" t="s">
        <v>176</v>
      </c>
      <c r="CQ66" s="281" t="s">
        <v>176</v>
      </c>
      <c r="CR66" s="189" t="s">
        <v>176</v>
      </c>
      <c r="CS66" s="189">
        <v>2</v>
      </c>
      <c r="CT66" s="189">
        <v>1</v>
      </c>
      <c r="CU66" s="189" t="s">
        <v>176</v>
      </c>
      <c r="CV66" s="185" t="s">
        <v>176</v>
      </c>
      <c r="CW66" s="185" t="s">
        <v>176</v>
      </c>
      <c r="CX66" s="185" t="s">
        <v>176</v>
      </c>
      <c r="CY66" s="185" t="s">
        <v>176</v>
      </c>
      <c r="CZ66" s="189" t="s">
        <v>176</v>
      </c>
      <c r="DA66" s="185" t="s">
        <v>176</v>
      </c>
      <c r="DB66" s="189" t="s">
        <v>176</v>
      </c>
      <c r="DC66" s="185" t="s">
        <v>176</v>
      </c>
      <c r="DD66" s="189" t="s">
        <v>176</v>
      </c>
      <c r="DE66" s="185" t="s">
        <v>176</v>
      </c>
      <c r="DF66" s="185" t="s">
        <v>176</v>
      </c>
      <c r="DG66" s="185" t="s">
        <v>176</v>
      </c>
      <c r="DH66" s="185" t="s">
        <v>176</v>
      </c>
      <c r="DI66" s="185" t="s">
        <v>176</v>
      </c>
      <c r="DJ66" s="185" t="s">
        <v>176</v>
      </c>
      <c r="DK66" s="185" t="s">
        <v>176</v>
      </c>
      <c r="DL66" s="185" t="s">
        <v>176</v>
      </c>
      <c r="DM66" s="185" t="s">
        <v>176</v>
      </c>
      <c r="DN66" s="185" t="s">
        <v>176</v>
      </c>
      <c r="DO66" s="185" t="s">
        <v>176</v>
      </c>
      <c r="DP66" s="185" t="s">
        <v>176</v>
      </c>
      <c r="DQ66" s="185" t="s">
        <v>176</v>
      </c>
      <c r="DR66" s="185" t="s">
        <v>176</v>
      </c>
      <c r="DS66" s="189" t="s">
        <v>176</v>
      </c>
      <c r="DT66" s="189" t="s">
        <v>176</v>
      </c>
      <c r="DU66" s="189" t="s">
        <v>176</v>
      </c>
      <c r="DV66" s="189" t="s">
        <v>176</v>
      </c>
      <c r="DW66" s="189">
        <v>2</v>
      </c>
      <c r="DX66" s="189">
        <v>2</v>
      </c>
      <c r="DY66" s="189">
        <v>2</v>
      </c>
      <c r="DZ66" s="189">
        <v>2</v>
      </c>
      <c r="EA66" s="189">
        <v>2</v>
      </c>
      <c r="EB66" s="189">
        <v>2</v>
      </c>
      <c r="EC66" s="189">
        <v>2</v>
      </c>
      <c r="ED66" s="189">
        <v>2</v>
      </c>
      <c r="EE66" s="189">
        <v>2</v>
      </c>
      <c r="EF66" s="195">
        <v>2</v>
      </c>
      <c r="EG66" s="195">
        <v>2</v>
      </c>
      <c r="EH66" s="195">
        <v>2</v>
      </c>
      <c r="EI66" s="195">
        <v>3</v>
      </c>
      <c r="EJ66" s="189">
        <v>2</v>
      </c>
      <c r="EK66" s="189">
        <v>2</v>
      </c>
      <c r="EL66" s="189">
        <v>3</v>
      </c>
      <c r="EM66" s="189">
        <v>3</v>
      </c>
      <c r="EN66" s="189" t="s">
        <v>176</v>
      </c>
      <c r="EO66" s="189" t="s">
        <v>176</v>
      </c>
      <c r="EP66" s="189" t="s">
        <v>176</v>
      </c>
      <c r="EQ66" s="189" t="s">
        <v>176</v>
      </c>
      <c r="ER66" s="189" t="s">
        <v>176</v>
      </c>
      <c r="ES66" s="189" t="s">
        <v>176</v>
      </c>
      <c r="ET66" s="189" t="s">
        <v>176</v>
      </c>
      <c r="EU66" s="406" t="s">
        <v>176</v>
      </c>
      <c r="EV66" s="189" t="s">
        <v>176</v>
      </c>
      <c r="EW66" s="189">
        <v>2</v>
      </c>
      <c r="EX66" s="189">
        <v>2</v>
      </c>
      <c r="EY66" s="189">
        <v>2</v>
      </c>
      <c r="EZ66" s="189">
        <v>2</v>
      </c>
      <c r="FA66" s="189" t="s">
        <v>176</v>
      </c>
      <c r="FB66" s="189">
        <v>3</v>
      </c>
      <c r="FC66" s="189">
        <v>3</v>
      </c>
      <c r="FD66" s="189">
        <v>3</v>
      </c>
      <c r="FE66" s="189">
        <v>3</v>
      </c>
      <c r="FF66" s="189">
        <v>3</v>
      </c>
      <c r="FG66" s="189">
        <v>3</v>
      </c>
      <c r="FH66" s="189">
        <v>3</v>
      </c>
      <c r="FI66" s="189">
        <v>3</v>
      </c>
      <c r="FJ66" s="189">
        <v>3</v>
      </c>
      <c r="FK66" s="189">
        <v>3</v>
      </c>
      <c r="FL66" s="189">
        <v>3</v>
      </c>
      <c r="FM66" s="189">
        <v>3</v>
      </c>
      <c r="FN66" s="189">
        <v>3</v>
      </c>
      <c r="FO66" s="189" t="s">
        <v>176</v>
      </c>
      <c r="FP66" s="189" t="s">
        <v>176</v>
      </c>
      <c r="FQ66" s="189" t="s">
        <v>176</v>
      </c>
      <c r="FR66" s="189" t="s">
        <v>160</v>
      </c>
      <c r="FS66" s="189" t="s">
        <v>176</v>
      </c>
      <c r="FT66" s="189" t="s">
        <v>176</v>
      </c>
      <c r="FU66" s="189"/>
      <c r="FV66" s="189"/>
      <c r="FW66" s="189"/>
      <c r="FX66" s="189"/>
      <c r="FY66" s="189"/>
      <c r="FZ66" s="189"/>
      <c r="GA66" s="189" t="s">
        <v>160</v>
      </c>
      <c r="GB66" s="189" t="s">
        <v>176</v>
      </c>
      <c r="GC66" s="189" t="s">
        <v>176</v>
      </c>
      <c r="GD66" s="189" t="s">
        <v>176</v>
      </c>
      <c r="GE66" s="189" t="s">
        <v>160</v>
      </c>
      <c r="GF66" s="189" t="s">
        <v>160</v>
      </c>
      <c r="GG66" s="189" t="s">
        <v>176</v>
      </c>
      <c r="GH66" s="189" t="s">
        <v>176</v>
      </c>
      <c r="GI66" s="196" t="s">
        <v>160</v>
      </c>
      <c r="GJ66" s="275">
        <f t="shared" si="3"/>
        <v>154</v>
      </c>
    </row>
    <row r="67" spans="1:192" ht="25.5" customHeight="1" x14ac:dyDescent="0.25">
      <c r="A67" s="272" t="s">
        <v>227</v>
      </c>
      <c r="B67" s="276" t="s">
        <v>740</v>
      </c>
      <c r="C67" s="276" t="s">
        <v>761</v>
      </c>
      <c r="D67" s="195">
        <v>2</v>
      </c>
      <c r="E67" s="195">
        <v>2</v>
      </c>
      <c r="F67" s="195">
        <v>3</v>
      </c>
      <c r="G67" s="195">
        <v>2</v>
      </c>
      <c r="H67" s="195">
        <v>2</v>
      </c>
      <c r="I67" s="195">
        <v>1</v>
      </c>
      <c r="J67" s="195" t="s">
        <v>176</v>
      </c>
      <c r="K67" s="195" t="s">
        <v>176</v>
      </c>
      <c r="L67" s="195">
        <v>2</v>
      </c>
      <c r="M67" s="195">
        <v>2</v>
      </c>
      <c r="N67" s="195" t="s">
        <v>176</v>
      </c>
      <c r="O67" s="195" t="s">
        <v>176</v>
      </c>
      <c r="P67" s="195">
        <v>2</v>
      </c>
      <c r="Q67" s="195">
        <v>2</v>
      </c>
      <c r="R67" s="195" t="s">
        <v>176</v>
      </c>
      <c r="S67" s="195" t="s">
        <v>176</v>
      </c>
      <c r="T67" s="195" t="s">
        <v>176</v>
      </c>
      <c r="U67" s="195" t="s">
        <v>176</v>
      </c>
      <c r="V67" s="195" t="s">
        <v>176</v>
      </c>
      <c r="W67" s="195" t="s">
        <v>176</v>
      </c>
      <c r="X67" s="195" t="s">
        <v>176</v>
      </c>
      <c r="Y67" s="195">
        <v>2</v>
      </c>
      <c r="Z67" s="195">
        <v>1</v>
      </c>
      <c r="AA67" s="195">
        <v>1</v>
      </c>
      <c r="AB67" s="195">
        <v>2</v>
      </c>
      <c r="AC67" s="195">
        <v>1</v>
      </c>
      <c r="AD67" s="195">
        <v>1</v>
      </c>
      <c r="AE67" s="195">
        <v>1</v>
      </c>
      <c r="AF67" s="195" t="s">
        <v>176</v>
      </c>
      <c r="AG67" s="195" t="s">
        <v>176</v>
      </c>
      <c r="AH67" s="195" t="s">
        <v>176</v>
      </c>
      <c r="AI67" s="195">
        <v>3</v>
      </c>
      <c r="AJ67" s="195">
        <v>1</v>
      </c>
      <c r="AK67" s="195" t="s">
        <v>176</v>
      </c>
      <c r="AL67" s="195" t="s">
        <v>176</v>
      </c>
      <c r="AM67" s="195">
        <v>1</v>
      </c>
      <c r="AN67" s="195">
        <v>1</v>
      </c>
      <c r="AO67" s="195" t="s">
        <v>176</v>
      </c>
      <c r="AP67" s="185">
        <v>1</v>
      </c>
      <c r="AQ67" s="185" t="s">
        <v>176</v>
      </c>
      <c r="AR67" s="195">
        <v>1</v>
      </c>
      <c r="AS67" s="195">
        <v>3</v>
      </c>
      <c r="AT67" s="195">
        <v>2</v>
      </c>
      <c r="AU67" s="195">
        <v>2</v>
      </c>
      <c r="AV67" s="195" t="s">
        <v>176</v>
      </c>
      <c r="AW67" s="195" t="s">
        <v>176</v>
      </c>
      <c r="AX67" s="195" t="s">
        <v>176</v>
      </c>
      <c r="AY67" s="195" t="s">
        <v>176</v>
      </c>
      <c r="AZ67" s="195" t="s">
        <v>176</v>
      </c>
      <c r="BA67" s="195" t="s">
        <v>176</v>
      </c>
      <c r="BB67" s="195" t="s">
        <v>176</v>
      </c>
      <c r="BC67" s="195" t="s">
        <v>176</v>
      </c>
      <c r="BD67" s="195"/>
      <c r="BE67" s="195" t="s">
        <v>176</v>
      </c>
      <c r="BF67" s="195" t="s">
        <v>176</v>
      </c>
      <c r="BG67" s="195" t="s">
        <v>176</v>
      </c>
      <c r="BH67" s="195" t="s">
        <v>176</v>
      </c>
      <c r="BI67" s="195" t="s">
        <v>176</v>
      </c>
      <c r="BJ67" s="195" t="s">
        <v>176</v>
      </c>
      <c r="BK67" s="185">
        <v>1</v>
      </c>
      <c r="BL67" s="185">
        <v>1</v>
      </c>
      <c r="BM67" s="185">
        <v>1</v>
      </c>
      <c r="BN67" s="185">
        <v>1</v>
      </c>
      <c r="BO67" s="185">
        <v>1</v>
      </c>
      <c r="BP67" s="185">
        <v>1</v>
      </c>
      <c r="BQ67" s="185">
        <v>1</v>
      </c>
      <c r="BR67" s="185">
        <v>1</v>
      </c>
      <c r="BS67" s="195">
        <v>1</v>
      </c>
      <c r="BT67" s="195">
        <v>3</v>
      </c>
      <c r="BU67" s="195" t="s">
        <v>176</v>
      </c>
      <c r="BV67" s="195" t="s">
        <v>176</v>
      </c>
      <c r="BW67" s="195" t="s">
        <v>176</v>
      </c>
      <c r="BX67" s="195" t="s">
        <v>176</v>
      </c>
      <c r="BY67" s="195" t="s">
        <v>176</v>
      </c>
      <c r="BZ67" s="195" t="s">
        <v>176</v>
      </c>
      <c r="CA67" s="195" t="s">
        <v>176</v>
      </c>
      <c r="CB67" s="195" t="s">
        <v>176</v>
      </c>
      <c r="CC67" s="195" t="s">
        <v>176</v>
      </c>
      <c r="CD67" s="195" t="s">
        <v>176</v>
      </c>
      <c r="CE67" s="195" t="s">
        <v>176</v>
      </c>
      <c r="CF67" s="195" t="s">
        <v>176</v>
      </c>
      <c r="CG67" s="195">
        <v>2</v>
      </c>
      <c r="CH67" s="195">
        <v>2</v>
      </c>
      <c r="CI67" s="195">
        <v>1</v>
      </c>
      <c r="CJ67" s="195" t="s">
        <v>176</v>
      </c>
      <c r="CK67" s="195">
        <v>1</v>
      </c>
      <c r="CL67" s="195">
        <v>1</v>
      </c>
      <c r="CM67" s="195">
        <v>2</v>
      </c>
      <c r="CN67" s="195">
        <v>2</v>
      </c>
      <c r="CO67" s="195" t="s">
        <v>176</v>
      </c>
      <c r="CP67" s="195" t="s">
        <v>176</v>
      </c>
      <c r="CQ67" s="195" t="s">
        <v>176</v>
      </c>
      <c r="CR67" s="195" t="s">
        <v>176</v>
      </c>
      <c r="CS67" s="195">
        <v>2</v>
      </c>
      <c r="CT67" s="195">
        <v>1</v>
      </c>
      <c r="CU67" s="189" t="s">
        <v>176</v>
      </c>
      <c r="CV67" s="189" t="s">
        <v>176</v>
      </c>
      <c r="CW67" s="189" t="s">
        <v>176</v>
      </c>
      <c r="CX67" s="189" t="s">
        <v>176</v>
      </c>
      <c r="CY67" s="195" t="s">
        <v>176</v>
      </c>
      <c r="CZ67" s="195" t="s">
        <v>176</v>
      </c>
      <c r="DA67" s="195" t="s">
        <v>176</v>
      </c>
      <c r="DB67" s="195" t="s">
        <v>176</v>
      </c>
      <c r="DC67" s="195" t="s">
        <v>176</v>
      </c>
      <c r="DD67" s="195" t="s">
        <v>176</v>
      </c>
      <c r="DE67" s="195" t="s">
        <v>176</v>
      </c>
      <c r="DF67" s="195" t="s">
        <v>176</v>
      </c>
      <c r="DG67" s="195" t="s">
        <v>176</v>
      </c>
      <c r="DH67" s="195" t="s">
        <v>176</v>
      </c>
      <c r="DI67" s="195" t="s">
        <v>176</v>
      </c>
      <c r="DJ67" s="195" t="s">
        <v>176</v>
      </c>
      <c r="DK67" s="195" t="s">
        <v>176</v>
      </c>
      <c r="DL67" s="195" t="s">
        <v>176</v>
      </c>
      <c r="DM67" s="195" t="s">
        <v>176</v>
      </c>
      <c r="DN67" s="195" t="s">
        <v>176</v>
      </c>
      <c r="DO67" s="195" t="s">
        <v>176</v>
      </c>
      <c r="DP67" s="195" t="s">
        <v>176</v>
      </c>
      <c r="DQ67" s="195" t="s">
        <v>176</v>
      </c>
      <c r="DR67" s="195" t="s">
        <v>176</v>
      </c>
      <c r="DS67" s="195" t="s">
        <v>176</v>
      </c>
      <c r="DT67" s="195" t="s">
        <v>176</v>
      </c>
      <c r="DU67" s="195" t="s">
        <v>176</v>
      </c>
      <c r="DV67" s="195" t="s">
        <v>176</v>
      </c>
      <c r="DW67" s="195" t="s">
        <v>176</v>
      </c>
      <c r="DX67" s="195" t="s">
        <v>176</v>
      </c>
      <c r="DY67" s="195" t="s">
        <v>176</v>
      </c>
      <c r="DZ67" s="195" t="s">
        <v>176</v>
      </c>
      <c r="EA67" s="195" t="s">
        <v>176</v>
      </c>
      <c r="EB67" s="195" t="s">
        <v>176</v>
      </c>
      <c r="EC67" s="195" t="s">
        <v>176</v>
      </c>
      <c r="ED67" s="195">
        <v>2</v>
      </c>
      <c r="EE67" s="195">
        <v>2</v>
      </c>
      <c r="EF67" s="195">
        <v>2</v>
      </c>
      <c r="EG67" s="195">
        <v>2</v>
      </c>
      <c r="EH67" s="195">
        <v>2</v>
      </c>
      <c r="EI67" s="195">
        <v>3</v>
      </c>
      <c r="EJ67" s="195">
        <v>2</v>
      </c>
      <c r="EK67" s="195">
        <v>2</v>
      </c>
      <c r="EL67" s="195">
        <v>3</v>
      </c>
      <c r="EM67" s="195">
        <v>3</v>
      </c>
      <c r="EN67" s="195">
        <v>3</v>
      </c>
      <c r="EO67" s="195">
        <v>3</v>
      </c>
      <c r="EP67" s="195">
        <v>3</v>
      </c>
      <c r="EQ67" s="195">
        <v>3</v>
      </c>
      <c r="ER67" s="195">
        <v>3</v>
      </c>
      <c r="ES67" s="195">
        <v>3</v>
      </c>
      <c r="ET67" s="195">
        <v>3</v>
      </c>
      <c r="EU67" s="195">
        <v>3</v>
      </c>
      <c r="EV67" s="195">
        <v>3</v>
      </c>
      <c r="EW67" s="195">
        <v>2</v>
      </c>
      <c r="EX67" s="195">
        <v>2</v>
      </c>
      <c r="EY67" s="195">
        <v>2</v>
      </c>
      <c r="EZ67" s="195">
        <v>2</v>
      </c>
      <c r="FA67" s="195" t="s">
        <v>176</v>
      </c>
      <c r="FB67" s="195">
        <v>3</v>
      </c>
      <c r="FC67" s="195">
        <v>3</v>
      </c>
      <c r="FD67" s="195">
        <v>3</v>
      </c>
      <c r="FE67" s="195">
        <v>3</v>
      </c>
      <c r="FF67" s="195">
        <v>3</v>
      </c>
      <c r="FG67" s="195">
        <v>3</v>
      </c>
      <c r="FH67" s="195">
        <v>3</v>
      </c>
      <c r="FI67" s="195">
        <v>3</v>
      </c>
      <c r="FJ67" s="195">
        <v>3</v>
      </c>
      <c r="FK67" s="195">
        <v>3</v>
      </c>
      <c r="FL67" s="195">
        <v>3</v>
      </c>
      <c r="FM67" s="195">
        <v>3</v>
      </c>
      <c r="FN67" s="195">
        <v>3</v>
      </c>
      <c r="FO67" s="195" t="s">
        <v>176</v>
      </c>
      <c r="FP67" s="195" t="s">
        <v>176</v>
      </c>
      <c r="FQ67" s="195" t="s">
        <v>176</v>
      </c>
      <c r="FR67" s="195" t="s">
        <v>160</v>
      </c>
      <c r="FS67" s="195" t="s">
        <v>176</v>
      </c>
      <c r="FT67" s="195" t="s">
        <v>176</v>
      </c>
      <c r="FU67" s="195"/>
      <c r="FV67" s="195"/>
      <c r="FW67" s="195"/>
      <c r="FX67" s="195"/>
      <c r="FY67" s="195"/>
      <c r="FZ67" s="195"/>
      <c r="GA67" s="195" t="s">
        <v>160</v>
      </c>
      <c r="GB67" s="195" t="s">
        <v>176</v>
      </c>
      <c r="GC67" s="195" t="s">
        <v>176</v>
      </c>
      <c r="GD67" s="195" t="s">
        <v>176</v>
      </c>
      <c r="GE67" s="195" t="s">
        <v>160</v>
      </c>
      <c r="GF67" s="195" t="s">
        <v>160</v>
      </c>
      <c r="GG67" s="195" t="s">
        <v>176</v>
      </c>
      <c r="GH67" s="195" t="s">
        <v>160</v>
      </c>
      <c r="GI67" s="195" t="s">
        <v>160</v>
      </c>
      <c r="GJ67" s="275">
        <f t="shared" si="3"/>
        <v>167</v>
      </c>
    </row>
    <row r="68" spans="1:192" ht="25.5" customHeight="1" x14ac:dyDescent="0.25">
      <c r="A68" s="258" t="s">
        <v>227</v>
      </c>
      <c r="B68" s="277" t="s">
        <v>163</v>
      </c>
      <c r="C68" s="277" t="s">
        <v>768</v>
      </c>
      <c r="D68" s="185">
        <v>2</v>
      </c>
      <c r="E68" s="185">
        <v>2</v>
      </c>
      <c r="F68" s="185">
        <v>3</v>
      </c>
      <c r="G68" s="185">
        <v>2</v>
      </c>
      <c r="H68" s="185">
        <v>2</v>
      </c>
      <c r="I68" s="185">
        <v>1</v>
      </c>
      <c r="J68" s="185" t="s">
        <v>176</v>
      </c>
      <c r="K68" s="185" t="s">
        <v>176</v>
      </c>
      <c r="L68" s="185">
        <v>2</v>
      </c>
      <c r="M68" s="185">
        <v>2</v>
      </c>
      <c r="N68" s="185" t="s">
        <v>176</v>
      </c>
      <c r="O68" s="185" t="s">
        <v>176</v>
      </c>
      <c r="P68" s="185">
        <v>1</v>
      </c>
      <c r="Q68" s="185" t="s">
        <v>176</v>
      </c>
      <c r="R68" s="185" t="s">
        <v>176</v>
      </c>
      <c r="S68" s="185" t="s">
        <v>176</v>
      </c>
      <c r="T68" s="185" t="s">
        <v>176</v>
      </c>
      <c r="U68" s="185" t="s">
        <v>176</v>
      </c>
      <c r="V68" s="185" t="s">
        <v>176</v>
      </c>
      <c r="W68" s="185" t="s">
        <v>176</v>
      </c>
      <c r="X68" s="185">
        <v>1</v>
      </c>
      <c r="Y68" s="185">
        <v>2</v>
      </c>
      <c r="Z68" s="185">
        <v>2</v>
      </c>
      <c r="AA68" s="185">
        <v>2</v>
      </c>
      <c r="AB68" s="185">
        <v>2</v>
      </c>
      <c r="AC68" s="185">
        <v>3</v>
      </c>
      <c r="AD68" s="185">
        <v>2</v>
      </c>
      <c r="AE68" s="185">
        <v>1</v>
      </c>
      <c r="AF68" s="185">
        <v>2</v>
      </c>
      <c r="AG68" s="185">
        <v>1</v>
      </c>
      <c r="AH68" s="185">
        <v>2</v>
      </c>
      <c r="AI68" s="185">
        <v>3</v>
      </c>
      <c r="AJ68" s="185">
        <v>2</v>
      </c>
      <c r="AK68" s="185">
        <v>1</v>
      </c>
      <c r="AL68" s="185">
        <v>2</v>
      </c>
      <c r="AM68" s="185">
        <v>2</v>
      </c>
      <c r="AN68" s="185">
        <v>2</v>
      </c>
      <c r="AO68" s="185" t="s">
        <v>176</v>
      </c>
      <c r="AP68" s="185">
        <v>1</v>
      </c>
      <c r="AQ68" s="185">
        <v>1</v>
      </c>
      <c r="AR68" s="185">
        <v>2</v>
      </c>
      <c r="AS68" s="185">
        <v>3</v>
      </c>
      <c r="AT68" s="185">
        <v>3</v>
      </c>
      <c r="AU68" s="185">
        <v>3</v>
      </c>
      <c r="AV68" s="185">
        <v>1</v>
      </c>
      <c r="AW68" s="185">
        <v>1</v>
      </c>
      <c r="AX68" s="185" t="s">
        <v>176</v>
      </c>
      <c r="AY68" s="185">
        <v>1</v>
      </c>
      <c r="AZ68" s="185">
        <v>2</v>
      </c>
      <c r="BA68" s="185">
        <v>1</v>
      </c>
      <c r="BB68" s="185">
        <v>1</v>
      </c>
      <c r="BC68" s="185" t="s">
        <v>176</v>
      </c>
      <c r="BD68" s="185" t="s">
        <v>176</v>
      </c>
      <c r="BE68" s="185" t="s">
        <v>176</v>
      </c>
      <c r="BF68" s="185" t="s">
        <v>176</v>
      </c>
      <c r="BG68" s="185" t="s">
        <v>176</v>
      </c>
      <c r="BH68" s="185" t="s">
        <v>176</v>
      </c>
      <c r="BI68" s="185" t="s">
        <v>176</v>
      </c>
      <c r="BJ68" s="185" t="s">
        <v>176</v>
      </c>
      <c r="BK68" s="185" t="s">
        <v>176</v>
      </c>
      <c r="BL68" s="185" t="s">
        <v>176</v>
      </c>
      <c r="BM68" s="185" t="s">
        <v>176</v>
      </c>
      <c r="BN68" s="185" t="s">
        <v>176</v>
      </c>
      <c r="BO68" s="185" t="s">
        <v>176</v>
      </c>
      <c r="BP68" s="185" t="s">
        <v>176</v>
      </c>
      <c r="BQ68" s="185" t="s">
        <v>176</v>
      </c>
      <c r="BR68" s="185" t="s">
        <v>176</v>
      </c>
      <c r="BS68" s="185" t="s">
        <v>176</v>
      </c>
      <c r="BT68" s="185" t="s">
        <v>176</v>
      </c>
      <c r="BU68" s="185" t="s">
        <v>176</v>
      </c>
      <c r="BV68" s="185" t="s">
        <v>176</v>
      </c>
      <c r="BW68" s="185" t="s">
        <v>176</v>
      </c>
      <c r="BX68" s="185" t="s">
        <v>176</v>
      </c>
      <c r="BY68" s="185" t="s">
        <v>176</v>
      </c>
      <c r="BZ68" s="185" t="s">
        <v>176</v>
      </c>
      <c r="CA68" s="185" t="s">
        <v>176</v>
      </c>
      <c r="CB68" s="185" t="s">
        <v>176</v>
      </c>
      <c r="CC68" s="185" t="s">
        <v>176</v>
      </c>
      <c r="CD68" s="185" t="s">
        <v>176</v>
      </c>
      <c r="CE68" s="185">
        <v>1</v>
      </c>
      <c r="CF68" s="185" t="s">
        <v>176</v>
      </c>
      <c r="CG68" s="185">
        <v>2</v>
      </c>
      <c r="CH68" s="185">
        <v>2</v>
      </c>
      <c r="CI68" s="185">
        <v>1</v>
      </c>
      <c r="CJ68" s="185">
        <v>1</v>
      </c>
      <c r="CK68" s="185">
        <v>2</v>
      </c>
      <c r="CL68" s="185">
        <v>3</v>
      </c>
      <c r="CM68" s="185">
        <v>3</v>
      </c>
      <c r="CN68" s="185">
        <v>3</v>
      </c>
      <c r="CO68" s="185">
        <v>1</v>
      </c>
      <c r="CP68" s="185">
        <v>1</v>
      </c>
      <c r="CQ68" s="185" t="s">
        <v>176</v>
      </c>
      <c r="CR68" s="185">
        <v>1</v>
      </c>
      <c r="CS68" s="185">
        <v>1</v>
      </c>
      <c r="CT68" s="185" t="s">
        <v>176</v>
      </c>
      <c r="CU68" s="185" t="s">
        <v>176</v>
      </c>
      <c r="CV68" s="185" t="s">
        <v>176</v>
      </c>
      <c r="CW68" s="185" t="s">
        <v>176</v>
      </c>
      <c r="CX68" s="185" t="s">
        <v>176</v>
      </c>
      <c r="CY68" s="185" t="s">
        <v>176</v>
      </c>
      <c r="CZ68" s="185" t="s">
        <v>176</v>
      </c>
      <c r="DA68" s="185" t="s">
        <v>176</v>
      </c>
      <c r="DB68" s="185" t="s">
        <v>176</v>
      </c>
      <c r="DC68" s="185" t="s">
        <v>176</v>
      </c>
      <c r="DD68" s="185" t="s">
        <v>176</v>
      </c>
      <c r="DE68" s="185" t="s">
        <v>176</v>
      </c>
      <c r="DF68" s="185" t="s">
        <v>176</v>
      </c>
      <c r="DG68" s="185" t="s">
        <v>176</v>
      </c>
      <c r="DH68" s="185" t="s">
        <v>176</v>
      </c>
      <c r="DI68" s="185" t="s">
        <v>176</v>
      </c>
      <c r="DJ68" s="185" t="s">
        <v>176</v>
      </c>
      <c r="DK68" s="185" t="s">
        <v>176</v>
      </c>
      <c r="DL68" s="185" t="s">
        <v>176</v>
      </c>
      <c r="DM68" s="185" t="s">
        <v>176</v>
      </c>
      <c r="DN68" s="185" t="s">
        <v>176</v>
      </c>
      <c r="DO68" s="185" t="s">
        <v>176</v>
      </c>
      <c r="DP68" s="185" t="s">
        <v>176</v>
      </c>
      <c r="DQ68" s="185" t="s">
        <v>176</v>
      </c>
      <c r="DR68" s="185" t="s">
        <v>176</v>
      </c>
      <c r="DS68" s="185" t="s">
        <v>176</v>
      </c>
      <c r="DT68" s="185" t="s">
        <v>176</v>
      </c>
      <c r="DU68" s="185" t="s">
        <v>176</v>
      </c>
      <c r="DV68" s="185" t="s">
        <v>176</v>
      </c>
      <c r="DW68" s="185" t="s">
        <v>176</v>
      </c>
      <c r="DX68" s="185" t="s">
        <v>176</v>
      </c>
      <c r="DY68" s="185" t="s">
        <v>176</v>
      </c>
      <c r="DZ68" s="185" t="s">
        <v>176</v>
      </c>
      <c r="EA68" s="185" t="s">
        <v>176</v>
      </c>
      <c r="EB68" s="185" t="s">
        <v>176</v>
      </c>
      <c r="EC68" s="185" t="s">
        <v>176</v>
      </c>
      <c r="ED68" s="185" t="s">
        <v>176</v>
      </c>
      <c r="EE68" s="185" t="s">
        <v>176</v>
      </c>
      <c r="EF68" s="185" t="s">
        <v>176</v>
      </c>
      <c r="EG68" s="185" t="s">
        <v>176</v>
      </c>
      <c r="EH68" s="185" t="s">
        <v>176</v>
      </c>
      <c r="EI68" s="185" t="s">
        <v>176</v>
      </c>
      <c r="EJ68" s="185" t="s">
        <v>176</v>
      </c>
      <c r="EK68" s="185" t="s">
        <v>176</v>
      </c>
      <c r="EL68" s="185" t="s">
        <v>176</v>
      </c>
      <c r="EM68" s="185" t="s">
        <v>176</v>
      </c>
      <c r="EN68" s="185" t="s">
        <v>176</v>
      </c>
      <c r="EO68" s="185" t="s">
        <v>176</v>
      </c>
      <c r="EP68" s="185" t="s">
        <v>176</v>
      </c>
      <c r="EQ68" s="185" t="s">
        <v>176</v>
      </c>
      <c r="ER68" s="185" t="s">
        <v>176</v>
      </c>
      <c r="ES68" s="185" t="s">
        <v>176</v>
      </c>
      <c r="ET68" s="185" t="s">
        <v>176</v>
      </c>
      <c r="EU68" s="185" t="s">
        <v>176</v>
      </c>
      <c r="EV68" s="185" t="s">
        <v>176</v>
      </c>
      <c r="EW68" s="185">
        <v>2</v>
      </c>
      <c r="EX68" s="185">
        <v>2</v>
      </c>
      <c r="EY68" s="185">
        <v>2</v>
      </c>
      <c r="EZ68" s="185">
        <v>2</v>
      </c>
      <c r="FA68" s="185">
        <v>2</v>
      </c>
      <c r="FB68" s="185">
        <v>3</v>
      </c>
      <c r="FC68" s="185">
        <v>3</v>
      </c>
      <c r="FD68" s="185">
        <v>3</v>
      </c>
      <c r="FE68" s="185">
        <v>3</v>
      </c>
      <c r="FF68" s="185">
        <v>3</v>
      </c>
      <c r="FG68" s="185">
        <v>3</v>
      </c>
      <c r="FH68" s="185">
        <v>3</v>
      </c>
      <c r="FI68" s="185">
        <v>3</v>
      </c>
      <c r="FJ68" s="185">
        <v>3</v>
      </c>
      <c r="FK68" s="185">
        <v>3</v>
      </c>
      <c r="FL68" s="185">
        <v>3</v>
      </c>
      <c r="FM68" s="185">
        <v>3</v>
      </c>
      <c r="FN68" s="185">
        <v>3</v>
      </c>
      <c r="FO68" s="185" t="s">
        <v>176</v>
      </c>
      <c r="FP68" s="185" t="s">
        <v>176</v>
      </c>
      <c r="FQ68" s="185" t="s">
        <v>176</v>
      </c>
      <c r="FR68" s="185" t="s">
        <v>176</v>
      </c>
      <c r="FS68" s="185" t="s">
        <v>176</v>
      </c>
      <c r="FT68" s="185" t="s">
        <v>176</v>
      </c>
      <c r="FU68" s="185" t="s">
        <v>176</v>
      </c>
      <c r="FV68" s="185" t="s">
        <v>176</v>
      </c>
      <c r="FW68" s="185" t="s">
        <v>176</v>
      </c>
      <c r="FX68" s="185" t="s">
        <v>176</v>
      </c>
      <c r="FY68" s="185" t="s">
        <v>176</v>
      </c>
      <c r="FZ68" s="185" t="s">
        <v>176</v>
      </c>
      <c r="GA68" s="185" t="s">
        <v>176</v>
      </c>
      <c r="GB68" s="185" t="s">
        <v>176</v>
      </c>
      <c r="GC68" s="185" t="s">
        <v>176</v>
      </c>
      <c r="GD68" s="185" t="s">
        <v>176</v>
      </c>
      <c r="GE68" s="185" t="s">
        <v>176</v>
      </c>
      <c r="GF68" s="185" t="s">
        <v>176</v>
      </c>
      <c r="GG68" s="185" t="s">
        <v>176</v>
      </c>
      <c r="GH68" s="185" t="s">
        <v>176</v>
      </c>
      <c r="GI68" s="188" t="s">
        <v>176</v>
      </c>
      <c r="GJ68" s="263">
        <f t="shared" si="3"/>
        <v>140</v>
      </c>
    </row>
    <row r="69" spans="1:192" ht="25.5" customHeight="1" x14ac:dyDescent="0.25">
      <c r="A69" s="258" t="s">
        <v>227</v>
      </c>
      <c r="B69" s="261" t="s">
        <v>388</v>
      </c>
      <c r="C69" s="261" t="s">
        <v>766</v>
      </c>
      <c r="D69" s="185">
        <v>2</v>
      </c>
      <c r="E69" s="185">
        <v>2</v>
      </c>
      <c r="F69" s="185">
        <v>3</v>
      </c>
      <c r="G69" s="185">
        <v>2</v>
      </c>
      <c r="H69" s="185">
        <v>2</v>
      </c>
      <c r="I69" s="185">
        <v>1</v>
      </c>
      <c r="J69" s="185" t="s">
        <v>176</v>
      </c>
      <c r="K69" s="185" t="s">
        <v>176</v>
      </c>
      <c r="L69" s="185">
        <v>2</v>
      </c>
      <c r="M69" s="185">
        <v>2</v>
      </c>
      <c r="N69" s="185" t="s">
        <v>176</v>
      </c>
      <c r="O69" s="185" t="s">
        <v>176</v>
      </c>
      <c r="P69" s="185">
        <v>2</v>
      </c>
      <c r="Q69" s="185">
        <v>2</v>
      </c>
      <c r="R69" s="185" t="s">
        <v>176</v>
      </c>
      <c r="S69" s="185" t="s">
        <v>176</v>
      </c>
      <c r="T69" s="185" t="s">
        <v>176</v>
      </c>
      <c r="U69" s="185" t="s">
        <v>176</v>
      </c>
      <c r="V69" s="185" t="s">
        <v>176</v>
      </c>
      <c r="W69" s="185" t="s">
        <v>176</v>
      </c>
      <c r="X69" s="185" t="s">
        <v>176</v>
      </c>
      <c r="Y69" s="185">
        <v>2</v>
      </c>
      <c r="Z69" s="185">
        <v>3</v>
      </c>
      <c r="AA69" s="185">
        <v>3</v>
      </c>
      <c r="AB69" s="185">
        <v>2</v>
      </c>
      <c r="AC69" s="185">
        <v>2</v>
      </c>
      <c r="AD69" s="185">
        <v>3</v>
      </c>
      <c r="AE69" s="185">
        <v>3</v>
      </c>
      <c r="AF69" s="185">
        <v>1</v>
      </c>
      <c r="AG69" s="185">
        <v>2</v>
      </c>
      <c r="AH69" s="185">
        <v>2</v>
      </c>
      <c r="AI69" s="185">
        <v>3</v>
      </c>
      <c r="AJ69" s="194">
        <v>2</v>
      </c>
      <c r="AK69" s="185">
        <v>1</v>
      </c>
      <c r="AL69" s="185">
        <v>3</v>
      </c>
      <c r="AM69" s="185">
        <v>3</v>
      </c>
      <c r="AN69" s="185">
        <v>3</v>
      </c>
      <c r="AO69" s="185">
        <v>2</v>
      </c>
      <c r="AP69" s="194">
        <v>3</v>
      </c>
      <c r="AQ69" s="194">
        <v>3</v>
      </c>
      <c r="AR69" s="185">
        <v>3</v>
      </c>
      <c r="AS69" s="185">
        <v>3</v>
      </c>
      <c r="AT69" s="185">
        <v>2</v>
      </c>
      <c r="AU69" s="185">
        <v>2</v>
      </c>
      <c r="AV69" s="185">
        <v>1</v>
      </c>
      <c r="AW69" s="185">
        <v>1</v>
      </c>
      <c r="AX69" s="185">
        <v>1</v>
      </c>
      <c r="AY69" s="185">
        <v>1</v>
      </c>
      <c r="AZ69" s="185">
        <v>1</v>
      </c>
      <c r="BA69" s="185">
        <v>1</v>
      </c>
      <c r="BB69" s="185">
        <v>1</v>
      </c>
      <c r="BC69" s="185" t="s">
        <v>176</v>
      </c>
      <c r="BD69" s="185" t="s">
        <v>176</v>
      </c>
      <c r="BE69" s="185" t="s">
        <v>176</v>
      </c>
      <c r="BF69" s="185" t="s">
        <v>176</v>
      </c>
      <c r="BG69" s="185" t="s">
        <v>176</v>
      </c>
      <c r="BH69" s="185" t="s">
        <v>176</v>
      </c>
      <c r="BI69" s="185" t="s">
        <v>176</v>
      </c>
      <c r="BJ69" s="185" t="s">
        <v>176</v>
      </c>
      <c r="BK69" s="185" t="s">
        <v>176</v>
      </c>
      <c r="BL69" s="185" t="s">
        <v>176</v>
      </c>
      <c r="BM69" s="185" t="s">
        <v>176</v>
      </c>
      <c r="BN69" s="185" t="s">
        <v>176</v>
      </c>
      <c r="BO69" s="185" t="s">
        <v>176</v>
      </c>
      <c r="BP69" s="185" t="s">
        <v>176</v>
      </c>
      <c r="BQ69" s="185" t="s">
        <v>176</v>
      </c>
      <c r="BR69" s="185" t="s">
        <v>176</v>
      </c>
      <c r="BS69" s="185" t="s">
        <v>176</v>
      </c>
      <c r="BT69" s="185" t="s">
        <v>176</v>
      </c>
      <c r="BU69" s="185" t="s">
        <v>176</v>
      </c>
      <c r="BV69" s="185" t="s">
        <v>176</v>
      </c>
      <c r="BW69" s="185" t="s">
        <v>176</v>
      </c>
      <c r="BX69" s="185" t="s">
        <v>176</v>
      </c>
      <c r="BY69" s="185" t="s">
        <v>176</v>
      </c>
      <c r="BZ69" s="185" t="s">
        <v>176</v>
      </c>
      <c r="CA69" s="185" t="s">
        <v>176</v>
      </c>
      <c r="CB69" s="185" t="s">
        <v>176</v>
      </c>
      <c r="CC69" s="185" t="s">
        <v>176</v>
      </c>
      <c r="CD69" s="185" t="s">
        <v>176</v>
      </c>
      <c r="CE69" s="185">
        <v>1</v>
      </c>
      <c r="CF69" s="185" t="s">
        <v>176</v>
      </c>
      <c r="CG69" s="185">
        <v>2</v>
      </c>
      <c r="CH69" s="185">
        <v>2</v>
      </c>
      <c r="CI69" s="185" t="s">
        <v>176</v>
      </c>
      <c r="CJ69" s="185" t="s">
        <v>176</v>
      </c>
      <c r="CK69" s="185">
        <v>3</v>
      </c>
      <c r="CL69" s="185">
        <v>3</v>
      </c>
      <c r="CM69" s="185">
        <v>3</v>
      </c>
      <c r="CN69" s="185">
        <v>3</v>
      </c>
      <c r="CO69" s="185">
        <v>3</v>
      </c>
      <c r="CP69" s="185">
        <v>3</v>
      </c>
      <c r="CQ69" s="185">
        <v>3</v>
      </c>
      <c r="CR69" s="185">
        <v>3</v>
      </c>
      <c r="CS69" s="185">
        <v>2</v>
      </c>
      <c r="CT69" s="185" t="s">
        <v>176</v>
      </c>
      <c r="CU69" s="185" t="s">
        <v>176</v>
      </c>
      <c r="CV69" s="185" t="s">
        <v>176</v>
      </c>
      <c r="CW69" s="185" t="s">
        <v>176</v>
      </c>
      <c r="CX69" s="185" t="s">
        <v>176</v>
      </c>
      <c r="CY69" s="185" t="s">
        <v>176</v>
      </c>
      <c r="CZ69" s="185" t="s">
        <v>176</v>
      </c>
      <c r="DA69" s="185" t="s">
        <v>176</v>
      </c>
      <c r="DB69" s="185" t="s">
        <v>176</v>
      </c>
      <c r="DC69" s="185" t="s">
        <v>176</v>
      </c>
      <c r="DD69" s="185" t="s">
        <v>176</v>
      </c>
      <c r="DE69" s="185" t="s">
        <v>176</v>
      </c>
      <c r="DF69" s="185" t="s">
        <v>176</v>
      </c>
      <c r="DG69" s="185" t="s">
        <v>176</v>
      </c>
      <c r="DH69" s="185" t="s">
        <v>176</v>
      </c>
      <c r="DI69" s="185" t="s">
        <v>176</v>
      </c>
      <c r="DJ69" s="185" t="s">
        <v>176</v>
      </c>
      <c r="DK69" s="185" t="s">
        <v>176</v>
      </c>
      <c r="DL69" s="185" t="s">
        <v>176</v>
      </c>
      <c r="DM69" s="185" t="s">
        <v>176</v>
      </c>
      <c r="DN69" s="185" t="s">
        <v>176</v>
      </c>
      <c r="DO69" s="185" t="s">
        <v>176</v>
      </c>
      <c r="DP69" s="185" t="s">
        <v>176</v>
      </c>
      <c r="DQ69" s="185" t="s">
        <v>176</v>
      </c>
      <c r="DR69" s="185" t="s">
        <v>176</v>
      </c>
      <c r="DS69" s="185" t="s">
        <v>176</v>
      </c>
      <c r="DT69" s="185" t="s">
        <v>176</v>
      </c>
      <c r="DU69" s="185" t="s">
        <v>176</v>
      </c>
      <c r="DV69" s="185" t="s">
        <v>176</v>
      </c>
      <c r="DW69" s="185" t="s">
        <v>176</v>
      </c>
      <c r="DX69" s="185" t="s">
        <v>176</v>
      </c>
      <c r="DY69" s="185" t="s">
        <v>176</v>
      </c>
      <c r="DZ69" s="185" t="s">
        <v>176</v>
      </c>
      <c r="EA69" s="185" t="s">
        <v>176</v>
      </c>
      <c r="EB69" s="185" t="s">
        <v>176</v>
      </c>
      <c r="EC69" s="185" t="s">
        <v>176</v>
      </c>
      <c r="ED69" s="185" t="s">
        <v>176</v>
      </c>
      <c r="EE69" s="185" t="s">
        <v>176</v>
      </c>
      <c r="EF69" s="185" t="s">
        <v>176</v>
      </c>
      <c r="EG69" s="185" t="s">
        <v>176</v>
      </c>
      <c r="EH69" s="185" t="s">
        <v>176</v>
      </c>
      <c r="EI69" s="185" t="s">
        <v>176</v>
      </c>
      <c r="EJ69" s="185" t="s">
        <v>176</v>
      </c>
      <c r="EK69" s="185" t="s">
        <v>176</v>
      </c>
      <c r="EL69" s="185" t="s">
        <v>176</v>
      </c>
      <c r="EM69" s="185" t="s">
        <v>176</v>
      </c>
      <c r="EN69" s="185" t="s">
        <v>176</v>
      </c>
      <c r="EO69" s="185" t="s">
        <v>176</v>
      </c>
      <c r="EP69" s="185" t="s">
        <v>176</v>
      </c>
      <c r="EQ69" s="185" t="s">
        <v>176</v>
      </c>
      <c r="ER69" s="185" t="s">
        <v>176</v>
      </c>
      <c r="ES69" s="185" t="s">
        <v>176</v>
      </c>
      <c r="ET69" s="185" t="s">
        <v>176</v>
      </c>
      <c r="EU69" s="185" t="s">
        <v>176</v>
      </c>
      <c r="EV69" s="185" t="s">
        <v>176</v>
      </c>
      <c r="EW69" s="185">
        <v>2</v>
      </c>
      <c r="EX69" s="185">
        <v>2</v>
      </c>
      <c r="EY69" s="185">
        <v>2</v>
      </c>
      <c r="EZ69" s="185">
        <v>2</v>
      </c>
      <c r="FA69" s="185" t="s">
        <v>176</v>
      </c>
      <c r="FB69" s="185">
        <v>3</v>
      </c>
      <c r="FC69" s="185">
        <v>3</v>
      </c>
      <c r="FD69" s="185">
        <v>3</v>
      </c>
      <c r="FE69" s="185">
        <v>3</v>
      </c>
      <c r="FF69" s="185">
        <v>3</v>
      </c>
      <c r="FG69" s="185">
        <v>3</v>
      </c>
      <c r="FH69" s="185">
        <v>3</v>
      </c>
      <c r="FI69" s="185">
        <v>3</v>
      </c>
      <c r="FJ69" s="185">
        <v>3</v>
      </c>
      <c r="FK69" s="185">
        <v>3</v>
      </c>
      <c r="FL69" s="185">
        <v>3</v>
      </c>
      <c r="FM69" s="185">
        <v>3</v>
      </c>
      <c r="FN69" s="185">
        <v>3</v>
      </c>
      <c r="FO69" s="185" t="s">
        <v>176</v>
      </c>
      <c r="FP69" s="185" t="s">
        <v>176</v>
      </c>
      <c r="FQ69" s="185" t="s">
        <v>387</v>
      </c>
      <c r="FR69" s="185" t="s">
        <v>176</v>
      </c>
      <c r="FS69" s="185" t="s">
        <v>176</v>
      </c>
      <c r="FT69" s="185" t="s">
        <v>176</v>
      </c>
      <c r="FU69" s="185" t="s">
        <v>176</v>
      </c>
      <c r="FV69" s="185" t="s">
        <v>176</v>
      </c>
      <c r="FW69" s="185" t="s">
        <v>176</v>
      </c>
      <c r="FX69" s="185" t="s">
        <v>176</v>
      </c>
      <c r="FY69" s="185" t="s">
        <v>176</v>
      </c>
      <c r="FZ69" s="185" t="s">
        <v>176</v>
      </c>
      <c r="GA69" s="185" t="s">
        <v>176</v>
      </c>
      <c r="GB69" s="185" t="s">
        <v>176</v>
      </c>
      <c r="GC69" s="185" t="s">
        <v>176</v>
      </c>
      <c r="GD69" s="185" t="s">
        <v>176</v>
      </c>
      <c r="GE69" s="185" t="s">
        <v>176</v>
      </c>
      <c r="GF69" s="185" t="s">
        <v>176</v>
      </c>
      <c r="GG69" s="185" t="s">
        <v>176</v>
      </c>
      <c r="GH69" s="185" t="s">
        <v>176</v>
      </c>
      <c r="GI69" s="185" t="s">
        <v>176</v>
      </c>
      <c r="GJ69" s="263">
        <f t="shared" si="3"/>
        <v>161</v>
      </c>
    </row>
    <row r="70" spans="1:192" ht="25.5" customHeight="1" x14ac:dyDescent="0.25">
      <c r="A70" s="272" t="s">
        <v>227</v>
      </c>
      <c r="B70" s="274" t="s">
        <v>580</v>
      </c>
      <c r="C70" s="261" t="s">
        <v>766</v>
      </c>
      <c r="D70" s="185">
        <v>2</v>
      </c>
      <c r="E70" s="185">
        <v>2</v>
      </c>
      <c r="F70" s="185">
        <v>2</v>
      </c>
      <c r="G70" s="185">
        <v>2</v>
      </c>
      <c r="H70" s="185">
        <v>2</v>
      </c>
      <c r="I70" s="185">
        <v>1</v>
      </c>
      <c r="J70" s="185" t="s">
        <v>176</v>
      </c>
      <c r="K70" s="185" t="s">
        <v>176</v>
      </c>
      <c r="L70" s="185">
        <v>2</v>
      </c>
      <c r="M70" s="185">
        <v>2</v>
      </c>
      <c r="N70" s="185" t="s">
        <v>176</v>
      </c>
      <c r="O70" s="185" t="s">
        <v>176</v>
      </c>
      <c r="P70" s="185">
        <v>2</v>
      </c>
      <c r="Q70" s="185">
        <v>2</v>
      </c>
      <c r="R70" s="185" t="s">
        <v>176</v>
      </c>
      <c r="S70" s="185" t="s">
        <v>176</v>
      </c>
      <c r="T70" s="185" t="s">
        <v>176</v>
      </c>
      <c r="U70" s="185" t="s">
        <v>176</v>
      </c>
      <c r="V70" s="185" t="s">
        <v>176</v>
      </c>
      <c r="W70" s="185" t="s">
        <v>176</v>
      </c>
      <c r="X70" s="185" t="s">
        <v>176</v>
      </c>
      <c r="Y70" s="185">
        <v>2</v>
      </c>
      <c r="Z70" s="185">
        <v>3</v>
      </c>
      <c r="AA70" s="185">
        <v>3</v>
      </c>
      <c r="AB70" s="185">
        <v>2</v>
      </c>
      <c r="AC70" s="185">
        <v>2</v>
      </c>
      <c r="AD70" s="185">
        <v>3</v>
      </c>
      <c r="AE70" s="185">
        <v>3</v>
      </c>
      <c r="AF70" s="185">
        <v>2</v>
      </c>
      <c r="AG70" s="185">
        <v>2</v>
      </c>
      <c r="AH70" s="185">
        <v>2</v>
      </c>
      <c r="AI70" s="185">
        <v>3</v>
      </c>
      <c r="AJ70" s="194">
        <v>2</v>
      </c>
      <c r="AK70" s="185">
        <v>2</v>
      </c>
      <c r="AL70" s="185">
        <v>3</v>
      </c>
      <c r="AM70" s="185">
        <v>3</v>
      </c>
      <c r="AN70" s="185">
        <v>3</v>
      </c>
      <c r="AO70" s="185">
        <v>2</v>
      </c>
      <c r="AP70" s="194">
        <v>3</v>
      </c>
      <c r="AQ70" s="194">
        <v>3</v>
      </c>
      <c r="AR70" s="185">
        <v>3</v>
      </c>
      <c r="AS70" s="185">
        <v>3</v>
      </c>
      <c r="AT70" s="185">
        <v>2</v>
      </c>
      <c r="AU70" s="185">
        <v>2</v>
      </c>
      <c r="AV70" s="185">
        <v>1</v>
      </c>
      <c r="AW70" s="185">
        <v>1</v>
      </c>
      <c r="AX70" s="185">
        <v>1</v>
      </c>
      <c r="AY70" s="185">
        <v>1</v>
      </c>
      <c r="AZ70" s="185">
        <v>1</v>
      </c>
      <c r="BA70" s="185">
        <v>1</v>
      </c>
      <c r="BB70" s="185">
        <v>1</v>
      </c>
      <c r="BC70" s="185" t="s">
        <v>176</v>
      </c>
      <c r="BD70" s="185" t="s">
        <v>176</v>
      </c>
      <c r="BE70" s="185" t="s">
        <v>176</v>
      </c>
      <c r="BF70" s="185" t="s">
        <v>176</v>
      </c>
      <c r="BG70" s="185" t="s">
        <v>176</v>
      </c>
      <c r="BH70" s="185" t="s">
        <v>176</v>
      </c>
      <c r="BI70" s="185" t="s">
        <v>176</v>
      </c>
      <c r="BJ70" s="185" t="s">
        <v>176</v>
      </c>
      <c r="BK70" s="185" t="s">
        <v>176</v>
      </c>
      <c r="BL70" s="185" t="s">
        <v>176</v>
      </c>
      <c r="BM70" s="185" t="s">
        <v>176</v>
      </c>
      <c r="BN70" s="185" t="s">
        <v>176</v>
      </c>
      <c r="BO70" s="185" t="s">
        <v>176</v>
      </c>
      <c r="BP70" s="185" t="s">
        <v>176</v>
      </c>
      <c r="BQ70" s="185" t="s">
        <v>176</v>
      </c>
      <c r="BR70" s="185" t="s">
        <v>176</v>
      </c>
      <c r="BS70" s="185" t="s">
        <v>176</v>
      </c>
      <c r="BT70" s="185" t="s">
        <v>176</v>
      </c>
      <c r="BU70" s="185" t="s">
        <v>176</v>
      </c>
      <c r="BV70" s="185" t="s">
        <v>176</v>
      </c>
      <c r="BW70" s="185" t="s">
        <v>176</v>
      </c>
      <c r="BX70" s="185" t="s">
        <v>176</v>
      </c>
      <c r="BY70" s="185" t="s">
        <v>176</v>
      </c>
      <c r="BZ70" s="185" t="s">
        <v>176</v>
      </c>
      <c r="CA70" s="185" t="s">
        <v>176</v>
      </c>
      <c r="CB70" s="185" t="s">
        <v>176</v>
      </c>
      <c r="CC70" s="185" t="s">
        <v>176</v>
      </c>
      <c r="CD70" s="185" t="s">
        <v>176</v>
      </c>
      <c r="CE70" s="185">
        <v>1</v>
      </c>
      <c r="CF70" s="185" t="s">
        <v>176</v>
      </c>
      <c r="CG70" s="185">
        <v>2</v>
      </c>
      <c r="CH70" s="185">
        <v>2</v>
      </c>
      <c r="CI70" s="185" t="s">
        <v>176</v>
      </c>
      <c r="CJ70" s="185" t="s">
        <v>176</v>
      </c>
      <c r="CK70" s="185">
        <v>3</v>
      </c>
      <c r="CL70" s="185">
        <v>3</v>
      </c>
      <c r="CM70" s="185">
        <v>3</v>
      </c>
      <c r="CN70" s="185">
        <v>3</v>
      </c>
      <c r="CO70" s="185">
        <v>3</v>
      </c>
      <c r="CP70" s="185">
        <v>3</v>
      </c>
      <c r="CQ70" s="185">
        <v>3</v>
      </c>
      <c r="CR70" s="185">
        <v>3</v>
      </c>
      <c r="CS70" s="185">
        <v>2</v>
      </c>
      <c r="CT70" s="185" t="s">
        <v>176</v>
      </c>
      <c r="CU70" s="185" t="s">
        <v>176</v>
      </c>
      <c r="CV70" s="185" t="s">
        <v>176</v>
      </c>
      <c r="CW70" s="185" t="s">
        <v>176</v>
      </c>
      <c r="CX70" s="185" t="s">
        <v>176</v>
      </c>
      <c r="CY70" s="185" t="s">
        <v>176</v>
      </c>
      <c r="CZ70" s="185" t="s">
        <v>176</v>
      </c>
      <c r="DA70" s="185" t="s">
        <v>176</v>
      </c>
      <c r="DB70" s="185" t="s">
        <v>176</v>
      </c>
      <c r="DC70" s="185" t="s">
        <v>176</v>
      </c>
      <c r="DD70" s="185" t="s">
        <v>176</v>
      </c>
      <c r="DE70" s="185" t="s">
        <v>176</v>
      </c>
      <c r="DF70" s="185" t="s">
        <v>176</v>
      </c>
      <c r="DG70" s="185" t="s">
        <v>176</v>
      </c>
      <c r="DH70" s="185" t="s">
        <v>176</v>
      </c>
      <c r="DI70" s="185" t="s">
        <v>176</v>
      </c>
      <c r="DJ70" s="185" t="s">
        <v>176</v>
      </c>
      <c r="DK70" s="185" t="s">
        <v>176</v>
      </c>
      <c r="DL70" s="185" t="s">
        <v>176</v>
      </c>
      <c r="DM70" s="185" t="s">
        <v>176</v>
      </c>
      <c r="DN70" s="185" t="s">
        <v>176</v>
      </c>
      <c r="DO70" s="185" t="s">
        <v>176</v>
      </c>
      <c r="DP70" s="185" t="s">
        <v>176</v>
      </c>
      <c r="DQ70" s="185" t="s">
        <v>176</v>
      </c>
      <c r="DR70" s="185" t="s">
        <v>176</v>
      </c>
      <c r="DS70" s="185" t="s">
        <v>176</v>
      </c>
      <c r="DT70" s="185" t="s">
        <v>176</v>
      </c>
      <c r="DU70" s="185" t="s">
        <v>176</v>
      </c>
      <c r="DV70" s="185" t="s">
        <v>176</v>
      </c>
      <c r="DW70" s="185" t="s">
        <v>176</v>
      </c>
      <c r="DX70" s="185" t="s">
        <v>176</v>
      </c>
      <c r="DY70" s="185" t="s">
        <v>176</v>
      </c>
      <c r="DZ70" s="185" t="s">
        <v>176</v>
      </c>
      <c r="EA70" s="185" t="s">
        <v>176</v>
      </c>
      <c r="EB70" s="185" t="s">
        <v>176</v>
      </c>
      <c r="EC70" s="185" t="s">
        <v>176</v>
      </c>
      <c r="ED70" s="185" t="s">
        <v>176</v>
      </c>
      <c r="EE70" s="185" t="s">
        <v>176</v>
      </c>
      <c r="EF70" s="185" t="s">
        <v>176</v>
      </c>
      <c r="EG70" s="185" t="s">
        <v>176</v>
      </c>
      <c r="EH70" s="185" t="s">
        <v>176</v>
      </c>
      <c r="EI70" s="185" t="s">
        <v>176</v>
      </c>
      <c r="EJ70" s="185" t="s">
        <v>176</v>
      </c>
      <c r="EK70" s="185" t="s">
        <v>176</v>
      </c>
      <c r="EL70" s="185" t="s">
        <v>176</v>
      </c>
      <c r="EM70" s="185" t="s">
        <v>176</v>
      </c>
      <c r="EN70" s="185" t="s">
        <v>176</v>
      </c>
      <c r="EO70" s="185" t="s">
        <v>176</v>
      </c>
      <c r="EP70" s="185" t="s">
        <v>176</v>
      </c>
      <c r="EQ70" s="185" t="s">
        <v>176</v>
      </c>
      <c r="ER70" s="185" t="s">
        <v>176</v>
      </c>
      <c r="ES70" s="185" t="s">
        <v>176</v>
      </c>
      <c r="ET70" s="185" t="s">
        <v>176</v>
      </c>
      <c r="EU70" s="185" t="s">
        <v>176</v>
      </c>
      <c r="EV70" s="185" t="s">
        <v>176</v>
      </c>
      <c r="EW70" s="185">
        <v>2</v>
      </c>
      <c r="EX70" s="185">
        <v>2</v>
      </c>
      <c r="EY70" s="185">
        <v>2</v>
      </c>
      <c r="EZ70" s="185">
        <v>2</v>
      </c>
      <c r="FA70" s="185" t="s">
        <v>176</v>
      </c>
      <c r="FB70" s="185">
        <v>3</v>
      </c>
      <c r="FC70" s="185">
        <v>3</v>
      </c>
      <c r="FD70" s="185">
        <v>3</v>
      </c>
      <c r="FE70" s="185">
        <v>3</v>
      </c>
      <c r="FF70" s="185">
        <v>3</v>
      </c>
      <c r="FG70" s="185">
        <v>3</v>
      </c>
      <c r="FH70" s="185">
        <v>3</v>
      </c>
      <c r="FI70" s="185">
        <v>3</v>
      </c>
      <c r="FJ70" s="185">
        <v>3</v>
      </c>
      <c r="FK70" s="185">
        <v>3</v>
      </c>
      <c r="FL70" s="185">
        <v>3</v>
      </c>
      <c r="FM70" s="185">
        <v>3</v>
      </c>
      <c r="FN70" s="185">
        <v>3</v>
      </c>
      <c r="FO70" s="189" t="s">
        <v>387</v>
      </c>
      <c r="FP70" s="189" t="s">
        <v>176</v>
      </c>
      <c r="FQ70" s="189" t="s">
        <v>176</v>
      </c>
      <c r="FR70" s="185" t="s">
        <v>176</v>
      </c>
      <c r="FS70" s="185" t="s">
        <v>176</v>
      </c>
      <c r="FT70" s="185" t="s">
        <v>176</v>
      </c>
      <c r="FU70" s="185" t="s">
        <v>176</v>
      </c>
      <c r="FV70" s="185" t="s">
        <v>176</v>
      </c>
      <c r="FW70" s="185" t="s">
        <v>176</v>
      </c>
      <c r="FX70" s="185" t="s">
        <v>176</v>
      </c>
      <c r="FY70" s="189" t="s">
        <v>160</v>
      </c>
      <c r="FZ70" s="189" t="s">
        <v>176</v>
      </c>
      <c r="GA70" s="185" t="s">
        <v>176</v>
      </c>
      <c r="GB70" s="185" t="s">
        <v>176</v>
      </c>
      <c r="GC70" s="185" t="s">
        <v>176</v>
      </c>
      <c r="GD70" s="185" t="s">
        <v>176</v>
      </c>
      <c r="GE70" s="185" t="s">
        <v>176</v>
      </c>
      <c r="GF70" s="185" t="s">
        <v>176</v>
      </c>
      <c r="GG70" s="185" t="s">
        <v>176</v>
      </c>
      <c r="GH70" s="185" t="s">
        <v>176</v>
      </c>
      <c r="GI70" s="185" t="s">
        <v>176</v>
      </c>
      <c r="GJ70" s="275">
        <f t="shared" si="3"/>
        <v>162</v>
      </c>
    </row>
    <row r="71" spans="1:192" ht="25.5" customHeight="1" x14ac:dyDescent="0.25">
      <c r="A71" s="258" t="s">
        <v>227</v>
      </c>
      <c r="B71" s="261" t="s">
        <v>384</v>
      </c>
      <c r="C71" s="276" t="s">
        <v>761</v>
      </c>
      <c r="D71" s="185">
        <v>2</v>
      </c>
      <c r="E71" s="185">
        <v>2</v>
      </c>
      <c r="F71" s="185">
        <v>3</v>
      </c>
      <c r="G71" s="185">
        <v>2</v>
      </c>
      <c r="H71" s="185">
        <v>2</v>
      </c>
      <c r="I71" s="185">
        <v>1</v>
      </c>
      <c r="J71" s="185" t="s">
        <v>176</v>
      </c>
      <c r="K71" s="185" t="s">
        <v>176</v>
      </c>
      <c r="L71" s="185">
        <v>2</v>
      </c>
      <c r="M71" s="185">
        <v>2</v>
      </c>
      <c r="N71" s="185" t="s">
        <v>176</v>
      </c>
      <c r="O71" s="185" t="s">
        <v>176</v>
      </c>
      <c r="P71" s="185">
        <v>2</v>
      </c>
      <c r="Q71" s="185">
        <v>2</v>
      </c>
      <c r="R71" s="185" t="s">
        <v>176</v>
      </c>
      <c r="S71" s="185" t="s">
        <v>176</v>
      </c>
      <c r="T71" s="185" t="s">
        <v>176</v>
      </c>
      <c r="U71" s="185">
        <v>1</v>
      </c>
      <c r="V71" s="185" t="s">
        <v>176</v>
      </c>
      <c r="W71" s="185" t="s">
        <v>176</v>
      </c>
      <c r="X71" s="185" t="s">
        <v>176</v>
      </c>
      <c r="Y71" s="185">
        <v>2</v>
      </c>
      <c r="Z71" s="185">
        <v>1</v>
      </c>
      <c r="AA71" s="185">
        <v>1</v>
      </c>
      <c r="AB71" s="185">
        <v>1</v>
      </c>
      <c r="AC71" s="185">
        <v>1</v>
      </c>
      <c r="AD71" s="185">
        <v>1</v>
      </c>
      <c r="AE71" s="185">
        <v>1</v>
      </c>
      <c r="AF71" s="185" t="s">
        <v>176</v>
      </c>
      <c r="AG71" s="185">
        <v>1</v>
      </c>
      <c r="AH71" s="185">
        <v>1</v>
      </c>
      <c r="AI71" s="185">
        <v>3</v>
      </c>
      <c r="AJ71" s="185">
        <v>1</v>
      </c>
      <c r="AK71" s="185" t="s">
        <v>176</v>
      </c>
      <c r="AL71" s="185">
        <v>2</v>
      </c>
      <c r="AM71" s="185">
        <v>1</v>
      </c>
      <c r="AN71" s="185">
        <v>2</v>
      </c>
      <c r="AO71" s="185" t="s">
        <v>176</v>
      </c>
      <c r="AP71" s="185" t="s">
        <v>176</v>
      </c>
      <c r="AQ71" s="185" t="s">
        <v>176</v>
      </c>
      <c r="AR71" s="185">
        <v>1</v>
      </c>
      <c r="AS71" s="185">
        <v>2</v>
      </c>
      <c r="AT71" s="185">
        <v>2</v>
      </c>
      <c r="AU71" s="185">
        <v>2</v>
      </c>
      <c r="AV71" s="185">
        <v>2</v>
      </c>
      <c r="AW71" s="185">
        <v>1</v>
      </c>
      <c r="AX71" s="185" t="s">
        <v>176</v>
      </c>
      <c r="AY71" s="185" t="s">
        <v>176</v>
      </c>
      <c r="AZ71" s="185" t="s">
        <v>176</v>
      </c>
      <c r="BA71" s="185" t="s">
        <v>176</v>
      </c>
      <c r="BB71" s="185" t="s">
        <v>176</v>
      </c>
      <c r="BC71" s="185" t="s">
        <v>176</v>
      </c>
      <c r="BD71" s="185"/>
      <c r="BE71" s="185" t="s">
        <v>176</v>
      </c>
      <c r="BF71" s="185" t="s">
        <v>176</v>
      </c>
      <c r="BG71" s="185" t="s">
        <v>176</v>
      </c>
      <c r="BH71" s="185" t="s">
        <v>176</v>
      </c>
      <c r="BI71" s="185" t="s">
        <v>176</v>
      </c>
      <c r="BJ71" s="185" t="s">
        <v>176</v>
      </c>
      <c r="BK71" s="185">
        <v>3</v>
      </c>
      <c r="BL71" s="185">
        <v>1</v>
      </c>
      <c r="BM71" s="185">
        <v>1</v>
      </c>
      <c r="BN71" s="185">
        <v>1</v>
      </c>
      <c r="BO71" s="185">
        <v>1</v>
      </c>
      <c r="BP71" s="185">
        <v>1</v>
      </c>
      <c r="BQ71" s="185">
        <v>1</v>
      </c>
      <c r="BR71" s="185">
        <v>1</v>
      </c>
      <c r="BS71" s="185">
        <v>1</v>
      </c>
      <c r="BT71" s="185">
        <v>1</v>
      </c>
      <c r="BU71" s="185" t="s">
        <v>176</v>
      </c>
      <c r="BV71" s="185" t="s">
        <v>176</v>
      </c>
      <c r="BW71" s="185" t="s">
        <v>176</v>
      </c>
      <c r="BX71" s="185" t="s">
        <v>176</v>
      </c>
      <c r="BY71" s="185" t="s">
        <v>176</v>
      </c>
      <c r="BZ71" s="185" t="s">
        <v>176</v>
      </c>
      <c r="CA71" s="185" t="s">
        <v>176</v>
      </c>
      <c r="CB71" s="185" t="s">
        <v>176</v>
      </c>
      <c r="CC71" s="185" t="s">
        <v>176</v>
      </c>
      <c r="CD71" s="185" t="s">
        <v>176</v>
      </c>
      <c r="CE71" s="185" t="s">
        <v>176</v>
      </c>
      <c r="CF71" s="185" t="s">
        <v>176</v>
      </c>
      <c r="CG71" s="185">
        <v>2</v>
      </c>
      <c r="CH71" s="185" t="s">
        <v>176</v>
      </c>
      <c r="CI71" s="185" t="s">
        <v>176</v>
      </c>
      <c r="CJ71" s="185" t="s">
        <v>176</v>
      </c>
      <c r="CK71" s="185">
        <v>2</v>
      </c>
      <c r="CL71" s="185">
        <v>2</v>
      </c>
      <c r="CM71" s="185">
        <v>3</v>
      </c>
      <c r="CN71" s="185">
        <v>3</v>
      </c>
      <c r="CO71" s="185" t="s">
        <v>176</v>
      </c>
      <c r="CP71" s="185">
        <v>1</v>
      </c>
      <c r="CQ71" s="185" t="s">
        <v>176</v>
      </c>
      <c r="CR71" s="185" t="s">
        <v>176</v>
      </c>
      <c r="CS71" s="185">
        <v>1</v>
      </c>
      <c r="CT71" s="185" t="s">
        <v>176</v>
      </c>
      <c r="CU71" s="185" t="s">
        <v>176</v>
      </c>
      <c r="CV71" s="185" t="s">
        <v>176</v>
      </c>
      <c r="CW71" s="185" t="s">
        <v>176</v>
      </c>
      <c r="CX71" s="185" t="s">
        <v>176</v>
      </c>
      <c r="CY71" s="185" t="s">
        <v>176</v>
      </c>
      <c r="CZ71" s="185" t="s">
        <v>176</v>
      </c>
      <c r="DA71" s="185" t="s">
        <v>176</v>
      </c>
      <c r="DB71" s="185" t="s">
        <v>176</v>
      </c>
      <c r="DC71" s="185" t="s">
        <v>176</v>
      </c>
      <c r="DD71" s="185" t="s">
        <v>176</v>
      </c>
      <c r="DE71" s="185" t="s">
        <v>176</v>
      </c>
      <c r="DF71" s="185" t="s">
        <v>176</v>
      </c>
      <c r="DG71" s="185" t="s">
        <v>176</v>
      </c>
      <c r="DH71" s="185" t="s">
        <v>176</v>
      </c>
      <c r="DI71" s="185" t="s">
        <v>176</v>
      </c>
      <c r="DJ71" s="185" t="s">
        <v>176</v>
      </c>
      <c r="DK71" s="185" t="s">
        <v>176</v>
      </c>
      <c r="DL71" s="185" t="s">
        <v>176</v>
      </c>
      <c r="DM71" s="185" t="s">
        <v>176</v>
      </c>
      <c r="DN71" s="185" t="s">
        <v>176</v>
      </c>
      <c r="DO71" s="185" t="s">
        <v>176</v>
      </c>
      <c r="DP71" s="185" t="s">
        <v>176</v>
      </c>
      <c r="DQ71" s="185" t="s">
        <v>176</v>
      </c>
      <c r="DR71" s="185" t="s">
        <v>176</v>
      </c>
      <c r="DS71" s="185" t="s">
        <v>176</v>
      </c>
      <c r="DT71" s="185" t="s">
        <v>176</v>
      </c>
      <c r="DU71" s="185" t="s">
        <v>176</v>
      </c>
      <c r="DV71" s="185" t="s">
        <v>176</v>
      </c>
      <c r="DW71" s="185" t="s">
        <v>176</v>
      </c>
      <c r="DX71" s="185" t="s">
        <v>176</v>
      </c>
      <c r="DY71" s="185" t="s">
        <v>176</v>
      </c>
      <c r="DZ71" s="185" t="s">
        <v>176</v>
      </c>
      <c r="EA71" s="185" t="s">
        <v>176</v>
      </c>
      <c r="EB71" s="185" t="s">
        <v>176</v>
      </c>
      <c r="EC71" s="185" t="s">
        <v>176</v>
      </c>
      <c r="ED71" s="185" t="s">
        <v>176</v>
      </c>
      <c r="EE71" s="185" t="s">
        <v>176</v>
      </c>
      <c r="EF71" s="185" t="s">
        <v>176</v>
      </c>
      <c r="EG71" s="185" t="s">
        <v>176</v>
      </c>
      <c r="EH71" s="185" t="s">
        <v>176</v>
      </c>
      <c r="EI71" s="185" t="s">
        <v>176</v>
      </c>
      <c r="EJ71" s="185" t="s">
        <v>176</v>
      </c>
      <c r="EK71" s="185" t="s">
        <v>176</v>
      </c>
      <c r="EL71" s="185" t="s">
        <v>176</v>
      </c>
      <c r="EM71" s="185">
        <v>2</v>
      </c>
      <c r="EN71" s="185" t="s">
        <v>176</v>
      </c>
      <c r="EO71" s="185" t="s">
        <v>176</v>
      </c>
      <c r="EP71" s="185" t="s">
        <v>176</v>
      </c>
      <c r="EQ71" s="185" t="s">
        <v>176</v>
      </c>
      <c r="ER71" s="185" t="s">
        <v>176</v>
      </c>
      <c r="ES71" s="185" t="s">
        <v>176</v>
      </c>
      <c r="ET71" s="185" t="s">
        <v>176</v>
      </c>
      <c r="EU71" s="185" t="s">
        <v>176</v>
      </c>
      <c r="EV71" s="185" t="s">
        <v>176</v>
      </c>
      <c r="EW71" s="185">
        <v>2</v>
      </c>
      <c r="EX71" s="185">
        <v>2</v>
      </c>
      <c r="EY71" s="185">
        <v>2</v>
      </c>
      <c r="EZ71" s="185">
        <v>1</v>
      </c>
      <c r="FA71" s="185">
        <v>1</v>
      </c>
      <c r="FB71" s="185">
        <v>3</v>
      </c>
      <c r="FC71" s="185">
        <v>3</v>
      </c>
      <c r="FD71" s="185">
        <v>3</v>
      </c>
      <c r="FE71" s="185">
        <v>3</v>
      </c>
      <c r="FF71" s="185">
        <v>3</v>
      </c>
      <c r="FG71" s="185">
        <v>3</v>
      </c>
      <c r="FH71" s="185">
        <v>3</v>
      </c>
      <c r="FI71" s="185">
        <v>3</v>
      </c>
      <c r="FJ71" s="185">
        <v>3</v>
      </c>
      <c r="FK71" s="185">
        <v>3</v>
      </c>
      <c r="FL71" s="185">
        <v>3</v>
      </c>
      <c r="FM71" s="185">
        <v>3</v>
      </c>
      <c r="FN71" s="185">
        <v>3</v>
      </c>
      <c r="FO71" s="185" t="s">
        <v>176</v>
      </c>
      <c r="FP71" s="185" t="s">
        <v>176</v>
      </c>
      <c r="FQ71" s="185" t="s">
        <v>160</v>
      </c>
      <c r="FR71" s="185" t="s">
        <v>176</v>
      </c>
      <c r="FS71" s="185" t="s">
        <v>176</v>
      </c>
      <c r="FT71" s="185" t="s">
        <v>176</v>
      </c>
      <c r="FU71" s="185" t="s">
        <v>176</v>
      </c>
      <c r="FV71" s="185" t="s">
        <v>176</v>
      </c>
      <c r="FW71" s="185" t="s">
        <v>160</v>
      </c>
      <c r="FX71" s="185" t="s">
        <v>176</v>
      </c>
      <c r="FY71" s="185" t="s">
        <v>176</v>
      </c>
      <c r="FZ71" s="185" t="s">
        <v>176</v>
      </c>
      <c r="GA71" s="185" t="s">
        <v>160</v>
      </c>
      <c r="GB71" s="185" t="s">
        <v>176</v>
      </c>
      <c r="GC71" s="185" t="s">
        <v>176</v>
      </c>
      <c r="GD71" s="185" t="s">
        <v>176</v>
      </c>
      <c r="GE71" s="185" t="s">
        <v>176</v>
      </c>
      <c r="GF71" s="185" t="s">
        <v>176</v>
      </c>
      <c r="GG71" s="185" t="s">
        <v>176</v>
      </c>
      <c r="GH71" s="185" t="s">
        <v>176</v>
      </c>
      <c r="GI71" s="185" t="s">
        <v>176</v>
      </c>
      <c r="GJ71" s="263">
        <f t="shared" si="3"/>
        <v>125</v>
      </c>
    </row>
    <row r="72" spans="1:192" ht="25.5" customHeight="1" x14ac:dyDescent="0.25">
      <c r="A72" s="258" t="s">
        <v>227</v>
      </c>
      <c r="B72" s="276" t="s">
        <v>655</v>
      </c>
      <c r="C72" s="261" t="s">
        <v>766</v>
      </c>
      <c r="D72" s="189">
        <v>2</v>
      </c>
      <c r="E72" s="189">
        <v>2</v>
      </c>
      <c r="F72" s="189">
        <v>3</v>
      </c>
      <c r="G72" s="189">
        <v>2</v>
      </c>
      <c r="H72" s="189">
        <v>2</v>
      </c>
      <c r="I72" s="189">
        <v>1</v>
      </c>
      <c r="J72" s="189" t="s">
        <v>176</v>
      </c>
      <c r="K72" s="189" t="s">
        <v>176</v>
      </c>
      <c r="L72" s="189">
        <v>2</v>
      </c>
      <c r="M72" s="189">
        <v>2</v>
      </c>
      <c r="N72" s="189" t="s">
        <v>176</v>
      </c>
      <c r="O72" s="189" t="s">
        <v>176</v>
      </c>
      <c r="P72" s="189">
        <v>2</v>
      </c>
      <c r="Q72" s="189">
        <v>2</v>
      </c>
      <c r="R72" s="189" t="s">
        <v>176</v>
      </c>
      <c r="S72" s="189" t="s">
        <v>176</v>
      </c>
      <c r="T72" s="189" t="s">
        <v>176</v>
      </c>
      <c r="U72" s="189">
        <v>1</v>
      </c>
      <c r="V72" s="189" t="s">
        <v>176</v>
      </c>
      <c r="W72" s="189" t="s">
        <v>176</v>
      </c>
      <c r="X72" s="189" t="s">
        <v>176</v>
      </c>
      <c r="Y72" s="189">
        <v>2</v>
      </c>
      <c r="Z72" s="189">
        <v>1</v>
      </c>
      <c r="AA72" s="189">
        <v>1</v>
      </c>
      <c r="AB72" s="189">
        <v>1</v>
      </c>
      <c r="AC72" s="189">
        <v>1</v>
      </c>
      <c r="AD72" s="189">
        <v>1</v>
      </c>
      <c r="AE72" s="189">
        <v>1</v>
      </c>
      <c r="AF72" s="189" t="s">
        <v>176</v>
      </c>
      <c r="AG72" s="189" t="s">
        <v>176</v>
      </c>
      <c r="AH72" s="189" t="s">
        <v>176</v>
      </c>
      <c r="AI72" s="189">
        <v>2</v>
      </c>
      <c r="AJ72" s="189">
        <v>1</v>
      </c>
      <c r="AK72" s="189" t="s">
        <v>176</v>
      </c>
      <c r="AL72" s="189">
        <v>1</v>
      </c>
      <c r="AM72" s="189" t="s">
        <v>176</v>
      </c>
      <c r="AN72" s="189">
        <v>1</v>
      </c>
      <c r="AO72" s="189" t="s">
        <v>176</v>
      </c>
      <c r="AP72" s="189" t="s">
        <v>176</v>
      </c>
      <c r="AQ72" s="189" t="s">
        <v>176</v>
      </c>
      <c r="AR72" s="189">
        <v>1</v>
      </c>
      <c r="AS72" s="189">
        <v>2</v>
      </c>
      <c r="AT72" s="189">
        <v>1</v>
      </c>
      <c r="AU72" s="189">
        <v>1</v>
      </c>
      <c r="AV72" s="189" t="s">
        <v>176</v>
      </c>
      <c r="AW72" s="189">
        <v>2</v>
      </c>
      <c r="AX72" s="189">
        <v>3</v>
      </c>
      <c r="AY72" s="189">
        <v>3</v>
      </c>
      <c r="AZ72" s="189">
        <v>2</v>
      </c>
      <c r="BA72" s="189">
        <v>2</v>
      </c>
      <c r="BB72" s="189">
        <v>2</v>
      </c>
      <c r="BC72" s="189">
        <v>2</v>
      </c>
      <c r="BD72" s="189">
        <v>1</v>
      </c>
      <c r="BE72" s="189">
        <v>1</v>
      </c>
      <c r="BF72" s="189">
        <v>3</v>
      </c>
      <c r="BG72" s="189">
        <v>3</v>
      </c>
      <c r="BH72" s="189">
        <v>2</v>
      </c>
      <c r="BI72" s="189">
        <v>3</v>
      </c>
      <c r="BJ72" s="189">
        <v>1</v>
      </c>
      <c r="BK72" s="189" t="s">
        <v>176</v>
      </c>
      <c r="BL72" s="189" t="s">
        <v>176</v>
      </c>
      <c r="BM72" s="189" t="s">
        <v>176</v>
      </c>
      <c r="BN72" s="189" t="s">
        <v>176</v>
      </c>
      <c r="BO72" s="189" t="s">
        <v>176</v>
      </c>
      <c r="BP72" s="189" t="s">
        <v>176</v>
      </c>
      <c r="BQ72" s="189" t="s">
        <v>176</v>
      </c>
      <c r="BR72" s="189" t="s">
        <v>176</v>
      </c>
      <c r="BS72" s="189" t="s">
        <v>176</v>
      </c>
      <c r="BT72" s="189" t="s">
        <v>176</v>
      </c>
      <c r="BU72" s="189" t="s">
        <v>176</v>
      </c>
      <c r="BV72" s="189" t="s">
        <v>176</v>
      </c>
      <c r="BW72" s="189" t="s">
        <v>176</v>
      </c>
      <c r="BX72" s="189" t="s">
        <v>176</v>
      </c>
      <c r="BY72" s="189" t="s">
        <v>176</v>
      </c>
      <c r="BZ72" s="189" t="s">
        <v>176</v>
      </c>
      <c r="CA72" s="189" t="s">
        <v>176</v>
      </c>
      <c r="CB72" s="189" t="s">
        <v>176</v>
      </c>
      <c r="CC72" s="189" t="s">
        <v>176</v>
      </c>
      <c r="CD72" s="189" t="s">
        <v>176</v>
      </c>
      <c r="CE72" s="189" t="s">
        <v>176</v>
      </c>
      <c r="CF72" s="189">
        <v>2</v>
      </c>
      <c r="CG72" s="189" t="s">
        <v>176</v>
      </c>
      <c r="CH72" s="189" t="s">
        <v>176</v>
      </c>
      <c r="CI72" s="189" t="s">
        <v>176</v>
      </c>
      <c r="CJ72" s="189">
        <v>2</v>
      </c>
      <c r="CK72" s="189">
        <v>2</v>
      </c>
      <c r="CL72" s="189">
        <v>2</v>
      </c>
      <c r="CM72" s="189">
        <v>2</v>
      </c>
      <c r="CN72" s="189">
        <v>1</v>
      </c>
      <c r="CO72" s="189">
        <v>3</v>
      </c>
      <c r="CP72" s="189">
        <v>1</v>
      </c>
      <c r="CQ72" s="189">
        <v>1</v>
      </c>
      <c r="CR72" s="189" t="s">
        <v>176</v>
      </c>
      <c r="CS72" s="189" t="s">
        <v>176</v>
      </c>
      <c r="CT72" s="189" t="s">
        <v>176</v>
      </c>
      <c r="CU72" s="189" t="s">
        <v>176</v>
      </c>
      <c r="CV72" s="189" t="s">
        <v>176</v>
      </c>
      <c r="CW72" s="189" t="s">
        <v>176</v>
      </c>
      <c r="CX72" s="189" t="s">
        <v>176</v>
      </c>
      <c r="CY72" s="189" t="s">
        <v>176</v>
      </c>
      <c r="CZ72" s="189" t="s">
        <v>176</v>
      </c>
      <c r="DA72" s="189" t="s">
        <v>176</v>
      </c>
      <c r="DB72" s="189" t="s">
        <v>176</v>
      </c>
      <c r="DC72" s="189" t="s">
        <v>176</v>
      </c>
      <c r="DD72" s="189" t="s">
        <v>176</v>
      </c>
      <c r="DE72" s="189" t="s">
        <v>176</v>
      </c>
      <c r="DF72" s="189" t="s">
        <v>176</v>
      </c>
      <c r="DG72" s="189" t="s">
        <v>176</v>
      </c>
      <c r="DH72" s="189" t="s">
        <v>176</v>
      </c>
      <c r="DI72" s="189" t="s">
        <v>176</v>
      </c>
      <c r="DJ72" s="189" t="s">
        <v>176</v>
      </c>
      <c r="DK72" s="189" t="s">
        <v>176</v>
      </c>
      <c r="DL72" s="189" t="s">
        <v>176</v>
      </c>
      <c r="DM72" s="189" t="s">
        <v>176</v>
      </c>
      <c r="DN72" s="189" t="s">
        <v>176</v>
      </c>
      <c r="DO72" s="189" t="s">
        <v>176</v>
      </c>
      <c r="DP72" s="189" t="s">
        <v>176</v>
      </c>
      <c r="DQ72" s="189" t="s">
        <v>176</v>
      </c>
      <c r="DR72" s="189" t="s">
        <v>176</v>
      </c>
      <c r="DS72" s="189" t="s">
        <v>176</v>
      </c>
      <c r="DT72" s="189" t="s">
        <v>176</v>
      </c>
      <c r="DU72" s="189" t="s">
        <v>176</v>
      </c>
      <c r="DV72" s="189" t="s">
        <v>176</v>
      </c>
      <c r="DW72" s="189" t="s">
        <v>176</v>
      </c>
      <c r="DX72" s="189" t="s">
        <v>176</v>
      </c>
      <c r="DY72" s="189" t="s">
        <v>176</v>
      </c>
      <c r="DZ72" s="189" t="s">
        <v>176</v>
      </c>
      <c r="EA72" s="189" t="s">
        <v>176</v>
      </c>
      <c r="EB72" s="189" t="s">
        <v>176</v>
      </c>
      <c r="EC72" s="189" t="s">
        <v>176</v>
      </c>
      <c r="ED72" s="189" t="s">
        <v>176</v>
      </c>
      <c r="EE72" s="189" t="s">
        <v>176</v>
      </c>
      <c r="EF72" s="189" t="s">
        <v>176</v>
      </c>
      <c r="EG72" s="189" t="s">
        <v>176</v>
      </c>
      <c r="EH72" s="189" t="s">
        <v>176</v>
      </c>
      <c r="EI72" s="189" t="s">
        <v>176</v>
      </c>
      <c r="EJ72" s="189" t="s">
        <v>176</v>
      </c>
      <c r="EK72" s="189" t="s">
        <v>176</v>
      </c>
      <c r="EL72" s="189" t="s">
        <v>176</v>
      </c>
      <c r="EM72" s="189" t="s">
        <v>176</v>
      </c>
      <c r="EN72" s="189" t="s">
        <v>176</v>
      </c>
      <c r="EO72" s="189" t="s">
        <v>176</v>
      </c>
      <c r="EP72" s="189" t="s">
        <v>176</v>
      </c>
      <c r="EQ72" s="189" t="s">
        <v>176</v>
      </c>
      <c r="ER72" s="189" t="s">
        <v>176</v>
      </c>
      <c r="ES72" s="189" t="s">
        <v>176</v>
      </c>
      <c r="ET72" s="189" t="s">
        <v>176</v>
      </c>
      <c r="EU72" s="185" t="s">
        <v>176</v>
      </c>
      <c r="EV72" s="189" t="s">
        <v>176</v>
      </c>
      <c r="EW72" s="189">
        <v>2</v>
      </c>
      <c r="EX72" s="189">
        <v>2</v>
      </c>
      <c r="EY72" s="189">
        <v>2</v>
      </c>
      <c r="EZ72" s="189">
        <v>2</v>
      </c>
      <c r="FA72" s="189">
        <v>1</v>
      </c>
      <c r="FB72" s="189">
        <v>3</v>
      </c>
      <c r="FC72" s="189">
        <v>3</v>
      </c>
      <c r="FD72" s="189">
        <v>3</v>
      </c>
      <c r="FE72" s="189">
        <v>3</v>
      </c>
      <c r="FF72" s="189">
        <v>3</v>
      </c>
      <c r="FG72" s="189">
        <v>3</v>
      </c>
      <c r="FH72" s="189">
        <v>3</v>
      </c>
      <c r="FI72" s="189">
        <v>3</v>
      </c>
      <c r="FJ72" s="189">
        <v>3</v>
      </c>
      <c r="FK72" s="189">
        <v>3</v>
      </c>
      <c r="FL72" s="189">
        <v>3</v>
      </c>
      <c r="FM72" s="189">
        <v>3</v>
      </c>
      <c r="FN72" s="189">
        <v>3</v>
      </c>
      <c r="FO72" s="189" t="s">
        <v>176</v>
      </c>
      <c r="FP72" s="189" t="s">
        <v>176</v>
      </c>
      <c r="FQ72" s="189" t="s">
        <v>160</v>
      </c>
      <c r="FR72" s="189" t="s">
        <v>176</v>
      </c>
      <c r="FS72" s="189" t="s">
        <v>176</v>
      </c>
      <c r="FT72" s="189" t="s">
        <v>176</v>
      </c>
      <c r="FU72" s="189" t="s">
        <v>176</v>
      </c>
      <c r="FV72" s="189" t="s">
        <v>176</v>
      </c>
      <c r="FW72" s="189" t="s">
        <v>176</v>
      </c>
      <c r="FX72" s="189" t="s">
        <v>176</v>
      </c>
      <c r="FY72" s="189" t="s">
        <v>160</v>
      </c>
      <c r="FZ72" s="189" t="s">
        <v>176</v>
      </c>
      <c r="GA72" s="189" t="s">
        <v>176</v>
      </c>
      <c r="GB72" s="189" t="s">
        <v>176</v>
      </c>
      <c r="GC72" s="189" t="s">
        <v>176</v>
      </c>
      <c r="GD72" s="189" t="s">
        <v>176</v>
      </c>
      <c r="GE72" s="189" t="s">
        <v>176</v>
      </c>
      <c r="GF72" s="189" t="s">
        <v>176</v>
      </c>
      <c r="GG72" s="189" t="s">
        <v>176</v>
      </c>
      <c r="GH72" s="189" t="s">
        <v>176</v>
      </c>
      <c r="GI72" s="189" t="s">
        <v>176</v>
      </c>
      <c r="GJ72" s="275">
        <f t="shared" si="3"/>
        <v>133</v>
      </c>
    </row>
    <row r="73" spans="1:192" ht="25.5" customHeight="1" x14ac:dyDescent="0.25">
      <c r="A73" s="258" t="s">
        <v>186</v>
      </c>
      <c r="B73" s="261" t="s">
        <v>581</v>
      </c>
      <c r="C73" s="261" t="s">
        <v>672</v>
      </c>
      <c r="D73" s="185">
        <v>2</v>
      </c>
      <c r="E73" s="185">
        <v>2</v>
      </c>
      <c r="F73" s="185">
        <v>1</v>
      </c>
      <c r="G73" s="185">
        <v>1</v>
      </c>
      <c r="H73" s="185">
        <v>1</v>
      </c>
      <c r="I73" s="185">
        <v>1</v>
      </c>
      <c r="J73" s="185" t="s">
        <v>176</v>
      </c>
      <c r="K73" s="185" t="s">
        <v>176</v>
      </c>
      <c r="L73" s="185">
        <v>1</v>
      </c>
      <c r="M73" s="185">
        <v>1</v>
      </c>
      <c r="N73" s="185" t="s">
        <v>176</v>
      </c>
      <c r="O73" s="185" t="s">
        <v>176</v>
      </c>
      <c r="P73" s="185" t="s">
        <v>176</v>
      </c>
      <c r="Q73" s="185">
        <v>1</v>
      </c>
      <c r="R73" s="185" t="s">
        <v>176</v>
      </c>
      <c r="S73" s="185" t="s">
        <v>176</v>
      </c>
      <c r="T73" s="185" t="s">
        <v>176</v>
      </c>
      <c r="U73" s="185" t="s">
        <v>176</v>
      </c>
      <c r="V73" s="185" t="s">
        <v>176</v>
      </c>
      <c r="W73" s="185" t="s">
        <v>176</v>
      </c>
      <c r="X73" s="185" t="s">
        <v>176</v>
      </c>
      <c r="Y73" s="185" t="s">
        <v>176</v>
      </c>
      <c r="Z73" s="185" t="s">
        <v>176</v>
      </c>
      <c r="AA73" s="185" t="s">
        <v>176</v>
      </c>
      <c r="AB73" s="185" t="s">
        <v>176</v>
      </c>
      <c r="AC73" s="185" t="s">
        <v>176</v>
      </c>
      <c r="AD73" s="185" t="s">
        <v>176</v>
      </c>
      <c r="AE73" s="185" t="s">
        <v>176</v>
      </c>
      <c r="AF73" s="185" t="s">
        <v>176</v>
      </c>
      <c r="AG73" s="185" t="s">
        <v>176</v>
      </c>
      <c r="AH73" s="185" t="s">
        <v>176</v>
      </c>
      <c r="AI73" s="185" t="s">
        <v>176</v>
      </c>
      <c r="AJ73" s="185" t="s">
        <v>176</v>
      </c>
      <c r="AK73" s="185" t="s">
        <v>176</v>
      </c>
      <c r="AL73" s="185">
        <v>2</v>
      </c>
      <c r="AM73" s="185" t="s">
        <v>176</v>
      </c>
      <c r="AN73" s="185">
        <v>1</v>
      </c>
      <c r="AO73" s="185" t="s">
        <v>176</v>
      </c>
      <c r="AP73" s="185" t="s">
        <v>176</v>
      </c>
      <c r="AQ73" s="185" t="s">
        <v>176</v>
      </c>
      <c r="AR73" s="185">
        <v>1</v>
      </c>
      <c r="AS73" s="185">
        <v>1</v>
      </c>
      <c r="AT73" s="185">
        <v>1</v>
      </c>
      <c r="AU73" s="185" t="s">
        <v>176</v>
      </c>
      <c r="AV73" s="185" t="s">
        <v>176</v>
      </c>
      <c r="AW73" s="185" t="s">
        <v>176</v>
      </c>
      <c r="AX73" s="185">
        <v>1</v>
      </c>
      <c r="AY73" s="185">
        <v>1</v>
      </c>
      <c r="AZ73" s="185" t="s">
        <v>176</v>
      </c>
      <c r="BA73" s="185" t="s">
        <v>176</v>
      </c>
      <c r="BB73" s="185" t="s">
        <v>176</v>
      </c>
      <c r="BC73" s="185" t="s">
        <v>176</v>
      </c>
      <c r="BD73" s="185" t="s">
        <v>176</v>
      </c>
      <c r="BE73" s="185" t="s">
        <v>176</v>
      </c>
      <c r="BF73" s="185" t="s">
        <v>176</v>
      </c>
      <c r="BG73" s="185" t="s">
        <v>176</v>
      </c>
      <c r="BH73" s="185" t="s">
        <v>176</v>
      </c>
      <c r="BI73" s="185" t="s">
        <v>176</v>
      </c>
      <c r="BJ73" s="185" t="s">
        <v>176</v>
      </c>
      <c r="BK73" s="185">
        <v>3</v>
      </c>
      <c r="BL73" s="185" t="s">
        <v>176</v>
      </c>
      <c r="BM73" s="185">
        <v>3</v>
      </c>
      <c r="BN73" s="185" t="s">
        <v>176</v>
      </c>
      <c r="BO73" s="185" t="s">
        <v>176</v>
      </c>
      <c r="BP73" s="185" t="s">
        <v>176</v>
      </c>
      <c r="BQ73" s="185" t="s">
        <v>176</v>
      </c>
      <c r="BR73" s="185" t="s">
        <v>176</v>
      </c>
      <c r="BS73" s="185">
        <v>1</v>
      </c>
      <c r="BT73" s="185">
        <v>3</v>
      </c>
      <c r="BU73" s="185" t="s">
        <v>176</v>
      </c>
      <c r="BV73" s="185" t="s">
        <v>176</v>
      </c>
      <c r="BW73" s="185" t="s">
        <v>176</v>
      </c>
      <c r="BX73" s="185" t="s">
        <v>176</v>
      </c>
      <c r="BY73" s="185" t="s">
        <v>176</v>
      </c>
      <c r="BZ73" s="185" t="s">
        <v>176</v>
      </c>
      <c r="CA73" s="185" t="s">
        <v>176</v>
      </c>
      <c r="CB73" s="185" t="s">
        <v>176</v>
      </c>
      <c r="CC73" s="185" t="s">
        <v>176</v>
      </c>
      <c r="CD73" s="185" t="s">
        <v>176</v>
      </c>
      <c r="CE73" s="185">
        <v>2</v>
      </c>
      <c r="CF73" s="185" t="s">
        <v>176</v>
      </c>
      <c r="CG73" s="185" t="s">
        <v>176</v>
      </c>
      <c r="CH73" s="185" t="s">
        <v>176</v>
      </c>
      <c r="CI73" s="185" t="s">
        <v>176</v>
      </c>
      <c r="CJ73" s="185" t="s">
        <v>176</v>
      </c>
      <c r="CK73" s="185">
        <v>1</v>
      </c>
      <c r="CL73" s="185">
        <v>1</v>
      </c>
      <c r="CM73" s="185">
        <v>1</v>
      </c>
      <c r="CN73" s="185">
        <v>2</v>
      </c>
      <c r="CO73" s="185" t="s">
        <v>176</v>
      </c>
      <c r="CP73" s="185" t="s">
        <v>176</v>
      </c>
      <c r="CQ73" s="185" t="s">
        <v>176</v>
      </c>
      <c r="CR73" s="185" t="s">
        <v>176</v>
      </c>
      <c r="CS73" s="185" t="s">
        <v>176</v>
      </c>
      <c r="CT73" s="185" t="s">
        <v>176</v>
      </c>
      <c r="CU73" s="185" t="s">
        <v>176</v>
      </c>
      <c r="CV73" s="185" t="s">
        <v>176</v>
      </c>
      <c r="CW73" s="185" t="s">
        <v>176</v>
      </c>
      <c r="CX73" s="185" t="s">
        <v>176</v>
      </c>
      <c r="CY73" s="185" t="s">
        <v>176</v>
      </c>
      <c r="CZ73" s="185" t="s">
        <v>176</v>
      </c>
      <c r="DA73" s="185" t="s">
        <v>176</v>
      </c>
      <c r="DB73" s="185" t="s">
        <v>176</v>
      </c>
      <c r="DC73" s="185" t="s">
        <v>176</v>
      </c>
      <c r="DD73" s="185" t="s">
        <v>176</v>
      </c>
      <c r="DE73" s="185" t="s">
        <v>176</v>
      </c>
      <c r="DF73" s="185" t="s">
        <v>176</v>
      </c>
      <c r="DG73" s="185" t="s">
        <v>176</v>
      </c>
      <c r="DH73" s="185" t="s">
        <v>176</v>
      </c>
      <c r="DI73" s="185" t="s">
        <v>176</v>
      </c>
      <c r="DJ73" s="185" t="s">
        <v>176</v>
      </c>
      <c r="DK73" s="185" t="s">
        <v>176</v>
      </c>
      <c r="DL73" s="185" t="s">
        <v>176</v>
      </c>
      <c r="DM73" s="185" t="s">
        <v>176</v>
      </c>
      <c r="DN73" s="185" t="s">
        <v>176</v>
      </c>
      <c r="DO73" s="185" t="s">
        <v>176</v>
      </c>
      <c r="DP73" s="185" t="s">
        <v>176</v>
      </c>
      <c r="DQ73" s="185" t="s">
        <v>176</v>
      </c>
      <c r="DR73" s="185" t="s">
        <v>176</v>
      </c>
      <c r="DS73" s="185" t="s">
        <v>176</v>
      </c>
      <c r="DT73" s="185" t="s">
        <v>176</v>
      </c>
      <c r="DU73" s="185" t="s">
        <v>176</v>
      </c>
      <c r="DV73" s="185" t="s">
        <v>176</v>
      </c>
      <c r="DW73" s="185" t="s">
        <v>176</v>
      </c>
      <c r="DX73" s="185" t="s">
        <v>176</v>
      </c>
      <c r="DY73" s="185" t="s">
        <v>176</v>
      </c>
      <c r="DZ73" s="185" t="s">
        <v>176</v>
      </c>
      <c r="EA73" s="185" t="s">
        <v>176</v>
      </c>
      <c r="EB73" s="185" t="s">
        <v>176</v>
      </c>
      <c r="EC73" s="185" t="s">
        <v>176</v>
      </c>
      <c r="ED73" s="185" t="s">
        <v>176</v>
      </c>
      <c r="EE73" s="185" t="s">
        <v>176</v>
      </c>
      <c r="EF73" s="185" t="s">
        <v>176</v>
      </c>
      <c r="EG73" s="185" t="s">
        <v>176</v>
      </c>
      <c r="EH73" s="185" t="s">
        <v>176</v>
      </c>
      <c r="EI73" s="185" t="s">
        <v>176</v>
      </c>
      <c r="EJ73" s="185" t="s">
        <v>176</v>
      </c>
      <c r="EK73" s="185" t="s">
        <v>176</v>
      </c>
      <c r="EL73" s="185" t="s">
        <v>176</v>
      </c>
      <c r="EM73" s="185" t="s">
        <v>176</v>
      </c>
      <c r="EN73" s="185" t="s">
        <v>176</v>
      </c>
      <c r="EO73" s="185" t="s">
        <v>176</v>
      </c>
      <c r="EP73" s="185" t="s">
        <v>176</v>
      </c>
      <c r="EQ73" s="185" t="s">
        <v>176</v>
      </c>
      <c r="ER73" s="185" t="s">
        <v>176</v>
      </c>
      <c r="ES73" s="185" t="s">
        <v>176</v>
      </c>
      <c r="ET73" s="185" t="s">
        <v>176</v>
      </c>
      <c r="EU73" s="185" t="s">
        <v>176</v>
      </c>
      <c r="EV73" s="185" t="s">
        <v>176</v>
      </c>
      <c r="EW73" s="185">
        <v>1</v>
      </c>
      <c r="EX73" s="185">
        <v>1</v>
      </c>
      <c r="EY73" s="185">
        <v>1</v>
      </c>
      <c r="EZ73" s="185" t="s">
        <v>176</v>
      </c>
      <c r="FA73" s="185" t="s">
        <v>176</v>
      </c>
      <c r="FB73" s="185">
        <v>2</v>
      </c>
      <c r="FC73" s="185">
        <v>2</v>
      </c>
      <c r="FD73" s="185">
        <v>2</v>
      </c>
      <c r="FE73" s="185">
        <v>2</v>
      </c>
      <c r="FF73" s="185">
        <v>2</v>
      </c>
      <c r="FG73" s="185">
        <v>2</v>
      </c>
      <c r="FH73" s="185">
        <v>2</v>
      </c>
      <c r="FI73" s="185">
        <v>2</v>
      </c>
      <c r="FJ73" s="185">
        <v>2</v>
      </c>
      <c r="FK73" s="185">
        <v>2</v>
      </c>
      <c r="FL73" s="185">
        <v>2</v>
      </c>
      <c r="FM73" s="185">
        <v>2</v>
      </c>
      <c r="FN73" s="185">
        <v>2</v>
      </c>
      <c r="FO73" s="185" t="s">
        <v>176</v>
      </c>
      <c r="FP73" s="185" t="s">
        <v>387</v>
      </c>
      <c r="FQ73" s="185" t="s">
        <v>176</v>
      </c>
      <c r="FR73" s="185" t="s">
        <v>176</v>
      </c>
      <c r="FS73" s="185" t="s">
        <v>176</v>
      </c>
      <c r="FT73" s="185" t="s">
        <v>176</v>
      </c>
      <c r="FU73" s="185" t="s">
        <v>176</v>
      </c>
      <c r="FV73" s="185" t="s">
        <v>387</v>
      </c>
      <c r="FW73" s="185" t="s">
        <v>176</v>
      </c>
      <c r="FX73" s="185" t="s">
        <v>176</v>
      </c>
      <c r="FY73" s="185" t="s">
        <v>176</v>
      </c>
      <c r="FZ73" s="185" t="s">
        <v>176</v>
      </c>
      <c r="GA73" s="185" t="s">
        <v>387</v>
      </c>
      <c r="GB73" s="185" t="s">
        <v>176</v>
      </c>
      <c r="GC73" s="185" t="s">
        <v>176</v>
      </c>
      <c r="GD73" s="185" t="s">
        <v>387</v>
      </c>
      <c r="GE73" s="185" t="s">
        <v>176</v>
      </c>
      <c r="GF73" s="185" t="s">
        <v>176</v>
      </c>
      <c r="GG73" s="185" t="s">
        <v>176</v>
      </c>
      <c r="GH73" s="185" t="s">
        <v>176</v>
      </c>
      <c r="GI73" s="185" t="s">
        <v>176</v>
      </c>
      <c r="GJ73" s="263">
        <f t="shared" si="3"/>
        <v>65</v>
      </c>
    </row>
    <row r="74" spans="1:192" ht="25.5" customHeight="1" x14ac:dyDescent="0.25">
      <c r="A74" s="258" t="s">
        <v>185</v>
      </c>
      <c r="B74" s="261" t="s">
        <v>581</v>
      </c>
      <c r="C74" s="261" t="s">
        <v>558</v>
      </c>
      <c r="D74" s="185">
        <v>2</v>
      </c>
      <c r="E74" s="185">
        <v>2</v>
      </c>
      <c r="F74" s="185">
        <v>1</v>
      </c>
      <c r="G74" s="185">
        <v>1</v>
      </c>
      <c r="H74" s="185">
        <v>1</v>
      </c>
      <c r="I74" s="185">
        <v>1</v>
      </c>
      <c r="J74" s="185" t="s">
        <v>176</v>
      </c>
      <c r="K74" s="185" t="s">
        <v>176</v>
      </c>
      <c r="L74" s="185">
        <v>1</v>
      </c>
      <c r="M74" s="185">
        <v>1</v>
      </c>
      <c r="N74" s="185" t="s">
        <v>176</v>
      </c>
      <c r="O74" s="185" t="s">
        <v>176</v>
      </c>
      <c r="P74" s="185" t="s">
        <v>176</v>
      </c>
      <c r="Q74" s="185">
        <v>1</v>
      </c>
      <c r="R74" s="185" t="s">
        <v>176</v>
      </c>
      <c r="S74" s="185" t="s">
        <v>176</v>
      </c>
      <c r="T74" s="185" t="s">
        <v>176</v>
      </c>
      <c r="U74" s="185" t="s">
        <v>176</v>
      </c>
      <c r="V74" s="185" t="s">
        <v>176</v>
      </c>
      <c r="W74" s="185" t="s">
        <v>176</v>
      </c>
      <c r="X74" s="185" t="s">
        <v>176</v>
      </c>
      <c r="Y74" s="185" t="s">
        <v>176</v>
      </c>
      <c r="Z74" s="185" t="s">
        <v>176</v>
      </c>
      <c r="AA74" s="185" t="s">
        <v>176</v>
      </c>
      <c r="AB74" s="185" t="s">
        <v>176</v>
      </c>
      <c r="AC74" s="185" t="s">
        <v>176</v>
      </c>
      <c r="AD74" s="185" t="s">
        <v>176</v>
      </c>
      <c r="AE74" s="185" t="s">
        <v>176</v>
      </c>
      <c r="AF74" s="185" t="s">
        <v>176</v>
      </c>
      <c r="AG74" s="185" t="s">
        <v>176</v>
      </c>
      <c r="AH74" s="185" t="s">
        <v>176</v>
      </c>
      <c r="AI74" s="185" t="s">
        <v>176</v>
      </c>
      <c r="AJ74" s="185" t="s">
        <v>176</v>
      </c>
      <c r="AK74" s="185" t="s">
        <v>176</v>
      </c>
      <c r="AL74" s="185">
        <v>2</v>
      </c>
      <c r="AM74" s="185" t="s">
        <v>176</v>
      </c>
      <c r="AN74" s="185">
        <v>1</v>
      </c>
      <c r="AO74" s="185" t="s">
        <v>176</v>
      </c>
      <c r="AP74" s="185" t="s">
        <v>176</v>
      </c>
      <c r="AQ74" s="185" t="s">
        <v>176</v>
      </c>
      <c r="AR74" s="185">
        <v>1</v>
      </c>
      <c r="AS74" s="185">
        <v>1</v>
      </c>
      <c r="AT74" s="185">
        <v>1</v>
      </c>
      <c r="AU74" s="185" t="s">
        <v>176</v>
      </c>
      <c r="AV74" s="185" t="s">
        <v>176</v>
      </c>
      <c r="AW74" s="185" t="s">
        <v>176</v>
      </c>
      <c r="AX74" s="185">
        <v>1</v>
      </c>
      <c r="AY74" s="185">
        <v>1</v>
      </c>
      <c r="AZ74" s="185" t="s">
        <v>176</v>
      </c>
      <c r="BA74" s="185" t="s">
        <v>176</v>
      </c>
      <c r="BB74" s="185" t="s">
        <v>176</v>
      </c>
      <c r="BC74" s="185" t="s">
        <v>176</v>
      </c>
      <c r="BD74" s="185" t="s">
        <v>176</v>
      </c>
      <c r="BE74" s="185" t="s">
        <v>176</v>
      </c>
      <c r="BF74" s="185" t="s">
        <v>176</v>
      </c>
      <c r="BG74" s="185" t="s">
        <v>176</v>
      </c>
      <c r="BH74" s="185" t="s">
        <v>176</v>
      </c>
      <c r="BI74" s="185" t="s">
        <v>176</v>
      </c>
      <c r="BJ74" s="185" t="s">
        <v>176</v>
      </c>
      <c r="BK74" s="185">
        <v>3</v>
      </c>
      <c r="BL74" s="185" t="s">
        <v>176</v>
      </c>
      <c r="BM74" s="185" t="s">
        <v>176</v>
      </c>
      <c r="BN74" s="185" t="s">
        <v>176</v>
      </c>
      <c r="BO74" s="185">
        <v>3</v>
      </c>
      <c r="BP74" s="185" t="s">
        <v>176</v>
      </c>
      <c r="BQ74" s="185">
        <v>3</v>
      </c>
      <c r="BR74" s="185" t="s">
        <v>176</v>
      </c>
      <c r="BS74" s="185">
        <v>3</v>
      </c>
      <c r="BT74" s="185">
        <v>3</v>
      </c>
      <c r="BU74" s="185" t="s">
        <v>176</v>
      </c>
      <c r="BV74" s="185" t="s">
        <v>176</v>
      </c>
      <c r="BW74" s="185" t="s">
        <v>176</v>
      </c>
      <c r="BX74" s="185" t="s">
        <v>176</v>
      </c>
      <c r="BY74" s="185" t="s">
        <v>176</v>
      </c>
      <c r="BZ74" s="185" t="s">
        <v>176</v>
      </c>
      <c r="CA74" s="185" t="s">
        <v>176</v>
      </c>
      <c r="CB74" s="185" t="s">
        <v>176</v>
      </c>
      <c r="CC74" s="185" t="s">
        <v>176</v>
      </c>
      <c r="CD74" s="185" t="s">
        <v>176</v>
      </c>
      <c r="CE74" s="185">
        <v>2</v>
      </c>
      <c r="CF74" s="185" t="s">
        <v>176</v>
      </c>
      <c r="CG74" s="185" t="s">
        <v>176</v>
      </c>
      <c r="CH74" s="185" t="s">
        <v>176</v>
      </c>
      <c r="CI74" s="185" t="s">
        <v>176</v>
      </c>
      <c r="CJ74" s="185" t="s">
        <v>176</v>
      </c>
      <c r="CK74" s="185">
        <v>1</v>
      </c>
      <c r="CL74" s="185">
        <v>1</v>
      </c>
      <c r="CM74" s="185">
        <v>1</v>
      </c>
      <c r="CN74" s="185">
        <v>2</v>
      </c>
      <c r="CO74" s="185" t="s">
        <v>176</v>
      </c>
      <c r="CP74" s="185" t="s">
        <v>176</v>
      </c>
      <c r="CQ74" s="185" t="s">
        <v>176</v>
      </c>
      <c r="CR74" s="185" t="s">
        <v>176</v>
      </c>
      <c r="CS74" s="185" t="s">
        <v>176</v>
      </c>
      <c r="CT74" s="185" t="s">
        <v>176</v>
      </c>
      <c r="CU74" s="185" t="s">
        <v>176</v>
      </c>
      <c r="CV74" s="185" t="s">
        <v>176</v>
      </c>
      <c r="CW74" s="185" t="s">
        <v>176</v>
      </c>
      <c r="CX74" s="185" t="s">
        <v>176</v>
      </c>
      <c r="CY74" s="185" t="s">
        <v>176</v>
      </c>
      <c r="CZ74" s="185" t="s">
        <v>176</v>
      </c>
      <c r="DA74" s="185" t="s">
        <v>176</v>
      </c>
      <c r="DB74" s="185" t="s">
        <v>176</v>
      </c>
      <c r="DC74" s="185" t="s">
        <v>176</v>
      </c>
      <c r="DD74" s="185" t="s">
        <v>176</v>
      </c>
      <c r="DE74" s="185" t="s">
        <v>176</v>
      </c>
      <c r="DF74" s="185" t="s">
        <v>176</v>
      </c>
      <c r="DG74" s="185" t="s">
        <v>176</v>
      </c>
      <c r="DH74" s="185" t="s">
        <v>176</v>
      </c>
      <c r="DI74" s="185" t="s">
        <v>176</v>
      </c>
      <c r="DJ74" s="185" t="s">
        <v>176</v>
      </c>
      <c r="DK74" s="185" t="s">
        <v>176</v>
      </c>
      <c r="DL74" s="185" t="s">
        <v>176</v>
      </c>
      <c r="DM74" s="185" t="s">
        <v>176</v>
      </c>
      <c r="DN74" s="185" t="s">
        <v>176</v>
      </c>
      <c r="DO74" s="185" t="s">
        <v>176</v>
      </c>
      <c r="DP74" s="185" t="s">
        <v>176</v>
      </c>
      <c r="DQ74" s="185" t="s">
        <v>176</v>
      </c>
      <c r="DR74" s="185" t="s">
        <v>176</v>
      </c>
      <c r="DS74" s="185" t="s">
        <v>176</v>
      </c>
      <c r="DT74" s="185" t="s">
        <v>176</v>
      </c>
      <c r="DU74" s="185" t="s">
        <v>176</v>
      </c>
      <c r="DV74" s="185" t="s">
        <v>176</v>
      </c>
      <c r="DW74" s="185" t="s">
        <v>176</v>
      </c>
      <c r="DX74" s="185" t="s">
        <v>176</v>
      </c>
      <c r="DY74" s="185" t="s">
        <v>176</v>
      </c>
      <c r="DZ74" s="185" t="s">
        <v>176</v>
      </c>
      <c r="EA74" s="185" t="s">
        <v>176</v>
      </c>
      <c r="EB74" s="185" t="s">
        <v>176</v>
      </c>
      <c r="EC74" s="185" t="s">
        <v>176</v>
      </c>
      <c r="ED74" s="185" t="s">
        <v>176</v>
      </c>
      <c r="EE74" s="185" t="s">
        <v>176</v>
      </c>
      <c r="EF74" s="185" t="s">
        <v>176</v>
      </c>
      <c r="EG74" s="185" t="s">
        <v>176</v>
      </c>
      <c r="EH74" s="185" t="s">
        <v>176</v>
      </c>
      <c r="EI74" s="185" t="s">
        <v>176</v>
      </c>
      <c r="EJ74" s="185" t="s">
        <v>176</v>
      </c>
      <c r="EK74" s="185" t="s">
        <v>176</v>
      </c>
      <c r="EL74" s="185" t="s">
        <v>176</v>
      </c>
      <c r="EM74" s="185" t="s">
        <v>176</v>
      </c>
      <c r="EN74" s="185" t="s">
        <v>176</v>
      </c>
      <c r="EO74" s="185" t="s">
        <v>176</v>
      </c>
      <c r="EP74" s="185" t="s">
        <v>176</v>
      </c>
      <c r="EQ74" s="185" t="s">
        <v>176</v>
      </c>
      <c r="ER74" s="185" t="s">
        <v>176</v>
      </c>
      <c r="ES74" s="185" t="s">
        <v>176</v>
      </c>
      <c r="ET74" s="185" t="s">
        <v>176</v>
      </c>
      <c r="EU74" s="185" t="s">
        <v>176</v>
      </c>
      <c r="EV74" s="185" t="s">
        <v>176</v>
      </c>
      <c r="EW74" s="185">
        <v>1</v>
      </c>
      <c r="EX74" s="185">
        <v>1</v>
      </c>
      <c r="EY74" s="185">
        <v>1</v>
      </c>
      <c r="EZ74" s="185" t="s">
        <v>176</v>
      </c>
      <c r="FA74" s="185" t="s">
        <v>176</v>
      </c>
      <c r="FB74" s="185">
        <v>2</v>
      </c>
      <c r="FC74" s="185">
        <v>2</v>
      </c>
      <c r="FD74" s="185">
        <v>2</v>
      </c>
      <c r="FE74" s="185">
        <v>2</v>
      </c>
      <c r="FF74" s="185">
        <v>2</v>
      </c>
      <c r="FG74" s="185">
        <v>2</v>
      </c>
      <c r="FH74" s="185">
        <v>2</v>
      </c>
      <c r="FI74" s="185">
        <v>2</v>
      </c>
      <c r="FJ74" s="185">
        <v>2</v>
      </c>
      <c r="FK74" s="185">
        <v>2</v>
      </c>
      <c r="FL74" s="185">
        <v>2</v>
      </c>
      <c r="FM74" s="185">
        <v>2</v>
      </c>
      <c r="FN74" s="185">
        <v>2</v>
      </c>
      <c r="FO74" s="185" t="s">
        <v>176</v>
      </c>
      <c r="FP74" s="185" t="s">
        <v>387</v>
      </c>
      <c r="FQ74" s="185" t="s">
        <v>176</v>
      </c>
      <c r="FR74" s="185" t="s">
        <v>176</v>
      </c>
      <c r="FS74" s="185" t="s">
        <v>176</v>
      </c>
      <c r="FT74" s="185" t="s">
        <v>176</v>
      </c>
      <c r="FU74" s="185" t="s">
        <v>176</v>
      </c>
      <c r="FV74" s="185" t="s">
        <v>387</v>
      </c>
      <c r="FW74" s="185" t="s">
        <v>176</v>
      </c>
      <c r="FX74" s="185" t="s">
        <v>176</v>
      </c>
      <c r="FY74" s="185" t="s">
        <v>176</v>
      </c>
      <c r="FZ74" s="185" t="s">
        <v>176</v>
      </c>
      <c r="GA74" s="185" t="s">
        <v>387</v>
      </c>
      <c r="GB74" s="185" t="s">
        <v>176</v>
      </c>
      <c r="GC74" s="185" t="s">
        <v>176</v>
      </c>
      <c r="GD74" s="185" t="s">
        <v>387</v>
      </c>
      <c r="GE74" s="185" t="s">
        <v>176</v>
      </c>
      <c r="GF74" s="185" t="s">
        <v>176</v>
      </c>
      <c r="GG74" s="185" t="s">
        <v>176</v>
      </c>
      <c r="GH74" s="185" t="s">
        <v>176</v>
      </c>
      <c r="GI74" s="185" t="s">
        <v>176</v>
      </c>
      <c r="GJ74" s="263">
        <f t="shared" si="3"/>
        <v>70</v>
      </c>
    </row>
    <row r="75" spans="1:192" ht="25.5" customHeight="1" x14ac:dyDescent="0.25">
      <c r="A75" s="258" t="s">
        <v>179</v>
      </c>
      <c r="B75" s="261" t="s">
        <v>581</v>
      </c>
      <c r="C75" s="282" t="s">
        <v>558</v>
      </c>
      <c r="D75" s="185">
        <v>2</v>
      </c>
      <c r="E75" s="185">
        <v>2</v>
      </c>
      <c r="F75" s="185">
        <v>1</v>
      </c>
      <c r="G75" s="185">
        <v>1</v>
      </c>
      <c r="H75" s="185">
        <v>1</v>
      </c>
      <c r="I75" s="185">
        <v>1</v>
      </c>
      <c r="J75" s="185" t="s">
        <v>176</v>
      </c>
      <c r="K75" s="185" t="s">
        <v>176</v>
      </c>
      <c r="L75" s="185">
        <v>1</v>
      </c>
      <c r="M75" s="185">
        <v>1</v>
      </c>
      <c r="N75" s="185" t="s">
        <v>176</v>
      </c>
      <c r="O75" s="185" t="s">
        <v>176</v>
      </c>
      <c r="P75" s="185" t="s">
        <v>176</v>
      </c>
      <c r="Q75" s="185">
        <v>1</v>
      </c>
      <c r="R75" s="185" t="s">
        <v>176</v>
      </c>
      <c r="S75" s="185" t="s">
        <v>176</v>
      </c>
      <c r="T75" s="185" t="s">
        <v>176</v>
      </c>
      <c r="U75" s="185" t="s">
        <v>176</v>
      </c>
      <c r="V75" s="185" t="s">
        <v>176</v>
      </c>
      <c r="W75" s="185" t="s">
        <v>176</v>
      </c>
      <c r="X75" s="185" t="s">
        <v>176</v>
      </c>
      <c r="Y75" s="185" t="s">
        <v>176</v>
      </c>
      <c r="Z75" s="185" t="s">
        <v>176</v>
      </c>
      <c r="AA75" s="185" t="s">
        <v>176</v>
      </c>
      <c r="AB75" s="185" t="s">
        <v>176</v>
      </c>
      <c r="AC75" s="185" t="s">
        <v>176</v>
      </c>
      <c r="AD75" s="185" t="s">
        <v>176</v>
      </c>
      <c r="AE75" s="185" t="s">
        <v>176</v>
      </c>
      <c r="AF75" s="185" t="s">
        <v>176</v>
      </c>
      <c r="AG75" s="185" t="s">
        <v>176</v>
      </c>
      <c r="AH75" s="185" t="s">
        <v>176</v>
      </c>
      <c r="AI75" s="185" t="s">
        <v>176</v>
      </c>
      <c r="AJ75" s="185" t="s">
        <v>176</v>
      </c>
      <c r="AK75" s="185" t="s">
        <v>176</v>
      </c>
      <c r="AL75" s="185">
        <v>2</v>
      </c>
      <c r="AM75" s="185" t="s">
        <v>176</v>
      </c>
      <c r="AN75" s="185">
        <v>1</v>
      </c>
      <c r="AO75" s="185" t="s">
        <v>176</v>
      </c>
      <c r="AP75" s="185" t="s">
        <v>176</v>
      </c>
      <c r="AQ75" s="185" t="s">
        <v>176</v>
      </c>
      <c r="AR75" s="185">
        <v>1</v>
      </c>
      <c r="AS75" s="185">
        <v>1</v>
      </c>
      <c r="AT75" s="185">
        <v>1</v>
      </c>
      <c r="AU75" s="185" t="s">
        <v>176</v>
      </c>
      <c r="AV75" s="185" t="s">
        <v>176</v>
      </c>
      <c r="AW75" s="185" t="s">
        <v>176</v>
      </c>
      <c r="AX75" s="185">
        <v>1</v>
      </c>
      <c r="AY75" s="185">
        <v>1</v>
      </c>
      <c r="AZ75" s="185" t="s">
        <v>176</v>
      </c>
      <c r="BA75" s="185" t="s">
        <v>176</v>
      </c>
      <c r="BB75" s="185" t="s">
        <v>176</v>
      </c>
      <c r="BC75" s="185" t="s">
        <v>176</v>
      </c>
      <c r="BD75" s="185" t="s">
        <v>176</v>
      </c>
      <c r="BE75" s="185" t="s">
        <v>176</v>
      </c>
      <c r="BF75" s="185" t="s">
        <v>176</v>
      </c>
      <c r="BG75" s="185" t="s">
        <v>176</v>
      </c>
      <c r="BH75" s="185" t="s">
        <v>176</v>
      </c>
      <c r="BI75" s="185" t="s">
        <v>176</v>
      </c>
      <c r="BJ75" s="185" t="s">
        <v>176</v>
      </c>
      <c r="BK75" s="185">
        <v>3</v>
      </c>
      <c r="BL75" s="185">
        <v>3</v>
      </c>
      <c r="BM75" s="185" t="s">
        <v>176</v>
      </c>
      <c r="BN75" s="185">
        <v>3</v>
      </c>
      <c r="BO75" s="185">
        <v>3</v>
      </c>
      <c r="BP75" s="185">
        <v>3</v>
      </c>
      <c r="BQ75" s="185" t="s">
        <v>176</v>
      </c>
      <c r="BR75" s="185">
        <v>3</v>
      </c>
      <c r="BS75" s="185" t="s">
        <v>176</v>
      </c>
      <c r="BT75" s="185">
        <v>3</v>
      </c>
      <c r="BU75" s="185" t="s">
        <v>176</v>
      </c>
      <c r="BV75" s="185" t="s">
        <v>176</v>
      </c>
      <c r="BW75" s="185" t="s">
        <v>176</v>
      </c>
      <c r="BX75" s="185" t="s">
        <v>176</v>
      </c>
      <c r="BY75" s="185" t="s">
        <v>176</v>
      </c>
      <c r="BZ75" s="185" t="s">
        <v>176</v>
      </c>
      <c r="CA75" s="185" t="s">
        <v>176</v>
      </c>
      <c r="CB75" s="185" t="s">
        <v>176</v>
      </c>
      <c r="CC75" s="185" t="s">
        <v>176</v>
      </c>
      <c r="CD75" s="185" t="s">
        <v>176</v>
      </c>
      <c r="CE75" s="185">
        <v>2</v>
      </c>
      <c r="CF75" s="185" t="s">
        <v>176</v>
      </c>
      <c r="CG75" s="185" t="s">
        <v>176</v>
      </c>
      <c r="CH75" s="185" t="s">
        <v>176</v>
      </c>
      <c r="CI75" s="185" t="s">
        <v>176</v>
      </c>
      <c r="CJ75" s="185" t="s">
        <v>176</v>
      </c>
      <c r="CK75" s="185">
        <v>1</v>
      </c>
      <c r="CL75" s="185">
        <v>1</v>
      </c>
      <c r="CM75" s="185">
        <v>1</v>
      </c>
      <c r="CN75" s="185">
        <v>2</v>
      </c>
      <c r="CO75" s="185" t="s">
        <v>176</v>
      </c>
      <c r="CP75" s="185" t="s">
        <v>176</v>
      </c>
      <c r="CQ75" s="185" t="s">
        <v>176</v>
      </c>
      <c r="CR75" s="185" t="s">
        <v>176</v>
      </c>
      <c r="CS75" s="185" t="s">
        <v>176</v>
      </c>
      <c r="CT75" s="185" t="s">
        <v>176</v>
      </c>
      <c r="CU75" s="185" t="s">
        <v>176</v>
      </c>
      <c r="CV75" s="189" t="s">
        <v>176</v>
      </c>
      <c r="CW75" s="189" t="s">
        <v>176</v>
      </c>
      <c r="CX75" s="189" t="s">
        <v>176</v>
      </c>
      <c r="CY75" s="189" t="s">
        <v>176</v>
      </c>
      <c r="CZ75" s="185" t="s">
        <v>176</v>
      </c>
      <c r="DA75" s="185" t="s">
        <v>176</v>
      </c>
      <c r="DB75" s="185" t="s">
        <v>176</v>
      </c>
      <c r="DC75" s="185" t="s">
        <v>176</v>
      </c>
      <c r="DD75" s="185" t="s">
        <v>176</v>
      </c>
      <c r="DE75" s="185" t="s">
        <v>176</v>
      </c>
      <c r="DF75" s="185" t="s">
        <v>176</v>
      </c>
      <c r="DG75" s="185" t="s">
        <v>176</v>
      </c>
      <c r="DH75" s="185" t="s">
        <v>176</v>
      </c>
      <c r="DI75" s="185" t="s">
        <v>176</v>
      </c>
      <c r="DJ75" s="185" t="s">
        <v>176</v>
      </c>
      <c r="DK75" s="185" t="s">
        <v>176</v>
      </c>
      <c r="DL75" s="185" t="s">
        <v>176</v>
      </c>
      <c r="DM75" s="185" t="s">
        <v>176</v>
      </c>
      <c r="DN75" s="185" t="s">
        <v>176</v>
      </c>
      <c r="DO75" s="185" t="s">
        <v>176</v>
      </c>
      <c r="DP75" s="185" t="s">
        <v>176</v>
      </c>
      <c r="DQ75" s="185" t="s">
        <v>176</v>
      </c>
      <c r="DR75" s="185" t="s">
        <v>176</v>
      </c>
      <c r="DS75" s="185" t="s">
        <v>176</v>
      </c>
      <c r="DT75" s="185" t="s">
        <v>176</v>
      </c>
      <c r="DU75" s="185" t="s">
        <v>176</v>
      </c>
      <c r="DV75" s="185" t="s">
        <v>176</v>
      </c>
      <c r="DW75" s="185" t="s">
        <v>176</v>
      </c>
      <c r="DX75" s="185" t="s">
        <v>176</v>
      </c>
      <c r="DY75" s="185" t="s">
        <v>176</v>
      </c>
      <c r="DZ75" s="185" t="s">
        <v>176</v>
      </c>
      <c r="EA75" s="185" t="s">
        <v>176</v>
      </c>
      <c r="EB75" s="185" t="s">
        <v>176</v>
      </c>
      <c r="EC75" s="185" t="s">
        <v>176</v>
      </c>
      <c r="ED75" s="185" t="s">
        <v>176</v>
      </c>
      <c r="EE75" s="185" t="s">
        <v>176</v>
      </c>
      <c r="EF75" s="185" t="s">
        <v>176</v>
      </c>
      <c r="EG75" s="185" t="s">
        <v>176</v>
      </c>
      <c r="EH75" s="185" t="s">
        <v>176</v>
      </c>
      <c r="EI75" s="185" t="s">
        <v>176</v>
      </c>
      <c r="EJ75" s="185" t="s">
        <v>176</v>
      </c>
      <c r="EK75" s="185" t="s">
        <v>176</v>
      </c>
      <c r="EL75" s="185" t="s">
        <v>176</v>
      </c>
      <c r="EM75" s="185" t="s">
        <v>176</v>
      </c>
      <c r="EN75" s="185" t="s">
        <v>176</v>
      </c>
      <c r="EO75" s="185" t="s">
        <v>176</v>
      </c>
      <c r="EP75" s="185" t="s">
        <v>176</v>
      </c>
      <c r="EQ75" s="185" t="s">
        <v>176</v>
      </c>
      <c r="ER75" s="185" t="s">
        <v>176</v>
      </c>
      <c r="ES75" s="185" t="s">
        <v>176</v>
      </c>
      <c r="ET75" s="185" t="s">
        <v>176</v>
      </c>
      <c r="EU75" s="185" t="s">
        <v>176</v>
      </c>
      <c r="EV75" s="185" t="s">
        <v>176</v>
      </c>
      <c r="EW75" s="185">
        <v>1</v>
      </c>
      <c r="EX75" s="185">
        <v>1</v>
      </c>
      <c r="EY75" s="185">
        <v>1</v>
      </c>
      <c r="EZ75" s="185" t="s">
        <v>176</v>
      </c>
      <c r="FA75" s="185" t="s">
        <v>176</v>
      </c>
      <c r="FB75" s="185">
        <v>2</v>
      </c>
      <c r="FC75" s="185">
        <v>2</v>
      </c>
      <c r="FD75" s="185">
        <v>2</v>
      </c>
      <c r="FE75" s="185">
        <v>2</v>
      </c>
      <c r="FF75" s="185">
        <v>2</v>
      </c>
      <c r="FG75" s="185">
        <v>2</v>
      </c>
      <c r="FH75" s="185">
        <v>2</v>
      </c>
      <c r="FI75" s="185">
        <v>2</v>
      </c>
      <c r="FJ75" s="185">
        <v>2</v>
      </c>
      <c r="FK75" s="185">
        <v>2</v>
      </c>
      <c r="FL75" s="185">
        <v>2</v>
      </c>
      <c r="FM75" s="185">
        <v>2</v>
      </c>
      <c r="FN75" s="185">
        <v>2</v>
      </c>
      <c r="FO75" s="185" t="s">
        <v>176</v>
      </c>
      <c r="FP75" s="185" t="s">
        <v>387</v>
      </c>
      <c r="FQ75" s="185" t="s">
        <v>176</v>
      </c>
      <c r="FR75" s="185" t="s">
        <v>176</v>
      </c>
      <c r="FS75" s="185" t="s">
        <v>176</v>
      </c>
      <c r="FT75" s="185" t="s">
        <v>176</v>
      </c>
      <c r="FU75" s="185" t="s">
        <v>176</v>
      </c>
      <c r="FV75" s="185" t="s">
        <v>387</v>
      </c>
      <c r="FW75" s="185" t="s">
        <v>176</v>
      </c>
      <c r="FX75" s="185" t="s">
        <v>176</v>
      </c>
      <c r="FY75" s="185" t="s">
        <v>176</v>
      </c>
      <c r="FZ75" s="185" t="s">
        <v>176</v>
      </c>
      <c r="GA75" s="185" t="s">
        <v>387</v>
      </c>
      <c r="GB75" s="185" t="s">
        <v>176</v>
      </c>
      <c r="GC75" s="185" t="s">
        <v>176</v>
      </c>
      <c r="GD75" s="185" t="s">
        <v>387</v>
      </c>
      <c r="GE75" s="185" t="s">
        <v>176</v>
      </c>
      <c r="GF75" s="185" t="s">
        <v>176</v>
      </c>
      <c r="GG75" s="185" t="s">
        <v>176</v>
      </c>
      <c r="GH75" s="185" t="s">
        <v>176</v>
      </c>
      <c r="GI75" s="188" t="s">
        <v>176</v>
      </c>
      <c r="GJ75" s="263">
        <f t="shared" si="3"/>
        <v>76</v>
      </c>
    </row>
    <row r="76" spans="1:192" ht="25.5" customHeight="1" x14ac:dyDescent="0.25">
      <c r="A76" s="258" t="s">
        <v>180</v>
      </c>
      <c r="B76" s="261" t="s">
        <v>581</v>
      </c>
      <c r="C76" s="282" t="s">
        <v>672</v>
      </c>
      <c r="D76" s="185">
        <v>2</v>
      </c>
      <c r="E76" s="185">
        <v>2</v>
      </c>
      <c r="F76" s="185">
        <v>1</v>
      </c>
      <c r="G76" s="185">
        <v>1</v>
      </c>
      <c r="H76" s="185">
        <v>1</v>
      </c>
      <c r="I76" s="185">
        <v>1</v>
      </c>
      <c r="J76" s="185" t="s">
        <v>176</v>
      </c>
      <c r="K76" s="185" t="s">
        <v>176</v>
      </c>
      <c r="L76" s="185">
        <v>1</v>
      </c>
      <c r="M76" s="185">
        <v>1</v>
      </c>
      <c r="N76" s="185" t="s">
        <v>176</v>
      </c>
      <c r="O76" s="185" t="s">
        <v>176</v>
      </c>
      <c r="P76" s="185" t="s">
        <v>176</v>
      </c>
      <c r="Q76" s="185">
        <v>1</v>
      </c>
      <c r="R76" s="185" t="s">
        <v>176</v>
      </c>
      <c r="S76" s="185" t="s">
        <v>176</v>
      </c>
      <c r="T76" s="185" t="s">
        <v>176</v>
      </c>
      <c r="U76" s="185" t="s">
        <v>176</v>
      </c>
      <c r="V76" s="185" t="s">
        <v>176</v>
      </c>
      <c r="W76" s="185" t="s">
        <v>176</v>
      </c>
      <c r="X76" s="185" t="s">
        <v>176</v>
      </c>
      <c r="Y76" s="185" t="s">
        <v>176</v>
      </c>
      <c r="Z76" s="185" t="s">
        <v>176</v>
      </c>
      <c r="AA76" s="185" t="s">
        <v>176</v>
      </c>
      <c r="AB76" s="185" t="s">
        <v>176</v>
      </c>
      <c r="AC76" s="185" t="s">
        <v>176</v>
      </c>
      <c r="AD76" s="185" t="s">
        <v>176</v>
      </c>
      <c r="AE76" s="185" t="s">
        <v>176</v>
      </c>
      <c r="AF76" s="185" t="s">
        <v>176</v>
      </c>
      <c r="AG76" s="185" t="s">
        <v>176</v>
      </c>
      <c r="AH76" s="185" t="s">
        <v>176</v>
      </c>
      <c r="AI76" s="185" t="s">
        <v>176</v>
      </c>
      <c r="AJ76" s="185" t="s">
        <v>176</v>
      </c>
      <c r="AK76" s="185" t="s">
        <v>176</v>
      </c>
      <c r="AL76" s="185">
        <v>2</v>
      </c>
      <c r="AM76" s="185" t="s">
        <v>176</v>
      </c>
      <c r="AN76" s="185">
        <v>1</v>
      </c>
      <c r="AO76" s="185" t="s">
        <v>176</v>
      </c>
      <c r="AP76" s="185" t="s">
        <v>176</v>
      </c>
      <c r="AQ76" s="185" t="s">
        <v>176</v>
      </c>
      <c r="AR76" s="185">
        <v>1</v>
      </c>
      <c r="AS76" s="185">
        <v>1</v>
      </c>
      <c r="AT76" s="185">
        <v>1</v>
      </c>
      <c r="AU76" s="185" t="s">
        <v>176</v>
      </c>
      <c r="AV76" s="185" t="s">
        <v>176</v>
      </c>
      <c r="AW76" s="185" t="s">
        <v>176</v>
      </c>
      <c r="AX76" s="185">
        <v>1</v>
      </c>
      <c r="AY76" s="185">
        <v>1</v>
      </c>
      <c r="AZ76" s="185" t="s">
        <v>176</v>
      </c>
      <c r="BA76" s="185" t="s">
        <v>176</v>
      </c>
      <c r="BB76" s="185" t="s">
        <v>176</v>
      </c>
      <c r="BC76" s="185" t="s">
        <v>176</v>
      </c>
      <c r="BD76" s="185" t="s">
        <v>176</v>
      </c>
      <c r="BE76" s="185" t="s">
        <v>176</v>
      </c>
      <c r="BF76" s="185" t="s">
        <v>176</v>
      </c>
      <c r="BG76" s="185" t="s">
        <v>176</v>
      </c>
      <c r="BH76" s="185" t="s">
        <v>176</v>
      </c>
      <c r="BI76" s="185" t="s">
        <v>176</v>
      </c>
      <c r="BJ76" s="185" t="s">
        <v>176</v>
      </c>
      <c r="BK76" s="185">
        <v>3</v>
      </c>
      <c r="BL76" s="185" t="s">
        <v>176</v>
      </c>
      <c r="BM76" s="185" t="s">
        <v>176</v>
      </c>
      <c r="BN76" s="185" t="s">
        <v>176</v>
      </c>
      <c r="BO76" s="185">
        <v>3</v>
      </c>
      <c r="BP76" s="185" t="s">
        <v>176</v>
      </c>
      <c r="BQ76" s="185">
        <v>3</v>
      </c>
      <c r="BR76" s="185" t="s">
        <v>176</v>
      </c>
      <c r="BS76" s="185">
        <v>3</v>
      </c>
      <c r="BT76" s="185">
        <v>3</v>
      </c>
      <c r="BU76" s="185" t="s">
        <v>176</v>
      </c>
      <c r="BV76" s="185" t="s">
        <v>176</v>
      </c>
      <c r="BW76" s="185" t="s">
        <v>176</v>
      </c>
      <c r="BX76" s="185" t="s">
        <v>176</v>
      </c>
      <c r="BY76" s="185" t="s">
        <v>176</v>
      </c>
      <c r="BZ76" s="185" t="s">
        <v>176</v>
      </c>
      <c r="CA76" s="185" t="s">
        <v>176</v>
      </c>
      <c r="CB76" s="185" t="s">
        <v>176</v>
      </c>
      <c r="CC76" s="185" t="s">
        <v>176</v>
      </c>
      <c r="CD76" s="185" t="s">
        <v>176</v>
      </c>
      <c r="CE76" s="185">
        <v>2</v>
      </c>
      <c r="CF76" s="185" t="s">
        <v>176</v>
      </c>
      <c r="CG76" s="185" t="s">
        <v>176</v>
      </c>
      <c r="CH76" s="185" t="s">
        <v>176</v>
      </c>
      <c r="CI76" s="185" t="s">
        <v>176</v>
      </c>
      <c r="CJ76" s="185" t="s">
        <v>176</v>
      </c>
      <c r="CK76" s="185">
        <v>1</v>
      </c>
      <c r="CL76" s="185">
        <v>1</v>
      </c>
      <c r="CM76" s="185">
        <v>1</v>
      </c>
      <c r="CN76" s="185">
        <v>2</v>
      </c>
      <c r="CO76" s="185" t="s">
        <v>176</v>
      </c>
      <c r="CP76" s="185" t="s">
        <v>176</v>
      </c>
      <c r="CQ76" s="185" t="s">
        <v>176</v>
      </c>
      <c r="CR76" s="185" t="s">
        <v>176</v>
      </c>
      <c r="CS76" s="185" t="s">
        <v>176</v>
      </c>
      <c r="CT76" s="185" t="s">
        <v>176</v>
      </c>
      <c r="CU76" s="185" t="s">
        <v>176</v>
      </c>
      <c r="CV76" s="185" t="s">
        <v>176</v>
      </c>
      <c r="CW76" s="185" t="s">
        <v>176</v>
      </c>
      <c r="CX76" s="185" t="s">
        <v>176</v>
      </c>
      <c r="CY76" s="185" t="s">
        <v>176</v>
      </c>
      <c r="CZ76" s="185" t="s">
        <v>176</v>
      </c>
      <c r="DA76" s="185" t="s">
        <v>176</v>
      </c>
      <c r="DB76" s="185" t="s">
        <v>176</v>
      </c>
      <c r="DC76" s="185" t="s">
        <v>176</v>
      </c>
      <c r="DD76" s="185" t="s">
        <v>176</v>
      </c>
      <c r="DE76" s="185" t="s">
        <v>176</v>
      </c>
      <c r="DF76" s="185" t="s">
        <v>176</v>
      </c>
      <c r="DG76" s="185" t="s">
        <v>176</v>
      </c>
      <c r="DH76" s="185" t="s">
        <v>176</v>
      </c>
      <c r="DI76" s="185" t="s">
        <v>176</v>
      </c>
      <c r="DJ76" s="185" t="s">
        <v>176</v>
      </c>
      <c r="DK76" s="185" t="s">
        <v>176</v>
      </c>
      <c r="DL76" s="185" t="s">
        <v>176</v>
      </c>
      <c r="DM76" s="185" t="s">
        <v>176</v>
      </c>
      <c r="DN76" s="185" t="s">
        <v>176</v>
      </c>
      <c r="DO76" s="185" t="s">
        <v>176</v>
      </c>
      <c r="DP76" s="185" t="s">
        <v>176</v>
      </c>
      <c r="DQ76" s="185" t="s">
        <v>176</v>
      </c>
      <c r="DR76" s="185" t="s">
        <v>176</v>
      </c>
      <c r="DS76" s="185" t="s">
        <v>176</v>
      </c>
      <c r="DT76" s="185" t="s">
        <v>176</v>
      </c>
      <c r="DU76" s="185" t="s">
        <v>176</v>
      </c>
      <c r="DV76" s="185" t="s">
        <v>176</v>
      </c>
      <c r="DW76" s="185" t="s">
        <v>176</v>
      </c>
      <c r="DX76" s="185" t="s">
        <v>176</v>
      </c>
      <c r="DY76" s="185" t="s">
        <v>176</v>
      </c>
      <c r="DZ76" s="185" t="s">
        <v>176</v>
      </c>
      <c r="EA76" s="185" t="s">
        <v>176</v>
      </c>
      <c r="EB76" s="185" t="s">
        <v>176</v>
      </c>
      <c r="EC76" s="185" t="s">
        <v>176</v>
      </c>
      <c r="ED76" s="185" t="s">
        <v>176</v>
      </c>
      <c r="EE76" s="185" t="s">
        <v>176</v>
      </c>
      <c r="EF76" s="185" t="s">
        <v>176</v>
      </c>
      <c r="EG76" s="185" t="s">
        <v>176</v>
      </c>
      <c r="EH76" s="185" t="s">
        <v>176</v>
      </c>
      <c r="EI76" s="185" t="s">
        <v>176</v>
      </c>
      <c r="EJ76" s="185" t="s">
        <v>176</v>
      </c>
      <c r="EK76" s="185" t="s">
        <v>176</v>
      </c>
      <c r="EL76" s="185" t="s">
        <v>176</v>
      </c>
      <c r="EM76" s="185" t="s">
        <v>176</v>
      </c>
      <c r="EN76" s="185" t="s">
        <v>176</v>
      </c>
      <c r="EO76" s="185" t="s">
        <v>176</v>
      </c>
      <c r="EP76" s="185" t="s">
        <v>176</v>
      </c>
      <c r="EQ76" s="185" t="s">
        <v>176</v>
      </c>
      <c r="ER76" s="185" t="s">
        <v>176</v>
      </c>
      <c r="ES76" s="185" t="s">
        <v>176</v>
      </c>
      <c r="ET76" s="185" t="s">
        <v>176</v>
      </c>
      <c r="EU76" s="185" t="s">
        <v>176</v>
      </c>
      <c r="EV76" s="185" t="s">
        <v>176</v>
      </c>
      <c r="EW76" s="185">
        <v>1</v>
      </c>
      <c r="EX76" s="185">
        <v>1</v>
      </c>
      <c r="EY76" s="185">
        <v>1</v>
      </c>
      <c r="EZ76" s="185" t="s">
        <v>176</v>
      </c>
      <c r="FA76" s="185" t="s">
        <v>176</v>
      </c>
      <c r="FB76" s="185">
        <v>2</v>
      </c>
      <c r="FC76" s="185">
        <v>2</v>
      </c>
      <c r="FD76" s="185">
        <v>2</v>
      </c>
      <c r="FE76" s="185">
        <v>2</v>
      </c>
      <c r="FF76" s="185">
        <v>2</v>
      </c>
      <c r="FG76" s="185">
        <v>2</v>
      </c>
      <c r="FH76" s="185">
        <v>2</v>
      </c>
      <c r="FI76" s="185">
        <v>2</v>
      </c>
      <c r="FJ76" s="185">
        <v>2</v>
      </c>
      <c r="FK76" s="185">
        <v>2</v>
      </c>
      <c r="FL76" s="185">
        <v>2</v>
      </c>
      <c r="FM76" s="185">
        <v>2</v>
      </c>
      <c r="FN76" s="185">
        <v>2</v>
      </c>
      <c r="FO76" s="185" t="s">
        <v>176</v>
      </c>
      <c r="FP76" s="185" t="s">
        <v>387</v>
      </c>
      <c r="FQ76" s="185" t="s">
        <v>176</v>
      </c>
      <c r="FR76" s="185" t="s">
        <v>176</v>
      </c>
      <c r="FS76" s="185" t="s">
        <v>176</v>
      </c>
      <c r="FT76" s="185" t="s">
        <v>176</v>
      </c>
      <c r="FU76" s="185" t="s">
        <v>176</v>
      </c>
      <c r="FV76" s="185" t="s">
        <v>387</v>
      </c>
      <c r="FW76" s="185" t="s">
        <v>176</v>
      </c>
      <c r="FX76" s="185" t="s">
        <v>176</v>
      </c>
      <c r="FY76" s="185" t="s">
        <v>176</v>
      </c>
      <c r="FZ76" s="185" t="s">
        <v>176</v>
      </c>
      <c r="GA76" s="185" t="s">
        <v>387</v>
      </c>
      <c r="GB76" s="185" t="s">
        <v>176</v>
      </c>
      <c r="GC76" s="185" t="s">
        <v>176</v>
      </c>
      <c r="GD76" s="185" t="s">
        <v>387</v>
      </c>
      <c r="GE76" s="185" t="s">
        <v>176</v>
      </c>
      <c r="GF76" s="185" t="s">
        <v>176</v>
      </c>
      <c r="GG76" s="185" t="s">
        <v>176</v>
      </c>
      <c r="GH76" s="185" t="s">
        <v>176</v>
      </c>
      <c r="GI76" s="188" t="s">
        <v>176</v>
      </c>
      <c r="GJ76" s="263">
        <f t="shared" si="3"/>
        <v>70</v>
      </c>
    </row>
    <row r="77" spans="1:192" ht="25.5" customHeight="1" x14ac:dyDescent="0.25">
      <c r="A77" s="258" t="s">
        <v>178</v>
      </c>
      <c r="B77" s="261" t="s">
        <v>581</v>
      </c>
      <c r="C77" s="282" t="s">
        <v>229</v>
      </c>
      <c r="D77" s="185">
        <v>2</v>
      </c>
      <c r="E77" s="185">
        <v>2</v>
      </c>
      <c r="F77" s="185">
        <v>1</v>
      </c>
      <c r="G77" s="185">
        <v>1</v>
      </c>
      <c r="H77" s="185">
        <v>1</v>
      </c>
      <c r="I77" s="185">
        <v>1</v>
      </c>
      <c r="J77" s="185" t="s">
        <v>176</v>
      </c>
      <c r="K77" s="185" t="s">
        <v>176</v>
      </c>
      <c r="L77" s="185">
        <v>1</v>
      </c>
      <c r="M77" s="185">
        <v>1</v>
      </c>
      <c r="N77" s="185" t="s">
        <v>176</v>
      </c>
      <c r="O77" s="185" t="s">
        <v>176</v>
      </c>
      <c r="P77" s="185" t="s">
        <v>176</v>
      </c>
      <c r="Q77" s="185">
        <v>1</v>
      </c>
      <c r="R77" s="185" t="s">
        <v>176</v>
      </c>
      <c r="S77" s="185" t="s">
        <v>176</v>
      </c>
      <c r="T77" s="185" t="s">
        <v>176</v>
      </c>
      <c r="U77" s="185" t="s">
        <v>176</v>
      </c>
      <c r="V77" s="185" t="s">
        <v>176</v>
      </c>
      <c r="W77" s="185" t="s">
        <v>176</v>
      </c>
      <c r="X77" s="185" t="s">
        <v>176</v>
      </c>
      <c r="Y77" s="185" t="s">
        <v>176</v>
      </c>
      <c r="Z77" s="185" t="s">
        <v>176</v>
      </c>
      <c r="AA77" s="185" t="s">
        <v>176</v>
      </c>
      <c r="AB77" s="185" t="s">
        <v>176</v>
      </c>
      <c r="AC77" s="185" t="s">
        <v>176</v>
      </c>
      <c r="AD77" s="185" t="s">
        <v>176</v>
      </c>
      <c r="AE77" s="185" t="s">
        <v>176</v>
      </c>
      <c r="AF77" s="185" t="s">
        <v>176</v>
      </c>
      <c r="AG77" s="185" t="s">
        <v>176</v>
      </c>
      <c r="AH77" s="185" t="s">
        <v>176</v>
      </c>
      <c r="AI77" s="185" t="s">
        <v>176</v>
      </c>
      <c r="AJ77" s="185" t="s">
        <v>176</v>
      </c>
      <c r="AK77" s="185" t="s">
        <v>176</v>
      </c>
      <c r="AL77" s="185">
        <v>2</v>
      </c>
      <c r="AM77" s="185" t="s">
        <v>176</v>
      </c>
      <c r="AN77" s="185">
        <v>1</v>
      </c>
      <c r="AO77" s="185" t="s">
        <v>176</v>
      </c>
      <c r="AP77" s="185" t="s">
        <v>176</v>
      </c>
      <c r="AQ77" s="185" t="s">
        <v>176</v>
      </c>
      <c r="AR77" s="185">
        <v>1</v>
      </c>
      <c r="AS77" s="185">
        <v>1</v>
      </c>
      <c r="AT77" s="185">
        <v>1</v>
      </c>
      <c r="AU77" s="185" t="s">
        <v>176</v>
      </c>
      <c r="AV77" s="185" t="s">
        <v>176</v>
      </c>
      <c r="AW77" s="185" t="s">
        <v>176</v>
      </c>
      <c r="AX77" s="185">
        <v>1</v>
      </c>
      <c r="AY77" s="185">
        <v>1</v>
      </c>
      <c r="AZ77" s="185" t="s">
        <v>176</v>
      </c>
      <c r="BA77" s="185" t="s">
        <v>176</v>
      </c>
      <c r="BB77" s="185" t="s">
        <v>176</v>
      </c>
      <c r="BC77" s="185" t="s">
        <v>176</v>
      </c>
      <c r="BD77" s="185" t="s">
        <v>176</v>
      </c>
      <c r="BE77" s="185" t="s">
        <v>176</v>
      </c>
      <c r="BF77" s="185" t="s">
        <v>176</v>
      </c>
      <c r="BG77" s="185" t="s">
        <v>176</v>
      </c>
      <c r="BH77" s="185" t="s">
        <v>176</v>
      </c>
      <c r="BI77" s="185" t="s">
        <v>176</v>
      </c>
      <c r="BJ77" s="185" t="s">
        <v>176</v>
      </c>
      <c r="BK77" s="185">
        <v>3</v>
      </c>
      <c r="BL77" s="185" t="s">
        <v>176</v>
      </c>
      <c r="BM77" s="185" t="s">
        <v>176</v>
      </c>
      <c r="BN77" s="185" t="s">
        <v>176</v>
      </c>
      <c r="BO77" s="185">
        <v>3</v>
      </c>
      <c r="BP77" s="185" t="s">
        <v>176</v>
      </c>
      <c r="BQ77" s="185">
        <v>3</v>
      </c>
      <c r="BR77" s="185" t="s">
        <v>176</v>
      </c>
      <c r="BS77" s="185">
        <v>3</v>
      </c>
      <c r="BT77" s="185">
        <v>3</v>
      </c>
      <c r="BU77" s="185" t="s">
        <v>176</v>
      </c>
      <c r="BV77" s="185" t="s">
        <v>176</v>
      </c>
      <c r="BW77" s="185" t="s">
        <v>176</v>
      </c>
      <c r="BX77" s="185" t="s">
        <v>176</v>
      </c>
      <c r="BY77" s="185" t="s">
        <v>176</v>
      </c>
      <c r="BZ77" s="185" t="s">
        <v>176</v>
      </c>
      <c r="CA77" s="185" t="s">
        <v>176</v>
      </c>
      <c r="CB77" s="185" t="s">
        <v>176</v>
      </c>
      <c r="CC77" s="185" t="s">
        <v>176</v>
      </c>
      <c r="CD77" s="185" t="s">
        <v>176</v>
      </c>
      <c r="CE77" s="185">
        <v>2</v>
      </c>
      <c r="CF77" s="185" t="s">
        <v>176</v>
      </c>
      <c r="CG77" s="185" t="s">
        <v>176</v>
      </c>
      <c r="CH77" s="185" t="s">
        <v>176</v>
      </c>
      <c r="CI77" s="185" t="s">
        <v>176</v>
      </c>
      <c r="CJ77" s="185" t="s">
        <v>176</v>
      </c>
      <c r="CK77" s="185">
        <v>1</v>
      </c>
      <c r="CL77" s="185">
        <v>1</v>
      </c>
      <c r="CM77" s="185">
        <v>1</v>
      </c>
      <c r="CN77" s="185">
        <v>2</v>
      </c>
      <c r="CO77" s="185" t="s">
        <v>176</v>
      </c>
      <c r="CP77" s="185" t="s">
        <v>176</v>
      </c>
      <c r="CQ77" s="185" t="s">
        <v>176</v>
      </c>
      <c r="CR77" s="185" t="s">
        <v>176</v>
      </c>
      <c r="CS77" s="185" t="s">
        <v>176</v>
      </c>
      <c r="CT77" s="185" t="s">
        <v>176</v>
      </c>
      <c r="CU77" s="185" t="s">
        <v>176</v>
      </c>
      <c r="CV77" s="185" t="s">
        <v>176</v>
      </c>
      <c r="CW77" s="185" t="s">
        <v>176</v>
      </c>
      <c r="CX77" s="185" t="s">
        <v>176</v>
      </c>
      <c r="CY77" s="185" t="s">
        <v>176</v>
      </c>
      <c r="CZ77" s="185" t="s">
        <v>176</v>
      </c>
      <c r="DA77" s="185" t="s">
        <v>176</v>
      </c>
      <c r="DB77" s="185" t="s">
        <v>176</v>
      </c>
      <c r="DC77" s="185" t="s">
        <v>176</v>
      </c>
      <c r="DD77" s="185" t="s">
        <v>176</v>
      </c>
      <c r="DE77" s="185" t="s">
        <v>176</v>
      </c>
      <c r="DF77" s="185" t="s">
        <v>176</v>
      </c>
      <c r="DG77" s="185" t="s">
        <v>176</v>
      </c>
      <c r="DH77" s="185" t="s">
        <v>176</v>
      </c>
      <c r="DI77" s="185" t="s">
        <v>176</v>
      </c>
      <c r="DJ77" s="185" t="s">
        <v>176</v>
      </c>
      <c r="DK77" s="185" t="s">
        <v>176</v>
      </c>
      <c r="DL77" s="185" t="s">
        <v>176</v>
      </c>
      <c r="DM77" s="185" t="s">
        <v>176</v>
      </c>
      <c r="DN77" s="185" t="s">
        <v>176</v>
      </c>
      <c r="DO77" s="185" t="s">
        <v>176</v>
      </c>
      <c r="DP77" s="185" t="s">
        <v>176</v>
      </c>
      <c r="DQ77" s="185" t="s">
        <v>176</v>
      </c>
      <c r="DR77" s="185" t="s">
        <v>176</v>
      </c>
      <c r="DS77" s="185" t="s">
        <v>176</v>
      </c>
      <c r="DT77" s="185" t="s">
        <v>176</v>
      </c>
      <c r="DU77" s="185" t="s">
        <v>176</v>
      </c>
      <c r="DV77" s="185" t="s">
        <v>176</v>
      </c>
      <c r="DW77" s="185" t="s">
        <v>176</v>
      </c>
      <c r="DX77" s="185" t="s">
        <v>176</v>
      </c>
      <c r="DY77" s="185" t="s">
        <v>176</v>
      </c>
      <c r="DZ77" s="185" t="s">
        <v>176</v>
      </c>
      <c r="EA77" s="185" t="s">
        <v>176</v>
      </c>
      <c r="EB77" s="185" t="s">
        <v>176</v>
      </c>
      <c r="EC77" s="185" t="s">
        <v>176</v>
      </c>
      <c r="ED77" s="185" t="s">
        <v>176</v>
      </c>
      <c r="EE77" s="185" t="s">
        <v>176</v>
      </c>
      <c r="EF77" s="185" t="s">
        <v>176</v>
      </c>
      <c r="EG77" s="185" t="s">
        <v>176</v>
      </c>
      <c r="EH77" s="185" t="s">
        <v>176</v>
      </c>
      <c r="EI77" s="185" t="s">
        <v>176</v>
      </c>
      <c r="EJ77" s="185" t="s">
        <v>176</v>
      </c>
      <c r="EK77" s="185" t="s">
        <v>176</v>
      </c>
      <c r="EL77" s="185" t="s">
        <v>176</v>
      </c>
      <c r="EM77" s="185" t="s">
        <v>176</v>
      </c>
      <c r="EN77" s="185" t="s">
        <v>176</v>
      </c>
      <c r="EO77" s="185" t="s">
        <v>176</v>
      </c>
      <c r="EP77" s="185" t="s">
        <v>176</v>
      </c>
      <c r="EQ77" s="185" t="s">
        <v>176</v>
      </c>
      <c r="ER77" s="185" t="s">
        <v>176</v>
      </c>
      <c r="ES77" s="185" t="s">
        <v>176</v>
      </c>
      <c r="ET77" s="185" t="s">
        <v>176</v>
      </c>
      <c r="EU77" s="185" t="s">
        <v>176</v>
      </c>
      <c r="EV77" s="185" t="s">
        <v>176</v>
      </c>
      <c r="EW77" s="185">
        <v>1</v>
      </c>
      <c r="EX77" s="185">
        <v>1</v>
      </c>
      <c r="EY77" s="185">
        <v>1</v>
      </c>
      <c r="EZ77" s="185" t="s">
        <v>176</v>
      </c>
      <c r="FA77" s="185" t="s">
        <v>176</v>
      </c>
      <c r="FB77" s="185">
        <v>2</v>
      </c>
      <c r="FC77" s="185">
        <v>2</v>
      </c>
      <c r="FD77" s="185">
        <v>2</v>
      </c>
      <c r="FE77" s="185">
        <v>2</v>
      </c>
      <c r="FF77" s="185">
        <v>2</v>
      </c>
      <c r="FG77" s="185">
        <v>2</v>
      </c>
      <c r="FH77" s="185">
        <v>2</v>
      </c>
      <c r="FI77" s="185">
        <v>2</v>
      </c>
      <c r="FJ77" s="185">
        <v>2</v>
      </c>
      <c r="FK77" s="185">
        <v>2</v>
      </c>
      <c r="FL77" s="185">
        <v>2</v>
      </c>
      <c r="FM77" s="185">
        <v>2</v>
      </c>
      <c r="FN77" s="185">
        <v>2</v>
      </c>
      <c r="FO77" s="185" t="s">
        <v>176</v>
      </c>
      <c r="FP77" s="185" t="s">
        <v>387</v>
      </c>
      <c r="FQ77" s="185" t="s">
        <v>176</v>
      </c>
      <c r="FR77" s="185" t="s">
        <v>176</v>
      </c>
      <c r="FS77" s="185" t="s">
        <v>176</v>
      </c>
      <c r="FT77" s="185" t="s">
        <v>176</v>
      </c>
      <c r="FU77" s="185" t="s">
        <v>176</v>
      </c>
      <c r="FV77" s="185" t="s">
        <v>387</v>
      </c>
      <c r="FW77" s="185" t="s">
        <v>176</v>
      </c>
      <c r="FX77" s="185" t="s">
        <v>176</v>
      </c>
      <c r="FY77" s="185" t="s">
        <v>176</v>
      </c>
      <c r="FZ77" s="185" t="s">
        <v>176</v>
      </c>
      <c r="GA77" s="185" t="s">
        <v>387</v>
      </c>
      <c r="GB77" s="185" t="s">
        <v>176</v>
      </c>
      <c r="GC77" s="185" t="s">
        <v>176</v>
      </c>
      <c r="GD77" s="185" t="s">
        <v>387</v>
      </c>
      <c r="GE77" s="185" t="s">
        <v>176</v>
      </c>
      <c r="GF77" s="185" t="s">
        <v>176</v>
      </c>
      <c r="GG77" s="185" t="s">
        <v>176</v>
      </c>
      <c r="GH77" s="185" t="s">
        <v>176</v>
      </c>
      <c r="GI77" s="185" t="s">
        <v>176</v>
      </c>
      <c r="GJ77" s="263">
        <f t="shared" si="3"/>
        <v>70</v>
      </c>
    </row>
    <row r="78" spans="1:192" ht="25.5" customHeight="1" x14ac:dyDescent="0.25">
      <c r="A78" s="258" t="s">
        <v>184</v>
      </c>
      <c r="B78" s="261" t="s">
        <v>581</v>
      </c>
      <c r="C78" s="276" t="s">
        <v>229</v>
      </c>
      <c r="D78" s="185">
        <v>2</v>
      </c>
      <c r="E78" s="185">
        <v>2</v>
      </c>
      <c r="F78" s="185">
        <v>1</v>
      </c>
      <c r="G78" s="185">
        <v>1</v>
      </c>
      <c r="H78" s="185">
        <v>1</v>
      </c>
      <c r="I78" s="185">
        <v>1</v>
      </c>
      <c r="J78" s="185" t="s">
        <v>176</v>
      </c>
      <c r="K78" s="185" t="s">
        <v>176</v>
      </c>
      <c r="L78" s="185">
        <v>1</v>
      </c>
      <c r="M78" s="185">
        <v>1</v>
      </c>
      <c r="N78" s="185" t="s">
        <v>176</v>
      </c>
      <c r="O78" s="185" t="s">
        <v>176</v>
      </c>
      <c r="P78" s="185" t="s">
        <v>176</v>
      </c>
      <c r="Q78" s="185">
        <v>1</v>
      </c>
      <c r="R78" s="185" t="s">
        <v>176</v>
      </c>
      <c r="S78" s="185" t="s">
        <v>176</v>
      </c>
      <c r="T78" s="185" t="s">
        <v>176</v>
      </c>
      <c r="U78" s="185" t="s">
        <v>176</v>
      </c>
      <c r="V78" s="185" t="s">
        <v>176</v>
      </c>
      <c r="W78" s="185" t="s">
        <v>176</v>
      </c>
      <c r="X78" s="185" t="s">
        <v>176</v>
      </c>
      <c r="Y78" s="185" t="s">
        <v>176</v>
      </c>
      <c r="Z78" s="185" t="s">
        <v>176</v>
      </c>
      <c r="AA78" s="185" t="s">
        <v>176</v>
      </c>
      <c r="AB78" s="185" t="s">
        <v>176</v>
      </c>
      <c r="AC78" s="185" t="s">
        <v>176</v>
      </c>
      <c r="AD78" s="185" t="s">
        <v>176</v>
      </c>
      <c r="AE78" s="185" t="s">
        <v>176</v>
      </c>
      <c r="AF78" s="185" t="s">
        <v>176</v>
      </c>
      <c r="AG78" s="185" t="s">
        <v>176</v>
      </c>
      <c r="AH78" s="185" t="s">
        <v>176</v>
      </c>
      <c r="AI78" s="185" t="s">
        <v>176</v>
      </c>
      <c r="AJ78" s="185" t="s">
        <v>176</v>
      </c>
      <c r="AK78" s="185" t="s">
        <v>176</v>
      </c>
      <c r="AL78" s="185">
        <v>2</v>
      </c>
      <c r="AM78" s="185" t="s">
        <v>176</v>
      </c>
      <c r="AN78" s="185">
        <v>1</v>
      </c>
      <c r="AO78" s="185" t="s">
        <v>176</v>
      </c>
      <c r="AP78" s="185" t="s">
        <v>176</v>
      </c>
      <c r="AQ78" s="185" t="s">
        <v>176</v>
      </c>
      <c r="AR78" s="185">
        <v>1</v>
      </c>
      <c r="AS78" s="185">
        <v>1</v>
      </c>
      <c r="AT78" s="185">
        <v>1</v>
      </c>
      <c r="AU78" s="185" t="s">
        <v>176</v>
      </c>
      <c r="AV78" s="185" t="s">
        <v>176</v>
      </c>
      <c r="AW78" s="185" t="s">
        <v>176</v>
      </c>
      <c r="AX78" s="185">
        <v>1</v>
      </c>
      <c r="AY78" s="185">
        <v>1</v>
      </c>
      <c r="AZ78" s="185" t="s">
        <v>176</v>
      </c>
      <c r="BA78" s="185" t="s">
        <v>176</v>
      </c>
      <c r="BB78" s="185" t="s">
        <v>176</v>
      </c>
      <c r="BC78" s="185" t="s">
        <v>176</v>
      </c>
      <c r="BD78" s="185" t="s">
        <v>176</v>
      </c>
      <c r="BE78" s="185" t="s">
        <v>176</v>
      </c>
      <c r="BF78" s="185" t="s">
        <v>176</v>
      </c>
      <c r="BG78" s="185" t="s">
        <v>176</v>
      </c>
      <c r="BH78" s="185" t="s">
        <v>176</v>
      </c>
      <c r="BI78" s="185" t="s">
        <v>176</v>
      </c>
      <c r="BJ78" s="185" t="s">
        <v>176</v>
      </c>
      <c r="BK78" s="185">
        <v>3</v>
      </c>
      <c r="BL78" s="185" t="s">
        <v>176</v>
      </c>
      <c r="BM78" s="185" t="s">
        <v>176</v>
      </c>
      <c r="BN78" s="185" t="s">
        <v>176</v>
      </c>
      <c r="BO78" s="185">
        <v>3</v>
      </c>
      <c r="BP78" s="185" t="s">
        <v>176</v>
      </c>
      <c r="BQ78" s="185">
        <v>3</v>
      </c>
      <c r="BR78" s="185" t="s">
        <v>176</v>
      </c>
      <c r="BS78" s="185">
        <v>3</v>
      </c>
      <c r="BT78" s="185">
        <v>3</v>
      </c>
      <c r="BU78" s="185" t="s">
        <v>176</v>
      </c>
      <c r="BV78" s="185" t="s">
        <v>176</v>
      </c>
      <c r="BW78" s="185" t="s">
        <v>176</v>
      </c>
      <c r="BX78" s="185" t="s">
        <v>176</v>
      </c>
      <c r="BY78" s="185" t="s">
        <v>176</v>
      </c>
      <c r="BZ78" s="185" t="s">
        <v>176</v>
      </c>
      <c r="CA78" s="185" t="s">
        <v>176</v>
      </c>
      <c r="CB78" s="185" t="s">
        <v>176</v>
      </c>
      <c r="CC78" s="185" t="s">
        <v>176</v>
      </c>
      <c r="CD78" s="185" t="s">
        <v>176</v>
      </c>
      <c r="CE78" s="185">
        <v>2</v>
      </c>
      <c r="CF78" s="185" t="s">
        <v>176</v>
      </c>
      <c r="CG78" s="185" t="s">
        <v>176</v>
      </c>
      <c r="CH78" s="185" t="s">
        <v>176</v>
      </c>
      <c r="CI78" s="185" t="s">
        <v>176</v>
      </c>
      <c r="CJ78" s="185" t="s">
        <v>176</v>
      </c>
      <c r="CK78" s="185">
        <v>1</v>
      </c>
      <c r="CL78" s="185">
        <v>1</v>
      </c>
      <c r="CM78" s="185">
        <v>1</v>
      </c>
      <c r="CN78" s="185">
        <v>2</v>
      </c>
      <c r="CO78" s="185" t="s">
        <v>176</v>
      </c>
      <c r="CP78" s="185" t="s">
        <v>176</v>
      </c>
      <c r="CQ78" s="185" t="s">
        <v>176</v>
      </c>
      <c r="CR78" s="185" t="s">
        <v>176</v>
      </c>
      <c r="CS78" s="185" t="s">
        <v>176</v>
      </c>
      <c r="CT78" s="185" t="s">
        <v>176</v>
      </c>
      <c r="CU78" s="185" t="s">
        <v>176</v>
      </c>
      <c r="CV78" s="189" t="s">
        <v>176</v>
      </c>
      <c r="CW78" s="189" t="s">
        <v>176</v>
      </c>
      <c r="CX78" s="189" t="s">
        <v>176</v>
      </c>
      <c r="CY78" s="189" t="s">
        <v>176</v>
      </c>
      <c r="CZ78" s="185" t="s">
        <v>176</v>
      </c>
      <c r="DA78" s="185" t="s">
        <v>176</v>
      </c>
      <c r="DB78" s="185" t="s">
        <v>176</v>
      </c>
      <c r="DC78" s="185" t="s">
        <v>176</v>
      </c>
      <c r="DD78" s="185" t="s">
        <v>176</v>
      </c>
      <c r="DE78" s="185" t="s">
        <v>176</v>
      </c>
      <c r="DF78" s="185" t="s">
        <v>176</v>
      </c>
      <c r="DG78" s="185" t="s">
        <v>176</v>
      </c>
      <c r="DH78" s="185" t="s">
        <v>176</v>
      </c>
      <c r="DI78" s="185" t="s">
        <v>176</v>
      </c>
      <c r="DJ78" s="185" t="s">
        <v>176</v>
      </c>
      <c r="DK78" s="185" t="s">
        <v>176</v>
      </c>
      <c r="DL78" s="185" t="s">
        <v>176</v>
      </c>
      <c r="DM78" s="185" t="s">
        <v>176</v>
      </c>
      <c r="DN78" s="185" t="s">
        <v>176</v>
      </c>
      <c r="DO78" s="185" t="s">
        <v>176</v>
      </c>
      <c r="DP78" s="185" t="s">
        <v>176</v>
      </c>
      <c r="DQ78" s="185" t="s">
        <v>176</v>
      </c>
      <c r="DR78" s="185" t="s">
        <v>176</v>
      </c>
      <c r="DS78" s="185" t="s">
        <v>176</v>
      </c>
      <c r="DT78" s="185" t="s">
        <v>176</v>
      </c>
      <c r="DU78" s="185" t="s">
        <v>176</v>
      </c>
      <c r="DV78" s="185" t="s">
        <v>176</v>
      </c>
      <c r="DW78" s="185" t="s">
        <v>176</v>
      </c>
      <c r="DX78" s="185" t="s">
        <v>176</v>
      </c>
      <c r="DY78" s="185" t="s">
        <v>176</v>
      </c>
      <c r="DZ78" s="185" t="s">
        <v>176</v>
      </c>
      <c r="EA78" s="185" t="s">
        <v>176</v>
      </c>
      <c r="EB78" s="185" t="s">
        <v>176</v>
      </c>
      <c r="EC78" s="185" t="s">
        <v>176</v>
      </c>
      <c r="ED78" s="185" t="s">
        <v>176</v>
      </c>
      <c r="EE78" s="185" t="s">
        <v>176</v>
      </c>
      <c r="EF78" s="185" t="s">
        <v>176</v>
      </c>
      <c r="EG78" s="185" t="s">
        <v>176</v>
      </c>
      <c r="EH78" s="185" t="s">
        <v>176</v>
      </c>
      <c r="EI78" s="185" t="s">
        <v>176</v>
      </c>
      <c r="EJ78" s="185" t="s">
        <v>176</v>
      </c>
      <c r="EK78" s="185" t="s">
        <v>176</v>
      </c>
      <c r="EL78" s="185" t="s">
        <v>176</v>
      </c>
      <c r="EM78" s="185" t="s">
        <v>176</v>
      </c>
      <c r="EN78" s="185" t="s">
        <v>176</v>
      </c>
      <c r="EO78" s="185" t="s">
        <v>176</v>
      </c>
      <c r="EP78" s="185" t="s">
        <v>176</v>
      </c>
      <c r="EQ78" s="185" t="s">
        <v>176</v>
      </c>
      <c r="ER78" s="185" t="s">
        <v>176</v>
      </c>
      <c r="ES78" s="185" t="s">
        <v>176</v>
      </c>
      <c r="ET78" s="185" t="s">
        <v>176</v>
      </c>
      <c r="EU78" s="185" t="s">
        <v>176</v>
      </c>
      <c r="EV78" s="185" t="s">
        <v>176</v>
      </c>
      <c r="EW78" s="185">
        <v>1</v>
      </c>
      <c r="EX78" s="185">
        <v>1</v>
      </c>
      <c r="EY78" s="185">
        <v>1</v>
      </c>
      <c r="EZ78" s="185" t="s">
        <v>176</v>
      </c>
      <c r="FA78" s="185" t="s">
        <v>176</v>
      </c>
      <c r="FB78" s="185">
        <v>2</v>
      </c>
      <c r="FC78" s="185">
        <v>2</v>
      </c>
      <c r="FD78" s="185">
        <v>2</v>
      </c>
      <c r="FE78" s="185">
        <v>2</v>
      </c>
      <c r="FF78" s="185">
        <v>2</v>
      </c>
      <c r="FG78" s="185">
        <v>2</v>
      </c>
      <c r="FH78" s="185">
        <v>2</v>
      </c>
      <c r="FI78" s="185">
        <v>2</v>
      </c>
      <c r="FJ78" s="185">
        <v>2</v>
      </c>
      <c r="FK78" s="185">
        <v>2</v>
      </c>
      <c r="FL78" s="185">
        <v>2</v>
      </c>
      <c r="FM78" s="185">
        <v>2</v>
      </c>
      <c r="FN78" s="185">
        <v>2</v>
      </c>
      <c r="FO78" s="185" t="s">
        <v>176</v>
      </c>
      <c r="FP78" s="185" t="s">
        <v>387</v>
      </c>
      <c r="FQ78" s="185" t="s">
        <v>176</v>
      </c>
      <c r="FR78" s="185" t="s">
        <v>176</v>
      </c>
      <c r="FS78" s="185" t="s">
        <v>176</v>
      </c>
      <c r="FT78" s="185" t="s">
        <v>176</v>
      </c>
      <c r="FU78" s="185" t="s">
        <v>176</v>
      </c>
      <c r="FV78" s="185" t="s">
        <v>387</v>
      </c>
      <c r="FW78" s="185" t="s">
        <v>176</v>
      </c>
      <c r="FX78" s="185" t="s">
        <v>176</v>
      </c>
      <c r="FY78" s="185" t="s">
        <v>176</v>
      </c>
      <c r="FZ78" s="185" t="s">
        <v>176</v>
      </c>
      <c r="GA78" s="185" t="s">
        <v>387</v>
      </c>
      <c r="GB78" s="185" t="s">
        <v>176</v>
      </c>
      <c r="GC78" s="185" t="s">
        <v>176</v>
      </c>
      <c r="GD78" s="185" t="s">
        <v>387</v>
      </c>
      <c r="GE78" s="185" t="s">
        <v>176</v>
      </c>
      <c r="GF78" s="185" t="s">
        <v>176</v>
      </c>
      <c r="GG78" s="185" t="s">
        <v>176</v>
      </c>
      <c r="GH78" s="185" t="s">
        <v>176</v>
      </c>
      <c r="GI78" s="185" t="s">
        <v>176</v>
      </c>
      <c r="GJ78" s="263">
        <f t="shared" si="3"/>
        <v>70</v>
      </c>
    </row>
    <row r="79" spans="1:192" x14ac:dyDescent="0.25">
      <c r="A79" s="285" t="s">
        <v>188</v>
      </c>
      <c r="B79" s="286" t="s">
        <v>207</v>
      </c>
      <c r="C79" s="276" t="s">
        <v>747</v>
      </c>
      <c r="D79" s="185">
        <v>2</v>
      </c>
      <c r="E79" s="185">
        <v>2</v>
      </c>
      <c r="F79" s="185">
        <v>2</v>
      </c>
      <c r="G79" s="185">
        <v>2</v>
      </c>
      <c r="H79" s="185">
        <v>2</v>
      </c>
      <c r="I79" s="185">
        <v>1</v>
      </c>
      <c r="J79" s="185" t="s">
        <v>176</v>
      </c>
      <c r="K79" s="185" t="s">
        <v>176</v>
      </c>
      <c r="L79" s="185">
        <v>1</v>
      </c>
      <c r="M79" s="185">
        <v>1</v>
      </c>
      <c r="N79" s="185" t="s">
        <v>176</v>
      </c>
      <c r="O79" s="185" t="s">
        <v>176</v>
      </c>
      <c r="P79" s="185" t="s">
        <v>176</v>
      </c>
      <c r="Q79" s="185" t="s">
        <v>176</v>
      </c>
      <c r="R79" s="185" t="s">
        <v>176</v>
      </c>
      <c r="S79" s="185" t="s">
        <v>176</v>
      </c>
      <c r="T79" s="185" t="s">
        <v>176</v>
      </c>
      <c r="U79" s="185" t="s">
        <v>176</v>
      </c>
      <c r="V79" s="185" t="s">
        <v>176</v>
      </c>
      <c r="W79" s="185" t="s">
        <v>176</v>
      </c>
      <c r="X79" s="185" t="s">
        <v>176</v>
      </c>
      <c r="Y79" s="185" t="s">
        <v>176</v>
      </c>
      <c r="Z79" s="185" t="s">
        <v>176</v>
      </c>
      <c r="AA79" s="185" t="s">
        <v>176</v>
      </c>
      <c r="AB79" s="185" t="s">
        <v>176</v>
      </c>
      <c r="AC79" s="185" t="s">
        <v>176</v>
      </c>
      <c r="AD79" s="185" t="s">
        <v>176</v>
      </c>
      <c r="AE79" s="185" t="s">
        <v>176</v>
      </c>
      <c r="AF79" s="185" t="s">
        <v>176</v>
      </c>
      <c r="AG79" s="185" t="s">
        <v>176</v>
      </c>
      <c r="AH79" s="185" t="s">
        <v>176</v>
      </c>
      <c r="AI79" s="185" t="s">
        <v>176</v>
      </c>
      <c r="AJ79" s="185" t="s">
        <v>176</v>
      </c>
      <c r="AK79" s="185" t="s">
        <v>176</v>
      </c>
      <c r="AL79" s="185" t="s">
        <v>176</v>
      </c>
      <c r="AM79" s="185" t="s">
        <v>176</v>
      </c>
      <c r="AN79" s="185" t="s">
        <v>176</v>
      </c>
      <c r="AO79" s="185" t="s">
        <v>176</v>
      </c>
      <c r="AP79" s="185" t="s">
        <v>176</v>
      </c>
      <c r="AQ79" s="185" t="s">
        <v>176</v>
      </c>
      <c r="AR79" s="185" t="s">
        <v>176</v>
      </c>
      <c r="AS79" s="185">
        <v>2</v>
      </c>
      <c r="AT79" s="185">
        <v>1</v>
      </c>
      <c r="AU79" s="185">
        <v>1</v>
      </c>
      <c r="AV79" s="185" t="s">
        <v>176</v>
      </c>
      <c r="AW79" s="185" t="s">
        <v>176</v>
      </c>
      <c r="AX79" s="185" t="s">
        <v>176</v>
      </c>
      <c r="AY79" s="185" t="s">
        <v>176</v>
      </c>
      <c r="AZ79" s="185" t="s">
        <v>176</v>
      </c>
      <c r="BA79" s="185" t="s">
        <v>176</v>
      </c>
      <c r="BB79" s="185" t="s">
        <v>176</v>
      </c>
      <c r="BC79" s="185" t="s">
        <v>176</v>
      </c>
      <c r="BD79" s="195" t="s">
        <v>176</v>
      </c>
      <c r="BE79" s="185" t="s">
        <v>176</v>
      </c>
      <c r="BF79" s="185" t="s">
        <v>176</v>
      </c>
      <c r="BG79" s="185" t="s">
        <v>176</v>
      </c>
      <c r="BH79" s="185" t="s">
        <v>176</v>
      </c>
      <c r="BI79" s="185" t="s">
        <v>176</v>
      </c>
      <c r="BJ79" s="185" t="s">
        <v>176</v>
      </c>
      <c r="BK79" s="185" t="s">
        <v>176</v>
      </c>
      <c r="BL79" s="185">
        <v>2</v>
      </c>
      <c r="BM79" s="185">
        <v>2</v>
      </c>
      <c r="BN79" s="185" t="s">
        <v>176</v>
      </c>
      <c r="BO79" s="185" t="s">
        <v>176</v>
      </c>
      <c r="BP79" s="185" t="s">
        <v>176</v>
      </c>
      <c r="BQ79" s="185" t="s">
        <v>176</v>
      </c>
      <c r="BR79" s="185">
        <v>1</v>
      </c>
      <c r="BS79" s="185">
        <v>2</v>
      </c>
      <c r="BT79" s="185">
        <v>2</v>
      </c>
      <c r="BU79" s="185" t="s">
        <v>176</v>
      </c>
      <c r="BV79" s="185" t="s">
        <v>176</v>
      </c>
      <c r="BW79" s="185" t="s">
        <v>176</v>
      </c>
      <c r="BX79" s="185" t="s">
        <v>176</v>
      </c>
      <c r="BY79" s="185" t="s">
        <v>176</v>
      </c>
      <c r="BZ79" s="185" t="s">
        <v>176</v>
      </c>
      <c r="CA79" s="185" t="s">
        <v>176</v>
      </c>
      <c r="CB79" s="185" t="s">
        <v>176</v>
      </c>
      <c r="CC79" s="185" t="s">
        <v>176</v>
      </c>
      <c r="CD79" s="185" t="s">
        <v>176</v>
      </c>
      <c r="CE79" s="185" t="s">
        <v>176</v>
      </c>
      <c r="CF79" s="185" t="s">
        <v>176</v>
      </c>
      <c r="CG79" s="185" t="s">
        <v>176</v>
      </c>
      <c r="CH79" s="185" t="s">
        <v>176</v>
      </c>
      <c r="CI79" s="185" t="s">
        <v>176</v>
      </c>
      <c r="CJ79" s="185" t="s">
        <v>176</v>
      </c>
      <c r="CK79" s="185" t="s">
        <v>176</v>
      </c>
      <c r="CL79" s="185">
        <v>1</v>
      </c>
      <c r="CM79" s="185">
        <v>1</v>
      </c>
      <c r="CN79" s="185">
        <v>1</v>
      </c>
      <c r="CO79" s="185" t="s">
        <v>176</v>
      </c>
      <c r="CP79" s="185" t="s">
        <v>176</v>
      </c>
      <c r="CQ79" s="185" t="s">
        <v>176</v>
      </c>
      <c r="CR79" s="185" t="s">
        <v>176</v>
      </c>
      <c r="CS79" s="185">
        <v>2</v>
      </c>
      <c r="CT79" s="185" t="s">
        <v>176</v>
      </c>
      <c r="CU79" s="185" t="s">
        <v>176</v>
      </c>
      <c r="CV79" s="185" t="s">
        <v>176</v>
      </c>
      <c r="CW79" s="185" t="s">
        <v>176</v>
      </c>
      <c r="CX79" s="185" t="s">
        <v>176</v>
      </c>
      <c r="CY79" s="185" t="s">
        <v>176</v>
      </c>
      <c r="CZ79" s="185" t="s">
        <v>176</v>
      </c>
      <c r="DA79" s="185" t="s">
        <v>176</v>
      </c>
      <c r="DB79" s="185" t="s">
        <v>176</v>
      </c>
      <c r="DC79" s="185" t="s">
        <v>176</v>
      </c>
      <c r="DD79" s="185" t="s">
        <v>176</v>
      </c>
      <c r="DE79" s="185" t="s">
        <v>176</v>
      </c>
      <c r="DF79" s="185" t="s">
        <v>176</v>
      </c>
      <c r="DG79" s="185" t="s">
        <v>176</v>
      </c>
      <c r="DH79" s="185" t="s">
        <v>176</v>
      </c>
      <c r="DI79" s="185" t="s">
        <v>176</v>
      </c>
      <c r="DJ79" s="185" t="s">
        <v>176</v>
      </c>
      <c r="DK79" s="185" t="s">
        <v>176</v>
      </c>
      <c r="DL79" s="185" t="s">
        <v>176</v>
      </c>
      <c r="DM79" s="185" t="s">
        <v>176</v>
      </c>
      <c r="DN79" s="185" t="s">
        <v>176</v>
      </c>
      <c r="DO79" s="185" t="s">
        <v>176</v>
      </c>
      <c r="DP79" s="185" t="s">
        <v>176</v>
      </c>
      <c r="DQ79" s="185" t="s">
        <v>176</v>
      </c>
      <c r="DR79" s="185" t="s">
        <v>176</v>
      </c>
      <c r="DS79" s="185" t="s">
        <v>176</v>
      </c>
      <c r="DT79" s="185" t="s">
        <v>176</v>
      </c>
      <c r="DU79" s="185" t="s">
        <v>176</v>
      </c>
      <c r="DV79" s="185" t="s">
        <v>176</v>
      </c>
      <c r="DW79" s="185" t="s">
        <v>176</v>
      </c>
      <c r="DX79" s="185" t="s">
        <v>176</v>
      </c>
      <c r="DY79" s="185" t="s">
        <v>176</v>
      </c>
      <c r="DZ79" s="185" t="s">
        <v>176</v>
      </c>
      <c r="EA79" s="185" t="s">
        <v>176</v>
      </c>
      <c r="EB79" s="185" t="s">
        <v>176</v>
      </c>
      <c r="EC79" s="185" t="s">
        <v>176</v>
      </c>
      <c r="ED79" s="185">
        <v>2</v>
      </c>
      <c r="EE79" s="185">
        <v>2</v>
      </c>
      <c r="EF79" s="185">
        <v>2</v>
      </c>
      <c r="EG79" s="185">
        <v>2</v>
      </c>
      <c r="EH79" s="185">
        <v>2</v>
      </c>
      <c r="EI79" s="185">
        <v>2</v>
      </c>
      <c r="EJ79" s="185">
        <v>1</v>
      </c>
      <c r="EK79" s="185">
        <v>1</v>
      </c>
      <c r="EL79" s="185">
        <v>2</v>
      </c>
      <c r="EM79" s="185">
        <v>2</v>
      </c>
      <c r="EN79" s="185">
        <v>2</v>
      </c>
      <c r="EO79" s="185">
        <v>2</v>
      </c>
      <c r="EP79" s="185">
        <v>2</v>
      </c>
      <c r="EQ79" s="185">
        <v>2</v>
      </c>
      <c r="ER79" s="185">
        <v>2</v>
      </c>
      <c r="ES79" s="185">
        <v>2</v>
      </c>
      <c r="ET79" s="185">
        <v>2</v>
      </c>
      <c r="EU79" s="185">
        <v>2</v>
      </c>
      <c r="EV79" s="185">
        <v>2</v>
      </c>
      <c r="EW79" s="185">
        <v>1</v>
      </c>
      <c r="EX79" s="185">
        <v>1</v>
      </c>
      <c r="EY79" s="185">
        <v>1</v>
      </c>
      <c r="EZ79" s="185" t="s">
        <v>176</v>
      </c>
      <c r="FA79" s="185" t="s">
        <v>176</v>
      </c>
      <c r="FB79" s="185">
        <v>1</v>
      </c>
      <c r="FC79" s="185">
        <v>2</v>
      </c>
      <c r="FD79" s="185">
        <v>1</v>
      </c>
      <c r="FE79" s="185">
        <v>1</v>
      </c>
      <c r="FF79" s="185">
        <v>2</v>
      </c>
      <c r="FG79" s="185">
        <v>2</v>
      </c>
      <c r="FH79" s="185">
        <v>2</v>
      </c>
      <c r="FI79" s="185">
        <v>2</v>
      </c>
      <c r="FJ79" s="185" t="s">
        <v>176</v>
      </c>
      <c r="FK79" s="185">
        <v>2</v>
      </c>
      <c r="FL79" s="185">
        <v>2</v>
      </c>
      <c r="FM79" s="185">
        <v>2</v>
      </c>
      <c r="FN79" s="185" t="s">
        <v>176</v>
      </c>
      <c r="FO79" s="185" t="s">
        <v>176</v>
      </c>
      <c r="FP79" s="185" t="s">
        <v>176</v>
      </c>
      <c r="FQ79" s="185" t="s">
        <v>176</v>
      </c>
      <c r="FR79" s="185" t="s">
        <v>176</v>
      </c>
      <c r="FS79" s="185" t="s">
        <v>176</v>
      </c>
      <c r="FT79" s="185" t="s">
        <v>176</v>
      </c>
      <c r="FU79" s="185" t="s">
        <v>176</v>
      </c>
      <c r="FV79" s="185" t="s">
        <v>176</v>
      </c>
      <c r="FW79" s="185" t="s">
        <v>176</v>
      </c>
      <c r="FX79" s="185" t="s">
        <v>176</v>
      </c>
      <c r="FY79" s="185" t="s">
        <v>176</v>
      </c>
      <c r="FZ79" s="185" t="s">
        <v>176</v>
      </c>
      <c r="GA79" s="185" t="s">
        <v>176</v>
      </c>
      <c r="GB79" s="185" t="s">
        <v>176</v>
      </c>
      <c r="GC79" s="185" t="s">
        <v>176</v>
      </c>
      <c r="GD79" s="185" t="s">
        <v>387</v>
      </c>
      <c r="GE79" s="185" t="s">
        <v>387</v>
      </c>
      <c r="GF79" s="185" t="s">
        <v>176</v>
      </c>
      <c r="GG79" s="185" t="s">
        <v>176</v>
      </c>
      <c r="GH79" s="185" t="s">
        <v>387</v>
      </c>
      <c r="GI79" s="185" t="s">
        <v>176</v>
      </c>
      <c r="GJ79" s="284">
        <f t="shared" si="3"/>
        <v>89</v>
      </c>
    </row>
    <row r="80" spans="1:192" x14ac:dyDescent="0.25">
      <c r="A80" s="285" t="s">
        <v>188</v>
      </c>
      <c r="B80" s="287" t="s">
        <v>197</v>
      </c>
      <c r="C80" s="276" t="s">
        <v>747</v>
      </c>
      <c r="D80" s="195">
        <v>2</v>
      </c>
      <c r="E80" s="195">
        <v>2</v>
      </c>
      <c r="F80" s="195">
        <v>2</v>
      </c>
      <c r="G80" s="185">
        <v>2</v>
      </c>
      <c r="H80" s="195">
        <v>2</v>
      </c>
      <c r="I80" s="195">
        <v>1</v>
      </c>
      <c r="J80" s="195" t="s">
        <v>176</v>
      </c>
      <c r="K80" s="195" t="s">
        <v>176</v>
      </c>
      <c r="L80" s="195">
        <v>2</v>
      </c>
      <c r="M80" s="195">
        <v>1</v>
      </c>
      <c r="N80" s="195" t="s">
        <v>176</v>
      </c>
      <c r="O80" s="195" t="s">
        <v>176</v>
      </c>
      <c r="P80" s="195" t="s">
        <v>176</v>
      </c>
      <c r="Q80" s="195">
        <v>1</v>
      </c>
      <c r="R80" s="195" t="s">
        <v>176</v>
      </c>
      <c r="S80" s="195" t="s">
        <v>176</v>
      </c>
      <c r="T80" s="195" t="s">
        <v>176</v>
      </c>
      <c r="U80" s="195" t="s">
        <v>176</v>
      </c>
      <c r="V80" s="195" t="s">
        <v>176</v>
      </c>
      <c r="W80" s="195" t="s">
        <v>176</v>
      </c>
      <c r="X80" s="195" t="s">
        <v>176</v>
      </c>
      <c r="Y80" s="195">
        <v>2</v>
      </c>
      <c r="Z80" s="195">
        <v>1</v>
      </c>
      <c r="AA80" s="195">
        <v>1</v>
      </c>
      <c r="AB80" s="195">
        <v>1</v>
      </c>
      <c r="AC80" s="195">
        <v>1</v>
      </c>
      <c r="AD80" s="195" t="s">
        <v>176</v>
      </c>
      <c r="AE80" s="195" t="s">
        <v>176</v>
      </c>
      <c r="AF80" s="195" t="s">
        <v>176</v>
      </c>
      <c r="AG80" s="195" t="s">
        <v>176</v>
      </c>
      <c r="AH80" s="195" t="s">
        <v>176</v>
      </c>
      <c r="AI80" s="195">
        <v>2</v>
      </c>
      <c r="AJ80" s="195">
        <v>1</v>
      </c>
      <c r="AK80" s="185" t="s">
        <v>176</v>
      </c>
      <c r="AL80" s="195" t="s">
        <v>176</v>
      </c>
      <c r="AM80" s="185" t="s">
        <v>176</v>
      </c>
      <c r="AN80" s="195" t="s">
        <v>176</v>
      </c>
      <c r="AO80" s="195" t="s">
        <v>176</v>
      </c>
      <c r="AP80" s="185" t="s">
        <v>176</v>
      </c>
      <c r="AQ80" s="185" t="s">
        <v>176</v>
      </c>
      <c r="AR80" s="195" t="s">
        <v>176</v>
      </c>
      <c r="AS80" s="195">
        <v>2</v>
      </c>
      <c r="AT80" s="195">
        <v>1</v>
      </c>
      <c r="AU80" s="185">
        <v>1</v>
      </c>
      <c r="AV80" s="195" t="s">
        <v>176</v>
      </c>
      <c r="AW80" s="195" t="s">
        <v>176</v>
      </c>
      <c r="AX80" s="195" t="s">
        <v>176</v>
      </c>
      <c r="AY80" s="195">
        <v>1</v>
      </c>
      <c r="AZ80" s="195" t="s">
        <v>176</v>
      </c>
      <c r="BA80" s="195" t="s">
        <v>176</v>
      </c>
      <c r="BB80" s="195" t="s">
        <v>176</v>
      </c>
      <c r="BC80" s="195" t="s">
        <v>176</v>
      </c>
      <c r="BD80" s="195" t="s">
        <v>176</v>
      </c>
      <c r="BE80" s="195" t="s">
        <v>176</v>
      </c>
      <c r="BF80" s="195" t="s">
        <v>176</v>
      </c>
      <c r="BG80" s="195" t="s">
        <v>176</v>
      </c>
      <c r="BH80" s="195" t="s">
        <v>176</v>
      </c>
      <c r="BI80" s="195" t="s">
        <v>176</v>
      </c>
      <c r="BJ80" s="195" t="s">
        <v>176</v>
      </c>
      <c r="BK80" s="195">
        <v>1</v>
      </c>
      <c r="BL80" s="185">
        <v>2</v>
      </c>
      <c r="BM80" s="185">
        <v>2</v>
      </c>
      <c r="BN80" s="185" t="s">
        <v>176</v>
      </c>
      <c r="BO80" s="185" t="s">
        <v>176</v>
      </c>
      <c r="BP80" s="185" t="s">
        <v>176</v>
      </c>
      <c r="BQ80" s="185" t="s">
        <v>176</v>
      </c>
      <c r="BR80" s="185">
        <v>1</v>
      </c>
      <c r="BS80" s="185">
        <v>2</v>
      </c>
      <c r="BT80" s="195">
        <v>2</v>
      </c>
      <c r="BU80" s="195" t="s">
        <v>176</v>
      </c>
      <c r="BV80" s="195" t="s">
        <v>176</v>
      </c>
      <c r="BW80" s="195" t="s">
        <v>176</v>
      </c>
      <c r="BX80" s="195" t="s">
        <v>176</v>
      </c>
      <c r="BY80" s="195" t="s">
        <v>176</v>
      </c>
      <c r="BZ80" s="195" t="s">
        <v>176</v>
      </c>
      <c r="CA80" s="195" t="s">
        <v>176</v>
      </c>
      <c r="CB80" s="195" t="s">
        <v>176</v>
      </c>
      <c r="CC80" s="195" t="s">
        <v>176</v>
      </c>
      <c r="CD80" s="195" t="s">
        <v>176</v>
      </c>
      <c r="CE80" s="195" t="s">
        <v>176</v>
      </c>
      <c r="CF80" s="195" t="s">
        <v>176</v>
      </c>
      <c r="CG80" s="195">
        <v>2</v>
      </c>
      <c r="CH80" s="195" t="s">
        <v>176</v>
      </c>
      <c r="CI80" s="195" t="s">
        <v>176</v>
      </c>
      <c r="CJ80" s="195" t="s">
        <v>176</v>
      </c>
      <c r="CK80" s="185" t="s">
        <v>176</v>
      </c>
      <c r="CL80" s="195">
        <v>2</v>
      </c>
      <c r="CM80" s="195">
        <v>2</v>
      </c>
      <c r="CN80" s="195">
        <v>2</v>
      </c>
      <c r="CO80" s="195" t="s">
        <v>176</v>
      </c>
      <c r="CP80" s="195" t="s">
        <v>176</v>
      </c>
      <c r="CQ80" s="195" t="s">
        <v>176</v>
      </c>
      <c r="CR80" s="195" t="s">
        <v>176</v>
      </c>
      <c r="CS80" s="195">
        <v>2</v>
      </c>
      <c r="CT80" s="195" t="s">
        <v>176</v>
      </c>
      <c r="CU80" s="195" t="s">
        <v>176</v>
      </c>
      <c r="CV80" s="189" t="s">
        <v>176</v>
      </c>
      <c r="CW80" s="189" t="s">
        <v>176</v>
      </c>
      <c r="CX80" s="189" t="s">
        <v>176</v>
      </c>
      <c r="CY80" s="189" t="s">
        <v>176</v>
      </c>
      <c r="CZ80" s="195" t="s">
        <v>176</v>
      </c>
      <c r="DA80" s="195" t="s">
        <v>176</v>
      </c>
      <c r="DB80" s="195" t="s">
        <v>176</v>
      </c>
      <c r="DC80" s="195" t="s">
        <v>176</v>
      </c>
      <c r="DD80" s="195" t="s">
        <v>176</v>
      </c>
      <c r="DE80" s="195" t="s">
        <v>176</v>
      </c>
      <c r="DF80" s="195" t="s">
        <v>176</v>
      </c>
      <c r="DG80" s="195" t="s">
        <v>176</v>
      </c>
      <c r="DH80" s="195" t="s">
        <v>176</v>
      </c>
      <c r="DI80" s="195" t="s">
        <v>176</v>
      </c>
      <c r="DJ80" s="195" t="s">
        <v>176</v>
      </c>
      <c r="DK80" s="195" t="s">
        <v>176</v>
      </c>
      <c r="DL80" s="195" t="s">
        <v>176</v>
      </c>
      <c r="DM80" s="195" t="s">
        <v>176</v>
      </c>
      <c r="DN80" s="195" t="s">
        <v>176</v>
      </c>
      <c r="DO80" s="195" t="s">
        <v>176</v>
      </c>
      <c r="DP80" s="195" t="s">
        <v>176</v>
      </c>
      <c r="DQ80" s="195" t="s">
        <v>176</v>
      </c>
      <c r="DR80" s="195" t="s">
        <v>176</v>
      </c>
      <c r="DS80" s="195" t="s">
        <v>176</v>
      </c>
      <c r="DT80" s="195" t="s">
        <v>176</v>
      </c>
      <c r="DU80" s="195" t="s">
        <v>176</v>
      </c>
      <c r="DV80" s="195" t="s">
        <v>176</v>
      </c>
      <c r="DW80" s="195" t="s">
        <v>176</v>
      </c>
      <c r="DX80" s="195" t="s">
        <v>176</v>
      </c>
      <c r="DY80" s="195" t="s">
        <v>176</v>
      </c>
      <c r="DZ80" s="195" t="s">
        <v>176</v>
      </c>
      <c r="EA80" s="195" t="s">
        <v>176</v>
      </c>
      <c r="EB80" s="195" t="s">
        <v>176</v>
      </c>
      <c r="EC80" s="195" t="s">
        <v>176</v>
      </c>
      <c r="ED80" s="195">
        <v>2</v>
      </c>
      <c r="EE80" s="195">
        <v>2</v>
      </c>
      <c r="EF80" s="195">
        <v>2</v>
      </c>
      <c r="EG80" s="195">
        <v>2</v>
      </c>
      <c r="EH80" s="195">
        <v>2</v>
      </c>
      <c r="EI80" s="195">
        <v>2</v>
      </c>
      <c r="EJ80" s="195">
        <v>1</v>
      </c>
      <c r="EK80" s="195">
        <v>1</v>
      </c>
      <c r="EL80" s="195">
        <v>2</v>
      </c>
      <c r="EM80" s="195">
        <v>2</v>
      </c>
      <c r="EN80" s="195">
        <v>3</v>
      </c>
      <c r="EO80" s="195">
        <v>3</v>
      </c>
      <c r="EP80" s="195">
        <v>3</v>
      </c>
      <c r="EQ80" s="195">
        <v>3</v>
      </c>
      <c r="ER80" s="195">
        <v>3</v>
      </c>
      <c r="ES80" s="195">
        <v>3</v>
      </c>
      <c r="ET80" s="195">
        <v>3</v>
      </c>
      <c r="EU80" s="195">
        <v>3</v>
      </c>
      <c r="EV80" s="195">
        <v>3</v>
      </c>
      <c r="EW80" s="195">
        <v>2</v>
      </c>
      <c r="EX80" s="195">
        <v>2</v>
      </c>
      <c r="EY80" s="195">
        <v>2</v>
      </c>
      <c r="EZ80" s="195">
        <v>1</v>
      </c>
      <c r="FA80" s="195" t="s">
        <v>176</v>
      </c>
      <c r="FB80" s="195">
        <v>2</v>
      </c>
      <c r="FC80" s="195">
        <v>2</v>
      </c>
      <c r="FD80" s="195">
        <v>2</v>
      </c>
      <c r="FE80" s="195">
        <v>2</v>
      </c>
      <c r="FF80" s="195">
        <v>2</v>
      </c>
      <c r="FG80" s="195">
        <v>2</v>
      </c>
      <c r="FH80" s="195">
        <v>2</v>
      </c>
      <c r="FI80" s="195">
        <v>2</v>
      </c>
      <c r="FJ80" s="195">
        <v>1</v>
      </c>
      <c r="FK80" s="195">
        <v>2</v>
      </c>
      <c r="FL80" s="195">
        <v>2</v>
      </c>
      <c r="FM80" s="195">
        <v>2</v>
      </c>
      <c r="FN80" s="195">
        <v>2</v>
      </c>
      <c r="FO80" s="195" t="s">
        <v>176</v>
      </c>
      <c r="FP80" s="195" t="s">
        <v>387</v>
      </c>
      <c r="FQ80" s="195" t="s">
        <v>176</v>
      </c>
      <c r="FR80" s="195" t="s">
        <v>176</v>
      </c>
      <c r="FS80" s="195" t="s">
        <v>176</v>
      </c>
      <c r="FT80" s="195" t="s">
        <v>176</v>
      </c>
      <c r="FU80" s="195" t="s">
        <v>176</v>
      </c>
      <c r="FV80" s="195" t="s">
        <v>176</v>
      </c>
      <c r="FW80" s="195" t="s">
        <v>176</v>
      </c>
      <c r="FX80" s="195" t="s">
        <v>176</v>
      </c>
      <c r="FY80" s="195" t="s">
        <v>176</v>
      </c>
      <c r="FZ80" s="195" t="s">
        <v>176</v>
      </c>
      <c r="GA80" s="195" t="s">
        <v>176</v>
      </c>
      <c r="GB80" s="195" t="s">
        <v>176</v>
      </c>
      <c r="GC80" s="195" t="s">
        <v>176</v>
      </c>
      <c r="GD80" s="195" t="s">
        <v>387</v>
      </c>
      <c r="GE80" s="195" t="s">
        <v>387</v>
      </c>
      <c r="GF80" s="195" t="s">
        <v>176</v>
      </c>
      <c r="GG80" s="195" t="s">
        <v>176</v>
      </c>
      <c r="GH80" s="195" t="s">
        <v>387</v>
      </c>
      <c r="GI80" s="195" t="s">
        <v>176</v>
      </c>
      <c r="GJ80" s="284">
        <f t="shared" si="3"/>
        <v>126</v>
      </c>
    </row>
    <row r="81" spans="1:192" x14ac:dyDescent="0.25">
      <c r="A81" s="288" t="s">
        <v>181</v>
      </c>
      <c r="B81" s="289" t="s">
        <v>199</v>
      </c>
      <c r="C81" s="276" t="s">
        <v>613</v>
      </c>
      <c r="D81" s="185">
        <v>2</v>
      </c>
      <c r="E81" s="185">
        <v>2</v>
      </c>
      <c r="F81" s="185">
        <v>2</v>
      </c>
      <c r="G81" s="185">
        <v>2</v>
      </c>
      <c r="H81" s="185">
        <v>2</v>
      </c>
      <c r="I81" s="185">
        <v>1</v>
      </c>
      <c r="J81" s="185" t="s">
        <v>176</v>
      </c>
      <c r="K81" s="185" t="s">
        <v>176</v>
      </c>
      <c r="L81" s="185">
        <v>1</v>
      </c>
      <c r="M81" s="185">
        <v>1</v>
      </c>
      <c r="N81" s="185" t="s">
        <v>176</v>
      </c>
      <c r="O81" s="185" t="s">
        <v>176</v>
      </c>
      <c r="P81" s="185" t="s">
        <v>176</v>
      </c>
      <c r="Q81" s="185" t="s">
        <v>176</v>
      </c>
      <c r="R81" s="185" t="s">
        <v>176</v>
      </c>
      <c r="S81" s="185" t="s">
        <v>176</v>
      </c>
      <c r="T81" s="185" t="s">
        <v>176</v>
      </c>
      <c r="U81" s="185" t="s">
        <v>176</v>
      </c>
      <c r="V81" s="185" t="s">
        <v>176</v>
      </c>
      <c r="W81" s="185" t="s">
        <v>176</v>
      </c>
      <c r="X81" s="185" t="s">
        <v>176</v>
      </c>
      <c r="Y81" s="185">
        <v>2</v>
      </c>
      <c r="Z81" s="185">
        <v>1</v>
      </c>
      <c r="AA81" s="185">
        <v>1</v>
      </c>
      <c r="AB81" s="185">
        <v>1</v>
      </c>
      <c r="AC81" s="185">
        <v>1</v>
      </c>
      <c r="AD81" s="185" t="s">
        <v>176</v>
      </c>
      <c r="AE81" s="185" t="s">
        <v>176</v>
      </c>
      <c r="AF81" s="185" t="s">
        <v>176</v>
      </c>
      <c r="AG81" s="185" t="s">
        <v>176</v>
      </c>
      <c r="AH81" s="185" t="s">
        <v>176</v>
      </c>
      <c r="AI81" s="185">
        <v>1</v>
      </c>
      <c r="AJ81" s="185">
        <v>1</v>
      </c>
      <c r="AK81" s="185" t="s">
        <v>176</v>
      </c>
      <c r="AL81" s="185" t="s">
        <v>176</v>
      </c>
      <c r="AM81" s="185" t="s">
        <v>176</v>
      </c>
      <c r="AN81" s="185" t="s">
        <v>176</v>
      </c>
      <c r="AO81" s="185" t="s">
        <v>176</v>
      </c>
      <c r="AP81" s="185" t="s">
        <v>176</v>
      </c>
      <c r="AQ81" s="185" t="s">
        <v>176</v>
      </c>
      <c r="AR81" s="185" t="s">
        <v>176</v>
      </c>
      <c r="AS81" s="185">
        <v>2</v>
      </c>
      <c r="AT81" s="185">
        <v>1</v>
      </c>
      <c r="AU81" s="185">
        <v>1</v>
      </c>
      <c r="AV81" s="185" t="s">
        <v>176</v>
      </c>
      <c r="AW81" s="185" t="s">
        <v>176</v>
      </c>
      <c r="AX81" s="185" t="s">
        <v>176</v>
      </c>
      <c r="AY81" s="185" t="s">
        <v>176</v>
      </c>
      <c r="AZ81" s="185" t="s">
        <v>176</v>
      </c>
      <c r="BA81" s="185" t="s">
        <v>176</v>
      </c>
      <c r="BB81" s="185" t="s">
        <v>176</v>
      </c>
      <c r="BC81" s="185" t="s">
        <v>176</v>
      </c>
      <c r="BD81" s="290" t="s">
        <v>176</v>
      </c>
      <c r="BE81" s="185" t="s">
        <v>176</v>
      </c>
      <c r="BF81" s="185" t="s">
        <v>176</v>
      </c>
      <c r="BG81" s="185" t="s">
        <v>176</v>
      </c>
      <c r="BH81" s="185" t="s">
        <v>176</v>
      </c>
      <c r="BI81" s="185" t="s">
        <v>176</v>
      </c>
      <c r="BJ81" s="185" t="s">
        <v>176</v>
      </c>
      <c r="BK81" s="185" t="s">
        <v>176</v>
      </c>
      <c r="BL81" s="185">
        <v>1</v>
      </c>
      <c r="BM81" s="185">
        <v>1</v>
      </c>
      <c r="BN81" s="185">
        <v>1</v>
      </c>
      <c r="BO81" s="185">
        <v>1</v>
      </c>
      <c r="BP81" s="185">
        <v>1</v>
      </c>
      <c r="BQ81" s="185">
        <v>1</v>
      </c>
      <c r="BR81" s="185">
        <v>1</v>
      </c>
      <c r="BS81" s="185">
        <v>1</v>
      </c>
      <c r="BT81" s="185">
        <v>2</v>
      </c>
      <c r="BU81" s="185">
        <v>2</v>
      </c>
      <c r="BV81" s="185">
        <v>2</v>
      </c>
      <c r="BW81" s="185">
        <v>1</v>
      </c>
      <c r="BX81" s="185" t="s">
        <v>176</v>
      </c>
      <c r="BY81" s="185" t="s">
        <v>176</v>
      </c>
      <c r="BZ81" s="185" t="s">
        <v>176</v>
      </c>
      <c r="CA81" s="185" t="s">
        <v>176</v>
      </c>
      <c r="CB81" s="185" t="s">
        <v>176</v>
      </c>
      <c r="CC81" s="185" t="s">
        <v>176</v>
      </c>
      <c r="CD81" s="185" t="s">
        <v>176</v>
      </c>
      <c r="CE81" s="185" t="s">
        <v>176</v>
      </c>
      <c r="CF81" s="185" t="s">
        <v>176</v>
      </c>
      <c r="CG81" s="185">
        <v>2</v>
      </c>
      <c r="CH81" s="185" t="s">
        <v>176</v>
      </c>
      <c r="CI81" s="185">
        <v>2</v>
      </c>
      <c r="CJ81" s="185">
        <v>2</v>
      </c>
      <c r="CK81" s="185" t="s">
        <v>176</v>
      </c>
      <c r="CL81" s="185">
        <v>2</v>
      </c>
      <c r="CM81" s="185">
        <v>2</v>
      </c>
      <c r="CN81" s="185">
        <v>2</v>
      </c>
      <c r="CO81" s="185" t="s">
        <v>176</v>
      </c>
      <c r="CP81" s="185">
        <v>1</v>
      </c>
      <c r="CQ81" s="185" t="s">
        <v>176</v>
      </c>
      <c r="CR81" s="185" t="s">
        <v>176</v>
      </c>
      <c r="CS81" s="185">
        <v>2</v>
      </c>
      <c r="CT81" s="185">
        <v>1</v>
      </c>
      <c r="CU81" s="185" t="s">
        <v>176</v>
      </c>
      <c r="CV81" s="185" t="s">
        <v>176</v>
      </c>
      <c r="CW81" s="185" t="s">
        <v>176</v>
      </c>
      <c r="CX81" s="185" t="s">
        <v>176</v>
      </c>
      <c r="CY81" s="185" t="s">
        <v>176</v>
      </c>
      <c r="CZ81" s="185" t="s">
        <v>176</v>
      </c>
      <c r="DA81" s="185" t="s">
        <v>176</v>
      </c>
      <c r="DB81" s="185" t="s">
        <v>176</v>
      </c>
      <c r="DC81" s="185" t="s">
        <v>176</v>
      </c>
      <c r="DD81" s="185" t="s">
        <v>176</v>
      </c>
      <c r="DE81" s="185" t="s">
        <v>176</v>
      </c>
      <c r="DF81" s="185" t="s">
        <v>176</v>
      </c>
      <c r="DG81" s="185" t="s">
        <v>176</v>
      </c>
      <c r="DH81" s="185" t="s">
        <v>176</v>
      </c>
      <c r="DI81" s="185" t="s">
        <v>176</v>
      </c>
      <c r="DJ81" s="185" t="s">
        <v>176</v>
      </c>
      <c r="DK81" s="185" t="s">
        <v>176</v>
      </c>
      <c r="DL81" s="185" t="s">
        <v>176</v>
      </c>
      <c r="DM81" s="185" t="s">
        <v>176</v>
      </c>
      <c r="DN81" s="185" t="s">
        <v>176</v>
      </c>
      <c r="DO81" s="185" t="s">
        <v>176</v>
      </c>
      <c r="DP81" s="185" t="s">
        <v>176</v>
      </c>
      <c r="DQ81" s="185" t="s">
        <v>176</v>
      </c>
      <c r="DR81" s="185" t="s">
        <v>176</v>
      </c>
      <c r="DS81" s="185">
        <v>1</v>
      </c>
      <c r="DT81" s="185" t="s">
        <v>176</v>
      </c>
      <c r="DU81" s="185" t="s">
        <v>176</v>
      </c>
      <c r="DV81" s="185" t="s">
        <v>176</v>
      </c>
      <c r="DW81" s="185">
        <v>1</v>
      </c>
      <c r="DX81" s="185">
        <v>1</v>
      </c>
      <c r="DY81" s="185">
        <v>1</v>
      </c>
      <c r="DZ81" s="185">
        <v>1</v>
      </c>
      <c r="EA81" s="185">
        <v>1</v>
      </c>
      <c r="EB81" s="185">
        <v>1</v>
      </c>
      <c r="EC81" s="185">
        <v>1</v>
      </c>
      <c r="ED81" s="185">
        <v>2</v>
      </c>
      <c r="EE81" s="185">
        <v>2</v>
      </c>
      <c r="EF81" s="185">
        <v>2</v>
      </c>
      <c r="EG81" s="185">
        <v>2</v>
      </c>
      <c r="EH81" s="185">
        <v>2</v>
      </c>
      <c r="EI81" s="185">
        <v>2</v>
      </c>
      <c r="EJ81" s="185">
        <v>2</v>
      </c>
      <c r="EK81" s="185">
        <v>3</v>
      </c>
      <c r="EL81" s="185">
        <v>3</v>
      </c>
      <c r="EM81" s="185">
        <v>2</v>
      </c>
      <c r="EN81" s="185" t="s">
        <v>176</v>
      </c>
      <c r="EO81" s="185" t="s">
        <v>176</v>
      </c>
      <c r="EP81" s="185" t="s">
        <v>176</v>
      </c>
      <c r="EQ81" s="185" t="s">
        <v>176</v>
      </c>
      <c r="ER81" s="185" t="s">
        <v>176</v>
      </c>
      <c r="ES81" s="185" t="s">
        <v>176</v>
      </c>
      <c r="ET81" s="185" t="s">
        <v>176</v>
      </c>
      <c r="EU81" s="185" t="s">
        <v>176</v>
      </c>
      <c r="EV81" s="185" t="s">
        <v>176</v>
      </c>
      <c r="EW81" s="185">
        <v>2</v>
      </c>
      <c r="EX81" s="185">
        <v>2</v>
      </c>
      <c r="EY81" s="185">
        <v>2</v>
      </c>
      <c r="EZ81" s="185">
        <v>2</v>
      </c>
      <c r="FA81" s="185" t="s">
        <v>176</v>
      </c>
      <c r="FB81" s="185">
        <v>2</v>
      </c>
      <c r="FC81" s="185">
        <v>2</v>
      </c>
      <c r="FD81" s="185">
        <v>2</v>
      </c>
      <c r="FE81" s="185">
        <v>2</v>
      </c>
      <c r="FF81" s="185">
        <v>2</v>
      </c>
      <c r="FG81" s="185">
        <v>3</v>
      </c>
      <c r="FH81" s="185">
        <v>2</v>
      </c>
      <c r="FI81" s="185">
        <v>2</v>
      </c>
      <c r="FJ81" s="185">
        <v>1</v>
      </c>
      <c r="FK81" s="185">
        <v>2</v>
      </c>
      <c r="FL81" s="185">
        <v>2</v>
      </c>
      <c r="FM81" s="185">
        <v>2</v>
      </c>
      <c r="FN81" s="185" t="s">
        <v>176</v>
      </c>
      <c r="FO81" s="185" t="s">
        <v>176</v>
      </c>
      <c r="FP81" s="185" t="s">
        <v>176</v>
      </c>
      <c r="FQ81" s="185" t="s">
        <v>176</v>
      </c>
      <c r="FR81" s="185" t="s">
        <v>176</v>
      </c>
      <c r="FS81" s="185" t="s">
        <v>176</v>
      </c>
      <c r="FT81" s="185" t="s">
        <v>176</v>
      </c>
      <c r="FU81" s="185" t="s">
        <v>176</v>
      </c>
      <c r="FV81" s="185" t="s">
        <v>176</v>
      </c>
      <c r="FW81" s="185" t="s">
        <v>176</v>
      </c>
      <c r="FX81" s="185" t="s">
        <v>387</v>
      </c>
      <c r="FY81" s="185" t="s">
        <v>176</v>
      </c>
      <c r="FZ81" s="185" t="s">
        <v>176</v>
      </c>
      <c r="GA81" s="185" t="s">
        <v>176</v>
      </c>
      <c r="GB81" s="188" t="s">
        <v>176</v>
      </c>
      <c r="GC81" s="465" t="s">
        <v>176</v>
      </c>
      <c r="GD81" s="461" t="s">
        <v>176</v>
      </c>
      <c r="GE81" s="185" t="s">
        <v>387</v>
      </c>
      <c r="GF81" s="185" t="s">
        <v>176</v>
      </c>
      <c r="GG81" s="185" t="s">
        <v>387</v>
      </c>
      <c r="GH81" s="185" t="s">
        <v>176</v>
      </c>
      <c r="GI81" s="185" t="s">
        <v>387</v>
      </c>
      <c r="GJ81" s="291">
        <f t="shared" si="3"/>
        <v>118</v>
      </c>
    </row>
    <row r="82" spans="1:192" x14ac:dyDescent="0.25">
      <c r="A82" s="288" t="s">
        <v>181</v>
      </c>
      <c r="B82" s="289" t="s">
        <v>252</v>
      </c>
      <c r="C82" s="276" t="s">
        <v>613</v>
      </c>
      <c r="D82" s="185">
        <v>2</v>
      </c>
      <c r="E82" s="185">
        <v>2</v>
      </c>
      <c r="F82" s="185">
        <v>2</v>
      </c>
      <c r="G82" s="185">
        <v>2</v>
      </c>
      <c r="H82" s="185">
        <v>2</v>
      </c>
      <c r="I82" s="185">
        <v>1</v>
      </c>
      <c r="J82" s="185" t="s">
        <v>176</v>
      </c>
      <c r="K82" s="185" t="s">
        <v>176</v>
      </c>
      <c r="L82" s="185">
        <v>1</v>
      </c>
      <c r="M82" s="185">
        <v>1</v>
      </c>
      <c r="N82" s="185" t="s">
        <v>176</v>
      </c>
      <c r="O82" s="185" t="s">
        <v>176</v>
      </c>
      <c r="P82" s="185" t="s">
        <v>176</v>
      </c>
      <c r="Q82" s="185" t="s">
        <v>176</v>
      </c>
      <c r="R82" s="185" t="s">
        <v>176</v>
      </c>
      <c r="S82" s="185" t="s">
        <v>176</v>
      </c>
      <c r="T82" s="185" t="s">
        <v>176</v>
      </c>
      <c r="U82" s="185" t="s">
        <v>176</v>
      </c>
      <c r="V82" s="185" t="s">
        <v>176</v>
      </c>
      <c r="W82" s="185" t="s">
        <v>176</v>
      </c>
      <c r="X82" s="185" t="s">
        <v>176</v>
      </c>
      <c r="Y82" s="185" t="s">
        <v>176</v>
      </c>
      <c r="Z82" s="185" t="s">
        <v>176</v>
      </c>
      <c r="AA82" s="185" t="s">
        <v>176</v>
      </c>
      <c r="AB82" s="185" t="s">
        <v>176</v>
      </c>
      <c r="AC82" s="185" t="s">
        <v>176</v>
      </c>
      <c r="AD82" s="185" t="s">
        <v>176</v>
      </c>
      <c r="AE82" s="185" t="s">
        <v>176</v>
      </c>
      <c r="AF82" s="185" t="s">
        <v>176</v>
      </c>
      <c r="AG82" s="185" t="s">
        <v>176</v>
      </c>
      <c r="AH82" s="185" t="s">
        <v>176</v>
      </c>
      <c r="AI82" s="185">
        <v>1</v>
      </c>
      <c r="AJ82" s="185" t="s">
        <v>176</v>
      </c>
      <c r="AK82" s="185" t="s">
        <v>176</v>
      </c>
      <c r="AL82" s="185" t="s">
        <v>176</v>
      </c>
      <c r="AM82" s="185" t="s">
        <v>176</v>
      </c>
      <c r="AN82" s="185" t="s">
        <v>176</v>
      </c>
      <c r="AO82" s="185" t="s">
        <v>176</v>
      </c>
      <c r="AP82" s="185" t="s">
        <v>176</v>
      </c>
      <c r="AQ82" s="185" t="s">
        <v>176</v>
      </c>
      <c r="AR82" s="185" t="s">
        <v>176</v>
      </c>
      <c r="AS82" s="185">
        <v>2</v>
      </c>
      <c r="AT82" s="185">
        <v>1</v>
      </c>
      <c r="AU82" s="185">
        <v>1</v>
      </c>
      <c r="AV82" s="185" t="s">
        <v>176</v>
      </c>
      <c r="AW82" s="185" t="s">
        <v>176</v>
      </c>
      <c r="AX82" s="185" t="s">
        <v>176</v>
      </c>
      <c r="AY82" s="185" t="s">
        <v>176</v>
      </c>
      <c r="AZ82" s="185" t="s">
        <v>176</v>
      </c>
      <c r="BA82" s="185" t="s">
        <v>176</v>
      </c>
      <c r="BB82" s="185" t="s">
        <v>176</v>
      </c>
      <c r="BC82" s="185" t="s">
        <v>176</v>
      </c>
      <c r="BD82" s="290" t="s">
        <v>176</v>
      </c>
      <c r="BE82" s="185" t="s">
        <v>176</v>
      </c>
      <c r="BF82" s="185" t="s">
        <v>176</v>
      </c>
      <c r="BG82" s="185" t="s">
        <v>176</v>
      </c>
      <c r="BH82" s="185" t="s">
        <v>176</v>
      </c>
      <c r="BI82" s="185" t="s">
        <v>176</v>
      </c>
      <c r="BJ82" s="185" t="s">
        <v>176</v>
      </c>
      <c r="BK82" s="185" t="s">
        <v>176</v>
      </c>
      <c r="BL82" s="185">
        <v>1</v>
      </c>
      <c r="BM82" s="185">
        <v>1</v>
      </c>
      <c r="BN82" s="185">
        <v>1</v>
      </c>
      <c r="BO82" s="185">
        <v>1</v>
      </c>
      <c r="BP82" s="185">
        <v>1</v>
      </c>
      <c r="BQ82" s="185">
        <v>1</v>
      </c>
      <c r="BR82" s="185">
        <v>1</v>
      </c>
      <c r="BS82" s="185">
        <v>1</v>
      </c>
      <c r="BT82" s="185">
        <v>2</v>
      </c>
      <c r="BU82" s="185" t="s">
        <v>176</v>
      </c>
      <c r="BV82" s="185" t="s">
        <v>176</v>
      </c>
      <c r="BW82" s="185" t="s">
        <v>176</v>
      </c>
      <c r="BX82" s="185" t="s">
        <v>176</v>
      </c>
      <c r="BY82" s="185" t="s">
        <v>176</v>
      </c>
      <c r="BZ82" s="185" t="s">
        <v>176</v>
      </c>
      <c r="CA82" s="185" t="s">
        <v>176</v>
      </c>
      <c r="CB82" s="185" t="s">
        <v>176</v>
      </c>
      <c r="CC82" s="185" t="s">
        <v>176</v>
      </c>
      <c r="CD82" s="185" t="s">
        <v>176</v>
      </c>
      <c r="CE82" s="185" t="s">
        <v>176</v>
      </c>
      <c r="CF82" s="185" t="s">
        <v>176</v>
      </c>
      <c r="CG82" s="185">
        <v>1</v>
      </c>
      <c r="CH82" s="185" t="s">
        <v>176</v>
      </c>
      <c r="CI82" s="185" t="s">
        <v>176</v>
      </c>
      <c r="CJ82" s="185">
        <v>1</v>
      </c>
      <c r="CK82" s="185" t="s">
        <v>176</v>
      </c>
      <c r="CL82" s="185">
        <v>2</v>
      </c>
      <c r="CM82" s="185">
        <v>2</v>
      </c>
      <c r="CN82" s="185">
        <v>2</v>
      </c>
      <c r="CO82" s="185" t="s">
        <v>176</v>
      </c>
      <c r="CP82" s="185" t="s">
        <v>176</v>
      </c>
      <c r="CQ82" s="185" t="s">
        <v>176</v>
      </c>
      <c r="CR82" s="185" t="s">
        <v>176</v>
      </c>
      <c r="CS82" s="185">
        <v>2</v>
      </c>
      <c r="CT82" s="185" t="s">
        <v>176</v>
      </c>
      <c r="CU82" s="185" t="s">
        <v>176</v>
      </c>
      <c r="CV82" s="185" t="s">
        <v>176</v>
      </c>
      <c r="CW82" s="185" t="s">
        <v>176</v>
      </c>
      <c r="CX82" s="185" t="s">
        <v>176</v>
      </c>
      <c r="CY82" s="185" t="s">
        <v>176</v>
      </c>
      <c r="CZ82" s="185" t="s">
        <v>176</v>
      </c>
      <c r="DA82" s="185" t="s">
        <v>176</v>
      </c>
      <c r="DB82" s="185" t="s">
        <v>176</v>
      </c>
      <c r="DC82" s="185" t="s">
        <v>176</v>
      </c>
      <c r="DD82" s="185" t="s">
        <v>176</v>
      </c>
      <c r="DE82" s="185" t="s">
        <v>176</v>
      </c>
      <c r="DF82" s="185" t="s">
        <v>176</v>
      </c>
      <c r="DG82" s="185" t="s">
        <v>176</v>
      </c>
      <c r="DH82" s="185" t="s">
        <v>176</v>
      </c>
      <c r="DI82" s="185" t="s">
        <v>176</v>
      </c>
      <c r="DJ82" s="185" t="s">
        <v>176</v>
      </c>
      <c r="DK82" s="185" t="s">
        <v>176</v>
      </c>
      <c r="DL82" s="185" t="s">
        <v>176</v>
      </c>
      <c r="DM82" s="185" t="s">
        <v>176</v>
      </c>
      <c r="DN82" s="185" t="s">
        <v>176</v>
      </c>
      <c r="DO82" s="185" t="s">
        <v>176</v>
      </c>
      <c r="DP82" s="185" t="s">
        <v>176</v>
      </c>
      <c r="DQ82" s="185" t="s">
        <v>176</v>
      </c>
      <c r="DR82" s="185" t="s">
        <v>176</v>
      </c>
      <c r="DS82" s="185" t="s">
        <v>176</v>
      </c>
      <c r="DT82" s="185" t="s">
        <v>176</v>
      </c>
      <c r="DU82" s="185" t="s">
        <v>176</v>
      </c>
      <c r="DV82" s="185" t="s">
        <v>176</v>
      </c>
      <c r="DW82" s="185">
        <v>2</v>
      </c>
      <c r="DX82" s="185">
        <v>2</v>
      </c>
      <c r="DY82" s="185">
        <v>2</v>
      </c>
      <c r="DZ82" s="185">
        <v>2</v>
      </c>
      <c r="EA82" s="185">
        <v>2</v>
      </c>
      <c r="EB82" s="185">
        <v>2</v>
      </c>
      <c r="EC82" s="185">
        <v>2</v>
      </c>
      <c r="ED82" s="185">
        <v>2</v>
      </c>
      <c r="EE82" s="185">
        <v>2</v>
      </c>
      <c r="EF82" s="185">
        <v>2</v>
      </c>
      <c r="EG82" s="185">
        <v>2</v>
      </c>
      <c r="EH82" s="185">
        <v>2</v>
      </c>
      <c r="EI82" s="185">
        <v>2</v>
      </c>
      <c r="EJ82" s="185">
        <v>2</v>
      </c>
      <c r="EK82" s="185">
        <v>2</v>
      </c>
      <c r="EL82" s="185">
        <v>3</v>
      </c>
      <c r="EM82" s="185">
        <v>2</v>
      </c>
      <c r="EN82" s="185" t="s">
        <v>176</v>
      </c>
      <c r="EO82" s="185" t="s">
        <v>176</v>
      </c>
      <c r="EP82" s="185" t="s">
        <v>176</v>
      </c>
      <c r="EQ82" s="185" t="s">
        <v>176</v>
      </c>
      <c r="ER82" s="185" t="s">
        <v>176</v>
      </c>
      <c r="ES82" s="185" t="s">
        <v>176</v>
      </c>
      <c r="ET82" s="185" t="s">
        <v>176</v>
      </c>
      <c r="EU82" s="185" t="s">
        <v>176</v>
      </c>
      <c r="EV82" s="185" t="s">
        <v>176</v>
      </c>
      <c r="EW82" s="185">
        <v>1</v>
      </c>
      <c r="EX82" s="185">
        <v>1</v>
      </c>
      <c r="EY82" s="185">
        <v>1</v>
      </c>
      <c r="EZ82" s="185" t="s">
        <v>176</v>
      </c>
      <c r="FA82" s="185" t="s">
        <v>176</v>
      </c>
      <c r="FB82" s="185">
        <v>1</v>
      </c>
      <c r="FC82" s="185">
        <v>2</v>
      </c>
      <c r="FD82" s="185">
        <v>2</v>
      </c>
      <c r="FE82" s="185">
        <v>1</v>
      </c>
      <c r="FF82" s="185">
        <v>2</v>
      </c>
      <c r="FG82" s="185">
        <v>2</v>
      </c>
      <c r="FH82" s="185">
        <v>2</v>
      </c>
      <c r="FI82" s="185">
        <v>2</v>
      </c>
      <c r="FJ82" s="185" t="s">
        <v>176</v>
      </c>
      <c r="FK82" s="185">
        <v>2</v>
      </c>
      <c r="FL82" s="185">
        <v>2</v>
      </c>
      <c r="FM82" s="185">
        <v>2</v>
      </c>
      <c r="FN82" s="185" t="s">
        <v>176</v>
      </c>
      <c r="FO82" s="185" t="s">
        <v>176</v>
      </c>
      <c r="FP82" s="185" t="s">
        <v>176</v>
      </c>
      <c r="FQ82" s="185" t="s">
        <v>176</v>
      </c>
      <c r="FR82" s="185" t="s">
        <v>176</v>
      </c>
      <c r="FS82" s="185" t="s">
        <v>176</v>
      </c>
      <c r="FT82" s="185" t="s">
        <v>176</v>
      </c>
      <c r="FU82" s="185" t="s">
        <v>176</v>
      </c>
      <c r="FV82" s="185" t="s">
        <v>176</v>
      </c>
      <c r="FW82" s="185" t="s">
        <v>176</v>
      </c>
      <c r="FX82" s="185" t="s">
        <v>176</v>
      </c>
      <c r="FY82" s="185" t="s">
        <v>176</v>
      </c>
      <c r="FZ82" s="185" t="s">
        <v>176</v>
      </c>
      <c r="GA82" s="185" t="s">
        <v>176</v>
      </c>
      <c r="GB82" s="188" t="s">
        <v>176</v>
      </c>
      <c r="GC82" s="465" t="s">
        <v>176</v>
      </c>
      <c r="GD82" s="462" t="s">
        <v>387</v>
      </c>
      <c r="GE82" s="185" t="s">
        <v>387</v>
      </c>
      <c r="GF82" s="185" t="s">
        <v>176</v>
      </c>
      <c r="GG82" s="185" t="s">
        <v>387</v>
      </c>
      <c r="GH82" s="185" t="s">
        <v>176</v>
      </c>
      <c r="GI82" s="185" t="s">
        <v>387</v>
      </c>
      <c r="GJ82" s="291">
        <f t="shared" si="3"/>
        <v>96</v>
      </c>
    </row>
    <row r="83" spans="1:192" x14ac:dyDescent="0.25">
      <c r="A83" s="272" t="s">
        <v>181</v>
      </c>
      <c r="B83" s="274" t="s">
        <v>628</v>
      </c>
      <c r="C83" s="276" t="s">
        <v>613</v>
      </c>
      <c r="D83" s="185">
        <v>2</v>
      </c>
      <c r="E83" s="185">
        <v>2</v>
      </c>
      <c r="F83" s="185">
        <v>2</v>
      </c>
      <c r="G83" s="185">
        <v>2</v>
      </c>
      <c r="H83" s="185">
        <v>2</v>
      </c>
      <c r="I83" s="185">
        <v>1</v>
      </c>
      <c r="J83" s="185" t="s">
        <v>176</v>
      </c>
      <c r="K83" s="185" t="s">
        <v>176</v>
      </c>
      <c r="L83" s="185">
        <v>1</v>
      </c>
      <c r="M83" s="185">
        <v>1</v>
      </c>
      <c r="N83" s="185" t="s">
        <v>176</v>
      </c>
      <c r="O83" s="185" t="s">
        <v>176</v>
      </c>
      <c r="P83" s="185" t="s">
        <v>176</v>
      </c>
      <c r="Q83" s="185" t="s">
        <v>176</v>
      </c>
      <c r="R83" s="185" t="s">
        <v>176</v>
      </c>
      <c r="S83" s="185" t="s">
        <v>176</v>
      </c>
      <c r="T83" s="185" t="s">
        <v>176</v>
      </c>
      <c r="U83" s="185" t="s">
        <v>176</v>
      </c>
      <c r="V83" s="185" t="s">
        <v>176</v>
      </c>
      <c r="W83" s="185" t="s">
        <v>176</v>
      </c>
      <c r="X83" s="185" t="s">
        <v>176</v>
      </c>
      <c r="Y83" s="185" t="s">
        <v>176</v>
      </c>
      <c r="Z83" s="185" t="s">
        <v>176</v>
      </c>
      <c r="AA83" s="185" t="s">
        <v>176</v>
      </c>
      <c r="AB83" s="185" t="s">
        <v>176</v>
      </c>
      <c r="AC83" s="185" t="s">
        <v>176</v>
      </c>
      <c r="AD83" s="185" t="s">
        <v>176</v>
      </c>
      <c r="AE83" s="185" t="s">
        <v>176</v>
      </c>
      <c r="AF83" s="185" t="s">
        <v>176</v>
      </c>
      <c r="AG83" s="185" t="s">
        <v>176</v>
      </c>
      <c r="AH83" s="185" t="s">
        <v>176</v>
      </c>
      <c r="AI83" s="185">
        <v>1</v>
      </c>
      <c r="AJ83" s="185" t="s">
        <v>176</v>
      </c>
      <c r="AK83" s="185" t="s">
        <v>176</v>
      </c>
      <c r="AL83" s="185" t="s">
        <v>176</v>
      </c>
      <c r="AM83" s="185" t="s">
        <v>176</v>
      </c>
      <c r="AN83" s="185" t="s">
        <v>176</v>
      </c>
      <c r="AO83" s="185" t="s">
        <v>176</v>
      </c>
      <c r="AP83" s="185" t="s">
        <v>176</v>
      </c>
      <c r="AQ83" s="185" t="s">
        <v>176</v>
      </c>
      <c r="AR83" s="185" t="s">
        <v>176</v>
      </c>
      <c r="AS83" s="185">
        <v>2</v>
      </c>
      <c r="AT83" s="185">
        <v>1</v>
      </c>
      <c r="AU83" s="185">
        <v>1</v>
      </c>
      <c r="AV83" s="185" t="s">
        <v>176</v>
      </c>
      <c r="AW83" s="185" t="s">
        <v>176</v>
      </c>
      <c r="AX83" s="185" t="s">
        <v>176</v>
      </c>
      <c r="AY83" s="185" t="s">
        <v>176</v>
      </c>
      <c r="AZ83" s="185" t="s">
        <v>176</v>
      </c>
      <c r="BA83" s="185" t="s">
        <v>176</v>
      </c>
      <c r="BB83" s="185" t="s">
        <v>176</v>
      </c>
      <c r="BC83" s="185" t="s">
        <v>176</v>
      </c>
      <c r="BD83" s="185" t="s">
        <v>176</v>
      </c>
      <c r="BE83" s="185" t="s">
        <v>176</v>
      </c>
      <c r="BF83" s="185" t="s">
        <v>176</v>
      </c>
      <c r="BG83" s="185" t="s">
        <v>176</v>
      </c>
      <c r="BH83" s="185" t="s">
        <v>176</v>
      </c>
      <c r="BI83" s="185" t="s">
        <v>176</v>
      </c>
      <c r="BJ83" s="185" t="s">
        <v>176</v>
      </c>
      <c r="BK83" s="185" t="s">
        <v>176</v>
      </c>
      <c r="BL83" s="185" t="s">
        <v>176</v>
      </c>
      <c r="BM83" s="185" t="s">
        <v>176</v>
      </c>
      <c r="BN83" s="185" t="s">
        <v>176</v>
      </c>
      <c r="BO83" s="185" t="s">
        <v>176</v>
      </c>
      <c r="BP83" s="185" t="s">
        <v>176</v>
      </c>
      <c r="BQ83" s="185" t="s">
        <v>176</v>
      </c>
      <c r="BR83" s="185" t="s">
        <v>176</v>
      </c>
      <c r="BS83" s="185" t="s">
        <v>176</v>
      </c>
      <c r="BT83" s="185" t="s">
        <v>176</v>
      </c>
      <c r="BU83" s="185" t="s">
        <v>176</v>
      </c>
      <c r="BV83" s="185" t="s">
        <v>176</v>
      </c>
      <c r="BW83" s="185" t="s">
        <v>176</v>
      </c>
      <c r="BX83" s="185" t="s">
        <v>176</v>
      </c>
      <c r="BY83" s="185" t="s">
        <v>176</v>
      </c>
      <c r="BZ83" s="185" t="s">
        <v>176</v>
      </c>
      <c r="CA83" s="185" t="s">
        <v>176</v>
      </c>
      <c r="CB83" s="185" t="s">
        <v>176</v>
      </c>
      <c r="CC83" s="185" t="s">
        <v>176</v>
      </c>
      <c r="CD83" s="185" t="s">
        <v>176</v>
      </c>
      <c r="CE83" s="185" t="s">
        <v>176</v>
      </c>
      <c r="CF83" s="185" t="s">
        <v>176</v>
      </c>
      <c r="CG83" s="185" t="s">
        <v>176</v>
      </c>
      <c r="CH83" s="185" t="s">
        <v>176</v>
      </c>
      <c r="CI83" s="185" t="s">
        <v>176</v>
      </c>
      <c r="CJ83" s="185" t="s">
        <v>176</v>
      </c>
      <c r="CK83" s="185" t="s">
        <v>176</v>
      </c>
      <c r="CL83" s="185">
        <v>1</v>
      </c>
      <c r="CM83" s="185">
        <v>1</v>
      </c>
      <c r="CN83" s="185">
        <v>1</v>
      </c>
      <c r="CO83" s="185" t="s">
        <v>176</v>
      </c>
      <c r="CP83" s="185" t="s">
        <v>176</v>
      </c>
      <c r="CQ83" s="185" t="s">
        <v>176</v>
      </c>
      <c r="CR83" s="185" t="s">
        <v>176</v>
      </c>
      <c r="CS83" s="185">
        <v>1</v>
      </c>
      <c r="CT83" s="185" t="s">
        <v>176</v>
      </c>
      <c r="CU83" s="185" t="s">
        <v>176</v>
      </c>
      <c r="CV83" s="189" t="s">
        <v>176</v>
      </c>
      <c r="CW83" s="189" t="s">
        <v>176</v>
      </c>
      <c r="CX83" s="189" t="s">
        <v>176</v>
      </c>
      <c r="CY83" s="189" t="s">
        <v>176</v>
      </c>
      <c r="CZ83" s="185" t="s">
        <v>176</v>
      </c>
      <c r="DA83" s="185" t="s">
        <v>176</v>
      </c>
      <c r="DB83" s="185" t="s">
        <v>176</v>
      </c>
      <c r="DC83" s="185" t="s">
        <v>176</v>
      </c>
      <c r="DD83" s="185" t="s">
        <v>176</v>
      </c>
      <c r="DE83" s="185" t="s">
        <v>176</v>
      </c>
      <c r="DF83" s="185" t="s">
        <v>176</v>
      </c>
      <c r="DG83" s="185" t="s">
        <v>176</v>
      </c>
      <c r="DH83" s="185" t="s">
        <v>176</v>
      </c>
      <c r="DI83" s="185" t="s">
        <v>176</v>
      </c>
      <c r="DJ83" s="185" t="s">
        <v>176</v>
      </c>
      <c r="DK83" s="185" t="s">
        <v>176</v>
      </c>
      <c r="DL83" s="185" t="s">
        <v>176</v>
      </c>
      <c r="DM83" s="185" t="s">
        <v>176</v>
      </c>
      <c r="DN83" s="185" t="s">
        <v>176</v>
      </c>
      <c r="DO83" s="185" t="s">
        <v>176</v>
      </c>
      <c r="DP83" s="185" t="s">
        <v>176</v>
      </c>
      <c r="DQ83" s="185" t="s">
        <v>176</v>
      </c>
      <c r="DR83" s="185" t="s">
        <v>176</v>
      </c>
      <c r="DS83" s="185" t="s">
        <v>176</v>
      </c>
      <c r="DT83" s="185" t="s">
        <v>176</v>
      </c>
      <c r="DU83" s="185" t="s">
        <v>176</v>
      </c>
      <c r="DV83" s="185" t="s">
        <v>176</v>
      </c>
      <c r="DW83" s="185" t="s">
        <v>176</v>
      </c>
      <c r="DX83" s="185" t="s">
        <v>176</v>
      </c>
      <c r="DY83" s="185" t="s">
        <v>176</v>
      </c>
      <c r="DZ83" s="185" t="s">
        <v>176</v>
      </c>
      <c r="EA83" s="185" t="s">
        <v>176</v>
      </c>
      <c r="EB83" s="185" t="s">
        <v>176</v>
      </c>
      <c r="EC83" s="185" t="s">
        <v>176</v>
      </c>
      <c r="ED83" s="185" t="s">
        <v>176</v>
      </c>
      <c r="EE83" s="185" t="s">
        <v>176</v>
      </c>
      <c r="EF83" s="185" t="s">
        <v>176</v>
      </c>
      <c r="EG83" s="185" t="s">
        <v>176</v>
      </c>
      <c r="EH83" s="185" t="s">
        <v>176</v>
      </c>
      <c r="EI83" s="185" t="s">
        <v>176</v>
      </c>
      <c r="EJ83" s="185" t="s">
        <v>176</v>
      </c>
      <c r="EK83" s="185" t="s">
        <v>176</v>
      </c>
      <c r="EL83" s="185">
        <v>2</v>
      </c>
      <c r="EM83" s="185">
        <v>1</v>
      </c>
      <c r="EN83" s="185" t="s">
        <v>176</v>
      </c>
      <c r="EO83" s="185" t="s">
        <v>176</v>
      </c>
      <c r="EP83" s="185" t="s">
        <v>176</v>
      </c>
      <c r="EQ83" s="185" t="s">
        <v>176</v>
      </c>
      <c r="ER83" s="185" t="s">
        <v>176</v>
      </c>
      <c r="ES83" s="185" t="s">
        <v>176</v>
      </c>
      <c r="ET83" s="185" t="s">
        <v>176</v>
      </c>
      <c r="EU83" s="185" t="s">
        <v>176</v>
      </c>
      <c r="EV83" s="185" t="s">
        <v>176</v>
      </c>
      <c r="EW83" s="185" t="s">
        <v>176</v>
      </c>
      <c r="EX83" s="185" t="s">
        <v>176</v>
      </c>
      <c r="EY83" s="185" t="s">
        <v>176</v>
      </c>
      <c r="EZ83" s="185" t="s">
        <v>176</v>
      </c>
      <c r="FA83" s="185" t="s">
        <v>176</v>
      </c>
      <c r="FB83" s="185">
        <v>1</v>
      </c>
      <c r="FC83" s="185">
        <v>2</v>
      </c>
      <c r="FD83" s="185">
        <v>1</v>
      </c>
      <c r="FE83" s="185" t="s">
        <v>176</v>
      </c>
      <c r="FF83" s="185">
        <v>2</v>
      </c>
      <c r="FG83" s="185">
        <v>2</v>
      </c>
      <c r="FH83" s="185">
        <v>2</v>
      </c>
      <c r="FI83" s="185">
        <v>1</v>
      </c>
      <c r="FJ83" s="185">
        <v>2</v>
      </c>
      <c r="FK83" s="185">
        <v>2</v>
      </c>
      <c r="FL83" s="185">
        <v>2</v>
      </c>
      <c r="FM83" s="185" t="s">
        <v>176</v>
      </c>
      <c r="FN83" s="185" t="s">
        <v>176</v>
      </c>
      <c r="FO83" s="185" t="s">
        <v>176</v>
      </c>
      <c r="FP83" s="185" t="s">
        <v>176</v>
      </c>
      <c r="FQ83" s="185" t="s">
        <v>176</v>
      </c>
      <c r="FR83" s="185" t="s">
        <v>176</v>
      </c>
      <c r="FS83" s="185" t="s">
        <v>176</v>
      </c>
      <c r="FT83" s="185" t="s">
        <v>176</v>
      </c>
      <c r="FU83" s="185" t="s">
        <v>176</v>
      </c>
      <c r="FV83" s="185" t="s">
        <v>176</v>
      </c>
      <c r="FW83" s="185" t="s">
        <v>176</v>
      </c>
      <c r="FX83" s="185" t="s">
        <v>176</v>
      </c>
      <c r="FY83" s="185" t="s">
        <v>176</v>
      </c>
      <c r="FZ83" s="185" t="s">
        <v>176</v>
      </c>
      <c r="GA83" s="185" t="s">
        <v>176</v>
      </c>
      <c r="GB83" s="188" t="s">
        <v>176</v>
      </c>
      <c r="GC83" s="465" t="s">
        <v>387</v>
      </c>
      <c r="GD83" s="462" t="s">
        <v>387</v>
      </c>
      <c r="GE83" s="185" t="s">
        <v>176</v>
      </c>
      <c r="GF83" s="185" t="s">
        <v>387</v>
      </c>
      <c r="GG83" s="185" t="s">
        <v>176</v>
      </c>
      <c r="GH83" s="185" t="s">
        <v>387</v>
      </c>
      <c r="GI83" s="185" t="s">
        <v>387</v>
      </c>
      <c r="GJ83" s="275">
        <f>SUM(tab_MinKomp[[#This Row],[Przepisy BHP / BHP Vorschriften]:[WYSOKOŚCIOWE / Höhenberechtigungen]])</f>
        <v>42</v>
      </c>
    </row>
    <row r="84" spans="1:192" s="386" customFormat="1" ht="25.5" customHeight="1" x14ac:dyDescent="0.25">
      <c r="A84" s="258" t="s">
        <v>559</v>
      </c>
      <c r="B84" s="261" t="s">
        <v>674</v>
      </c>
      <c r="C84" s="261" t="s">
        <v>226</v>
      </c>
      <c r="D84" s="185">
        <v>2</v>
      </c>
      <c r="E84" s="185">
        <v>2</v>
      </c>
      <c r="F84" s="185">
        <v>2</v>
      </c>
      <c r="G84" s="185">
        <v>2</v>
      </c>
      <c r="H84" s="185">
        <v>2</v>
      </c>
      <c r="I84" s="185">
        <v>1</v>
      </c>
      <c r="J84" s="185" t="s">
        <v>176</v>
      </c>
      <c r="K84" s="185" t="s">
        <v>176</v>
      </c>
      <c r="L84" s="185">
        <v>1</v>
      </c>
      <c r="M84" s="185">
        <v>1</v>
      </c>
      <c r="N84" s="185" t="s">
        <v>176</v>
      </c>
      <c r="O84" s="185" t="s">
        <v>176</v>
      </c>
      <c r="P84" s="185" t="s">
        <v>176</v>
      </c>
      <c r="Q84" s="185" t="s">
        <v>176</v>
      </c>
      <c r="R84" s="185" t="s">
        <v>176</v>
      </c>
      <c r="S84" s="185" t="s">
        <v>176</v>
      </c>
      <c r="T84" s="185" t="s">
        <v>176</v>
      </c>
      <c r="U84" s="185" t="s">
        <v>176</v>
      </c>
      <c r="V84" s="185" t="s">
        <v>176</v>
      </c>
      <c r="W84" s="185" t="s">
        <v>176</v>
      </c>
      <c r="X84" s="185" t="s">
        <v>176</v>
      </c>
      <c r="Y84" s="185" t="s">
        <v>176</v>
      </c>
      <c r="Z84" s="185">
        <v>1</v>
      </c>
      <c r="AA84" s="185">
        <v>1</v>
      </c>
      <c r="AB84" s="185" t="s">
        <v>176</v>
      </c>
      <c r="AC84" s="185" t="s">
        <v>176</v>
      </c>
      <c r="AD84" s="185" t="s">
        <v>176</v>
      </c>
      <c r="AE84" s="185" t="s">
        <v>176</v>
      </c>
      <c r="AF84" s="185" t="s">
        <v>176</v>
      </c>
      <c r="AG84" s="185" t="s">
        <v>176</v>
      </c>
      <c r="AH84" s="185" t="s">
        <v>176</v>
      </c>
      <c r="AI84" s="185">
        <v>1</v>
      </c>
      <c r="AJ84" s="185">
        <v>1</v>
      </c>
      <c r="AK84" s="185" t="s">
        <v>176</v>
      </c>
      <c r="AL84" s="185">
        <v>1</v>
      </c>
      <c r="AM84" s="185">
        <v>1</v>
      </c>
      <c r="AN84" s="185">
        <v>2</v>
      </c>
      <c r="AO84" s="185">
        <v>1</v>
      </c>
      <c r="AP84" s="185">
        <v>1</v>
      </c>
      <c r="AQ84" s="185">
        <v>1</v>
      </c>
      <c r="AR84" s="185">
        <v>1</v>
      </c>
      <c r="AS84" s="185">
        <v>2</v>
      </c>
      <c r="AT84" s="185">
        <v>1</v>
      </c>
      <c r="AU84" s="185">
        <v>1</v>
      </c>
      <c r="AV84" s="185" t="s">
        <v>176</v>
      </c>
      <c r="AW84" s="185">
        <v>1</v>
      </c>
      <c r="AX84" s="185" t="s">
        <v>176</v>
      </c>
      <c r="AY84" s="185" t="s">
        <v>176</v>
      </c>
      <c r="AZ84" s="185" t="s">
        <v>176</v>
      </c>
      <c r="BA84" s="185" t="s">
        <v>176</v>
      </c>
      <c r="BB84" s="185" t="s">
        <v>176</v>
      </c>
      <c r="BC84" s="185" t="s">
        <v>176</v>
      </c>
      <c r="BD84" s="413" t="s">
        <v>176</v>
      </c>
      <c r="BE84" s="185" t="s">
        <v>176</v>
      </c>
      <c r="BF84" s="185" t="s">
        <v>176</v>
      </c>
      <c r="BG84" s="185" t="s">
        <v>176</v>
      </c>
      <c r="BH84" s="185" t="s">
        <v>176</v>
      </c>
      <c r="BI84" s="185" t="s">
        <v>176</v>
      </c>
      <c r="BJ84" s="185" t="s">
        <v>176</v>
      </c>
      <c r="BK84" s="185">
        <v>1</v>
      </c>
      <c r="BL84" s="185">
        <v>1</v>
      </c>
      <c r="BM84" s="185">
        <v>1</v>
      </c>
      <c r="BN84" s="185">
        <v>1</v>
      </c>
      <c r="BO84" s="185">
        <v>1</v>
      </c>
      <c r="BP84" s="185">
        <v>1</v>
      </c>
      <c r="BQ84" s="185">
        <v>1</v>
      </c>
      <c r="BR84" s="185">
        <v>1</v>
      </c>
      <c r="BS84" s="185">
        <v>1</v>
      </c>
      <c r="BT84" s="185">
        <v>1</v>
      </c>
      <c r="BU84" s="185">
        <v>1</v>
      </c>
      <c r="BV84" s="185" t="s">
        <v>176</v>
      </c>
      <c r="BW84" s="185">
        <v>1</v>
      </c>
      <c r="BX84" s="185" t="s">
        <v>176</v>
      </c>
      <c r="BY84" s="185" t="s">
        <v>176</v>
      </c>
      <c r="BZ84" s="185" t="s">
        <v>176</v>
      </c>
      <c r="CA84" s="185" t="s">
        <v>176</v>
      </c>
      <c r="CB84" s="185" t="s">
        <v>176</v>
      </c>
      <c r="CC84" s="185" t="s">
        <v>176</v>
      </c>
      <c r="CD84" s="185" t="s">
        <v>176</v>
      </c>
      <c r="CE84" s="185" t="s">
        <v>176</v>
      </c>
      <c r="CF84" s="185" t="s">
        <v>176</v>
      </c>
      <c r="CG84" s="185">
        <v>1</v>
      </c>
      <c r="CH84" s="185" t="s">
        <v>176</v>
      </c>
      <c r="CI84" s="185" t="s">
        <v>176</v>
      </c>
      <c r="CJ84" s="185" t="s">
        <v>176</v>
      </c>
      <c r="CK84" s="185">
        <v>1</v>
      </c>
      <c r="CL84" s="185">
        <v>1</v>
      </c>
      <c r="CM84" s="185">
        <v>1</v>
      </c>
      <c r="CN84" s="185">
        <v>2</v>
      </c>
      <c r="CO84" s="185" t="s">
        <v>176</v>
      </c>
      <c r="CP84" s="185" t="s">
        <v>176</v>
      </c>
      <c r="CQ84" s="185" t="s">
        <v>176</v>
      </c>
      <c r="CR84" s="185" t="s">
        <v>176</v>
      </c>
      <c r="CS84" s="185">
        <v>1</v>
      </c>
      <c r="CT84" s="185">
        <v>1</v>
      </c>
      <c r="CU84" s="185" t="s">
        <v>176</v>
      </c>
      <c r="CV84" s="185" t="s">
        <v>176</v>
      </c>
      <c r="CW84" s="185" t="s">
        <v>176</v>
      </c>
      <c r="CX84" s="185" t="s">
        <v>176</v>
      </c>
      <c r="CY84" s="185" t="s">
        <v>176</v>
      </c>
      <c r="CZ84" s="185" t="s">
        <v>176</v>
      </c>
      <c r="DA84" s="185" t="s">
        <v>176</v>
      </c>
      <c r="DB84" s="185" t="s">
        <v>176</v>
      </c>
      <c r="DC84" s="185" t="s">
        <v>176</v>
      </c>
      <c r="DD84" s="185" t="s">
        <v>176</v>
      </c>
      <c r="DE84" s="185" t="s">
        <v>176</v>
      </c>
      <c r="DF84" s="185" t="s">
        <v>176</v>
      </c>
      <c r="DG84" s="185" t="s">
        <v>176</v>
      </c>
      <c r="DH84" s="185" t="s">
        <v>176</v>
      </c>
      <c r="DI84" s="185" t="s">
        <v>176</v>
      </c>
      <c r="DJ84" s="185" t="s">
        <v>176</v>
      </c>
      <c r="DK84" s="185" t="s">
        <v>176</v>
      </c>
      <c r="DL84" s="185" t="s">
        <v>176</v>
      </c>
      <c r="DM84" s="185" t="s">
        <v>176</v>
      </c>
      <c r="DN84" s="185" t="s">
        <v>176</v>
      </c>
      <c r="DO84" s="185" t="s">
        <v>176</v>
      </c>
      <c r="DP84" s="185" t="s">
        <v>176</v>
      </c>
      <c r="DQ84" s="185" t="s">
        <v>176</v>
      </c>
      <c r="DR84" s="185" t="s">
        <v>176</v>
      </c>
      <c r="DS84" s="185">
        <v>1</v>
      </c>
      <c r="DT84" s="185">
        <v>1</v>
      </c>
      <c r="DU84" s="185">
        <v>1</v>
      </c>
      <c r="DV84" s="185">
        <v>1</v>
      </c>
      <c r="DW84" s="185" t="s">
        <v>176</v>
      </c>
      <c r="DX84" s="185" t="s">
        <v>176</v>
      </c>
      <c r="DY84" s="185" t="s">
        <v>176</v>
      </c>
      <c r="DZ84" s="185" t="s">
        <v>176</v>
      </c>
      <c r="EA84" s="185" t="s">
        <v>176</v>
      </c>
      <c r="EB84" s="185" t="s">
        <v>176</v>
      </c>
      <c r="EC84" s="185" t="s">
        <v>176</v>
      </c>
      <c r="ED84" s="185">
        <v>1</v>
      </c>
      <c r="EE84" s="185">
        <v>1</v>
      </c>
      <c r="EF84" s="185">
        <v>1</v>
      </c>
      <c r="EG84" s="185">
        <v>1</v>
      </c>
      <c r="EH84" s="185">
        <v>1</v>
      </c>
      <c r="EI84" s="185">
        <v>1</v>
      </c>
      <c r="EJ84" s="185">
        <v>1</v>
      </c>
      <c r="EK84" s="185">
        <v>1</v>
      </c>
      <c r="EL84" s="185">
        <v>2</v>
      </c>
      <c r="EM84" s="185">
        <v>1</v>
      </c>
      <c r="EN84" s="185">
        <v>1</v>
      </c>
      <c r="EO84" s="185">
        <v>1</v>
      </c>
      <c r="EP84" s="185" t="s">
        <v>176</v>
      </c>
      <c r="EQ84" s="185" t="s">
        <v>176</v>
      </c>
      <c r="ER84" s="185" t="s">
        <v>176</v>
      </c>
      <c r="ES84" s="185" t="s">
        <v>176</v>
      </c>
      <c r="ET84" s="185" t="s">
        <v>176</v>
      </c>
      <c r="EU84" s="185" t="s">
        <v>176</v>
      </c>
      <c r="EV84" s="185" t="s">
        <v>176</v>
      </c>
      <c r="EW84" s="185">
        <v>1</v>
      </c>
      <c r="EX84" s="185">
        <v>1</v>
      </c>
      <c r="EY84" s="185">
        <v>1</v>
      </c>
      <c r="EZ84" s="185" t="s">
        <v>176</v>
      </c>
      <c r="FA84" s="185" t="s">
        <v>176</v>
      </c>
      <c r="FB84" s="185">
        <v>1</v>
      </c>
      <c r="FC84" s="185">
        <v>2</v>
      </c>
      <c r="FD84" s="185">
        <v>1</v>
      </c>
      <c r="FE84" s="185">
        <v>2</v>
      </c>
      <c r="FF84" s="185">
        <v>2</v>
      </c>
      <c r="FG84" s="185">
        <v>2</v>
      </c>
      <c r="FH84" s="185">
        <v>2</v>
      </c>
      <c r="FI84" s="185">
        <v>2</v>
      </c>
      <c r="FJ84" s="185" t="s">
        <v>176</v>
      </c>
      <c r="FK84" s="185">
        <v>2</v>
      </c>
      <c r="FL84" s="185">
        <v>2</v>
      </c>
      <c r="FM84" s="185">
        <v>2</v>
      </c>
      <c r="FN84" s="185">
        <v>2</v>
      </c>
      <c r="FO84" s="185" t="s">
        <v>176</v>
      </c>
      <c r="FP84" s="185" t="s">
        <v>387</v>
      </c>
      <c r="FQ84" s="185" t="s">
        <v>176</v>
      </c>
      <c r="FR84" s="185" t="s">
        <v>176</v>
      </c>
      <c r="FS84" s="185" t="s">
        <v>176</v>
      </c>
      <c r="FT84" s="185" t="s">
        <v>176</v>
      </c>
      <c r="FU84" s="185" t="s">
        <v>176</v>
      </c>
      <c r="FV84" s="185" t="s">
        <v>176</v>
      </c>
      <c r="FW84" s="185" t="s">
        <v>176</v>
      </c>
      <c r="FX84" s="185" t="s">
        <v>176</v>
      </c>
      <c r="FY84" s="185" t="s">
        <v>176</v>
      </c>
      <c r="FZ84" s="185" t="s">
        <v>387</v>
      </c>
      <c r="GA84" s="185" t="s">
        <v>160</v>
      </c>
      <c r="GB84" s="185" t="s">
        <v>176</v>
      </c>
      <c r="GC84" s="195" t="s">
        <v>176</v>
      </c>
      <c r="GD84" s="185" t="s">
        <v>176</v>
      </c>
      <c r="GE84" s="185" t="s">
        <v>176</v>
      </c>
      <c r="GF84" s="185" t="s">
        <v>176</v>
      </c>
      <c r="GG84" s="185" t="s">
        <v>176</v>
      </c>
      <c r="GH84" s="185" t="s">
        <v>176</v>
      </c>
      <c r="GI84" s="185" t="s">
        <v>176</v>
      </c>
      <c r="GJ84" s="260">
        <f>SUM(D84:FN84)</f>
        <v>92</v>
      </c>
    </row>
    <row r="85" spans="1:192" ht="25.5" customHeight="1" x14ac:dyDescent="0.25">
      <c r="A85" s="272" t="s">
        <v>181</v>
      </c>
      <c r="B85" s="261" t="s">
        <v>560</v>
      </c>
      <c r="C85" s="276" t="s">
        <v>613</v>
      </c>
      <c r="D85" s="185">
        <v>2</v>
      </c>
      <c r="E85" s="185">
        <v>2</v>
      </c>
      <c r="F85" s="185">
        <v>2</v>
      </c>
      <c r="G85" s="185">
        <v>2</v>
      </c>
      <c r="H85" s="185">
        <v>2</v>
      </c>
      <c r="I85" s="185">
        <v>1</v>
      </c>
      <c r="J85" s="185" t="s">
        <v>176</v>
      </c>
      <c r="K85" s="185" t="s">
        <v>176</v>
      </c>
      <c r="L85" s="185">
        <v>1</v>
      </c>
      <c r="M85" s="185">
        <v>1</v>
      </c>
      <c r="N85" s="185" t="s">
        <v>176</v>
      </c>
      <c r="O85" s="185" t="s">
        <v>176</v>
      </c>
      <c r="P85" s="185" t="s">
        <v>176</v>
      </c>
      <c r="Q85" s="185" t="s">
        <v>176</v>
      </c>
      <c r="R85" s="185" t="s">
        <v>176</v>
      </c>
      <c r="S85" s="185" t="s">
        <v>176</v>
      </c>
      <c r="T85" s="185" t="s">
        <v>176</v>
      </c>
      <c r="U85" s="185" t="s">
        <v>176</v>
      </c>
      <c r="V85" s="185" t="s">
        <v>176</v>
      </c>
      <c r="W85" s="185" t="s">
        <v>176</v>
      </c>
      <c r="X85" s="185" t="s">
        <v>176</v>
      </c>
      <c r="Y85" s="185">
        <v>2</v>
      </c>
      <c r="Z85" s="185">
        <v>1</v>
      </c>
      <c r="AA85" s="185">
        <v>1</v>
      </c>
      <c r="AB85" s="185" t="s">
        <v>176</v>
      </c>
      <c r="AC85" s="185" t="s">
        <v>176</v>
      </c>
      <c r="AD85" s="185">
        <v>1</v>
      </c>
      <c r="AE85" s="185">
        <v>1</v>
      </c>
      <c r="AF85" s="185" t="s">
        <v>176</v>
      </c>
      <c r="AG85" s="185" t="s">
        <v>176</v>
      </c>
      <c r="AH85" s="185" t="s">
        <v>176</v>
      </c>
      <c r="AI85" s="185">
        <v>1</v>
      </c>
      <c r="AJ85" s="185">
        <v>2</v>
      </c>
      <c r="AK85" s="185">
        <v>2</v>
      </c>
      <c r="AL85" s="185">
        <v>2</v>
      </c>
      <c r="AM85" s="185">
        <v>2</v>
      </c>
      <c r="AN85" s="185">
        <v>2</v>
      </c>
      <c r="AO85" s="185">
        <v>1</v>
      </c>
      <c r="AP85" s="185">
        <v>2</v>
      </c>
      <c r="AQ85" s="185">
        <v>2</v>
      </c>
      <c r="AR85" s="185">
        <v>2</v>
      </c>
      <c r="AS85" s="185">
        <v>2</v>
      </c>
      <c r="AT85" s="185">
        <v>2</v>
      </c>
      <c r="AU85" s="185">
        <v>2</v>
      </c>
      <c r="AV85" s="185">
        <v>1</v>
      </c>
      <c r="AW85" s="185">
        <v>1</v>
      </c>
      <c r="AX85" s="185" t="s">
        <v>176</v>
      </c>
      <c r="AY85" s="185" t="s">
        <v>176</v>
      </c>
      <c r="AZ85" s="185" t="s">
        <v>176</v>
      </c>
      <c r="BA85" s="185" t="s">
        <v>176</v>
      </c>
      <c r="BB85" s="185" t="s">
        <v>176</v>
      </c>
      <c r="BC85" s="185" t="s">
        <v>176</v>
      </c>
      <c r="BD85" s="185" t="s">
        <v>176</v>
      </c>
      <c r="BE85" s="185" t="s">
        <v>176</v>
      </c>
      <c r="BF85" s="185" t="s">
        <v>176</v>
      </c>
      <c r="BG85" s="185" t="s">
        <v>176</v>
      </c>
      <c r="BH85" s="185" t="s">
        <v>176</v>
      </c>
      <c r="BI85" s="185" t="s">
        <v>176</v>
      </c>
      <c r="BJ85" s="185" t="s">
        <v>176</v>
      </c>
      <c r="BK85" s="185">
        <v>1</v>
      </c>
      <c r="BL85" s="185">
        <v>2</v>
      </c>
      <c r="BM85" s="185">
        <v>2</v>
      </c>
      <c r="BN85" s="185">
        <v>2</v>
      </c>
      <c r="BO85" s="185">
        <v>2</v>
      </c>
      <c r="BP85" s="185">
        <v>2</v>
      </c>
      <c r="BQ85" s="185">
        <v>2</v>
      </c>
      <c r="BR85" s="185">
        <v>2</v>
      </c>
      <c r="BS85" s="185">
        <v>2</v>
      </c>
      <c r="BT85" s="185">
        <v>1</v>
      </c>
      <c r="BU85" s="185">
        <v>1</v>
      </c>
      <c r="BV85" s="185">
        <v>1</v>
      </c>
      <c r="BW85" s="185">
        <v>1</v>
      </c>
      <c r="BX85" s="185" t="s">
        <v>176</v>
      </c>
      <c r="BY85" s="185" t="s">
        <v>176</v>
      </c>
      <c r="BZ85" s="185" t="s">
        <v>176</v>
      </c>
      <c r="CA85" s="185" t="s">
        <v>176</v>
      </c>
      <c r="CB85" s="185" t="s">
        <v>176</v>
      </c>
      <c r="CC85" s="185" t="s">
        <v>176</v>
      </c>
      <c r="CD85" s="185" t="s">
        <v>176</v>
      </c>
      <c r="CE85" s="185" t="s">
        <v>176</v>
      </c>
      <c r="CF85" s="185" t="s">
        <v>176</v>
      </c>
      <c r="CG85" s="185">
        <v>2</v>
      </c>
      <c r="CH85" s="185" t="s">
        <v>176</v>
      </c>
      <c r="CI85" s="185" t="s">
        <v>176</v>
      </c>
      <c r="CJ85" s="185">
        <v>2</v>
      </c>
      <c r="CK85" s="185">
        <v>1</v>
      </c>
      <c r="CL85" s="185">
        <v>2</v>
      </c>
      <c r="CM85" s="185">
        <v>2</v>
      </c>
      <c r="CN85" s="185">
        <v>2</v>
      </c>
      <c r="CO85" s="185">
        <v>1</v>
      </c>
      <c r="CP85" s="185">
        <v>1</v>
      </c>
      <c r="CQ85" s="185" t="s">
        <v>176</v>
      </c>
      <c r="CR85" s="185" t="s">
        <v>176</v>
      </c>
      <c r="CS85" s="185">
        <v>2</v>
      </c>
      <c r="CT85" s="185">
        <v>2</v>
      </c>
      <c r="CU85" s="185" t="s">
        <v>176</v>
      </c>
      <c r="CV85" s="247" t="s">
        <v>176</v>
      </c>
      <c r="CW85" s="247" t="s">
        <v>176</v>
      </c>
      <c r="CX85" s="247" t="s">
        <v>176</v>
      </c>
      <c r="CY85" s="247" t="s">
        <v>176</v>
      </c>
      <c r="CZ85" s="185" t="s">
        <v>176</v>
      </c>
      <c r="DA85" s="185" t="s">
        <v>176</v>
      </c>
      <c r="DB85" s="185" t="s">
        <v>176</v>
      </c>
      <c r="DC85" s="185" t="s">
        <v>176</v>
      </c>
      <c r="DD85" s="185" t="s">
        <v>176</v>
      </c>
      <c r="DE85" s="185" t="s">
        <v>176</v>
      </c>
      <c r="DF85" s="185" t="s">
        <v>176</v>
      </c>
      <c r="DG85" s="185" t="s">
        <v>176</v>
      </c>
      <c r="DH85" s="185" t="s">
        <v>176</v>
      </c>
      <c r="DI85" s="185" t="s">
        <v>176</v>
      </c>
      <c r="DJ85" s="185" t="s">
        <v>176</v>
      </c>
      <c r="DK85" s="185" t="s">
        <v>176</v>
      </c>
      <c r="DL85" s="185" t="s">
        <v>176</v>
      </c>
      <c r="DM85" s="185" t="s">
        <v>176</v>
      </c>
      <c r="DN85" s="185" t="s">
        <v>176</v>
      </c>
      <c r="DO85" s="185" t="s">
        <v>176</v>
      </c>
      <c r="DP85" s="185" t="s">
        <v>176</v>
      </c>
      <c r="DQ85" s="185" t="s">
        <v>176</v>
      </c>
      <c r="DR85" s="185" t="s">
        <v>176</v>
      </c>
      <c r="DS85" s="185">
        <v>2</v>
      </c>
      <c r="DT85" s="185">
        <v>1</v>
      </c>
      <c r="DU85" s="185">
        <v>1</v>
      </c>
      <c r="DV85" s="185" t="s">
        <v>176</v>
      </c>
      <c r="DW85" s="185">
        <v>2</v>
      </c>
      <c r="DX85" s="185">
        <v>2</v>
      </c>
      <c r="DY85" s="185">
        <v>2</v>
      </c>
      <c r="DZ85" s="185">
        <v>2</v>
      </c>
      <c r="EA85" s="185">
        <v>2</v>
      </c>
      <c r="EB85" s="185">
        <v>2</v>
      </c>
      <c r="EC85" s="185">
        <v>2</v>
      </c>
      <c r="ED85" s="185">
        <v>2</v>
      </c>
      <c r="EE85" s="185">
        <v>1</v>
      </c>
      <c r="EF85" s="185">
        <v>1</v>
      </c>
      <c r="EG85" s="185">
        <v>1</v>
      </c>
      <c r="EH85" s="185">
        <v>1</v>
      </c>
      <c r="EI85" s="185">
        <v>1</v>
      </c>
      <c r="EJ85" s="185">
        <v>1</v>
      </c>
      <c r="EK85" s="185">
        <v>1</v>
      </c>
      <c r="EL85" s="185">
        <v>2</v>
      </c>
      <c r="EM85" s="185">
        <v>1</v>
      </c>
      <c r="EN85" s="185" t="s">
        <v>176</v>
      </c>
      <c r="EO85" s="185" t="s">
        <v>176</v>
      </c>
      <c r="EP85" s="185" t="s">
        <v>176</v>
      </c>
      <c r="EQ85" s="185" t="s">
        <v>176</v>
      </c>
      <c r="ER85" s="185" t="s">
        <v>176</v>
      </c>
      <c r="ES85" s="185" t="s">
        <v>176</v>
      </c>
      <c r="ET85" s="185" t="s">
        <v>176</v>
      </c>
      <c r="EU85" s="185" t="s">
        <v>176</v>
      </c>
      <c r="EV85" s="185" t="s">
        <v>176</v>
      </c>
      <c r="EW85" s="185">
        <v>2</v>
      </c>
      <c r="EX85" s="185">
        <v>2</v>
      </c>
      <c r="EY85" s="185">
        <v>2</v>
      </c>
      <c r="EZ85" s="185">
        <v>2</v>
      </c>
      <c r="FA85" s="185" t="s">
        <v>176</v>
      </c>
      <c r="FB85" s="185">
        <v>1</v>
      </c>
      <c r="FC85" s="185">
        <v>2</v>
      </c>
      <c r="FD85" s="185">
        <v>2</v>
      </c>
      <c r="FE85" s="185">
        <v>2</v>
      </c>
      <c r="FF85" s="185">
        <v>2</v>
      </c>
      <c r="FG85" s="185">
        <v>2</v>
      </c>
      <c r="FH85" s="185">
        <v>2</v>
      </c>
      <c r="FI85" s="185">
        <v>2</v>
      </c>
      <c r="FJ85" s="185">
        <v>1</v>
      </c>
      <c r="FK85" s="185">
        <v>2</v>
      </c>
      <c r="FL85" s="185">
        <v>2</v>
      </c>
      <c r="FM85" s="185">
        <v>2</v>
      </c>
      <c r="FN85" s="185">
        <v>2</v>
      </c>
      <c r="FO85" s="185" t="s">
        <v>176</v>
      </c>
      <c r="FP85" s="185" t="s">
        <v>387</v>
      </c>
      <c r="FQ85" s="185" t="s">
        <v>176</v>
      </c>
      <c r="FR85" s="185" t="s">
        <v>176</v>
      </c>
      <c r="FS85" s="185" t="s">
        <v>176</v>
      </c>
      <c r="FT85" s="185" t="s">
        <v>176</v>
      </c>
      <c r="FU85" s="185" t="s">
        <v>176</v>
      </c>
      <c r="FV85" s="185" t="s">
        <v>176</v>
      </c>
      <c r="FW85" s="185" t="s">
        <v>176</v>
      </c>
      <c r="FX85" s="185" t="s">
        <v>176</v>
      </c>
      <c r="FY85" s="185" t="s">
        <v>176</v>
      </c>
      <c r="FZ85" s="185" t="s">
        <v>387</v>
      </c>
      <c r="GA85" s="185" t="s">
        <v>160</v>
      </c>
      <c r="GB85" s="188" t="s">
        <v>176</v>
      </c>
      <c r="GC85" s="465" t="s">
        <v>176</v>
      </c>
      <c r="GD85" s="462" t="s">
        <v>176</v>
      </c>
      <c r="GE85" s="185" t="s">
        <v>176</v>
      </c>
      <c r="GF85" s="185" t="s">
        <v>176</v>
      </c>
      <c r="GG85" s="185" t="s">
        <v>176</v>
      </c>
      <c r="GH85" s="185" t="s">
        <v>176</v>
      </c>
      <c r="GI85" s="185" t="s">
        <v>176</v>
      </c>
      <c r="GJ85" s="260">
        <f>SUM(D85:FN85)</f>
        <v>145</v>
      </c>
    </row>
    <row r="86" spans="1:192" x14ac:dyDescent="0.25">
      <c r="A86" s="272" t="s">
        <v>181</v>
      </c>
      <c r="B86" s="273" t="s">
        <v>597</v>
      </c>
      <c r="C86" s="276" t="s">
        <v>613</v>
      </c>
      <c r="D86" s="421">
        <v>2</v>
      </c>
      <c r="E86" s="421">
        <v>2</v>
      </c>
      <c r="F86" s="421">
        <v>2</v>
      </c>
      <c r="G86" s="185">
        <v>2</v>
      </c>
      <c r="H86" s="421">
        <v>2</v>
      </c>
      <c r="I86" s="421">
        <v>1</v>
      </c>
      <c r="J86" s="421" t="s">
        <v>176</v>
      </c>
      <c r="K86" s="421" t="s">
        <v>176</v>
      </c>
      <c r="L86" s="421">
        <v>1</v>
      </c>
      <c r="M86" s="421">
        <v>1</v>
      </c>
      <c r="N86" s="421" t="s">
        <v>176</v>
      </c>
      <c r="O86" s="421" t="s">
        <v>176</v>
      </c>
      <c r="P86" s="421" t="s">
        <v>176</v>
      </c>
      <c r="Q86" s="421" t="s">
        <v>176</v>
      </c>
      <c r="R86" s="421" t="s">
        <v>176</v>
      </c>
      <c r="S86" s="421" t="s">
        <v>176</v>
      </c>
      <c r="T86" s="421" t="s">
        <v>176</v>
      </c>
      <c r="U86" s="421" t="s">
        <v>176</v>
      </c>
      <c r="V86" s="421" t="s">
        <v>176</v>
      </c>
      <c r="W86" s="421" t="s">
        <v>176</v>
      </c>
      <c r="X86" s="421" t="s">
        <v>176</v>
      </c>
      <c r="Y86" s="421" t="s">
        <v>176</v>
      </c>
      <c r="Z86" s="421" t="s">
        <v>176</v>
      </c>
      <c r="AA86" s="421" t="s">
        <v>176</v>
      </c>
      <c r="AB86" s="421" t="s">
        <v>176</v>
      </c>
      <c r="AC86" s="421" t="s">
        <v>176</v>
      </c>
      <c r="AD86" s="421" t="s">
        <v>176</v>
      </c>
      <c r="AE86" s="421" t="s">
        <v>176</v>
      </c>
      <c r="AF86" s="421" t="s">
        <v>176</v>
      </c>
      <c r="AG86" s="421" t="s">
        <v>176</v>
      </c>
      <c r="AH86" s="421" t="s">
        <v>176</v>
      </c>
      <c r="AI86" s="185">
        <v>1</v>
      </c>
      <c r="AJ86" s="421" t="s">
        <v>176</v>
      </c>
      <c r="AK86" s="421" t="s">
        <v>176</v>
      </c>
      <c r="AL86" s="421" t="s">
        <v>176</v>
      </c>
      <c r="AM86" s="421" t="s">
        <v>176</v>
      </c>
      <c r="AN86" s="421" t="s">
        <v>176</v>
      </c>
      <c r="AO86" s="421" t="s">
        <v>176</v>
      </c>
      <c r="AP86" s="421" t="s">
        <v>176</v>
      </c>
      <c r="AQ86" s="421" t="s">
        <v>176</v>
      </c>
      <c r="AR86" s="421" t="s">
        <v>176</v>
      </c>
      <c r="AS86" s="421">
        <v>2</v>
      </c>
      <c r="AT86" s="185">
        <v>1</v>
      </c>
      <c r="AU86" s="185">
        <v>1</v>
      </c>
      <c r="AV86" s="421" t="s">
        <v>176</v>
      </c>
      <c r="AW86" s="421" t="s">
        <v>176</v>
      </c>
      <c r="AX86" s="421" t="s">
        <v>176</v>
      </c>
      <c r="AY86" s="421" t="s">
        <v>176</v>
      </c>
      <c r="AZ86" s="421" t="s">
        <v>176</v>
      </c>
      <c r="BA86" s="421" t="s">
        <v>176</v>
      </c>
      <c r="BB86" s="421" t="s">
        <v>176</v>
      </c>
      <c r="BC86" s="421" t="s">
        <v>176</v>
      </c>
      <c r="BD86" s="421" t="s">
        <v>176</v>
      </c>
      <c r="BE86" s="421" t="s">
        <v>176</v>
      </c>
      <c r="BF86" s="421" t="s">
        <v>176</v>
      </c>
      <c r="BG86" s="421" t="s">
        <v>176</v>
      </c>
      <c r="BH86" s="421" t="s">
        <v>176</v>
      </c>
      <c r="BI86" s="421" t="s">
        <v>176</v>
      </c>
      <c r="BJ86" s="421" t="s">
        <v>176</v>
      </c>
      <c r="BK86" s="185" t="s">
        <v>176</v>
      </c>
      <c r="BL86" s="189">
        <v>1</v>
      </c>
      <c r="BM86" s="189">
        <v>1</v>
      </c>
      <c r="BN86" s="189">
        <v>1</v>
      </c>
      <c r="BO86" s="189">
        <v>1</v>
      </c>
      <c r="BP86" s="189">
        <v>1</v>
      </c>
      <c r="BQ86" s="189">
        <v>1</v>
      </c>
      <c r="BR86" s="189">
        <v>1</v>
      </c>
      <c r="BS86" s="421">
        <v>1</v>
      </c>
      <c r="BT86" s="421">
        <v>2</v>
      </c>
      <c r="BU86" s="421" t="s">
        <v>176</v>
      </c>
      <c r="BV86" s="421" t="s">
        <v>176</v>
      </c>
      <c r="BW86" s="421" t="s">
        <v>176</v>
      </c>
      <c r="BX86" s="421" t="s">
        <v>176</v>
      </c>
      <c r="BY86" s="421" t="s">
        <v>176</v>
      </c>
      <c r="BZ86" s="421" t="s">
        <v>176</v>
      </c>
      <c r="CA86" s="421" t="s">
        <v>176</v>
      </c>
      <c r="CB86" s="421" t="s">
        <v>176</v>
      </c>
      <c r="CC86" s="421" t="s">
        <v>176</v>
      </c>
      <c r="CD86" s="421" t="s">
        <v>176</v>
      </c>
      <c r="CE86" s="421" t="s">
        <v>176</v>
      </c>
      <c r="CF86" s="185" t="s">
        <v>176</v>
      </c>
      <c r="CG86" s="185" t="s">
        <v>176</v>
      </c>
      <c r="CH86" s="185" t="s">
        <v>176</v>
      </c>
      <c r="CI86" s="185" t="s">
        <v>176</v>
      </c>
      <c r="CJ86" s="185" t="s">
        <v>176</v>
      </c>
      <c r="CK86" s="185" t="s">
        <v>176</v>
      </c>
      <c r="CL86" s="421">
        <v>2</v>
      </c>
      <c r="CM86" s="421">
        <v>2</v>
      </c>
      <c r="CN86" s="421">
        <v>2</v>
      </c>
      <c r="CO86" s="421" t="s">
        <v>176</v>
      </c>
      <c r="CP86" s="421" t="s">
        <v>176</v>
      </c>
      <c r="CQ86" s="421" t="s">
        <v>176</v>
      </c>
      <c r="CR86" s="421" t="s">
        <v>176</v>
      </c>
      <c r="CS86" s="185">
        <v>2</v>
      </c>
      <c r="CT86" s="185" t="s">
        <v>176</v>
      </c>
      <c r="CU86" s="185" t="s">
        <v>176</v>
      </c>
      <c r="CV86" s="185" t="s">
        <v>176</v>
      </c>
      <c r="CW86" s="185" t="s">
        <v>176</v>
      </c>
      <c r="CX86" s="185" t="s">
        <v>176</v>
      </c>
      <c r="CY86" s="185" t="s">
        <v>176</v>
      </c>
      <c r="CZ86" s="185" t="s">
        <v>176</v>
      </c>
      <c r="DA86" s="185" t="s">
        <v>176</v>
      </c>
      <c r="DB86" s="185" t="s">
        <v>176</v>
      </c>
      <c r="DC86" s="185" t="s">
        <v>176</v>
      </c>
      <c r="DD86" s="185" t="s">
        <v>176</v>
      </c>
      <c r="DE86" s="185" t="s">
        <v>176</v>
      </c>
      <c r="DF86" s="185" t="s">
        <v>176</v>
      </c>
      <c r="DG86" s="185" t="s">
        <v>176</v>
      </c>
      <c r="DH86" s="185" t="s">
        <v>176</v>
      </c>
      <c r="DI86" s="185" t="s">
        <v>176</v>
      </c>
      <c r="DJ86" s="185" t="s">
        <v>176</v>
      </c>
      <c r="DK86" s="185" t="s">
        <v>176</v>
      </c>
      <c r="DL86" s="185" t="s">
        <v>176</v>
      </c>
      <c r="DM86" s="185" t="s">
        <v>176</v>
      </c>
      <c r="DN86" s="185" t="s">
        <v>176</v>
      </c>
      <c r="DO86" s="185" t="s">
        <v>176</v>
      </c>
      <c r="DP86" s="185" t="s">
        <v>176</v>
      </c>
      <c r="DQ86" s="185" t="s">
        <v>176</v>
      </c>
      <c r="DR86" s="185" t="s">
        <v>176</v>
      </c>
      <c r="DS86" s="185" t="s">
        <v>176</v>
      </c>
      <c r="DT86" s="185" t="s">
        <v>176</v>
      </c>
      <c r="DU86" s="185" t="s">
        <v>176</v>
      </c>
      <c r="DV86" s="185" t="s">
        <v>176</v>
      </c>
      <c r="DW86" s="421">
        <v>2</v>
      </c>
      <c r="DX86" s="421">
        <v>2</v>
      </c>
      <c r="DY86" s="421">
        <v>2</v>
      </c>
      <c r="DZ86" s="421">
        <v>2</v>
      </c>
      <c r="EA86" s="421">
        <v>2</v>
      </c>
      <c r="EB86" s="421">
        <v>2</v>
      </c>
      <c r="EC86" s="421">
        <v>2</v>
      </c>
      <c r="ED86" s="421">
        <v>2</v>
      </c>
      <c r="EE86" s="421">
        <v>2</v>
      </c>
      <c r="EF86" s="421">
        <v>2</v>
      </c>
      <c r="EG86" s="421">
        <v>2</v>
      </c>
      <c r="EH86" s="421">
        <v>2</v>
      </c>
      <c r="EI86" s="421">
        <v>2</v>
      </c>
      <c r="EJ86" s="421">
        <v>1</v>
      </c>
      <c r="EK86" s="421">
        <v>2</v>
      </c>
      <c r="EL86" s="421">
        <v>2</v>
      </c>
      <c r="EM86" s="421">
        <v>2</v>
      </c>
      <c r="EN86" s="185" t="s">
        <v>176</v>
      </c>
      <c r="EO86" s="185" t="s">
        <v>176</v>
      </c>
      <c r="EP86" s="185" t="s">
        <v>176</v>
      </c>
      <c r="EQ86" s="185" t="s">
        <v>176</v>
      </c>
      <c r="ER86" s="185" t="s">
        <v>176</v>
      </c>
      <c r="ES86" s="185" t="s">
        <v>176</v>
      </c>
      <c r="ET86" s="185" t="s">
        <v>176</v>
      </c>
      <c r="EU86" s="185" t="s">
        <v>176</v>
      </c>
      <c r="EV86" s="185" t="s">
        <v>176</v>
      </c>
      <c r="EW86" s="421" t="s">
        <v>176</v>
      </c>
      <c r="EX86" s="421" t="s">
        <v>176</v>
      </c>
      <c r="EY86" s="421" t="s">
        <v>176</v>
      </c>
      <c r="EZ86" s="421" t="s">
        <v>176</v>
      </c>
      <c r="FA86" s="421" t="s">
        <v>176</v>
      </c>
      <c r="FB86" s="421">
        <v>1</v>
      </c>
      <c r="FC86" s="185">
        <v>2</v>
      </c>
      <c r="FD86" s="421">
        <v>1</v>
      </c>
      <c r="FE86" s="421">
        <v>1</v>
      </c>
      <c r="FF86" s="421">
        <v>2</v>
      </c>
      <c r="FG86" s="185">
        <v>2</v>
      </c>
      <c r="FH86" s="185">
        <v>2</v>
      </c>
      <c r="FI86" s="421">
        <v>2</v>
      </c>
      <c r="FJ86" s="421" t="s">
        <v>176</v>
      </c>
      <c r="FK86" s="421">
        <v>1</v>
      </c>
      <c r="FL86" s="421" t="s">
        <v>176</v>
      </c>
      <c r="FM86" s="421" t="s">
        <v>176</v>
      </c>
      <c r="FN86" s="421" t="s">
        <v>176</v>
      </c>
      <c r="FO86" s="185" t="s">
        <v>176</v>
      </c>
      <c r="FP86" s="185" t="s">
        <v>176</v>
      </c>
      <c r="FQ86" s="185" t="s">
        <v>176</v>
      </c>
      <c r="FR86" s="185" t="s">
        <v>176</v>
      </c>
      <c r="FS86" s="185" t="s">
        <v>176</v>
      </c>
      <c r="FT86" s="185" t="s">
        <v>176</v>
      </c>
      <c r="FU86" s="185" t="s">
        <v>176</v>
      </c>
      <c r="FV86" s="185" t="s">
        <v>176</v>
      </c>
      <c r="FW86" s="185" t="s">
        <v>176</v>
      </c>
      <c r="FX86" s="185" t="s">
        <v>176</v>
      </c>
      <c r="FY86" s="185" t="s">
        <v>176</v>
      </c>
      <c r="FZ86" s="185" t="s">
        <v>176</v>
      </c>
      <c r="GA86" s="185" t="s">
        <v>176</v>
      </c>
      <c r="GB86" s="188" t="s">
        <v>176</v>
      </c>
      <c r="GC86" s="465" t="s">
        <v>387</v>
      </c>
      <c r="GD86" s="462" t="s">
        <v>387</v>
      </c>
      <c r="GE86" s="185" t="s">
        <v>160</v>
      </c>
      <c r="GF86" s="185" t="s">
        <v>387</v>
      </c>
      <c r="GG86" s="185" t="s">
        <v>160</v>
      </c>
      <c r="GH86" s="185" t="s">
        <v>387</v>
      </c>
      <c r="GI86" s="185" t="s">
        <v>387</v>
      </c>
      <c r="GJ86" s="275">
        <f>SUM(D86:FN86)</f>
        <v>83</v>
      </c>
    </row>
    <row r="87" spans="1:192" ht="25.5" x14ac:dyDescent="0.25">
      <c r="A87" s="288" t="s">
        <v>181</v>
      </c>
      <c r="B87" s="292" t="s">
        <v>742</v>
      </c>
      <c r="C87" s="276" t="s">
        <v>613</v>
      </c>
      <c r="D87" s="185">
        <v>2</v>
      </c>
      <c r="E87" s="185">
        <v>2</v>
      </c>
      <c r="F87" s="185">
        <v>2</v>
      </c>
      <c r="G87" s="185">
        <v>2</v>
      </c>
      <c r="H87" s="185">
        <v>2</v>
      </c>
      <c r="I87" s="185">
        <v>1</v>
      </c>
      <c r="J87" s="185" t="s">
        <v>176</v>
      </c>
      <c r="K87" s="185" t="s">
        <v>176</v>
      </c>
      <c r="L87" s="185">
        <v>1</v>
      </c>
      <c r="M87" s="185">
        <v>1</v>
      </c>
      <c r="N87" s="185" t="s">
        <v>176</v>
      </c>
      <c r="O87" s="185" t="s">
        <v>176</v>
      </c>
      <c r="P87" s="185" t="s">
        <v>176</v>
      </c>
      <c r="Q87" s="185" t="s">
        <v>176</v>
      </c>
      <c r="R87" s="185" t="s">
        <v>176</v>
      </c>
      <c r="S87" s="185" t="s">
        <v>176</v>
      </c>
      <c r="T87" s="185" t="s">
        <v>176</v>
      </c>
      <c r="U87" s="185" t="s">
        <v>176</v>
      </c>
      <c r="V87" s="185" t="s">
        <v>176</v>
      </c>
      <c r="W87" s="185" t="s">
        <v>176</v>
      </c>
      <c r="X87" s="185" t="s">
        <v>176</v>
      </c>
      <c r="Y87" s="185">
        <v>2</v>
      </c>
      <c r="Z87" s="185">
        <v>1</v>
      </c>
      <c r="AA87" s="185">
        <v>1</v>
      </c>
      <c r="AB87" s="185">
        <v>1</v>
      </c>
      <c r="AC87" s="185">
        <v>1</v>
      </c>
      <c r="AD87" s="185" t="s">
        <v>176</v>
      </c>
      <c r="AE87" s="185" t="s">
        <v>176</v>
      </c>
      <c r="AF87" s="185" t="s">
        <v>176</v>
      </c>
      <c r="AG87" s="185" t="s">
        <v>176</v>
      </c>
      <c r="AH87" s="185" t="s">
        <v>176</v>
      </c>
      <c r="AI87" s="185">
        <v>1</v>
      </c>
      <c r="AJ87" s="185" t="s">
        <v>176</v>
      </c>
      <c r="AK87" s="185" t="s">
        <v>176</v>
      </c>
      <c r="AL87" s="185" t="s">
        <v>176</v>
      </c>
      <c r="AM87" s="185" t="s">
        <v>176</v>
      </c>
      <c r="AN87" s="185" t="s">
        <v>176</v>
      </c>
      <c r="AO87" s="185" t="s">
        <v>176</v>
      </c>
      <c r="AP87" s="185" t="s">
        <v>176</v>
      </c>
      <c r="AQ87" s="185" t="s">
        <v>176</v>
      </c>
      <c r="AR87" s="185" t="s">
        <v>176</v>
      </c>
      <c r="AS87" s="185">
        <v>2</v>
      </c>
      <c r="AT87" s="185">
        <v>1</v>
      </c>
      <c r="AU87" s="185">
        <v>1</v>
      </c>
      <c r="AV87" s="185" t="s">
        <v>176</v>
      </c>
      <c r="AW87" s="185" t="s">
        <v>176</v>
      </c>
      <c r="AX87" s="185" t="s">
        <v>176</v>
      </c>
      <c r="AY87" s="185">
        <v>2</v>
      </c>
      <c r="AZ87" s="185" t="s">
        <v>176</v>
      </c>
      <c r="BA87" s="185" t="s">
        <v>176</v>
      </c>
      <c r="BB87" s="185" t="s">
        <v>176</v>
      </c>
      <c r="BC87" s="185" t="s">
        <v>176</v>
      </c>
      <c r="BD87" s="185" t="s">
        <v>176</v>
      </c>
      <c r="BE87" s="185" t="s">
        <v>176</v>
      </c>
      <c r="BF87" s="185" t="s">
        <v>176</v>
      </c>
      <c r="BG87" s="185" t="s">
        <v>176</v>
      </c>
      <c r="BH87" s="185" t="s">
        <v>176</v>
      </c>
      <c r="BI87" s="185" t="s">
        <v>176</v>
      </c>
      <c r="BJ87" s="185" t="s">
        <v>176</v>
      </c>
      <c r="BK87" s="185" t="s">
        <v>176</v>
      </c>
      <c r="BL87" s="185" t="s">
        <v>176</v>
      </c>
      <c r="BM87" s="185" t="s">
        <v>176</v>
      </c>
      <c r="BN87" s="185" t="s">
        <v>176</v>
      </c>
      <c r="BO87" s="185" t="s">
        <v>176</v>
      </c>
      <c r="BP87" s="185" t="s">
        <v>176</v>
      </c>
      <c r="BQ87" s="185" t="s">
        <v>176</v>
      </c>
      <c r="BR87" s="185" t="s">
        <v>176</v>
      </c>
      <c r="BS87" s="185" t="s">
        <v>176</v>
      </c>
      <c r="BT87" s="185" t="s">
        <v>176</v>
      </c>
      <c r="BU87" s="185" t="s">
        <v>176</v>
      </c>
      <c r="BV87" s="185" t="s">
        <v>176</v>
      </c>
      <c r="BW87" s="185" t="s">
        <v>176</v>
      </c>
      <c r="BX87" s="185" t="s">
        <v>176</v>
      </c>
      <c r="BY87" s="185" t="s">
        <v>176</v>
      </c>
      <c r="BZ87" s="185" t="s">
        <v>176</v>
      </c>
      <c r="CA87" s="185" t="s">
        <v>176</v>
      </c>
      <c r="CB87" s="185" t="s">
        <v>176</v>
      </c>
      <c r="CC87" s="185" t="s">
        <v>176</v>
      </c>
      <c r="CD87" s="185" t="s">
        <v>176</v>
      </c>
      <c r="CE87" s="185" t="s">
        <v>176</v>
      </c>
      <c r="CF87" s="185">
        <v>2</v>
      </c>
      <c r="CG87" s="185" t="s">
        <v>176</v>
      </c>
      <c r="CH87" s="185">
        <v>2</v>
      </c>
      <c r="CI87" s="185">
        <v>1</v>
      </c>
      <c r="CJ87" s="185" t="s">
        <v>176</v>
      </c>
      <c r="CK87" s="185">
        <v>2</v>
      </c>
      <c r="CL87" s="185">
        <v>2</v>
      </c>
      <c r="CM87" s="185">
        <v>2</v>
      </c>
      <c r="CN87" s="185" t="s">
        <v>176</v>
      </c>
      <c r="CO87" s="185">
        <v>1</v>
      </c>
      <c r="CP87" s="185" t="s">
        <v>176</v>
      </c>
      <c r="CQ87" s="185">
        <v>1</v>
      </c>
      <c r="CR87" s="185">
        <v>2</v>
      </c>
      <c r="CS87" s="185" t="s">
        <v>176</v>
      </c>
      <c r="CT87" s="185" t="s">
        <v>176</v>
      </c>
      <c r="CU87" s="189" t="s">
        <v>176</v>
      </c>
      <c r="CV87" s="189" t="s">
        <v>176</v>
      </c>
      <c r="CW87" s="189" t="s">
        <v>176</v>
      </c>
      <c r="CX87" s="189" t="s">
        <v>176</v>
      </c>
      <c r="CY87" s="185" t="s">
        <v>176</v>
      </c>
      <c r="CZ87" s="185" t="s">
        <v>176</v>
      </c>
      <c r="DA87" s="185" t="s">
        <v>176</v>
      </c>
      <c r="DB87" s="185" t="s">
        <v>176</v>
      </c>
      <c r="DC87" s="185" t="s">
        <v>176</v>
      </c>
      <c r="DD87" s="185" t="s">
        <v>176</v>
      </c>
      <c r="DE87" s="185" t="s">
        <v>176</v>
      </c>
      <c r="DF87" s="185" t="s">
        <v>176</v>
      </c>
      <c r="DG87" s="185" t="s">
        <v>176</v>
      </c>
      <c r="DH87" s="185" t="s">
        <v>176</v>
      </c>
      <c r="DI87" s="185" t="s">
        <v>176</v>
      </c>
      <c r="DJ87" s="185" t="s">
        <v>176</v>
      </c>
      <c r="DK87" s="185" t="s">
        <v>176</v>
      </c>
      <c r="DL87" s="185" t="s">
        <v>176</v>
      </c>
      <c r="DM87" s="185" t="s">
        <v>176</v>
      </c>
      <c r="DN87" s="185" t="s">
        <v>176</v>
      </c>
      <c r="DO87" s="185" t="s">
        <v>176</v>
      </c>
      <c r="DP87" s="185" t="s">
        <v>176</v>
      </c>
      <c r="DQ87" s="185" t="s">
        <v>176</v>
      </c>
      <c r="DR87" s="185" t="s">
        <v>176</v>
      </c>
      <c r="DS87" s="185" t="s">
        <v>176</v>
      </c>
      <c r="DT87" s="185" t="s">
        <v>176</v>
      </c>
      <c r="DU87" s="185" t="s">
        <v>176</v>
      </c>
      <c r="DV87" s="185">
        <v>1</v>
      </c>
      <c r="DW87" s="185">
        <v>1</v>
      </c>
      <c r="DX87" s="185">
        <v>1</v>
      </c>
      <c r="DY87" s="185">
        <v>1</v>
      </c>
      <c r="DZ87" s="185">
        <v>1</v>
      </c>
      <c r="EA87" s="185">
        <v>1</v>
      </c>
      <c r="EB87" s="185">
        <v>1</v>
      </c>
      <c r="EC87" s="185">
        <v>1</v>
      </c>
      <c r="ED87" s="185" t="s">
        <v>176</v>
      </c>
      <c r="EE87" s="185" t="s">
        <v>176</v>
      </c>
      <c r="EF87" s="185" t="s">
        <v>176</v>
      </c>
      <c r="EG87" s="185" t="s">
        <v>176</v>
      </c>
      <c r="EH87" s="185" t="s">
        <v>176</v>
      </c>
      <c r="EI87" s="185" t="s">
        <v>176</v>
      </c>
      <c r="EJ87" s="185" t="s">
        <v>176</v>
      </c>
      <c r="EK87" s="185" t="s">
        <v>176</v>
      </c>
      <c r="EL87" s="421">
        <v>2</v>
      </c>
      <c r="EM87" s="185" t="s">
        <v>176</v>
      </c>
      <c r="EN87" s="185" t="s">
        <v>176</v>
      </c>
      <c r="EO87" s="185" t="s">
        <v>176</v>
      </c>
      <c r="EP87" s="185" t="s">
        <v>176</v>
      </c>
      <c r="EQ87" s="185" t="s">
        <v>176</v>
      </c>
      <c r="ER87" s="185" t="s">
        <v>176</v>
      </c>
      <c r="ES87" s="185" t="s">
        <v>176</v>
      </c>
      <c r="ET87" s="185" t="s">
        <v>176</v>
      </c>
      <c r="EU87" s="185" t="s">
        <v>176</v>
      </c>
      <c r="EV87" s="185">
        <v>2</v>
      </c>
      <c r="EW87" s="185">
        <v>2</v>
      </c>
      <c r="EX87" s="185">
        <v>2</v>
      </c>
      <c r="EY87" s="185" t="s">
        <v>176</v>
      </c>
      <c r="EZ87" s="185" t="s">
        <v>176</v>
      </c>
      <c r="FA87" s="185">
        <v>2</v>
      </c>
      <c r="FB87" s="185">
        <v>2</v>
      </c>
      <c r="FC87" s="185">
        <v>2</v>
      </c>
      <c r="FD87" s="185">
        <v>2</v>
      </c>
      <c r="FE87" s="185">
        <v>2</v>
      </c>
      <c r="FF87" s="185">
        <v>2</v>
      </c>
      <c r="FG87" s="185">
        <v>2</v>
      </c>
      <c r="FH87" s="185">
        <v>2</v>
      </c>
      <c r="FI87" s="185">
        <v>1</v>
      </c>
      <c r="FJ87" s="185">
        <v>2</v>
      </c>
      <c r="FK87" s="185">
        <v>2</v>
      </c>
      <c r="FL87" s="185">
        <v>2</v>
      </c>
      <c r="FM87" s="185">
        <v>1</v>
      </c>
      <c r="FN87" s="185" t="s">
        <v>176</v>
      </c>
      <c r="FO87" s="185" t="s">
        <v>176</v>
      </c>
      <c r="FP87" s="185" t="s">
        <v>176</v>
      </c>
      <c r="FQ87" s="185" t="s">
        <v>176</v>
      </c>
      <c r="FR87" s="185" t="s">
        <v>176</v>
      </c>
      <c r="FS87" s="185" t="s">
        <v>176</v>
      </c>
      <c r="FT87" s="185" t="s">
        <v>176</v>
      </c>
      <c r="FU87" s="185" t="s">
        <v>176</v>
      </c>
      <c r="FV87" s="185" t="s">
        <v>176</v>
      </c>
      <c r="FW87" s="185" t="s">
        <v>176</v>
      </c>
      <c r="FX87" s="185" t="s">
        <v>176</v>
      </c>
      <c r="FY87" s="185" t="s">
        <v>176</v>
      </c>
      <c r="FZ87" s="185" t="s">
        <v>176</v>
      </c>
      <c r="GA87" s="185" t="s">
        <v>176</v>
      </c>
      <c r="GB87" s="188" t="s">
        <v>176</v>
      </c>
      <c r="GC87" s="465" t="s">
        <v>176</v>
      </c>
      <c r="GD87" s="462" t="s">
        <v>176</v>
      </c>
      <c r="GE87" s="185" t="s">
        <v>176</v>
      </c>
      <c r="GF87" s="185" t="s">
        <v>176</v>
      </c>
      <c r="GG87" s="185" t="s">
        <v>176</v>
      </c>
      <c r="GH87" s="185" t="s">
        <v>176</v>
      </c>
      <c r="GI87" s="185" t="s">
        <v>176</v>
      </c>
      <c r="GJ87" s="291">
        <v>79</v>
      </c>
    </row>
    <row r="88" spans="1:192" ht="25.5" x14ac:dyDescent="0.25">
      <c r="A88" s="288" t="s">
        <v>181</v>
      </c>
      <c r="B88" s="292" t="s">
        <v>579</v>
      </c>
      <c r="C88" s="276" t="s">
        <v>613</v>
      </c>
      <c r="D88" s="185">
        <v>2</v>
      </c>
      <c r="E88" s="185">
        <v>2</v>
      </c>
      <c r="F88" s="185">
        <v>2</v>
      </c>
      <c r="G88" s="185">
        <v>2</v>
      </c>
      <c r="H88" s="185">
        <v>2</v>
      </c>
      <c r="I88" s="185">
        <v>1</v>
      </c>
      <c r="J88" s="185" t="s">
        <v>176</v>
      </c>
      <c r="K88" s="185" t="s">
        <v>176</v>
      </c>
      <c r="L88" s="185">
        <v>1</v>
      </c>
      <c r="M88" s="185">
        <v>1</v>
      </c>
      <c r="N88" s="185" t="s">
        <v>176</v>
      </c>
      <c r="O88" s="185" t="s">
        <v>176</v>
      </c>
      <c r="P88" s="185" t="s">
        <v>176</v>
      </c>
      <c r="Q88" s="185" t="s">
        <v>176</v>
      </c>
      <c r="R88" s="185" t="s">
        <v>176</v>
      </c>
      <c r="S88" s="185" t="s">
        <v>176</v>
      </c>
      <c r="T88" s="185" t="s">
        <v>176</v>
      </c>
      <c r="U88" s="185" t="s">
        <v>176</v>
      </c>
      <c r="V88" s="185" t="s">
        <v>176</v>
      </c>
      <c r="W88" s="185" t="s">
        <v>176</v>
      </c>
      <c r="X88" s="185" t="s">
        <v>176</v>
      </c>
      <c r="Y88" s="185">
        <v>2</v>
      </c>
      <c r="Z88" s="185">
        <v>1</v>
      </c>
      <c r="AA88" s="185">
        <v>1</v>
      </c>
      <c r="AB88" s="185">
        <v>1</v>
      </c>
      <c r="AC88" s="185">
        <v>1</v>
      </c>
      <c r="AD88" s="185" t="s">
        <v>176</v>
      </c>
      <c r="AE88" s="185" t="s">
        <v>176</v>
      </c>
      <c r="AF88" s="185" t="s">
        <v>176</v>
      </c>
      <c r="AG88" s="185" t="s">
        <v>176</v>
      </c>
      <c r="AH88" s="185" t="s">
        <v>176</v>
      </c>
      <c r="AI88" s="185">
        <v>1</v>
      </c>
      <c r="AJ88" s="185" t="s">
        <v>176</v>
      </c>
      <c r="AK88" s="185" t="s">
        <v>176</v>
      </c>
      <c r="AL88" s="185" t="s">
        <v>176</v>
      </c>
      <c r="AM88" s="185" t="s">
        <v>176</v>
      </c>
      <c r="AN88" s="185" t="s">
        <v>176</v>
      </c>
      <c r="AO88" s="185" t="s">
        <v>176</v>
      </c>
      <c r="AP88" s="185" t="s">
        <v>176</v>
      </c>
      <c r="AQ88" s="185" t="s">
        <v>176</v>
      </c>
      <c r="AR88" s="185" t="s">
        <v>176</v>
      </c>
      <c r="AS88" s="185">
        <v>2</v>
      </c>
      <c r="AT88" s="185">
        <v>1</v>
      </c>
      <c r="AU88" s="185">
        <v>1</v>
      </c>
      <c r="AV88" s="185" t="s">
        <v>176</v>
      </c>
      <c r="AW88" s="185" t="s">
        <v>176</v>
      </c>
      <c r="AX88" s="185" t="s">
        <v>176</v>
      </c>
      <c r="AY88" s="185">
        <v>2</v>
      </c>
      <c r="AZ88" s="185" t="s">
        <v>176</v>
      </c>
      <c r="BA88" s="185" t="s">
        <v>176</v>
      </c>
      <c r="BB88" s="185" t="s">
        <v>176</v>
      </c>
      <c r="BC88" s="185" t="s">
        <v>176</v>
      </c>
      <c r="BD88" s="290" t="s">
        <v>176</v>
      </c>
      <c r="BE88" s="185" t="s">
        <v>176</v>
      </c>
      <c r="BF88" s="185" t="s">
        <v>176</v>
      </c>
      <c r="BG88" s="185" t="s">
        <v>176</v>
      </c>
      <c r="BH88" s="185" t="s">
        <v>176</v>
      </c>
      <c r="BI88" s="185" t="s">
        <v>176</v>
      </c>
      <c r="BJ88" s="185" t="s">
        <v>176</v>
      </c>
      <c r="BK88" s="185" t="s">
        <v>176</v>
      </c>
      <c r="BL88" s="185" t="s">
        <v>176</v>
      </c>
      <c r="BM88" s="185" t="s">
        <v>176</v>
      </c>
      <c r="BN88" s="185" t="s">
        <v>176</v>
      </c>
      <c r="BO88" s="185" t="s">
        <v>176</v>
      </c>
      <c r="BP88" s="185" t="s">
        <v>176</v>
      </c>
      <c r="BQ88" s="185" t="s">
        <v>176</v>
      </c>
      <c r="BR88" s="185" t="s">
        <v>176</v>
      </c>
      <c r="BS88" s="185" t="s">
        <v>176</v>
      </c>
      <c r="BT88" s="185" t="s">
        <v>176</v>
      </c>
      <c r="BU88" s="185" t="s">
        <v>176</v>
      </c>
      <c r="BV88" s="185" t="s">
        <v>176</v>
      </c>
      <c r="BW88" s="185" t="s">
        <v>176</v>
      </c>
      <c r="BX88" s="185" t="s">
        <v>176</v>
      </c>
      <c r="BY88" s="185" t="s">
        <v>176</v>
      </c>
      <c r="BZ88" s="185" t="s">
        <v>176</v>
      </c>
      <c r="CA88" s="185" t="s">
        <v>176</v>
      </c>
      <c r="CB88" s="185" t="s">
        <v>176</v>
      </c>
      <c r="CC88" s="185" t="s">
        <v>176</v>
      </c>
      <c r="CD88" s="185" t="s">
        <v>176</v>
      </c>
      <c r="CE88" s="185" t="s">
        <v>176</v>
      </c>
      <c r="CF88" s="185" t="s">
        <v>176</v>
      </c>
      <c r="CG88" s="185">
        <v>2</v>
      </c>
      <c r="CH88" s="185" t="s">
        <v>176</v>
      </c>
      <c r="CI88" s="185">
        <v>2</v>
      </c>
      <c r="CJ88" s="185">
        <v>1</v>
      </c>
      <c r="CK88" s="185" t="s">
        <v>176</v>
      </c>
      <c r="CL88" s="185">
        <v>2</v>
      </c>
      <c r="CM88" s="185">
        <v>2</v>
      </c>
      <c r="CN88" s="185">
        <v>2</v>
      </c>
      <c r="CO88" s="185" t="s">
        <v>176</v>
      </c>
      <c r="CP88" s="185">
        <v>1</v>
      </c>
      <c r="CQ88" s="185" t="s">
        <v>176</v>
      </c>
      <c r="CR88" s="185">
        <v>1</v>
      </c>
      <c r="CS88" s="185">
        <v>2</v>
      </c>
      <c r="CT88" s="185" t="s">
        <v>176</v>
      </c>
      <c r="CU88" s="185" t="s">
        <v>176</v>
      </c>
      <c r="CV88" s="189" t="s">
        <v>176</v>
      </c>
      <c r="CW88" s="189" t="s">
        <v>176</v>
      </c>
      <c r="CX88" s="189" t="s">
        <v>176</v>
      </c>
      <c r="CY88" s="189" t="s">
        <v>176</v>
      </c>
      <c r="CZ88" s="185" t="s">
        <v>176</v>
      </c>
      <c r="DA88" s="185" t="s">
        <v>176</v>
      </c>
      <c r="DB88" s="185" t="s">
        <v>176</v>
      </c>
      <c r="DC88" s="185" t="s">
        <v>176</v>
      </c>
      <c r="DD88" s="185" t="s">
        <v>176</v>
      </c>
      <c r="DE88" s="185" t="s">
        <v>176</v>
      </c>
      <c r="DF88" s="185" t="s">
        <v>176</v>
      </c>
      <c r="DG88" s="185" t="s">
        <v>176</v>
      </c>
      <c r="DH88" s="185" t="s">
        <v>176</v>
      </c>
      <c r="DI88" s="185" t="s">
        <v>176</v>
      </c>
      <c r="DJ88" s="185" t="s">
        <v>176</v>
      </c>
      <c r="DK88" s="185" t="s">
        <v>176</v>
      </c>
      <c r="DL88" s="185" t="s">
        <v>176</v>
      </c>
      <c r="DM88" s="185" t="s">
        <v>176</v>
      </c>
      <c r="DN88" s="185" t="s">
        <v>176</v>
      </c>
      <c r="DO88" s="185" t="s">
        <v>176</v>
      </c>
      <c r="DP88" s="185" t="s">
        <v>176</v>
      </c>
      <c r="DQ88" s="185" t="s">
        <v>176</v>
      </c>
      <c r="DR88" s="185" t="s">
        <v>176</v>
      </c>
      <c r="DS88" s="185" t="s">
        <v>176</v>
      </c>
      <c r="DT88" s="185" t="s">
        <v>176</v>
      </c>
      <c r="DU88" s="185" t="s">
        <v>176</v>
      </c>
      <c r="DV88" s="185" t="s">
        <v>176</v>
      </c>
      <c r="DW88" s="185">
        <v>1</v>
      </c>
      <c r="DX88" s="185">
        <v>1</v>
      </c>
      <c r="DY88" s="185">
        <v>1</v>
      </c>
      <c r="DZ88" s="185">
        <v>1</v>
      </c>
      <c r="EA88" s="185">
        <v>1</v>
      </c>
      <c r="EB88" s="185">
        <v>1</v>
      </c>
      <c r="EC88" s="185">
        <v>1</v>
      </c>
      <c r="ED88" s="185">
        <v>1</v>
      </c>
      <c r="EE88" s="185">
        <v>1</v>
      </c>
      <c r="EF88" s="185">
        <v>1</v>
      </c>
      <c r="EG88" s="185">
        <v>1</v>
      </c>
      <c r="EH88" s="185">
        <v>1</v>
      </c>
      <c r="EI88" s="185" t="s">
        <v>176</v>
      </c>
      <c r="EJ88" s="185" t="s">
        <v>176</v>
      </c>
      <c r="EK88" s="185" t="s">
        <v>176</v>
      </c>
      <c r="EL88" s="185" t="s">
        <v>176</v>
      </c>
      <c r="EM88" s="421">
        <v>2</v>
      </c>
      <c r="EN88" s="185" t="s">
        <v>176</v>
      </c>
      <c r="EO88" s="185" t="s">
        <v>176</v>
      </c>
      <c r="EP88" s="185" t="s">
        <v>176</v>
      </c>
      <c r="EQ88" s="185" t="s">
        <v>176</v>
      </c>
      <c r="ER88" s="185" t="s">
        <v>176</v>
      </c>
      <c r="ES88" s="185" t="s">
        <v>176</v>
      </c>
      <c r="ET88" s="185" t="s">
        <v>176</v>
      </c>
      <c r="EU88" s="185" t="s">
        <v>176</v>
      </c>
      <c r="EV88" s="185" t="s">
        <v>176</v>
      </c>
      <c r="EW88" s="185">
        <v>2</v>
      </c>
      <c r="EX88" s="185">
        <v>2</v>
      </c>
      <c r="EY88" s="185">
        <v>2</v>
      </c>
      <c r="EZ88" s="185" t="s">
        <v>176</v>
      </c>
      <c r="FA88" s="185" t="s">
        <v>176</v>
      </c>
      <c r="FB88" s="185">
        <v>2</v>
      </c>
      <c r="FC88" s="185">
        <v>2</v>
      </c>
      <c r="FD88" s="185">
        <v>2</v>
      </c>
      <c r="FE88" s="185">
        <v>2</v>
      </c>
      <c r="FF88" s="185">
        <v>2</v>
      </c>
      <c r="FG88" s="185">
        <v>2</v>
      </c>
      <c r="FH88" s="185">
        <v>2</v>
      </c>
      <c r="FI88" s="185">
        <v>2</v>
      </c>
      <c r="FJ88" s="185">
        <v>1</v>
      </c>
      <c r="FK88" s="185">
        <v>2</v>
      </c>
      <c r="FL88" s="185">
        <v>2</v>
      </c>
      <c r="FM88" s="185">
        <v>2</v>
      </c>
      <c r="FN88" s="185" t="s">
        <v>176</v>
      </c>
      <c r="FO88" s="185" t="s">
        <v>176</v>
      </c>
      <c r="FP88" s="185" t="s">
        <v>176</v>
      </c>
      <c r="FQ88" s="185" t="s">
        <v>176</v>
      </c>
      <c r="FR88" s="185" t="s">
        <v>176</v>
      </c>
      <c r="FS88" s="185" t="s">
        <v>176</v>
      </c>
      <c r="FT88" s="185" t="s">
        <v>176</v>
      </c>
      <c r="FU88" s="185" t="s">
        <v>176</v>
      </c>
      <c r="FV88" s="185" t="s">
        <v>176</v>
      </c>
      <c r="FW88" s="185" t="s">
        <v>176</v>
      </c>
      <c r="FX88" s="185" t="s">
        <v>176</v>
      </c>
      <c r="FY88" s="185" t="s">
        <v>176</v>
      </c>
      <c r="FZ88" s="185" t="s">
        <v>176</v>
      </c>
      <c r="GA88" s="185" t="s">
        <v>176</v>
      </c>
      <c r="GB88" s="188" t="s">
        <v>176</v>
      </c>
      <c r="GC88" s="465" t="s">
        <v>176</v>
      </c>
      <c r="GD88" s="462" t="s">
        <v>176</v>
      </c>
      <c r="GE88" s="185" t="s">
        <v>176</v>
      </c>
      <c r="GF88" s="185" t="s">
        <v>176</v>
      </c>
      <c r="GG88" s="185" t="s">
        <v>176</v>
      </c>
      <c r="GH88" s="185" t="s">
        <v>176</v>
      </c>
      <c r="GI88" s="185" t="s">
        <v>176</v>
      </c>
      <c r="GJ88" s="291">
        <f>SUM(D88:FN88)</f>
        <v>84</v>
      </c>
    </row>
    <row r="89" spans="1:192" x14ac:dyDescent="0.25">
      <c r="A89" s="272" t="s">
        <v>181</v>
      </c>
      <c r="B89" s="273" t="s">
        <v>731</v>
      </c>
      <c r="C89" s="276" t="s">
        <v>613</v>
      </c>
      <c r="D89" s="189">
        <v>2</v>
      </c>
      <c r="E89" s="189">
        <v>2</v>
      </c>
      <c r="F89" s="189">
        <v>2</v>
      </c>
      <c r="G89" s="185">
        <v>2</v>
      </c>
      <c r="H89" s="189">
        <v>2</v>
      </c>
      <c r="I89" s="189">
        <v>1</v>
      </c>
      <c r="J89" s="189" t="s">
        <v>176</v>
      </c>
      <c r="K89" s="189" t="s">
        <v>176</v>
      </c>
      <c r="L89" s="189">
        <v>2</v>
      </c>
      <c r="M89" s="189">
        <v>1</v>
      </c>
      <c r="N89" s="189" t="s">
        <v>176</v>
      </c>
      <c r="O89" s="189" t="s">
        <v>176</v>
      </c>
      <c r="P89" s="189">
        <v>1</v>
      </c>
      <c r="Q89" s="189">
        <v>1</v>
      </c>
      <c r="R89" s="189" t="s">
        <v>176</v>
      </c>
      <c r="S89" s="189" t="s">
        <v>176</v>
      </c>
      <c r="T89" s="189" t="s">
        <v>176</v>
      </c>
      <c r="U89" s="189" t="s">
        <v>176</v>
      </c>
      <c r="V89" s="189" t="s">
        <v>176</v>
      </c>
      <c r="W89" s="281" t="s">
        <v>176</v>
      </c>
      <c r="X89" s="281" t="s">
        <v>176</v>
      </c>
      <c r="Y89" s="189">
        <v>2</v>
      </c>
      <c r="Z89" s="189">
        <v>1</v>
      </c>
      <c r="AA89" s="189">
        <v>1</v>
      </c>
      <c r="AB89" s="189">
        <v>1</v>
      </c>
      <c r="AC89" s="189">
        <v>1</v>
      </c>
      <c r="AD89" s="189" t="s">
        <v>176</v>
      </c>
      <c r="AE89" s="189" t="s">
        <v>176</v>
      </c>
      <c r="AF89" s="189" t="s">
        <v>176</v>
      </c>
      <c r="AG89" s="189" t="s">
        <v>176</v>
      </c>
      <c r="AH89" s="189" t="s">
        <v>176</v>
      </c>
      <c r="AI89" s="185">
        <v>2</v>
      </c>
      <c r="AJ89" s="189">
        <v>2</v>
      </c>
      <c r="AK89" s="189" t="s">
        <v>176</v>
      </c>
      <c r="AL89" s="189" t="s">
        <v>176</v>
      </c>
      <c r="AM89" s="189" t="s">
        <v>176</v>
      </c>
      <c r="AN89" s="189" t="s">
        <v>176</v>
      </c>
      <c r="AO89" s="189" t="s">
        <v>176</v>
      </c>
      <c r="AP89" s="189">
        <v>1</v>
      </c>
      <c r="AQ89" s="189">
        <v>1</v>
      </c>
      <c r="AR89" s="185" t="s">
        <v>176</v>
      </c>
      <c r="AS89" s="189">
        <v>3</v>
      </c>
      <c r="AT89" s="185">
        <v>1</v>
      </c>
      <c r="AU89" s="185">
        <v>1</v>
      </c>
      <c r="AV89" s="189" t="s">
        <v>176</v>
      </c>
      <c r="AW89" s="189" t="s">
        <v>176</v>
      </c>
      <c r="AX89" s="189" t="s">
        <v>176</v>
      </c>
      <c r="AY89" s="189">
        <v>2</v>
      </c>
      <c r="AZ89" s="189" t="s">
        <v>176</v>
      </c>
      <c r="BA89" s="189" t="s">
        <v>176</v>
      </c>
      <c r="BB89" s="281" t="s">
        <v>176</v>
      </c>
      <c r="BC89" s="281" t="s">
        <v>176</v>
      </c>
      <c r="BD89" s="281"/>
      <c r="BE89" s="281" t="s">
        <v>176</v>
      </c>
      <c r="BF89" s="281" t="s">
        <v>176</v>
      </c>
      <c r="BG89" s="281" t="s">
        <v>176</v>
      </c>
      <c r="BH89" s="281" t="s">
        <v>176</v>
      </c>
      <c r="BI89" s="281" t="s">
        <v>176</v>
      </c>
      <c r="BJ89" s="281" t="s">
        <v>176</v>
      </c>
      <c r="BK89" s="189">
        <v>1</v>
      </c>
      <c r="BL89" s="189">
        <v>2</v>
      </c>
      <c r="BM89" s="189">
        <v>2</v>
      </c>
      <c r="BN89" s="189">
        <v>2</v>
      </c>
      <c r="BO89" s="189">
        <v>2</v>
      </c>
      <c r="BP89" s="189">
        <v>2</v>
      </c>
      <c r="BQ89" s="189">
        <v>2</v>
      </c>
      <c r="BR89" s="189">
        <v>2</v>
      </c>
      <c r="BS89" s="189">
        <v>2</v>
      </c>
      <c r="BT89" s="189">
        <v>2</v>
      </c>
      <c r="BU89" s="189" t="s">
        <v>176</v>
      </c>
      <c r="BV89" s="189" t="s">
        <v>176</v>
      </c>
      <c r="BW89" s="189" t="s">
        <v>176</v>
      </c>
      <c r="BX89" s="189" t="s">
        <v>176</v>
      </c>
      <c r="BY89" s="189" t="s">
        <v>176</v>
      </c>
      <c r="BZ89" s="189" t="s">
        <v>176</v>
      </c>
      <c r="CA89" s="189" t="s">
        <v>176</v>
      </c>
      <c r="CB89" s="189" t="s">
        <v>176</v>
      </c>
      <c r="CC89" s="189" t="s">
        <v>176</v>
      </c>
      <c r="CD89" s="189" t="s">
        <v>176</v>
      </c>
      <c r="CE89" s="189" t="s">
        <v>176</v>
      </c>
      <c r="CF89" s="189" t="s">
        <v>176</v>
      </c>
      <c r="CG89" s="189">
        <v>2</v>
      </c>
      <c r="CH89" s="189" t="s">
        <v>176</v>
      </c>
      <c r="CI89" s="189" t="s">
        <v>176</v>
      </c>
      <c r="CJ89" s="189">
        <v>1</v>
      </c>
      <c r="CK89" s="185" t="s">
        <v>176</v>
      </c>
      <c r="CL89" s="189">
        <v>2</v>
      </c>
      <c r="CM89" s="189">
        <v>2</v>
      </c>
      <c r="CN89" s="189">
        <v>2</v>
      </c>
      <c r="CO89" s="189" t="s">
        <v>176</v>
      </c>
      <c r="CP89" s="189">
        <v>1</v>
      </c>
      <c r="CQ89" s="281" t="s">
        <v>176</v>
      </c>
      <c r="CR89" s="189" t="s">
        <v>176</v>
      </c>
      <c r="CS89" s="189">
        <v>2</v>
      </c>
      <c r="CT89" s="189">
        <v>1</v>
      </c>
      <c r="CU89" s="189" t="s">
        <v>176</v>
      </c>
      <c r="CV89" s="185" t="s">
        <v>176</v>
      </c>
      <c r="CW89" s="185" t="s">
        <v>176</v>
      </c>
      <c r="CX89" s="185" t="s">
        <v>176</v>
      </c>
      <c r="CY89" s="185" t="s">
        <v>176</v>
      </c>
      <c r="CZ89" s="189" t="s">
        <v>176</v>
      </c>
      <c r="DA89" s="185" t="s">
        <v>176</v>
      </c>
      <c r="DB89" s="189" t="s">
        <v>176</v>
      </c>
      <c r="DC89" s="185" t="s">
        <v>176</v>
      </c>
      <c r="DD89" s="189" t="s">
        <v>176</v>
      </c>
      <c r="DE89" s="185" t="s">
        <v>176</v>
      </c>
      <c r="DF89" s="185" t="s">
        <v>176</v>
      </c>
      <c r="DG89" s="185" t="s">
        <v>176</v>
      </c>
      <c r="DH89" s="185" t="s">
        <v>176</v>
      </c>
      <c r="DI89" s="185" t="s">
        <v>176</v>
      </c>
      <c r="DJ89" s="185" t="s">
        <v>176</v>
      </c>
      <c r="DK89" s="185" t="s">
        <v>176</v>
      </c>
      <c r="DL89" s="185" t="s">
        <v>176</v>
      </c>
      <c r="DM89" s="185" t="s">
        <v>176</v>
      </c>
      <c r="DN89" s="185" t="s">
        <v>176</v>
      </c>
      <c r="DO89" s="185" t="s">
        <v>176</v>
      </c>
      <c r="DP89" s="185" t="s">
        <v>176</v>
      </c>
      <c r="DQ89" s="185" t="s">
        <v>176</v>
      </c>
      <c r="DR89" s="185" t="s">
        <v>176</v>
      </c>
      <c r="DS89" s="189">
        <v>1</v>
      </c>
      <c r="DT89" s="189" t="s">
        <v>176</v>
      </c>
      <c r="DU89" s="189" t="s">
        <v>176</v>
      </c>
      <c r="DV89" s="189" t="s">
        <v>176</v>
      </c>
      <c r="DW89" s="189">
        <v>3</v>
      </c>
      <c r="DX89" s="189">
        <v>3</v>
      </c>
      <c r="DY89" s="189">
        <v>3</v>
      </c>
      <c r="DZ89" s="189">
        <v>3</v>
      </c>
      <c r="EA89" s="189">
        <v>3</v>
      </c>
      <c r="EB89" s="189">
        <v>3</v>
      </c>
      <c r="EC89" s="189">
        <v>3</v>
      </c>
      <c r="ED89" s="189">
        <v>2</v>
      </c>
      <c r="EE89" s="189">
        <v>2</v>
      </c>
      <c r="EF89" s="189">
        <v>2</v>
      </c>
      <c r="EG89" s="189">
        <v>2</v>
      </c>
      <c r="EH89" s="189">
        <v>2</v>
      </c>
      <c r="EI89" s="189">
        <v>3</v>
      </c>
      <c r="EJ89" s="189">
        <v>2</v>
      </c>
      <c r="EK89" s="189">
        <v>3</v>
      </c>
      <c r="EL89" s="189">
        <v>3</v>
      </c>
      <c r="EM89" s="421">
        <v>2</v>
      </c>
      <c r="EN89" s="189" t="s">
        <v>176</v>
      </c>
      <c r="EO89" s="189" t="s">
        <v>176</v>
      </c>
      <c r="EP89" s="189" t="s">
        <v>176</v>
      </c>
      <c r="EQ89" s="189" t="s">
        <v>176</v>
      </c>
      <c r="ER89" s="189" t="s">
        <v>176</v>
      </c>
      <c r="ES89" s="189" t="s">
        <v>176</v>
      </c>
      <c r="ET89" s="189" t="s">
        <v>176</v>
      </c>
      <c r="EU89" s="185" t="s">
        <v>176</v>
      </c>
      <c r="EV89" s="189" t="s">
        <v>176</v>
      </c>
      <c r="EW89" s="189">
        <v>2</v>
      </c>
      <c r="EX89" s="189">
        <v>2</v>
      </c>
      <c r="EY89" s="189">
        <v>2</v>
      </c>
      <c r="EZ89" s="185">
        <v>1</v>
      </c>
      <c r="FA89" s="189" t="s">
        <v>176</v>
      </c>
      <c r="FB89" s="189">
        <v>2</v>
      </c>
      <c r="FC89" s="189">
        <v>2</v>
      </c>
      <c r="FD89" s="189">
        <v>2</v>
      </c>
      <c r="FE89" s="189">
        <v>2</v>
      </c>
      <c r="FF89" s="189">
        <v>2</v>
      </c>
      <c r="FG89" s="189">
        <v>3</v>
      </c>
      <c r="FH89" s="185">
        <v>2</v>
      </c>
      <c r="FI89" s="189">
        <v>3</v>
      </c>
      <c r="FJ89" s="189">
        <v>1</v>
      </c>
      <c r="FK89" s="189">
        <v>2</v>
      </c>
      <c r="FL89" s="189">
        <v>2</v>
      </c>
      <c r="FM89" s="189">
        <v>2</v>
      </c>
      <c r="FN89" s="189">
        <v>2</v>
      </c>
      <c r="FO89" s="189" t="s">
        <v>176</v>
      </c>
      <c r="FP89" s="189" t="s">
        <v>176</v>
      </c>
      <c r="FQ89" s="189" t="s">
        <v>176</v>
      </c>
      <c r="FR89" s="189" t="s">
        <v>176</v>
      </c>
      <c r="FS89" s="189" t="s">
        <v>176</v>
      </c>
      <c r="FT89" s="189" t="s">
        <v>176</v>
      </c>
      <c r="FU89" s="189" t="s">
        <v>176</v>
      </c>
      <c r="FV89" s="189" t="s">
        <v>160</v>
      </c>
      <c r="FW89" s="189" t="s">
        <v>176</v>
      </c>
      <c r="FX89" s="189" t="s">
        <v>176</v>
      </c>
      <c r="FY89" s="189" t="s">
        <v>176</v>
      </c>
      <c r="FZ89" s="189" t="s">
        <v>176</v>
      </c>
      <c r="GA89" s="189" t="s">
        <v>160</v>
      </c>
      <c r="GB89" s="196" t="s">
        <v>176</v>
      </c>
      <c r="GC89" s="466" t="s">
        <v>176</v>
      </c>
      <c r="GD89" s="463" t="s">
        <v>160</v>
      </c>
      <c r="GE89" s="189" t="s">
        <v>160</v>
      </c>
      <c r="GF89" s="189" t="s">
        <v>160</v>
      </c>
      <c r="GG89" s="189" t="s">
        <v>160</v>
      </c>
      <c r="GH89" s="189" t="s">
        <v>160</v>
      </c>
      <c r="GI89" s="196" t="s">
        <v>160</v>
      </c>
      <c r="GJ89" s="275">
        <f>SUM(D89:FN89)</f>
        <v>146</v>
      </c>
    </row>
    <row r="90" spans="1:192" x14ac:dyDescent="0.25">
      <c r="A90" s="288" t="s">
        <v>181</v>
      </c>
      <c r="B90" s="293" t="s">
        <v>214</v>
      </c>
      <c r="C90" s="276" t="s">
        <v>613</v>
      </c>
      <c r="D90" s="185">
        <v>2</v>
      </c>
      <c r="E90" s="185">
        <v>2</v>
      </c>
      <c r="F90" s="185">
        <v>2</v>
      </c>
      <c r="G90" s="185">
        <v>2</v>
      </c>
      <c r="H90" s="185">
        <v>2</v>
      </c>
      <c r="I90" s="185">
        <v>1</v>
      </c>
      <c r="J90" s="185" t="s">
        <v>176</v>
      </c>
      <c r="K90" s="185" t="s">
        <v>176</v>
      </c>
      <c r="L90" s="185">
        <v>2</v>
      </c>
      <c r="M90" s="185">
        <v>1</v>
      </c>
      <c r="N90" s="185" t="s">
        <v>176</v>
      </c>
      <c r="O90" s="185" t="s">
        <v>176</v>
      </c>
      <c r="P90" s="185">
        <v>1</v>
      </c>
      <c r="Q90" s="185">
        <v>1</v>
      </c>
      <c r="R90" s="185" t="s">
        <v>176</v>
      </c>
      <c r="S90" s="185" t="s">
        <v>176</v>
      </c>
      <c r="T90" s="185" t="s">
        <v>176</v>
      </c>
      <c r="U90" s="185" t="s">
        <v>176</v>
      </c>
      <c r="V90" s="185" t="s">
        <v>176</v>
      </c>
      <c r="W90" s="185" t="s">
        <v>176</v>
      </c>
      <c r="X90" s="185" t="s">
        <v>176</v>
      </c>
      <c r="Y90" s="185">
        <v>2</v>
      </c>
      <c r="Z90" s="185">
        <v>1</v>
      </c>
      <c r="AA90" s="185">
        <v>1</v>
      </c>
      <c r="AB90" s="185">
        <v>1</v>
      </c>
      <c r="AC90" s="185">
        <v>1</v>
      </c>
      <c r="AD90" s="185" t="s">
        <v>176</v>
      </c>
      <c r="AE90" s="185" t="s">
        <v>176</v>
      </c>
      <c r="AF90" s="185" t="s">
        <v>176</v>
      </c>
      <c r="AG90" s="185" t="s">
        <v>176</v>
      </c>
      <c r="AH90" s="185" t="s">
        <v>176</v>
      </c>
      <c r="AI90" s="185">
        <v>2</v>
      </c>
      <c r="AJ90" s="185">
        <v>1</v>
      </c>
      <c r="AK90" s="185" t="s">
        <v>176</v>
      </c>
      <c r="AL90" s="185" t="s">
        <v>176</v>
      </c>
      <c r="AM90" s="185" t="s">
        <v>176</v>
      </c>
      <c r="AN90" s="185" t="s">
        <v>176</v>
      </c>
      <c r="AO90" s="185" t="s">
        <v>176</v>
      </c>
      <c r="AP90" s="185" t="s">
        <v>176</v>
      </c>
      <c r="AQ90" s="185" t="s">
        <v>176</v>
      </c>
      <c r="AR90" s="185" t="s">
        <v>176</v>
      </c>
      <c r="AS90" s="185">
        <v>2</v>
      </c>
      <c r="AT90" s="185">
        <v>1</v>
      </c>
      <c r="AU90" s="185">
        <v>1</v>
      </c>
      <c r="AV90" s="185" t="s">
        <v>176</v>
      </c>
      <c r="AW90" s="185" t="s">
        <v>176</v>
      </c>
      <c r="AX90" s="185" t="s">
        <v>176</v>
      </c>
      <c r="AY90" s="185">
        <v>1</v>
      </c>
      <c r="AZ90" s="185" t="s">
        <v>176</v>
      </c>
      <c r="BA90" s="185" t="s">
        <v>176</v>
      </c>
      <c r="BB90" s="185" t="s">
        <v>176</v>
      </c>
      <c r="BC90" s="185" t="s">
        <v>176</v>
      </c>
      <c r="BD90" s="290" t="s">
        <v>176</v>
      </c>
      <c r="BE90" s="185" t="s">
        <v>176</v>
      </c>
      <c r="BF90" s="185" t="s">
        <v>176</v>
      </c>
      <c r="BG90" s="185" t="s">
        <v>176</v>
      </c>
      <c r="BH90" s="185" t="s">
        <v>176</v>
      </c>
      <c r="BI90" s="185" t="s">
        <v>176</v>
      </c>
      <c r="BJ90" s="185" t="s">
        <v>176</v>
      </c>
      <c r="BK90" s="185">
        <v>1</v>
      </c>
      <c r="BL90" s="185">
        <v>1</v>
      </c>
      <c r="BM90" s="185">
        <v>1</v>
      </c>
      <c r="BN90" s="185">
        <v>1</v>
      </c>
      <c r="BO90" s="185">
        <v>1</v>
      </c>
      <c r="BP90" s="185">
        <v>1</v>
      </c>
      <c r="BQ90" s="185">
        <v>1</v>
      </c>
      <c r="BR90" s="185">
        <v>1</v>
      </c>
      <c r="BS90" s="185">
        <v>1</v>
      </c>
      <c r="BT90" s="185">
        <v>2</v>
      </c>
      <c r="BU90" s="185" t="s">
        <v>176</v>
      </c>
      <c r="BV90" s="185" t="s">
        <v>176</v>
      </c>
      <c r="BW90" s="185" t="s">
        <v>176</v>
      </c>
      <c r="BX90" s="185" t="s">
        <v>176</v>
      </c>
      <c r="BY90" s="185" t="s">
        <v>176</v>
      </c>
      <c r="BZ90" s="185" t="s">
        <v>176</v>
      </c>
      <c r="CA90" s="185" t="s">
        <v>176</v>
      </c>
      <c r="CB90" s="185" t="s">
        <v>176</v>
      </c>
      <c r="CC90" s="185" t="s">
        <v>176</v>
      </c>
      <c r="CD90" s="185" t="s">
        <v>176</v>
      </c>
      <c r="CE90" s="185" t="s">
        <v>176</v>
      </c>
      <c r="CF90" s="185" t="s">
        <v>176</v>
      </c>
      <c r="CG90" s="185">
        <v>2</v>
      </c>
      <c r="CH90" s="185" t="s">
        <v>176</v>
      </c>
      <c r="CI90" s="185" t="s">
        <v>176</v>
      </c>
      <c r="CJ90" s="185">
        <v>1</v>
      </c>
      <c r="CK90" s="185" t="s">
        <v>176</v>
      </c>
      <c r="CL90" s="185">
        <v>2</v>
      </c>
      <c r="CM90" s="185">
        <v>2</v>
      </c>
      <c r="CN90" s="185">
        <v>2</v>
      </c>
      <c r="CO90" s="185" t="s">
        <v>176</v>
      </c>
      <c r="CP90" s="185">
        <v>1</v>
      </c>
      <c r="CQ90" s="185" t="s">
        <v>176</v>
      </c>
      <c r="CR90" s="185" t="s">
        <v>176</v>
      </c>
      <c r="CS90" s="185">
        <v>2</v>
      </c>
      <c r="CT90" s="185" t="s">
        <v>176</v>
      </c>
      <c r="CU90" s="185" t="s">
        <v>176</v>
      </c>
      <c r="CV90" s="185" t="s">
        <v>176</v>
      </c>
      <c r="CW90" s="185" t="s">
        <v>176</v>
      </c>
      <c r="CX90" s="185" t="s">
        <v>176</v>
      </c>
      <c r="CY90" s="185" t="s">
        <v>176</v>
      </c>
      <c r="CZ90" s="185" t="s">
        <v>176</v>
      </c>
      <c r="DA90" s="185" t="s">
        <v>176</v>
      </c>
      <c r="DB90" s="185" t="s">
        <v>176</v>
      </c>
      <c r="DC90" s="185" t="s">
        <v>176</v>
      </c>
      <c r="DD90" s="185" t="s">
        <v>176</v>
      </c>
      <c r="DE90" s="185" t="s">
        <v>176</v>
      </c>
      <c r="DF90" s="185" t="s">
        <v>176</v>
      </c>
      <c r="DG90" s="185" t="s">
        <v>176</v>
      </c>
      <c r="DH90" s="185" t="s">
        <v>176</v>
      </c>
      <c r="DI90" s="185" t="s">
        <v>176</v>
      </c>
      <c r="DJ90" s="185" t="s">
        <v>176</v>
      </c>
      <c r="DK90" s="185" t="s">
        <v>176</v>
      </c>
      <c r="DL90" s="185" t="s">
        <v>176</v>
      </c>
      <c r="DM90" s="185" t="s">
        <v>176</v>
      </c>
      <c r="DN90" s="185" t="s">
        <v>176</v>
      </c>
      <c r="DO90" s="185" t="s">
        <v>176</v>
      </c>
      <c r="DP90" s="185" t="s">
        <v>176</v>
      </c>
      <c r="DQ90" s="185" t="s">
        <v>176</v>
      </c>
      <c r="DR90" s="185" t="s">
        <v>176</v>
      </c>
      <c r="DS90" s="185">
        <v>1</v>
      </c>
      <c r="DT90" s="185" t="s">
        <v>176</v>
      </c>
      <c r="DU90" s="185" t="s">
        <v>176</v>
      </c>
      <c r="DV90" s="185" t="s">
        <v>176</v>
      </c>
      <c r="DW90" s="185">
        <v>2</v>
      </c>
      <c r="DX90" s="185">
        <v>2</v>
      </c>
      <c r="DY90" s="185">
        <v>2</v>
      </c>
      <c r="DZ90" s="185">
        <v>2</v>
      </c>
      <c r="EA90" s="185">
        <v>2</v>
      </c>
      <c r="EB90" s="185">
        <v>2</v>
      </c>
      <c r="EC90" s="185">
        <v>2</v>
      </c>
      <c r="ED90" s="185">
        <v>2</v>
      </c>
      <c r="EE90" s="185">
        <v>2</v>
      </c>
      <c r="EF90" s="185">
        <v>2</v>
      </c>
      <c r="EG90" s="185">
        <v>2</v>
      </c>
      <c r="EH90" s="185">
        <v>2</v>
      </c>
      <c r="EI90" s="185">
        <v>2</v>
      </c>
      <c r="EJ90" s="185">
        <v>2</v>
      </c>
      <c r="EK90" s="185">
        <v>2</v>
      </c>
      <c r="EL90" s="185">
        <v>3</v>
      </c>
      <c r="EM90" s="421">
        <v>2</v>
      </c>
      <c r="EN90" s="185" t="s">
        <v>176</v>
      </c>
      <c r="EO90" s="185" t="s">
        <v>176</v>
      </c>
      <c r="EP90" s="185" t="s">
        <v>176</v>
      </c>
      <c r="EQ90" s="185" t="s">
        <v>176</v>
      </c>
      <c r="ER90" s="185" t="s">
        <v>176</v>
      </c>
      <c r="ES90" s="185" t="s">
        <v>176</v>
      </c>
      <c r="ET90" s="185" t="s">
        <v>176</v>
      </c>
      <c r="EU90" s="185" t="s">
        <v>176</v>
      </c>
      <c r="EV90" s="185" t="s">
        <v>176</v>
      </c>
      <c r="EW90" s="185">
        <v>2</v>
      </c>
      <c r="EX90" s="185">
        <v>2</v>
      </c>
      <c r="EY90" s="185">
        <v>2</v>
      </c>
      <c r="EZ90" s="185" t="s">
        <v>176</v>
      </c>
      <c r="FA90" s="185" t="s">
        <v>176</v>
      </c>
      <c r="FB90" s="185">
        <v>2</v>
      </c>
      <c r="FC90" s="185">
        <v>2</v>
      </c>
      <c r="FD90" s="185">
        <v>2</v>
      </c>
      <c r="FE90" s="185">
        <v>2</v>
      </c>
      <c r="FF90" s="185">
        <v>2</v>
      </c>
      <c r="FG90" s="185">
        <v>2</v>
      </c>
      <c r="FH90" s="185">
        <v>2</v>
      </c>
      <c r="FI90" s="185">
        <v>2</v>
      </c>
      <c r="FJ90" s="185">
        <v>1</v>
      </c>
      <c r="FK90" s="185">
        <v>2</v>
      </c>
      <c r="FL90" s="185">
        <v>2</v>
      </c>
      <c r="FM90" s="185">
        <v>2</v>
      </c>
      <c r="FN90" s="185">
        <v>2</v>
      </c>
      <c r="FO90" s="185" t="s">
        <v>176</v>
      </c>
      <c r="FP90" s="185" t="s">
        <v>176</v>
      </c>
      <c r="FQ90" s="185" t="s">
        <v>176</v>
      </c>
      <c r="FR90" s="185" t="s">
        <v>176</v>
      </c>
      <c r="FS90" s="185" t="s">
        <v>176</v>
      </c>
      <c r="FT90" s="185" t="s">
        <v>176</v>
      </c>
      <c r="FU90" s="185" t="s">
        <v>176</v>
      </c>
      <c r="FV90" s="185" t="s">
        <v>176</v>
      </c>
      <c r="FW90" s="185" t="s">
        <v>176</v>
      </c>
      <c r="FX90" s="185" t="s">
        <v>176</v>
      </c>
      <c r="FY90" s="185" t="s">
        <v>176</v>
      </c>
      <c r="FZ90" s="185" t="s">
        <v>176</v>
      </c>
      <c r="GA90" s="185" t="s">
        <v>176</v>
      </c>
      <c r="GB90" s="188" t="s">
        <v>176</v>
      </c>
      <c r="GC90" s="465" t="s">
        <v>176</v>
      </c>
      <c r="GD90" s="462" t="s">
        <v>387</v>
      </c>
      <c r="GE90" s="185" t="s">
        <v>387</v>
      </c>
      <c r="GF90" s="185" t="s">
        <v>176</v>
      </c>
      <c r="GG90" s="185" t="s">
        <v>176</v>
      </c>
      <c r="GH90" s="185" t="s">
        <v>387</v>
      </c>
      <c r="GI90" s="185" t="s">
        <v>176</v>
      </c>
      <c r="GJ90" s="291">
        <f>SUM(D90:FN90)</f>
        <v>120</v>
      </c>
    </row>
  </sheetData>
  <sheetProtection algorithmName="SHA-512" hashValue="Up26aC/64tKVCTauw5Pa3ZvUlxzfChmL8NhNv7vTwOr0H6Xguyzv0Yc3u82niwS2URX35hcmjmFrAtsGHhTieg==" saltValue="O2FndEqQs9RW2XQrizz94g==" spinCount="100000" sheet="1" autoFilter="0"/>
  <mergeCells count="33">
    <mergeCell ref="FO6:GI6"/>
    <mergeCell ref="CG7:CJ7"/>
    <mergeCell ref="AS7:AV7"/>
    <mergeCell ref="AW7:BJ7"/>
    <mergeCell ref="BK7:BT7"/>
    <mergeCell ref="BU7:CF7"/>
    <mergeCell ref="GA7:GI7"/>
    <mergeCell ref="CK7:CR7"/>
    <mergeCell ref="CS7:DV7"/>
    <mergeCell ref="DW7:EM7"/>
    <mergeCell ref="FO7:FT7"/>
    <mergeCell ref="FU7:FZ7"/>
    <mergeCell ref="FJ7:FN7"/>
    <mergeCell ref="EW7:FI7"/>
    <mergeCell ref="EN7:EV7"/>
    <mergeCell ref="EW6:FN6"/>
    <mergeCell ref="A7:B7"/>
    <mergeCell ref="D7:H7"/>
    <mergeCell ref="I7:Q7"/>
    <mergeCell ref="R7:Y7"/>
    <mergeCell ref="Z7:AI7"/>
    <mergeCell ref="D1:BJ1"/>
    <mergeCell ref="BK1:FN1"/>
    <mergeCell ref="FO1:GJ1"/>
    <mergeCell ref="AV2:AX2"/>
    <mergeCell ref="DZ2:EM2"/>
    <mergeCell ref="EW2:EX2"/>
    <mergeCell ref="FA2:FG2"/>
    <mergeCell ref="AD5:AL5"/>
    <mergeCell ref="AM5:AN5"/>
    <mergeCell ref="AD6:AL6"/>
    <mergeCell ref="AM6:AN6"/>
    <mergeCell ref="AJ7:AR7"/>
  </mergeCells>
  <phoneticPr fontId="71" type="noConversion"/>
  <conditionalFormatting sqref="E16">
    <cfRule type="expression" dxfId="2080" priority="406">
      <formula>E16=1</formula>
    </cfRule>
    <cfRule type="expression" dxfId="2079" priority="403">
      <formula>E16="n/a"</formula>
    </cfRule>
    <cfRule type="expression" dxfId="2078" priority="405">
      <formula>E16=2</formula>
    </cfRule>
    <cfRule type="expression" dxfId="2077" priority="404">
      <formula>E16=3</formula>
    </cfRule>
  </conditionalFormatting>
  <conditionalFormatting sqref="E25">
    <cfRule type="expression" dxfId="2076" priority="1359">
      <formula>E25="n/a"</formula>
    </cfRule>
    <cfRule type="expression" dxfId="2075" priority="1360">
      <formula>E25=3</formula>
    </cfRule>
    <cfRule type="expression" dxfId="2074" priority="1361">
      <formula>E25=2</formula>
    </cfRule>
    <cfRule type="expression" dxfId="2073" priority="1362">
      <formula>E25=1</formula>
    </cfRule>
  </conditionalFormatting>
  <conditionalFormatting sqref="E49:E52">
    <cfRule type="expression" dxfId="2072" priority="1864">
      <formula>E49=2</formula>
    </cfRule>
    <cfRule type="expression" dxfId="2071" priority="1862">
      <formula>E49="n/a"</formula>
    </cfRule>
    <cfRule type="expression" dxfId="2070" priority="1865">
      <formula>E49=1</formula>
    </cfRule>
    <cfRule type="expression" dxfId="2069" priority="1863">
      <formula>E49=3</formula>
    </cfRule>
  </conditionalFormatting>
  <conditionalFormatting sqref="E75">
    <cfRule type="expression" dxfId="2068" priority="257">
      <formula>E75="n/a"</formula>
    </cfRule>
    <cfRule type="expression" dxfId="2067" priority="259">
      <formula>E75=2</formula>
    </cfRule>
    <cfRule type="expression" dxfId="2066" priority="260">
      <formula>E75=1</formula>
    </cfRule>
    <cfRule type="expression" dxfId="2065" priority="258">
      <formula>E75=3</formula>
    </cfRule>
  </conditionalFormatting>
  <conditionalFormatting sqref="E84">
    <cfRule type="expression" dxfId="2064" priority="926">
      <formula>E84="n/a"</formula>
    </cfRule>
    <cfRule type="expression" dxfId="2063" priority="928">
      <formula>E84=2</formula>
    </cfRule>
    <cfRule type="expression" dxfId="2062" priority="929">
      <formula>E84=1</formula>
    </cfRule>
    <cfRule type="expression" dxfId="2061" priority="927">
      <formula>E84=3</formula>
    </cfRule>
  </conditionalFormatting>
  <conditionalFormatting sqref="E9:F9 I9:X14 Z9:BB14 G9:H31 Y9:Y31 E10 E11:F12 E13:E14 E20 W20:X31 P26:Q31 I27:O31 R28:V31 G32:Y32 E33 I33:O47 G33:H53 P33:Y53 E34:F36 E37 E38:F43 E44:E47 I48:L48 N48:O49 M48:M52 CG48:CG52 BK48:BK53 I49:K49 L49:L52 BK55:BK58 R55:V60 G85:BB85 BJ86 BL86:BZ86 G86:H90 E90">
    <cfRule type="expression" dxfId="2060" priority="2853">
      <formula>E9=3</formula>
    </cfRule>
    <cfRule type="expression" dxfId="2059" priority="2852">
      <formula>E9="n/a"</formula>
    </cfRule>
    <cfRule type="expression" dxfId="2058" priority="2855">
      <formula>E9=1</formula>
    </cfRule>
    <cfRule type="expression" dxfId="2057" priority="2854">
      <formula>E9=2</formula>
    </cfRule>
  </conditionalFormatting>
  <conditionalFormatting sqref="E15:F15">
    <cfRule type="expression" dxfId="2056" priority="394">
      <formula>E15=1</formula>
    </cfRule>
    <cfRule type="expression" dxfId="2055" priority="391">
      <formula>E15="n/a"</formula>
    </cfRule>
    <cfRule type="expression" dxfId="2054" priority="392">
      <formula>E15=3</formula>
    </cfRule>
    <cfRule type="expression" dxfId="2053" priority="393">
      <formula>E15=2</formula>
    </cfRule>
  </conditionalFormatting>
  <conditionalFormatting sqref="E53:F53 F70">
    <cfRule type="expression" dxfId="2052" priority="2505">
      <formula>E53=1</formula>
    </cfRule>
    <cfRule type="expression" dxfId="2051" priority="2503">
      <formula>E53=3</formula>
    </cfRule>
    <cfRule type="expression" dxfId="2050" priority="2502">
      <formula>E53="n/a"</formula>
    </cfRule>
    <cfRule type="expression" dxfId="2049" priority="2504">
      <formula>E53=2</formula>
    </cfRule>
  </conditionalFormatting>
  <conditionalFormatting sqref="E76:F77">
    <cfRule type="expression" dxfId="2048" priority="2104">
      <formula>E76="n/a"</formula>
    </cfRule>
    <cfRule type="expression" dxfId="2047" priority="2105">
      <formula>E76=3</formula>
    </cfRule>
    <cfRule type="expression" dxfId="2046" priority="2106">
      <formula>E76=2</formula>
    </cfRule>
    <cfRule type="expression" dxfId="2045" priority="2107">
      <formula>E76=1</formula>
    </cfRule>
  </conditionalFormatting>
  <conditionalFormatting sqref="F10 E21:F24 E26:F32 F33 F37">
    <cfRule type="expression" dxfId="2044" priority="2705">
      <formula>E10=1</formula>
    </cfRule>
    <cfRule type="expression" dxfId="2043" priority="2704">
      <formula>E10=2</formula>
    </cfRule>
    <cfRule type="expression" dxfId="2042" priority="2703">
      <formula>E10=3</formula>
    </cfRule>
    <cfRule type="expression" dxfId="2041" priority="2702">
      <formula>E10="n/a"</formula>
    </cfRule>
  </conditionalFormatting>
  <conditionalFormatting sqref="F13:F14 F20">
    <cfRule type="expression" dxfId="2040" priority="2701">
      <formula>F13=1</formula>
    </cfRule>
    <cfRule type="expression" dxfId="2039" priority="2700">
      <formula>F13=2</formula>
    </cfRule>
    <cfRule type="expression" dxfId="2038" priority="2699">
      <formula>F13=3</formula>
    </cfRule>
    <cfRule type="expression" dxfId="2037" priority="2698">
      <formula>F13="n/a"</formula>
    </cfRule>
  </conditionalFormatting>
  <conditionalFormatting sqref="F16">
    <cfRule type="expression" dxfId="2036" priority="401">
      <formula>F16=2</formula>
    </cfRule>
    <cfRule type="expression" dxfId="2035" priority="402">
      <formula>F16=1</formula>
    </cfRule>
    <cfRule type="expression" dxfId="2034" priority="400">
      <formula>F16=3</formula>
    </cfRule>
    <cfRule type="expression" dxfId="2033" priority="399">
      <formula>F16="n/a"</formula>
    </cfRule>
  </conditionalFormatting>
  <conditionalFormatting sqref="F25">
    <cfRule type="expression" dxfId="2032" priority="1352">
      <formula>F25=3</formula>
    </cfRule>
    <cfRule type="expression" dxfId="2031" priority="1354">
      <formula>F25=1</formula>
    </cfRule>
    <cfRule type="expression" dxfId="2030" priority="1353">
      <formula>F25=2</formula>
    </cfRule>
    <cfRule type="expression" dxfId="2029" priority="1351">
      <formula>F25="n/a"</formula>
    </cfRule>
  </conditionalFormatting>
  <conditionalFormatting sqref="F44:F47">
    <cfRule type="expression" dxfId="2028" priority="591">
      <formula>F44=2</formula>
    </cfRule>
    <cfRule type="expression" dxfId="2027" priority="590">
      <formula>F44=3</formula>
    </cfRule>
    <cfRule type="expression" dxfId="2026" priority="589">
      <formula>F44="n/a"</formula>
    </cfRule>
    <cfRule type="expression" dxfId="2025" priority="592">
      <formula>F44=1</formula>
    </cfRule>
  </conditionalFormatting>
  <conditionalFormatting sqref="F49:F52">
    <cfRule type="expression" dxfId="2024" priority="2692">
      <formula>F49=2</formula>
    </cfRule>
    <cfRule type="expression" dxfId="2023" priority="2693">
      <formula>F49=1</formula>
    </cfRule>
    <cfRule type="expression" dxfId="2022" priority="2691">
      <formula>F49=3</formula>
    </cfRule>
    <cfRule type="expression" dxfId="2021" priority="2690">
      <formula>F49="n/a"</formula>
    </cfRule>
  </conditionalFormatting>
  <conditionalFormatting sqref="F75">
    <cfRule type="expression" dxfId="2020" priority="126">
      <formula>F75=2</formula>
    </cfRule>
    <cfRule type="expression" dxfId="2019" priority="125">
      <formula>F75=3</formula>
    </cfRule>
    <cfRule type="expression" dxfId="2018" priority="124">
      <formula>F75="n/a"</formula>
    </cfRule>
    <cfRule type="expression" dxfId="2017" priority="127">
      <formula>F75=1</formula>
    </cfRule>
  </conditionalFormatting>
  <conditionalFormatting sqref="F90">
    <cfRule type="expression" dxfId="2016" priority="2490">
      <formula>F90="n/a"</formula>
    </cfRule>
    <cfRule type="expression" dxfId="2015" priority="2491">
      <formula>F90=3</formula>
    </cfRule>
    <cfRule type="expression" dxfId="2014" priority="2492">
      <formula>F90=2</formula>
    </cfRule>
    <cfRule type="expression" dxfId="2013" priority="2493">
      <formula>F90=1</formula>
    </cfRule>
  </conditionalFormatting>
  <conditionalFormatting sqref="I76:I77 I78:L83 D85:E86">
    <cfRule type="expression" dxfId="2012" priority="545">
      <formula>D76=3</formula>
    </cfRule>
    <cfRule type="expression" dxfId="2011" priority="546">
      <formula>D76=2</formula>
    </cfRule>
    <cfRule type="expression" dxfId="2010" priority="547">
      <formula>D76=1</formula>
    </cfRule>
    <cfRule type="expression" dxfId="2009" priority="544">
      <formula>D76="n/a"</formula>
    </cfRule>
  </conditionalFormatting>
  <conditionalFormatting sqref="I86">
    <cfRule type="expression" dxfId="2008" priority="539">
      <formula>I86=1</formula>
    </cfRule>
    <cfRule type="expression" dxfId="2007" priority="538">
      <formula>I86=2</formula>
    </cfRule>
    <cfRule type="expression" dxfId="2006" priority="537">
      <formula>I86=3</formula>
    </cfRule>
    <cfRule type="expression" dxfId="2005" priority="536">
      <formula>I86="n/a"</formula>
    </cfRule>
  </conditionalFormatting>
  <conditionalFormatting sqref="I25:J25">
    <cfRule type="expression" dxfId="2004" priority="1339">
      <formula>I25="n/a"</formula>
    </cfRule>
    <cfRule type="expression" dxfId="2003" priority="1340">
      <formula>I25=3</formula>
    </cfRule>
    <cfRule type="expression" dxfId="2002" priority="1342">
      <formula>I25=1</formula>
    </cfRule>
    <cfRule type="expression" dxfId="2001" priority="1341">
      <formula>I25=2</formula>
    </cfRule>
  </conditionalFormatting>
  <conditionalFormatting sqref="I50:J52">
    <cfRule type="expression" dxfId="2000" priority="1858">
      <formula>I50="n/a"</formula>
    </cfRule>
    <cfRule type="expression" dxfId="1999" priority="1861">
      <formula>I50=1</formula>
    </cfRule>
    <cfRule type="expression" dxfId="1998" priority="1860">
      <formula>I50=2</formula>
    </cfRule>
    <cfRule type="expression" dxfId="1997" priority="1859">
      <formula>I50=3</formula>
    </cfRule>
  </conditionalFormatting>
  <conditionalFormatting sqref="I55:J55 Q55">
    <cfRule type="expression" dxfId="1996" priority="1690">
      <formula>I55=3</formula>
    </cfRule>
    <cfRule type="expression" dxfId="1995" priority="1689">
      <formula>I55="n/a"</formula>
    </cfRule>
    <cfRule type="expression" dxfId="1994" priority="1692">
      <formula>I55=1</formula>
    </cfRule>
    <cfRule type="expression" dxfId="1993" priority="1691">
      <formula>I55=2</formula>
    </cfRule>
  </conditionalFormatting>
  <conditionalFormatting sqref="I75:J75">
    <cfRule type="expression" dxfId="1992" priority="2253">
      <formula>I75=3</formula>
    </cfRule>
    <cfRule type="expression" dxfId="1991" priority="2252">
      <formula>I75="n/a"</formula>
    </cfRule>
    <cfRule type="expression" dxfId="1990" priority="2255">
      <formula>I75=1</formula>
    </cfRule>
    <cfRule type="expression" dxfId="1989" priority="2254">
      <formula>I75=2</formula>
    </cfRule>
  </conditionalFormatting>
  <conditionalFormatting sqref="I22:K24 I26:K26">
    <cfRule type="expression" dxfId="1988" priority="2383">
      <formula>I22=1</formula>
    </cfRule>
    <cfRule type="expression" dxfId="1987" priority="2382">
      <formula>I22=2</formula>
    </cfRule>
    <cfRule type="expression" dxfId="1986" priority="2381">
      <formula>I22=3</formula>
    </cfRule>
    <cfRule type="expression" dxfId="1985" priority="2380">
      <formula>I22="n/a"</formula>
    </cfRule>
  </conditionalFormatting>
  <conditionalFormatting sqref="I20:O21 L22:M24 L26:M26">
    <cfRule type="expression" dxfId="1984" priority="2466">
      <formula>I20=2</formula>
    </cfRule>
    <cfRule type="expression" dxfId="1983" priority="2465">
      <formula>I20=3</formula>
    </cfRule>
    <cfRule type="expression" dxfId="1982" priority="2464">
      <formula>I20="n/a"</formula>
    </cfRule>
    <cfRule type="expression" dxfId="1981" priority="2467">
      <formula>I20=1</formula>
    </cfRule>
  </conditionalFormatting>
  <conditionalFormatting sqref="I84:O84 Q84">
    <cfRule type="expression" dxfId="1980" priority="922">
      <formula>I84="n/a"</formula>
    </cfRule>
    <cfRule type="expression" dxfId="1979" priority="923">
      <formula>I84=3</formula>
    </cfRule>
    <cfRule type="expression" dxfId="1978" priority="924">
      <formula>I84=2</formula>
    </cfRule>
    <cfRule type="expression" dxfId="1977" priority="925">
      <formula>I84=1</formula>
    </cfRule>
  </conditionalFormatting>
  <conditionalFormatting sqref="I15:Q16">
    <cfRule type="expression" dxfId="1976" priority="387">
      <formula>I15="n/a"</formula>
    </cfRule>
    <cfRule type="expression" dxfId="1975" priority="390">
      <formula>I15=1</formula>
    </cfRule>
    <cfRule type="expression" dxfId="1974" priority="389">
      <formula>I15=2</formula>
    </cfRule>
    <cfRule type="expression" dxfId="1973" priority="388">
      <formula>I15=3</formula>
    </cfRule>
  </conditionalFormatting>
  <conditionalFormatting sqref="J56:J60">
    <cfRule type="expression" dxfId="1972" priority="2277">
      <formula>J56=3</formula>
    </cfRule>
    <cfRule type="expression" dxfId="1971" priority="2279">
      <formula>J56=1</formula>
    </cfRule>
    <cfRule type="expression" dxfId="1970" priority="2278">
      <formula>J56=2</formula>
    </cfRule>
    <cfRule type="expression" dxfId="1969" priority="2276">
      <formula>J56="n/a"</formula>
    </cfRule>
  </conditionalFormatting>
  <conditionalFormatting sqref="J76">
    <cfRule type="expression" dxfId="1968" priority="2098">
      <formula>J76=2</formula>
    </cfRule>
    <cfRule type="expression" dxfId="1967" priority="2096">
      <formula>J76="n/a"</formula>
    </cfRule>
    <cfRule type="expression" dxfId="1966" priority="2097">
      <formula>J76=3</formula>
    </cfRule>
    <cfRule type="expression" dxfId="1965" priority="2099">
      <formula>J76=1</formula>
    </cfRule>
  </conditionalFormatting>
  <conditionalFormatting sqref="J86:K86 M86:Q86">
    <cfRule type="expression" dxfId="1964" priority="529">
      <formula>J86=3</formula>
    </cfRule>
    <cfRule type="expression" dxfId="1963" priority="528">
      <formula>J86="n/a"</formula>
    </cfRule>
    <cfRule type="expression" dxfId="1962" priority="531">
      <formula>J86=1</formula>
    </cfRule>
    <cfRule type="expression" dxfId="1961" priority="530">
      <formula>J86=2</formula>
    </cfRule>
  </conditionalFormatting>
  <conditionalFormatting sqref="J77:O77">
    <cfRule type="expression" dxfId="1960" priority="2059">
      <formula>J77="n/a"</formula>
    </cfRule>
    <cfRule type="expression" dxfId="1959" priority="2062">
      <formula>J77=1</formula>
    </cfRule>
    <cfRule type="expression" dxfId="1958" priority="2061">
      <formula>J77=2</formula>
    </cfRule>
    <cfRule type="expression" dxfId="1957" priority="2060">
      <formula>J77=3</formula>
    </cfRule>
  </conditionalFormatting>
  <conditionalFormatting sqref="K50:K52">
    <cfRule type="expression" dxfId="1956" priority="1852">
      <formula>K50=2</formula>
    </cfRule>
    <cfRule type="expression" dxfId="1955" priority="1853">
      <formula>K50=1</formula>
    </cfRule>
    <cfRule type="expression" dxfId="1954" priority="1850">
      <formula>K50="n/a"</formula>
    </cfRule>
    <cfRule type="expression" dxfId="1953" priority="1851">
      <formula>K50=3</formula>
    </cfRule>
  </conditionalFormatting>
  <conditionalFormatting sqref="K55:K60">
    <cfRule type="expression" dxfId="1952" priority="1684">
      <formula>K55=1</formula>
    </cfRule>
    <cfRule type="expression" dxfId="1951" priority="1682">
      <formula>K55=3</formula>
    </cfRule>
    <cfRule type="expression" dxfId="1950" priority="1681">
      <formula>K55="n/a"</formula>
    </cfRule>
    <cfRule type="expression" dxfId="1949" priority="1683">
      <formula>K55=2</formula>
    </cfRule>
  </conditionalFormatting>
  <conditionalFormatting sqref="K75:K76">
    <cfRule type="expression" dxfId="1948" priority="2095">
      <formula>K75=1</formula>
    </cfRule>
    <cfRule type="expression" dxfId="1947" priority="2092">
      <formula>K75="n/a"</formula>
    </cfRule>
    <cfRule type="expression" dxfId="1946" priority="2093">
      <formula>K75=3</formula>
    </cfRule>
    <cfRule type="expression" dxfId="1945" priority="2094">
      <formula>K75=2</formula>
    </cfRule>
  </conditionalFormatting>
  <conditionalFormatting sqref="K25:O25 Q25">
    <cfRule type="expression" dxfId="1944" priority="1350">
      <formula>K25=1</formula>
    </cfRule>
    <cfRule type="expression" dxfId="1943" priority="1349">
      <formula>K25=2</formula>
    </cfRule>
    <cfRule type="expression" dxfId="1942" priority="1348">
      <formula>K25=3</formula>
    </cfRule>
    <cfRule type="expression" dxfId="1941" priority="1347">
      <formula>K25="n/a"</formula>
    </cfRule>
  </conditionalFormatting>
  <conditionalFormatting sqref="L86">
    <cfRule type="expression" dxfId="1940" priority="535">
      <formula>L86=1</formula>
    </cfRule>
    <cfRule type="expression" dxfId="1939" priority="534">
      <formula>L86=2</formula>
    </cfRule>
    <cfRule type="expression" dxfId="1938" priority="533">
      <formula>L86=3</formula>
    </cfRule>
    <cfRule type="expression" dxfId="1937" priority="532">
      <formula>L86="n/a"</formula>
    </cfRule>
  </conditionalFormatting>
  <conditionalFormatting sqref="L55:M63 DA55:ET63 FO55:GI63 Z55:BA77 I56:I63 CZ56:CZ63 BK59:CY64 EV60:FN63 J61:K63 R62:V77 CV65:CY68 I65:K74 L65:M76 EU68:EU78 CV78:DR84 EU81:EU90 D84 FO84:FO85">
    <cfRule type="expression" dxfId="1936" priority="173">
      <formula>D55="n/a"</formula>
    </cfRule>
  </conditionalFormatting>
  <conditionalFormatting sqref="M80:X83">
    <cfRule type="expression" dxfId="1935" priority="1672">
      <formula>M80=1</formula>
    </cfRule>
    <cfRule type="expression" dxfId="1934" priority="1671">
      <formula>M80=2</formula>
    </cfRule>
    <cfRule type="expression" dxfId="1933" priority="1670">
      <formula>M80=3</formula>
    </cfRule>
    <cfRule type="expression" dxfId="1932" priority="1669">
      <formula>M80="n/a"</formula>
    </cfRule>
  </conditionalFormatting>
  <conditionalFormatting sqref="N50:N52">
    <cfRule type="expression" dxfId="1931" priority="1846">
      <formula>N50="n/a"</formula>
    </cfRule>
    <cfRule type="expression" dxfId="1930" priority="1849">
      <formula>N50=1</formula>
    </cfRule>
    <cfRule type="expression" dxfId="1929" priority="1848">
      <formula>N50=2</formula>
    </cfRule>
    <cfRule type="expression" dxfId="1928" priority="1847">
      <formula>N50=3</formula>
    </cfRule>
  </conditionalFormatting>
  <conditionalFormatting sqref="N55:N60">
    <cfRule type="expression" dxfId="1927" priority="1679">
      <formula>N55=2</formula>
    </cfRule>
    <cfRule type="expression" dxfId="1926" priority="1678">
      <formula>N55=3</formula>
    </cfRule>
    <cfRule type="expression" dxfId="1925" priority="1677">
      <formula>N55="n/a"</formula>
    </cfRule>
    <cfRule type="expression" dxfId="1924" priority="1680">
      <formula>N55=1</formula>
    </cfRule>
  </conditionalFormatting>
  <conditionalFormatting sqref="N76">
    <cfRule type="expression" dxfId="1923" priority="2091">
      <formula>N76=1</formula>
    </cfRule>
    <cfRule type="expression" dxfId="1922" priority="2088">
      <formula>N76="n/a"</formula>
    </cfRule>
    <cfRule type="expression" dxfId="1921" priority="2089">
      <formula>N76=3</formula>
    </cfRule>
    <cfRule type="expression" dxfId="1920" priority="2090">
      <formula>N76=2</formula>
    </cfRule>
  </conditionalFormatting>
  <conditionalFormatting sqref="N22:O24 N26:O26">
    <cfRule type="expression" dxfId="1919" priority="2379">
      <formula>N22=1</formula>
    </cfRule>
    <cfRule type="expression" dxfId="1918" priority="2378">
      <formula>N22=2</formula>
    </cfRule>
    <cfRule type="expression" dxfId="1917" priority="2377">
      <formula>N22=3</formula>
    </cfRule>
    <cfRule type="expression" dxfId="1916" priority="2376">
      <formula>N22="n/a"</formula>
    </cfRule>
  </conditionalFormatting>
  <conditionalFormatting sqref="N68:P68">
    <cfRule type="expression" dxfId="1915" priority="1459">
      <formula>N68="n/a"</formula>
    </cfRule>
    <cfRule type="expression" dxfId="1914" priority="1460">
      <formula>N68=3</formula>
    </cfRule>
    <cfRule type="expression" dxfId="1913" priority="1461">
      <formula>N68=2</formula>
    </cfRule>
    <cfRule type="expression" dxfId="1912" priority="1462">
      <formula>N68=1</formula>
    </cfRule>
  </conditionalFormatting>
  <conditionalFormatting sqref="N70:P74">
    <cfRule type="expression" dxfId="1911" priority="2384">
      <formula>N70="n/a"</formula>
    </cfRule>
    <cfRule type="expression" dxfId="1910" priority="2387">
      <formula>N70=1</formula>
    </cfRule>
    <cfRule type="expression" dxfId="1909" priority="2386">
      <formula>N70=2</formula>
    </cfRule>
    <cfRule type="expression" dxfId="1908" priority="2385">
      <formula>N70=3</formula>
    </cfRule>
  </conditionalFormatting>
  <conditionalFormatting sqref="N69:Q69">
    <cfRule type="expression" dxfId="1907" priority="2419">
      <formula>N69=1</formula>
    </cfRule>
    <cfRule type="expression" dxfId="1906" priority="2418">
      <formula>N69=2</formula>
    </cfRule>
    <cfRule type="expression" dxfId="1905" priority="2417">
      <formula>N69=3</formula>
    </cfRule>
    <cfRule type="expression" dxfId="1904" priority="2416">
      <formula>N69="n/a"</formula>
    </cfRule>
  </conditionalFormatting>
  <conditionalFormatting sqref="O50:O52">
    <cfRule type="expression" dxfId="1903" priority="1842">
      <formula>O50="n/a"</formula>
    </cfRule>
    <cfRule type="expression" dxfId="1902" priority="1843">
      <formula>O50=3</formula>
    </cfRule>
    <cfRule type="expression" dxfId="1901" priority="1845">
      <formula>O50=1</formula>
    </cfRule>
    <cfRule type="expression" dxfId="1900" priority="1844">
      <formula>O50=2</formula>
    </cfRule>
  </conditionalFormatting>
  <conditionalFormatting sqref="O55:O60">
    <cfRule type="expression" dxfId="1899" priority="1674">
      <formula>O55=3</formula>
    </cfRule>
    <cfRule type="expression" dxfId="1898" priority="1675">
      <formula>O55=2</formula>
    </cfRule>
    <cfRule type="expression" dxfId="1897" priority="1676">
      <formula>O55=1</formula>
    </cfRule>
    <cfRule type="expression" dxfId="1896" priority="1673">
      <formula>O55="n/a"</formula>
    </cfRule>
  </conditionalFormatting>
  <conditionalFormatting sqref="O76">
    <cfRule type="expression" dxfId="1895" priority="2084">
      <formula>O76="n/a"</formula>
    </cfRule>
    <cfRule type="expression" dxfId="1894" priority="2085">
      <formula>O76=3</formula>
    </cfRule>
    <cfRule type="expression" dxfId="1893" priority="2086">
      <formula>O76=2</formula>
    </cfRule>
    <cfRule type="expression" dxfId="1892" priority="2087">
      <formula>O76=1</formula>
    </cfRule>
  </conditionalFormatting>
  <conditionalFormatting sqref="P20:P21">
    <cfRule type="expression" dxfId="1891" priority="2459">
      <formula>P20=1</formula>
    </cfRule>
    <cfRule type="expression" dxfId="1890" priority="2458">
      <formula>P20=2</formula>
    </cfRule>
    <cfRule type="expression" dxfId="1889" priority="2456">
      <formula>P20="n/a"</formula>
    </cfRule>
    <cfRule type="expression" dxfId="1888" priority="2457">
      <formula>P20=3</formula>
    </cfRule>
  </conditionalFormatting>
  <conditionalFormatting sqref="P25">
    <cfRule type="expression" dxfId="1887" priority="1346">
      <formula>P25=1</formula>
    </cfRule>
    <cfRule type="expression" dxfId="1886" priority="1344">
      <formula>P25=3</formula>
    </cfRule>
    <cfRule type="expression" dxfId="1885" priority="1343">
      <formula>P25="n/a"</formula>
    </cfRule>
    <cfRule type="expression" dxfId="1884" priority="1345">
      <formula>P25=2</formula>
    </cfRule>
  </conditionalFormatting>
  <conditionalFormatting sqref="P55">
    <cfRule type="expression" dxfId="1883" priority="1686">
      <formula>P55=3</formula>
    </cfRule>
    <cfRule type="expression" dxfId="1882" priority="1687">
      <formula>P55=2</formula>
    </cfRule>
    <cfRule type="expression" dxfId="1881" priority="1688">
      <formula>P55=1</formula>
    </cfRule>
    <cfRule type="expression" dxfId="1880" priority="1685">
      <formula>P55="n/a"</formula>
    </cfRule>
  </conditionalFormatting>
  <conditionalFormatting sqref="P75">
    <cfRule type="expression" dxfId="1879" priority="252">
      <formula>P75=1</formula>
    </cfRule>
    <cfRule type="expression" dxfId="1878" priority="250">
      <formula>P75=3</formula>
    </cfRule>
    <cfRule type="expression" dxfId="1877" priority="249">
      <formula>P75="n/a"</formula>
    </cfRule>
    <cfRule type="expression" dxfId="1876" priority="251">
      <formula>P75=2</formula>
    </cfRule>
  </conditionalFormatting>
  <conditionalFormatting sqref="P84">
    <cfRule type="expression" dxfId="1875" priority="920">
      <formula>P84=2</formula>
    </cfRule>
    <cfRule type="expression" dxfId="1874" priority="921">
      <formula>P84=1</formula>
    </cfRule>
    <cfRule type="expression" dxfId="1873" priority="918">
      <formula>P84="n/a"</formula>
    </cfRule>
    <cfRule type="expression" dxfId="1872" priority="919">
      <formula>P84=3</formula>
    </cfRule>
  </conditionalFormatting>
  <conditionalFormatting sqref="P90">
    <cfRule type="expression" dxfId="1871" priority="2461">
      <formula>P90=3</formula>
    </cfRule>
    <cfRule type="expression" dxfId="1870" priority="2460">
      <formula>P90="n/a"</formula>
    </cfRule>
    <cfRule type="expression" dxfId="1869" priority="2462">
      <formula>P90=2</formula>
    </cfRule>
    <cfRule type="expression" dxfId="1868" priority="2463">
      <formula>P90=1</formula>
    </cfRule>
  </conditionalFormatting>
  <conditionalFormatting sqref="P22:Q24">
    <cfRule type="expression" dxfId="1867" priority="2372">
      <formula>P22="n/a"</formula>
    </cfRule>
    <cfRule type="expression" dxfId="1866" priority="2373">
      <formula>P22=3</formula>
    </cfRule>
    <cfRule type="expression" dxfId="1865" priority="2374">
      <formula>P22=2</formula>
    </cfRule>
    <cfRule type="expression" dxfId="1864" priority="2375">
      <formula>P22=1</formula>
    </cfRule>
  </conditionalFormatting>
  <conditionalFormatting sqref="P56:Q60">
    <cfRule type="expression" dxfId="1863" priority="2261">
      <formula>P56=3</formula>
    </cfRule>
    <cfRule type="expression" dxfId="1862" priority="2263">
      <formula>P56=1</formula>
    </cfRule>
    <cfRule type="expression" dxfId="1861" priority="2262">
      <formula>P56=2</formula>
    </cfRule>
    <cfRule type="expression" dxfId="1860" priority="2260">
      <formula>P56="n/a"</formula>
    </cfRule>
  </conditionalFormatting>
  <conditionalFormatting sqref="Q20:Q21 I53:O53 N75:O75 I90:O90 Q90">
    <cfRule type="expression" dxfId="1859" priority="2470">
      <formula>I20=2</formula>
    </cfRule>
    <cfRule type="expression" dxfId="1858" priority="2471">
      <formula>I20=1</formula>
    </cfRule>
    <cfRule type="expression" dxfId="1857" priority="2469">
      <formula>I20=3</formula>
    </cfRule>
    <cfRule type="expression" dxfId="1856" priority="2468">
      <formula>I20="n/a"</formula>
    </cfRule>
  </conditionalFormatting>
  <conditionalFormatting sqref="Q68">
    <cfRule type="expression" dxfId="1855" priority="1467">
      <formula>Q68="n/a"</formula>
    </cfRule>
    <cfRule type="expression" dxfId="1854" priority="1468">
      <formula>Q68=3</formula>
    </cfRule>
    <cfRule type="expression" dxfId="1853" priority="1469">
      <formula>Q68=2</formula>
    </cfRule>
    <cfRule type="expression" dxfId="1852" priority="1470">
      <formula>Q68=1</formula>
    </cfRule>
  </conditionalFormatting>
  <conditionalFormatting sqref="Q70:Q75">
    <cfRule type="expression" dxfId="1851" priority="255">
      <formula>Q70=2</formula>
    </cfRule>
    <cfRule type="expression" dxfId="1850" priority="253">
      <formula>Q70="n/a"</formula>
    </cfRule>
    <cfRule type="expression" dxfId="1849" priority="254">
      <formula>Q70=3</formula>
    </cfRule>
    <cfRule type="expression" dxfId="1848" priority="256">
      <formula>Q70=1</formula>
    </cfRule>
  </conditionalFormatting>
  <conditionalFormatting sqref="R61">
    <cfRule type="expression" dxfId="1847" priority="2590">
      <formula>R61="n/a"</formula>
    </cfRule>
    <cfRule type="expression" dxfId="1846" priority="2591">
      <formula>R61=3</formula>
    </cfRule>
    <cfRule type="expression" dxfId="1845" priority="2592">
      <formula>R61=2</formula>
    </cfRule>
    <cfRule type="expression" dxfId="1844" priority="2593">
      <formula>R61=1</formula>
    </cfRule>
  </conditionalFormatting>
  <conditionalFormatting sqref="R87:R89">
    <cfRule type="expression" dxfId="1843" priority="2587">
      <formula>R87=3</formula>
    </cfRule>
    <cfRule type="expression" dxfId="1842" priority="2589">
      <formula>R87=1</formula>
    </cfRule>
    <cfRule type="expression" dxfId="1841" priority="2586">
      <formula>R87="n/a"</formula>
    </cfRule>
    <cfRule type="expression" dxfId="1840" priority="2588">
      <formula>R87=2</formula>
    </cfRule>
  </conditionalFormatting>
  <conditionalFormatting sqref="R25:V25 AK25:BJ25 Z25:AI26">
    <cfRule type="expression" dxfId="1839" priority="1366">
      <formula>R25=1</formula>
    </cfRule>
    <cfRule type="expression" dxfId="1838" priority="1365">
      <formula>R25=2</formula>
    </cfRule>
    <cfRule type="expression" dxfId="1837" priority="1364">
      <formula>R25=3</formula>
    </cfRule>
    <cfRule type="expression" dxfId="1836" priority="1363">
      <formula>R25="n/a"</formula>
    </cfRule>
  </conditionalFormatting>
  <conditionalFormatting sqref="R15:X16">
    <cfRule type="expression" dxfId="1835" priority="385">
      <formula>R15=2</formula>
    </cfRule>
    <cfRule type="expression" dxfId="1834" priority="386">
      <formula>R15=1</formula>
    </cfRule>
    <cfRule type="expression" dxfId="1833" priority="384">
      <formula>R15=3</formula>
    </cfRule>
    <cfRule type="expression" dxfId="1832" priority="383">
      <formula>R15="n/a"</formula>
    </cfRule>
  </conditionalFormatting>
  <conditionalFormatting sqref="R86:X86">
    <cfRule type="expression" dxfId="1831" priority="522">
      <formula>R86=2</formula>
    </cfRule>
    <cfRule type="expression" dxfId="1830" priority="523">
      <formula>R86=1</formula>
    </cfRule>
    <cfRule type="expression" dxfId="1829" priority="520">
      <formula>R86="n/a"</formula>
    </cfRule>
    <cfRule type="expression" dxfId="1828" priority="521">
      <formula>R86=3</formula>
    </cfRule>
  </conditionalFormatting>
  <conditionalFormatting sqref="S20:T20 R22:T24 R26:T26 S27:T27">
    <cfRule type="expression" dxfId="1827" priority="2708">
      <formula>R20=2</formula>
    </cfRule>
    <cfRule type="expression" dxfId="1826" priority="2707">
      <formula>R20=3</formula>
    </cfRule>
    <cfRule type="expression" dxfId="1825" priority="2706">
      <formula>R20="n/a"</formula>
    </cfRule>
    <cfRule type="expression" dxfId="1824" priority="2709">
      <formula>R20=1</formula>
    </cfRule>
  </conditionalFormatting>
  <conditionalFormatting sqref="W87:W90">
    <cfRule type="expression" dxfId="1823" priority="2231">
      <formula>W87=1</formula>
    </cfRule>
    <cfRule type="expression" dxfId="1822" priority="2230">
      <formula>W87=2</formula>
    </cfRule>
    <cfRule type="expression" dxfId="1821" priority="2229">
      <formula>W87=3</formula>
    </cfRule>
    <cfRule type="expression" dxfId="1820" priority="2228">
      <formula>W87="n/a"</formula>
    </cfRule>
  </conditionalFormatting>
  <conditionalFormatting sqref="X90">
    <cfRule type="expression" dxfId="1819" priority="2149">
      <formula>X90=3</formula>
    </cfRule>
    <cfRule type="expression" dxfId="1818" priority="2150">
      <formula>X90=2</formula>
    </cfRule>
    <cfRule type="expression" dxfId="1817" priority="2151">
      <formula>X90=1</formula>
    </cfRule>
    <cfRule type="expression" dxfId="1816" priority="2148">
      <formula>X90="n/a"</formula>
    </cfRule>
  </conditionalFormatting>
  <conditionalFormatting sqref="Y90">
    <cfRule type="expression" dxfId="1815" priority="2152">
      <formula>Y90="n/a"</formula>
    </cfRule>
    <cfRule type="expression" dxfId="1814" priority="2154">
      <formula>Y90=2</formula>
    </cfRule>
    <cfRule type="expression" dxfId="1813" priority="2155">
      <formula>Y90=1</formula>
    </cfRule>
    <cfRule type="expression" dxfId="1812" priority="2153">
      <formula>Y90=3</formula>
    </cfRule>
  </conditionalFormatting>
  <conditionalFormatting sqref="Y86:AH86 AJ86:AR86">
    <cfRule type="expression" dxfId="1811" priority="526">
      <formula>Y86=2</formula>
    </cfRule>
    <cfRule type="expression" dxfId="1810" priority="525">
      <formula>Y86=3</formula>
    </cfRule>
    <cfRule type="expression" dxfId="1809" priority="527">
      <formula>Y86=1</formula>
    </cfRule>
    <cfRule type="expression" dxfId="1808" priority="524">
      <formula>Y86="n/a"</formula>
    </cfRule>
  </conditionalFormatting>
  <conditionalFormatting sqref="Z15:AI16">
    <cfRule type="expression" dxfId="1807" priority="376">
      <formula>Z15=3</formula>
    </cfRule>
    <cfRule type="expression" dxfId="1806" priority="377">
      <formula>Z15=2</formula>
    </cfRule>
    <cfRule type="expression" dxfId="1805" priority="378">
      <formula>Z15=1</formula>
    </cfRule>
    <cfRule type="expression" dxfId="1804" priority="375">
      <formula>Z15="n/a"</formula>
    </cfRule>
  </conditionalFormatting>
  <conditionalFormatting sqref="AJ50:AJ51 AL50:AL51 AP50:AQ51">
    <cfRule type="expression" dxfId="1803" priority="1810">
      <formula>AJ50="n/a"</formula>
    </cfRule>
  </conditionalFormatting>
  <conditionalFormatting sqref="AJ50:AJ51 AL50:AL51 AP50:AR51">
    <cfRule type="expression" dxfId="1802" priority="1811">
      <formula>AJ50=3</formula>
    </cfRule>
    <cfRule type="expression" dxfId="1801" priority="1812">
      <formula>AJ50=2</formula>
    </cfRule>
    <cfRule type="expression" dxfId="1800" priority="1813">
      <formula>AJ50=1</formula>
    </cfRule>
  </conditionalFormatting>
  <conditionalFormatting sqref="AJ80">
    <cfRule type="expression" dxfId="1799" priority="1535">
      <formula>AJ80=2</formula>
    </cfRule>
    <cfRule type="expression" dxfId="1798" priority="1533">
      <formula>AJ80="n/a"</formula>
    </cfRule>
    <cfRule type="expression" dxfId="1797" priority="1534">
      <formula>AJ80=3</formula>
    </cfRule>
    <cfRule type="expression" dxfId="1796" priority="1536">
      <formula>AJ80=1</formula>
    </cfRule>
  </conditionalFormatting>
  <conditionalFormatting sqref="AJ15:BJ16">
    <cfRule type="expression" dxfId="1795" priority="372">
      <formula>AJ15=3</formula>
    </cfRule>
    <cfRule type="expression" dxfId="1794" priority="373">
      <formula>AJ15=2</formula>
    </cfRule>
    <cfRule type="expression" dxfId="1793" priority="371">
      <formula>AJ15="n/a"</formula>
    </cfRule>
    <cfRule type="expression" dxfId="1792" priority="374">
      <formula>AJ15=1</formula>
    </cfRule>
  </conditionalFormatting>
  <conditionalFormatting sqref="AM50:AM51">
    <cfRule type="expression" dxfId="1791" priority="316">
      <formula>AM50="n/a"</formula>
    </cfRule>
    <cfRule type="expression" dxfId="1790" priority="317">
      <formula>AM50=3</formula>
    </cfRule>
    <cfRule type="expression" dxfId="1789" priority="318">
      <formula>AM50=2</formula>
    </cfRule>
    <cfRule type="expression" dxfId="1788" priority="319">
      <formula>AM50=1</formula>
    </cfRule>
  </conditionalFormatting>
  <conditionalFormatting sqref="AO50:AO51">
    <cfRule type="expression" dxfId="1787" priority="1819">
      <formula>AO50=3</formula>
    </cfRule>
    <cfRule type="expression" dxfId="1786" priority="1820">
      <formula>AO50=2</formula>
    </cfRule>
    <cfRule type="expression" dxfId="1785" priority="1821">
      <formula>AO50=1</formula>
    </cfRule>
    <cfRule type="expression" dxfId="1784" priority="1818">
      <formula>AO50="n/a"</formula>
    </cfRule>
  </conditionalFormatting>
  <conditionalFormatting sqref="AS50">
    <cfRule type="expression" dxfId="1783" priority="1817">
      <formula>AS50=1</formula>
    </cfRule>
    <cfRule type="expression" dxfId="1782" priority="1816">
      <formula>AS50=2</formula>
    </cfRule>
    <cfRule type="expression" dxfId="1781" priority="1815">
      <formula>AS50=3</formula>
    </cfRule>
    <cfRule type="expression" dxfId="1780" priority="1814">
      <formula>AS50="n/a"</formula>
    </cfRule>
  </conditionalFormatting>
  <conditionalFormatting sqref="AS86 AV86">
    <cfRule type="expression" dxfId="1779" priority="516">
      <formula>AS86="n/a"</formula>
    </cfRule>
    <cfRule type="expression" dxfId="1778" priority="517">
      <formula>AS86=3</formula>
    </cfRule>
    <cfRule type="expression" dxfId="1777" priority="518">
      <formula>AS86=2</formula>
    </cfRule>
    <cfRule type="expression" dxfId="1776" priority="519">
      <formula>AS86=1</formula>
    </cfRule>
  </conditionalFormatting>
  <conditionalFormatting sqref="AS51:AV51">
    <cfRule type="expression" dxfId="1775" priority="2657">
      <formula>AS51=1</formula>
    </cfRule>
    <cfRule type="expression" dxfId="1774" priority="2656">
      <formula>AS51=2</formula>
    </cfRule>
    <cfRule type="expression" dxfId="1773" priority="2655">
      <formula>AS51=3</formula>
    </cfRule>
    <cfRule type="expression" dxfId="1772" priority="2654">
      <formula>AS51="n/a"</formula>
    </cfRule>
  </conditionalFormatting>
  <conditionalFormatting sqref="AT50:AV50">
    <cfRule type="expression" dxfId="1771" priority="1805">
      <formula>AT50=1</formula>
    </cfRule>
    <cfRule type="expression" dxfId="1770" priority="1802">
      <formula>AT50="n/a"</formula>
    </cfRule>
    <cfRule type="expression" dxfId="1769" priority="1803">
      <formula>AT50=3</formula>
    </cfRule>
    <cfRule type="expression" dxfId="1768" priority="1804">
      <formula>AT50=2</formula>
    </cfRule>
  </conditionalFormatting>
  <conditionalFormatting sqref="AW86:AY86">
    <cfRule type="expression" dxfId="1767" priority="513">
      <formula>AW86=3</formula>
    </cfRule>
    <cfRule type="expression" dxfId="1766" priority="512">
      <formula>AW86="n/a"</formula>
    </cfRule>
    <cfRule type="expression" dxfId="1765" priority="514">
      <formula>AW86=2</formula>
    </cfRule>
    <cfRule type="expression" dxfId="1764" priority="515">
      <formula>AW86=1</formula>
    </cfRule>
  </conditionalFormatting>
  <conditionalFormatting sqref="AW50:BA51">
    <cfRule type="expression" dxfId="1763" priority="1806">
      <formula>AW50="n/a"</formula>
    </cfRule>
    <cfRule type="expression" dxfId="1762" priority="1807">
      <formula>AW50=3</formula>
    </cfRule>
    <cfRule type="expression" dxfId="1761" priority="1808">
      <formula>AW50=2</formula>
    </cfRule>
    <cfRule type="expression" dxfId="1760" priority="1809">
      <formula>AW50=1</formula>
    </cfRule>
  </conditionalFormatting>
  <conditionalFormatting sqref="AZ86:BI86">
    <cfRule type="expression" dxfId="1759" priority="509">
      <formula>AZ86=3</formula>
    </cfRule>
    <cfRule type="expression" dxfId="1758" priority="508">
      <formula>AZ86="n/a"</formula>
    </cfRule>
    <cfRule type="expression" dxfId="1757" priority="510">
      <formula>AZ86=2</formula>
    </cfRule>
    <cfRule type="expression" dxfId="1756" priority="511">
      <formula>AZ86=1</formula>
    </cfRule>
  </conditionalFormatting>
  <conditionalFormatting sqref="BB44:BB53">
    <cfRule type="expression" dxfId="1755" priority="237">
      <formula>BB44="n/a"</formula>
    </cfRule>
    <cfRule type="expression" dxfId="1754" priority="238">
      <formula>BB44=3</formula>
    </cfRule>
    <cfRule type="expression" dxfId="1753" priority="239">
      <formula>BB44=2</formula>
    </cfRule>
    <cfRule type="expression" dxfId="1752" priority="240">
      <formula>BB44=1</formula>
    </cfRule>
  </conditionalFormatting>
  <conditionalFormatting sqref="BB20:BJ24 BB26:BB42">
    <cfRule type="expression" dxfId="1751" priority="2013">
      <formula>BB20=1</formula>
    </cfRule>
    <cfRule type="expression" dxfId="1750" priority="2012">
      <formula>BB20=2</formula>
    </cfRule>
    <cfRule type="expression" dxfId="1749" priority="2011">
      <formula>BB20=3</formula>
    </cfRule>
    <cfRule type="expression" dxfId="1748" priority="2010">
      <formula>BB20="n/a"</formula>
    </cfRule>
  </conditionalFormatting>
  <conditionalFormatting sqref="BC87:BC90 BE88:BJ90">
    <cfRule type="expression" dxfId="1747" priority="1982">
      <formula>BC87="n/a"</formula>
    </cfRule>
    <cfRule type="expression" dxfId="1746" priority="1983">
      <formula>BC87=3</formula>
    </cfRule>
    <cfRule type="expression" dxfId="1745" priority="1984">
      <formula>BC87=2</formula>
    </cfRule>
    <cfRule type="expression" dxfId="1744" priority="1985">
      <formula>BC87=1</formula>
    </cfRule>
  </conditionalFormatting>
  <conditionalFormatting sqref="BC9:BI9">
    <cfRule type="expression" dxfId="1743" priority="623">
      <formula>BC9=1</formula>
    </cfRule>
    <cfRule type="expression" dxfId="1742" priority="620">
      <formula>BC9="n/a"</formula>
    </cfRule>
    <cfRule type="expression" dxfId="1741" priority="621">
      <formula>BC9=3</formula>
    </cfRule>
    <cfRule type="expression" dxfId="1740" priority="622">
      <formula>BC9=2</formula>
    </cfRule>
  </conditionalFormatting>
  <conditionalFormatting sqref="BC50:BI51">
    <cfRule type="expression" dxfId="1739" priority="1757">
      <formula>BC50=1</formula>
    </cfRule>
    <cfRule type="expression" dxfId="1738" priority="1756">
      <formula>BC50=2</formula>
    </cfRule>
    <cfRule type="expression" dxfId="1737" priority="1755">
      <formula>BC50=3</formula>
    </cfRule>
    <cfRule type="expression" dxfId="1736" priority="1754">
      <formula>BC50="n/a"</formula>
    </cfRule>
  </conditionalFormatting>
  <conditionalFormatting sqref="BC68:BI68">
    <cfRule type="expression" dxfId="1735" priority="1451">
      <formula>BC68="n/a"</formula>
    </cfRule>
    <cfRule type="expression" dxfId="1734" priority="1454">
      <formula>BC68=1</formula>
    </cfRule>
    <cfRule type="expression" dxfId="1733" priority="1453">
      <formula>BC68=2</formula>
    </cfRule>
    <cfRule type="expression" dxfId="1732" priority="1452">
      <formula>BC68=3</formula>
    </cfRule>
  </conditionalFormatting>
  <conditionalFormatting sqref="BC10:BJ14">
    <cfRule type="expression" dxfId="1731" priority="1515">
      <formula>BC10="n/a"</formula>
    </cfRule>
    <cfRule type="expression" dxfId="1730" priority="1516">
      <formula>BC10=3</formula>
    </cfRule>
    <cfRule type="expression" dxfId="1729" priority="1517">
      <formula>BC10=2</formula>
    </cfRule>
    <cfRule type="expression" dxfId="1728" priority="1518">
      <formula>BC10=1</formula>
    </cfRule>
  </conditionalFormatting>
  <conditionalFormatting sqref="BC29:BJ31 BC32:BI32 BC33:BJ34">
    <cfRule type="expression" dxfId="1727" priority="1941">
      <formula>BC29=1</formula>
    </cfRule>
    <cfRule type="expression" dxfId="1726" priority="1940">
      <formula>BC29=2</formula>
    </cfRule>
    <cfRule type="expression" dxfId="1725" priority="1939">
      <formula>BC29=3</formula>
    </cfRule>
    <cfRule type="expression" dxfId="1724" priority="1938">
      <formula>BC29="n/a"</formula>
    </cfRule>
  </conditionalFormatting>
  <conditionalFormatting sqref="BC37:BJ42">
    <cfRule type="expression" dxfId="1723" priority="1922">
      <formula>BC37="n/a"</formula>
    </cfRule>
    <cfRule type="expression" dxfId="1722" priority="1923">
      <formula>BC37=3</formula>
    </cfRule>
    <cfRule type="expression" dxfId="1721" priority="1924">
      <formula>BC37=2</formula>
    </cfRule>
    <cfRule type="expression" dxfId="1720" priority="1925">
      <formula>BC37=1</formula>
    </cfRule>
  </conditionalFormatting>
  <conditionalFormatting sqref="BC44:BJ46">
    <cfRule type="expression" dxfId="1719" priority="548">
      <formula>BC44="n/a"</formula>
    </cfRule>
    <cfRule type="expression" dxfId="1718" priority="549">
      <formula>BC44=3</formula>
    </cfRule>
    <cfRule type="expression" dxfId="1717" priority="551">
      <formula>BC44=1</formula>
    </cfRule>
    <cfRule type="expression" dxfId="1716" priority="550">
      <formula>BC44=2</formula>
    </cfRule>
  </conditionalFormatting>
  <conditionalFormatting sqref="BC52:BJ53 BC55:BJ58 BC59:BI59">
    <cfRule type="expression" dxfId="1715" priority="1904">
      <formula>BC52=2</formula>
    </cfRule>
    <cfRule type="expression" dxfId="1714" priority="1905">
      <formula>BC52=1</formula>
    </cfRule>
    <cfRule type="expression" dxfId="1713" priority="1903">
      <formula>BC52=3</formula>
    </cfRule>
    <cfRule type="expression" dxfId="1712" priority="1902">
      <formula>BC52="n/a"</formula>
    </cfRule>
  </conditionalFormatting>
  <conditionalFormatting sqref="BC84:BJ85">
    <cfRule type="expression" dxfId="1711" priority="299">
      <formula>BC84=2</formula>
    </cfRule>
    <cfRule type="expression" dxfId="1710" priority="300">
      <formula>BC84=1</formula>
    </cfRule>
    <cfRule type="expression" dxfId="1709" priority="297">
      <formula>BC84="n/a"</formula>
    </cfRule>
    <cfRule type="expression" dxfId="1708" priority="298">
      <formula>BC84=3</formula>
    </cfRule>
  </conditionalFormatting>
  <conditionalFormatting sqref="BD35">
    <cfRule type="expression" dxfId="1707" priority="1935">
      <formula>BD35=3</formula>
    </cfRule>
    <cfRule type="expression" dxfId="1706" priority="1937">
      <formula>BD35=1</formula>
    </cfRule>
    <cfRule type="expression" dxfId="1705" priority="1934">
      <formula>BD35="n/a"</formula>
    </cfRule>
    <cfRule type="expression" dxfId="1704" priority="1936">
      <formula>BD35=2</formula>
    </cfRule>
  </conditionalFormatting>
  <conditionalFormatting sqref="BD87:BI87">
    <cfRule type="expression" dxfId="1703" priority="327">
      <formula>BD87=1</formula>
    </cfRule>
    <cfRule type="expression" dxfId="1702" priority="325">
      <formula>BD87=3</formula>
    </cfRule>
    <cfRule type="expression" dxfId="1701" priority="324">
      <formula>BD87="n/a"</formula>
    </cfRule>
    <cfRule type="expression" dxfId="1700" priority="326">
      <formula>BD87=2</formula>
    </cfRule>
  </conditionalFormatting>
  <conditionalFormatting sqref="BE35:BJ35 BC35:BC36 BD36:BJ36">
    <cfRule type="expression" dxfId="1699" priority="1872">
      <formula>BC35=2</formula>
    </cfRule>
    <cfRule type="expression" dxfId="1698" priority="1871">
      <formula>BC35=3</formula>
    </cfRule>
    <cfRule type="expression" dxfId="1697" priority="1873">
      <formula>BC35=1</formula>
    </cfRule>
    <cfRule type="expression" dxfId="1696" priority="1870">
      <formula>BC35="n/a"</formula>
    </cfRule>
  </conditionalFormatting>
  <conditionalFormatting sqref="BE79:BK82 BT80:CB80 AZ80:BC83 BU81:CB82 BD83:CA83">
    <cfRule type="expression" dxfId="1695" priority="1663">
      <formula>AZ79=2</formula>
    </cfRule>
    <cfRule type="expression" dxfId="1694" priority="1662">
      <formula>AZ79=3</formula>
    </cfRule>
    <cfRule type="expression" dxfId="1693" priority="1661">
      <formula>AZ79="n/a"</formula>
    </cfRule>
    <cfRule type="expression" dxfId="1692" priority="1664">
      <formula>AZ79=1</formula>
    </cfRule>
  </conditionalFormatting>
  <conditionalFormatting sqref="BJ32">
    <cfRule type="expression" dxfId="1691" priority="35">
      <formula>BJ32=2</formula>
    </cfRule>
    <cfRule type="expression" dxfId="1690" priority="36">
      <formula>BJ32=1</formula>
    </cfRule>
    <cfRule type="expression" dxfId="1689" priority="34">
      <formula>BJ32=3</formula>
    </cfRule>
    <cfRule type="expression" dxfId="1688" priority="33">
      <formula>BJ32="n/a"</formula>
    </cfRule>
  </conditionalFormatting>
  <conditionalFormatting sqref="BJ47">
    <cfRule type="expression" dxfId="1687" priority="976">
      <formula>BJ47="n/a"</formula>
    </cfRule>
    <cfRule type="expression" dxfId="1686" priority="977">
      <formula>BJ47=3</formula>
    </cfRule>
    <cfRule type="expression" dxfId="1685" priority="978">
      <formula>BJ47=2</formula>
    </cfRule>
    <cfRule type="expression" dxfId="1684" priority="979">
      <formula>BJ47=1</formula>
    </cfRule>
  </conditionalFormatting>
  <conditionalFormatting sqref="BJ50:BJ51">
    <cfRule type="expression" dxfId="1683" priority="1785">
      <formula>BJ50=1</formula>
    </cfRule>
    <cfRule type="expression" dxfId="1682" priority="1784">
      <formula>BJ50=2</formula>
    </cfRule>
    <cfRule type="expression" dxfId="1681" priority="1782">
      <formula>BJ50="n/a"</formula>
    </cfRule>
    <cfRule type="expression" dxfId="1680" priority="1783">
      <formula>BJ50=3</formula>
    </cfRule>
  </conditionalFormatting>
  <conditionalFormatting sqref="BJ59">
    <cfRule type="expression" dxfId="1679" priority="997">
      <formula>BJ59=3</formula>
    </cfRule>
    <cfRule type="expression" dxfId="1678" priority="999">
      <formula>BJ59=1</formula>
    </cfRule>
    <cfRule type="expression" dxfId="1677" priority="998">
      <formula>BJ59=2</formula>
    </cfRule>
    <cfRule type="expression" dxfId="1676" priority="996">
      <formula>BJ59="n/a"</formula>
    </cfRule>
  </conditionalFormatting>
  <conditionalFormatting sqref="BJ9:ET9 EU9:EU31 D9:D53 CS15:ET16 EV15:EV16 D54:ET54 EV54 DV80:EV80 EV81 DV81:ET82 DU83:ET83 EV83 EN86:ET86">
    <cfRule type="expression" dxfId="1675" priority="263">
      <formula>D9=2</formula>
    </cfRule>
    <cfRule type="expression" dxfId="1674" priority="264">
      <formula>D9=1</formula>
    </cfRule>
    <cfRule type="expression" dxfId="1673" priority="261">
      <formula>D9="n/a"</formula>
    </cfRule>
    <cfRule type="expression" dxfId="1672" priority="262">
      <formula>D9=3</formula>
    </cfRule>
  </conditionalFormatting>
  <conditionalFormatting sqref="BK14:BK17 Z17:BJ17 E17:F19 I17:X19 I64:M64 BC69:BJ77 E70 E71:F74 CV10:ET14 EV10:FN14 CV17:ET20 EV17:FN20 BL21:ET24 EV21:FK31 DW25:ET27 BC28:ET28 DW29:ET31 DW32:ES32 EU32:FN32 EV33:FK33 DW33:ET43 EV34:EV38 EV39:FN53 CH44:ET44 EO45:ET47 DS48:ET53 EV55:FN56 EV57:FM59 EV60:FN66 BK64:ET64 CZ65:ET66 CZ67:FN67 CZ68:ET75 EV68:FN77 CH76:ET76 BL77:ET77 DS78:ET78 EV78:FO78 DS79:FO79 DS84:ET84 EV84:FN85 EP85:ET85 EM87:ET87 EV87:FA87 EV88:FB88 EN88:ET90 EV89:FG89 EV90:FN90 L55:M63 DA55:ET63 Z55:BA77 I56:I63 CZ56:CZ63 BK59:CY63 J61:K63 R62:V77 CV65:CY68 I65:K74 L65:M76 EU68:EU78 CV78:DR84 EU81:EU90 D84">
    <cfRule type="expression" dxfId="1671" priority="1173">
      <formula>D10=3</formula>
    </cfRule>
  </conditionalFormatting>
  <conditionalFormatting sqref="BK14:BK17 Z17:BJ17 E17:F19 I17:X19 I64:M64 BC69:BJ77 E70 E71:F74">
    <cfRule type="expression" dxfId="1670" priority="1172">
      <formula>E14="n/a"</formula>
    </cfRule>
  </conditionalFormatting>
  <conditionalFormatting sqref="BK21:BK27">
    <cfRule type="expression" dxfId="1669" priority="1315">
      <formula>BK21=3</formula>
    </cfRule>
    <cfRule type="expression" dxfId="1668" priority="1314">
      <formula>BK21="n/a"</formula>
    </cfRule>
    <cfRule type="expression" dxfId="1667" priority="1316">
      <formula>BK21=2</formula>
    </cfRule>
    <cfRule type="expression" dxfId="1666" priority="1317">
      <formula>BK21=1</formula>
    </cfRule>
  </conditionalFormatting>
  <conditionalFormatting sqref="BK29:BK31 BK33:BK43">
    <cfRule type="expression" dxfId="1665" priority="2119">
      <formula>BK29=1</formula>
    </cfRule>
    <cfRule type="expression" dxfId="1664" priority="2116">
      <formula>BK29="n/a"</formula>
    </cfRule>
    <cfRule type="expression" dxfId="1663" priority="2118">
      <formula>BK29=2</formula>
    </cfRule>
    <cfRule type="expression" dxfId="1662" priority="2117">
      <formula>BK29=3</formula>
    </cfRule>
  </conditionalFormatting>
  <conditionalFormatting sqref="BK45:BK46">
    <cfRule type="expression" dxfId="1661" priority="2115">
      <formula>BK45=1</formula>
    </cfRule>
    <cfRule type="expression" dxfId="1660" priority="2112">
      <formula>BK45="n/a"</formula>
    </cfRule>
    <cfRule type="expression" dxfId="1659" priority="2113">
      <formula>BK45=3</formula>
    </cfRule>
    <cfRule type="expression" dxfId="1658" priority="2114">
      <formula>BK45=2</formula>
    </cfRule>
  </conditionalFormatting>
  <conditionalFormatting sqref="BK76:BK77">
    <cfRule type="expression" dxfId="1657" priority="2015">
      <formula>BK76=3</formula>
    </cfRule>
    <cfRule type="expression" dxfId="1656" priority="2014">
      <formula>BK76="n/a"</formula>
    </cfRule>
    <cfRule type="expression" dxfId="1655" priority="2016">
      <formula>BK76=2</formula>
    </cfRule>
    <cfRule type="expression" dxfId="1654" priority="2017">
      <formula>BK76=1</formula>
    </cfRule>
  </conditionalFormatting>
  <conditionalFormatting sqref="BK90">
    <cfRule type="expression" dxfId="1653" priority="1762">
      <formula>BK90="n/a"</formula>
    </cfRule>
    <cfRule type="expression" dxfId="1652" priority="1763">
      <formula>BK90=3</formula>
    </cfRule>
    <cfRule type="expression" dxfId="1651" priority="1764">
      <formula>BK90=2</formula>
    </cfRule>
    <cfRule type="expression" dxfId="1650" priority="1765">
      <formula>BK90=1</formula>
    </cfRule>
  </conditionalFormatting>
  <conditionalFormatting sqref="BK47:BR47">
    <cfRule type="expression" dxfId="1649" priority="983">
      <formula>BK47=1</formula>
    </cfRule>
    <cfRule type="expression" dxfId="1648" priority="981">
      <formula>BK47=3</formula>
    </cfRule>
    <cfRule type="expression" dxfId="1647" priority="982">
      <formula>BK47=2</formula>
    </cfRule>
    <cfRule type="expression" dxfId="1646" priority="980">
      <formula>BK47="n/a"</formula>
    </cfRule>
  </conditionalFormatting>
  <conditionalFormatting sqref="BK20:CF20 BC26:BJ27">
    <cfRule type="expression" dxfId="1645" priority="1961">
      <formula>BC20=1</formula>
    </cfRule>
    <cfRule type="expression" dxfId="1644" priority="1960">
      <formula>BC20=2</formula>
    </cfRule>
    <cfRule type="expression" dxfId="1643" priority="1959">
      <formula>BC20=3</formula>
    </cfRule>
    <cfRule type="expression" dxfId="1642" priority="1958">
      <formula>BC20="n/a"</formula>
    </cfRule>
  </conditionalFormatting>
  <conditionalFormatting sqref="BL14:BT16 BZ15:BZ16 CH15:CR16 CA16:CG16">
    <cfRule type="expression" dxfId="1641" priority="368">
      <formula>BL14=3</formula>
    </cfRule>
    <cfRule type="expression" dxfId="1640" priority="369">
      <formula>BL14=2</formula>
    </cfRule>
    <cfRule type="expression" dxfId="1639" priority="370">
      <formula>BL14=1</formula>
    </cfRule>
  </conditionalFormatting>
  <conditionalFormatting sqref="BL50:BT51">
    <cfRule type="expression" dxfId="1638" priority="1779">
      <formula>BL50=3</formula>
    </cfRule>
    <cfRule type="expression" dxfId="1637" priority="1781">
      <formula>BL50=1</formula>
    </cfRule>
    <cfRule type="expression" dxfId="1636" priority="1778">
      <formula>BL50="n/a"</formula>
    </cfRule>
    <cfRule type="expression" dxfId="1635" priority="1780">
      <formula>BL50=2</formula>
    </cfRule>
  </conditionalFormatting>
  <conditionalFormatting sqref="BL84:BT85">
    <cfRule type="expression" dxfId="1634" priority="289">
      <formula>BL84="n/a"</formula>
    </cfRule>
    <cfRule type="expression" dxfId="1633" priority="290">
      <formula>BL84=3</formula>
    </cfRule>
    <cfRule type="expression" dxfId="1632" priority="292">
      <formula>BL84=1</formula>
    </cfRule>
    <cfRule type="expression" dxfId="1631" priority="291">
      <formula>BL84=2</formula>
    </cfRule>
  </conditionalFormatting>
  <conditionalFormatting sqref="BL49:BY49 BL90:BY90">
    <cfRule type="expression" dxfId="1630" priority="1768">
      <formula>BL49=2</formula>
    </cfRule>
    <cfRule type="expression" dxfId="1629" priority="1766">
      <formula>BL49="n/a"</formula>
    </cfRule>
    <cfRule type="expression" dxfId="1628" priority="1767">
      <formula>BL49=3</formula>
    </cfRule>
    <cfRule type="expression" dxfId="1627" priority="1769">
      <formula>BL49=1</formula>
    </cfRule>
  </conditionalFormatting>
  <conditionalFormatting sqref="BL25:CF25">
    <cfRule type="expression" dxfId="1626" priority="1322">
      <formula>BL25="n/a"</formula>
    </cfRule>
    <cfRule type="expression" dxfId="1625" priority="1325">
      <formula>BL25=1</formula>
    </cfRule>
    <cfRule type="expression" dxfId="1624" priority="1324">
      <formula>BL25=2</formula>
    </cfRule>
    <cfRule type="expression" dxfId="1623" priority="1323">
      <formula>BL25=3</formula>
    </cfRule>
  </conditionalFormatting>
  <conditionalFormatting sqref="BL76:CF76">
    <cfRule type="expression" dxfId="1622" priority="2038">
      <formula>BL76=1</formula>
    </cfRule>
    <cfRule type="expression" dxfId="1621" priority="2036">
      <formula>BL76=3</formula>
    </cfRule>
    <cfRule type="expression" dxfId="1620" priority="2037">
      <formula>BL76=2</formula>
    </cfRule>
    <cfRule type="expression" dxfId="1619" priority="2035">
      <formula>BL76="n/a"</formula>
    </cfRule>
  </conditionalFormatting>
  <conditionalFormatting sqref="BS47">
    <cfRule type="expression" dxfId="1618" priority="2500">
      <formula>BS47=2</formula>
    </cfRule>
    <cfRule type="expression" dxfId="1617" priority="2499">
      <formula>BS47=3</formula>
    </cfRule>
    <cfRule type="expression" dxfId="1616" priority="2498">
      <formula>BS47="n/a"</formula>
    </cfRule>
    <cfRule type="expression" dxfId="1615" priority="2501">
      <formula>BS47=1</formula>
    </cfRule>
  </conditionalFormatting>
  <conditionalFormatting sqref="BT47">
    <cfRule type="expression" dxfId="1614" priority="968">
      <formula>BT47="n/a"</formula>
    </cfRule>
    <cfRule type="expression" dxfId="1613" priority="969">
      <formula>BT47=3</formula>
    </cfRule>
    <cfRule type="expression" dxfId="1612" priority="970">
      <formula>BT47=2</formula>
    </cfRule>
    <cfRule type="expression" dxfId="1611" priority="971">
      <formula>BT47=1</formula>
    </cfRule>
  </conditionalFormatting>
  <conditionalFormatting sqref="BU84 BW84:CG84">
    <cfRule type="expression" dxfId="1610" priority="900">
      <formula>BU84="n/a"</formula>
    </cfRule>
    <cfRule type="expression" dxfId="1609" priority="902">
      <formula>BU84=2</formula>
    </cfRule>
    <cfRule type="expression" dxfId="1608" priority="901">
      <formula>BU84=3</formula>
    </cfRule>
    <cfRule type="expression" dxfId="1607" priority="903">
      <formula>BU84=1</formula>
    </cfRule>
  </conditionalFormatting>
  <conditionalFormatting sqref="BU13:BY13 CA13 CD13 CG13:CG14 BU14:CF14">
    <cfRule type="expression" dxfId="1606" priority="2179">
      <formula>BU13=1</formula>
    </cfRule>
    <cfRule type="expression" dxfId="1605" priority="2176">
      <formula>BU13="n/a"</formula>
    </cfRule>
    <cfRule type="expression" dxfId="1604" priority="2177">
      <formula>BU13=3</formula>
    </cfRule>
    <cfRule type="expression" dxfId="1603" priority="2178">
      <formula>BU13=2</formula>
    </cfRule>
  </conditionalFormatting>
  <conditionalFormatting sqref="BU15:BY16 CA15:CJ16 FQ16:FQ17 FW16:FW17 FP16:FP18 FO16:FO21 BL17:CU17 FR17:FV17 FX17:GI17 AV32 GB44:GI47 Z44:BA48 CW45:CY47 DS47:EN47 DA47:DR53 BL48:BU48 CE48:CF48 BC48:BJ49 CH48:CZ52 Z49:AM49 AO49:BA49 AN49:AN52 AR50:AR51 Z50:AF52 AK50:AK52 AG52:AJ52 AL52:AM52 AO52:BA52 Z53:BA53 BL53:CZ53 BL55:CZ55 BK69:CY73 CV74:CY75 M78:BC79 FP78:GI80 D78:E83 AK80 AM80 AU80 CV86:DR86 CU87:DQ87 CV88:DR90">
    <cfRule type="expression" dxfId="1602" priority="359">
      <formula>D15="n/a"</formula>
    </cfRule>
  </conditionalFormatting>
  <conditionalFormatting sqref="BU44:BY44 CA44 CD44">
    <cfRule type="expression" dxfId="1601" priority="559">
      <formula>BU44=1</formula>
    </cfRule>
    <cfRule type="expression" dxfId="1600" priority="558">
      <formula>BU44=2</formula>
    </cfRule>
    <cfRule type="expression" dxfId="1599" priority="557">
      <formula>BU44=3</formula>
    </cfRule>
    <cfRule type="expression" dxfId="1598" priority="556">
      <formula>BU44="n/a"</formula>
    </cfRule>
  </conditionalFormatting>
  <conditionalFormatting sqref="BU47:CA47">
    <cfRule type="expression" dxfId="1597" priority="975">
      <formula>BU47=1</formula>
    </cfRule>
    <cfRule type="expression" dxfId="1596" priority="974">
      <formula>BU47=2</formula>
    </cfRule>
    <cfRule type="expression" dxfId="1595" priority="973">
      <formula>BU47=3</formula>
    </cfRule>
    <cfRule type="expression" dxfId="1594" priority="972">
      <formula>BU47="n/a"</formula>
    </cfRule>
  </conditionalFormatting>
  <conditionalFormatting sqref="BU50:CE50">
    <cfRule type="expression" dxfId="1593" priority="1790">
      <formula>BU50="n/a"</formula>
    </cfRule>
    <cfRule type="expression" dxfId="1592" priority="1792">
      <formula>BU50=2</formula>
    </cfRule>
    <cfRule type="expression" dxfId="1591" priority="1791">
      <formula>BU50=3</formula>
    </cfRule>
    <cfRule type="expression" dxfId="1590" priority="1793">
      <formula>BU50=1</formula>
    </cfRule>
  </conditionalFormatting>
  <conditionalFormatting sqref="BU85:CG85">
    <cfRule type="expression" dxfId="1589" priority="303">
      <formula>BU85=3</formula>
    </cfRule>
    <cfRule type="expression" dxfId="1588" priority="302">
      <formula>BU85="n/a"</formula>
    </cfRule>
    <cfRule type="expression" dxfId="1587" priority="304">
      <formula>BU85=2</formula>
    </cfRule>
    <cfRule type="expression" dxfId="1586" priority="305">
      <formula>BU85=1</formula>
    </cfRule>
  </conditionalFormatting>
  <conditionalFormatting sqref="BV84">
    <cfRule type="expression" dxfId="1585" priority="886">
      <formula>BV84=2</formula>
    </cfRule>
    <cfRule type="expression" dxfId="1584" priority="884">
      <formula>BV84="n/a"</formula>
    </cfRule>
    <cfRule type="expression" dxfId="1583" priority="885">
      <formula>BV84=3</formula>
    </cfRule>
    <cfRule type="expression" dxfId="1582" priority="887">
      <formula>BV84=1</formula>
    </cfRule>
  </conditionalFormatting>
  <conditionalFormatting sqref="BZ13 CB13:CC13 CE13:CF13">
    <cfRule type="expression" dxfId="1581" priority="2172">
      <formula>BZ13="n/a"</formula>
    </cfRule>
    <cfRule type="expression" dxfId="1580" priority="2175">
      <formula>BZ13=1</formula>
    </cfRule>
    <cfRule type="expression" dxfId="1579" priority="2174">
      <formula>BZ13=2</formula>
    </cfRule>
    <cfRule type="expression" dxfId="1578" priority="2173">
      <formula>BZ13=3</formula>
    </cfRule>
  </conditionalFormatting>
  <conditionalFormatting sqref="BZ44 CB44:CC44 CE44:CF44 CE45:CE47">
    <cfRule type="expression" dxfId="1577" priority="554">
      <formula>BZ44=2</formula>
    </cfRule>
    <cfRule type="expression" dxfId="1576" priority="555">
      <formula>BZ44=1</formula>
    </cfRule>
    <cfRule type="expression" dxfId="1575" priority="552">
      <formula>BZ44="n/a"</formula>
    </cfRule>
    <cfRule type="expression" dxfId="1574" priority="553">
      <formula>BZ44=3</formula>
    </cfRule>
  </conditionalFormatting>
  <conditionalFormatting sqref="CA86:CE86">
    <cfRule type="expression" dxfId="1573" priority="506">
      <formula>CA86=2</formula>
    </cfRule>
    <cfRule type="expression" dxfId="1572" priority="505">
      <formula>CA86=3</formula>
    </cfRule>
    <cfRule type="expression" dxfId="1571" priority="507">
      <formula>CA86=1</formula>
    </cfRule>
    <cfRule type="expression" dxfId="1570" priority="504">
      <formula>CA86="n/a"</formula>
    </cfRule>
  </conditionalFormatting>
  <conditionalFormatting sqref="CA15:CJ15 BU15:BY16">
    <cfRule type="expression" dxfId="1569" priority="362">
      <formula>BU15=1</formula>
    </cfRule>
    <cfRule type="expression" dxfId="1568" priority="361">
      <formula>BU15=2</formula>
    </cfRule>
    <cfRule type="expression" dxfId="1567" priority="360">
      <formula>BU15=3</formula>
    </cfRule>
  </conditionalFormatting>
  <conditionalFormatting sqref="CB47 E48:F48 BV48:CD48">
    <cfRule type="expression" dxfId="1566" priority="397">
      <formula>E47=2</formula>
    </cfRule>
    <cfRule type="expression" dxfId="1565" priority="396">
      <formula>E47=3</formula>
    </cfRule>
    <cfRule type="expression" dxfId="1564" priority="395">
      <formula>E47="n/a"</formula>
    </cfRule>
    <cfRule type="expression" dxfId="1563" priority="398">
      <formula>E47=1</formula>
    </cfRule>
  </conditionalFormatting>
  <conditionalFormatting sqref="CC47">
    <cfRule type="expression" dxfId="1562" priority="964">
      <formula>CC47="n/a"</formula>
    </cfRule>
    <cfRule type="expression" dxfId="1561" priority="967">
      <formula>CC47=1</formula>
    </cfRule>
    <cfRule type="expression" dxfId="1560" priority="966">
      <formula>CC47=2</formula>
    </cfRule>
    <cfRule type="expression" dxfId="1559" priority="965">
      <formula>CC47=3</formula>
    </cfRule>
  </conditionalFormatting>
  <conditionalFormatting sqref="CF50">
    <cfRule type="expression" dxfId="1558" priority="1774">
      <formula>CF50="n/a"</formula>
    </cfRule>
    <cfRule type="expression" dxfId="1557" priority="1776">
      <formula>CF50=2</formula>
    </cfRule>
    <cfRule type="expression" dxfId="1556" priority="1775">
      <formula>CF50=3</formula>
    </cfRule>
    <cfRule type="expression" dxfId="1555" priority="1777">
      <formula>CF50=1</formula>
    </cfRule>
  </conditionalFormatting>
  <conditionalFormatting sqref="CG25">
    <cfRule type="expression" dxfId="1554" priority="1318">
      <formula>CG25="n/a"</formula>
    </cfRule>
    <cfRule type="expression" dxfId="1553" priority="1319">
      <formula>CG25=3</formula>
    </cfRule>
    <cfRule type="expression" dxfId="1552" priority="1320">
      <formula>CG25=2</formula>
    </cfRule>
    <cfRule type="expression" dxfId="1551" priority="1321">
      <formula>CG25=1</formula>
    </cfRule>
  </conditionalFormatting>
  <conditionalFormatting sqref="CG44:CG46">
    <cfRule type="expression" dxfId="1550" priority="560">
      <formula>CG44="n/a"</formula>
    </cfRule>
    <cfRule type="expression" dxfId="1549" priority="563">
      <formula>CG44=1</formula>
    </cfRule>
    <cfRule type="expression" dxfId="1548" priority="561">
      <formula>CG44=3</formula>
    </cfRule>
    <cfRule type="expression" dxfId="1547" priority="562">
      <formula>CG44=2</formula>
    </cfRule>
  </conditionalFormatting>
  <conditionalFormatting sqref="CG76">
    <cfRule type="expression" dxfId="1546" priority="2018">
      <formula>CG76="n/a"</formula>
    </cfRule>
    <cfRule type="expression" dxfId="1545" priority="2020">
      <formula>CG76=2</formula>
    </cfRule>
    <cfRule type="expression" dxfId="1544" priority="2021">
      <formula>CG76=1</formula>
    </cfRule>
    <cfRule type="expression" dxfId="1543" priority="2019">
      <formula>CG76=3</formula>
    </cfRule>
  </conditionalFormatting>
  <conditionalFormatting sqref="CG90">
    <cfRule type="expression" dxfId="1542" priority="2132">
      <formula>CG90="n/a"</formula>
    </cfRule>
    <cfRule type="expression" dxfId="1541" priority="2134">
      <formula>CG90=2</formula>
    </cfRule>
    <cfRule type="expression" dxfId="1540" priority="2133">
      <formula>CG90=3</formula>
    </cfRule>
    <cfRule type="expression" dxfId="1539" priority="2135">
      <formula>CG90=1</formula>
    </cfRule>
  </conditionalFormatting>
  <conditionalFormatting sqref="CG25:CS25 EO45:EO47 AK62:AK64 AK70 CH76:CU76 BL77:CU77 FJ9:FN9 BK10:CU11 BK12:CP12 CQ12:CU14 BK13:BT13 CH13:CP14 Z18:CU19 R20 U20:V20 CG20:CU20 Z20:BA24 R21:V21 FL21:FN31 U22:V24 AJ25:AJ26 AK26:BA26 U26:V27 BL26:CR27 R27 Z27:BA42 CS29:DV29 BL29:CR31 BK32:CR32 BL33:CR33 FL33:FN33 BL34:CU43 Z43:BJ43 BK44:BT44 BL45:CD46 CF45:CF46 CH45:CU46 DA45:EN46 CV45:CV47 CZ45:CZ47 BC47:BI47 CD47 CF47:CU47 BZ49:CF49 AG50:AI51 BU51:CF51 BL52:CF52 BL56:CY58 S61:V61 BK65:CU67 BJ68:CU68 BK74:CU75 BD78:CU78 BT79:CU79 BL79:BS82 Y80:AI80 AK80:AY80 CC80:CU80 FO80 EW80:FN81 DS80:DU82 CC81:CN81 FO81:GI81 BT81:BT82 Y81:AY83 CO81:CU83 CC82:CJ82 CK82:CN83 CB83:CJ83 DS83:DT83 R84:V84 Y84:BA84 CH84:CU84 CH85:EM85 AI86 AT86:AU86 CF86:CK86 CS86:CU86 DS86:DT86 D87:F87 X87:BB87 BJ87:CT87 DR87:EK87 FC87:FF87 FH87:FM87 I87:Q89 S87:V89 FD88:FG88 E88:F89 X88:Y89 BK88:CJ89 FI88:FN89 D88:D90 Z88:BB90 CK88:CU90 DS88:EL90 R90:V90 BZ90:CF90 CH90:CJ90">
    <cfRule type="expression" dxfId="1538" priority="2870">
      <formula>D9="n/a"</formula>
    </cfRule>
  </conditionalFormatting>
  <conditionalFormatting sqref="CH15:CR16 BL14:BT16 BZ15:BZ16">
    <cfRule type="expression" dxfId="1537" priority="367">
      <formula>BL14="n/a"</formula>
    </cfRule>
  </conditionalFormatting>
  <conditionalFormatting sqref="CL86:CR86">
    <cfRule type="expression" dxfId="1536" priority="498">
      <formula>CL86=2</formula>
    </cfRule>
    <cfRule type="expression" dxfId="1535" priority="497">
      <formula>CL86=3</formula>
    </cfRule>
    <cfRule type="expression" dxfId="1534" priority="496">
      <formula>CL86="n/a"</formula>
    </cfRule>
    <cfRule type="expression" dxfId="1533" priority="499">
      <formula>CL86=1</formula>
    </cfRule>
  </conditionalFormatting>
  <conditionalFormatting sqref="CS26:CS27">
    <cfRule type="expression" dxfId="1532" priority="856">
      <formula>CS26="n/a"</formula>
    </cfRule>
    <cfRule type="expression" dxfId="1531" priority="859">
      <formula>CS26=1</formula>
    </cfRule>
    <cfRule type="expression" dxfId="1530" priority="858">
      <formula>CS26=2</formula>
    </cfRule>
    <cfRule type="expression" dxfId="1529" priority="857">
      <formula>CS26=3</formula>
    </cfRule>
  </conditionalFormatting>
  <conditionalFormatting sqref="CS31:CS32">
    <cfRule type="expression" dxfId="1528" priority="30">
      <formula>CS31=3</formula>
    </cfRule>
    <cfRule type="expression" dxfId="1527" priority="340">
      <formula>CS31=1</formula>
    </cfRule>
    <cfRule type="expression" dxfId="1526" priority="29">
      <formula>CS31="n/a"</formula>
    </cfRule>
    <cfRule type="expression" dxfId="1525" priority="339">
      <formula>CS31=2</formula>
    </cfRule>
  </conditionalFormatting>
  <conditionalFormatting sqref="CT27">
    <cfRule type="expression" dxfId="1524" priority="865">
      <formula>CT27=3</formula>
    </cfRule>
    <cfRule type="expression" dxfId="1523" priority="866">
      <formula>CT27=2</formula>
    </cfRule>
    <cfRule type="expression" dxfId="1522" priority="864">
      <formula>CT27="n/a"</formula>
    </cfRule>
    <cfRule type="expression" dxfId="1521" priority="867">
      <formula>CT27=1</formula>
    </cfRule>
  </conditionalFormatting>
  <conditionalFormatting sqref="CT31:CT32">
    <cfRule type="expression" dxfId="1520" priority="25">
      <formula>CT31="n/a"</formula>
    </cfRule>
    <cfRule type="expression" dxfId="1519" priority="26">
      <formula>CT31=3</formula>
    </cfRule>
    <cfRule type="expression" dxfId="1518" priority="855">
      <formula>CT31=1</formula>
    </cfRule>
    <cfRule type="expression" dxfId="1517" priority="854">
      <formula>CT31=2</formula>
    </cfRule>
  </conditionalFormatting>
  <conditionalFormatting sqref="CT26:CU26">
    <cfRule type="expression" dxfId="1516" priority="344">
      <formula>CT26=1</formula>
    </cfRule>
    <cfRule type="expression" dxfId="1515" priority="342">
      <formula>CT26=3</formula>
    </cfRule>
    <cfRule type="expression" dxfId="1514" priority="343">
      <formula>CT26=2</formula>
    </cfRule>
    <cfRule type="expression" dxfId="1513" priority="341">
      <formula>CT26="n/a"</formula>
    </cfRule>
  </conditionalFormatting>
  <conditionalFormatting sqref="CU27">
    <cfRule type="expression" dxfId="1512" priority="862">
      <formula>CU27=2</formula>
    </cfRule>
    <cfRule type="expression" dxfId="1511" priority="860">
      <formula>CU27="n/a"</formula>
    </cfRule>
    <cfRule type="expression" dxfId="1510" priority="863">
      <formula>CU27=1</formula>
    </cfRule>
    <cfRule type="expression" dxfId="1509" priority="861">
      <formula>CU27=3</formula>
    </cfRule>
  </conditionalFormatting>
  <conditionalFormatting sqref="CU31:CU32">
    <cfRule type="expression" dxfId="1508" priority="22">
      <formula>CU31=3</formula>
    </cfRule>
    <cfRule type="expression" dxfId="1507" priority="21">
      <formula>CU31="n/a"</formula>
    </cfRule>
    <cfRule type="expression" dxfId="1506" priority="850">
      <formula>CU31=2</formula>
    </cfRule>
    <cfRule type="expression" dxfId="1505" priority="851">
      <formula>CU31=1</formula>
    </cfRule>
  </conditionalFormatting>
  <conditionalFormatting sqref="CV31:CV32">
    <cfRule type="expression" dxfId="1504" priority="17">
      <formula>CV31="n/a"</formula>
    </cfRule>
    <cfRule type="expression" dxfId="1503" priority="18">
      <formula>CV31=3</formula>
    </cfRule>
    <cfRule type="expression" dxfId="1502" priority="846">
      <formula>CV31=2</formula>
    </cfRule>
    <cfRule type="expression" dxfId="1501" priority="847">
      <formula>CV31=1</formula>
    </cfRule>
  </conditionalFormatting>
  <conditionalFormatting sqref="CV25:CX26">
    <cfRule type="expression" dxfId="1500" priority="826">
      <formula>CV25=2</formula>
    </cfRule>
    <cfRule type="expression" dxfId="1499" priority="825">
      <formula>CV25=3</formula>
    </cfRule>
    <cfRule type="expression" dxfId="1498" priority="824">
      <formula>CV25="n/a"</formula>
    </cfRule>
    <cfRule type="expression" dxfId="1497" priority="827">
      <formula>CV25=1</formula>
    </cfRule>
  </conditionalFormatting>
  <conditionalFormatting sqref="CV10:ET14 EV10:FN14 BK14:BK17 Z17:BJ17 E17:F19 I17:X19 CV17:ET20 EV17:FN20 BL21:ET24 EV21:FK31 DW25:ET27 BC28:ET28 DW29:ET31 DW32:ES32 EU32:FN32 EV33:FK33 DW33:ET43 EV34:EV38 EV39:FN53 CH44:ET44 EO45:ET47 DS48:ET53 EV55:FN56 L55:M63 DA55:ET63 Z55:BA77 I56:I63 CZ56:CZ63 EV57:FM59 BK59:CY63 EV60:FN66 J61:K63 R62:V77 I64:M64 BK64:ET64 CZ65:ET66 CV65:CY68 I65:K74 L65:M76 CZ67:FN67 CZ68:ET75 EV68:FN77 EU68:EU78 BC69:BJ77 E70 E71:F74 CH76:ET76 BL77:ET77 DS78:ET78 EV78:FO78 CV78:DR84 DS79:FO79 EU81:EU90 D84 DS84:ET84 EV84:FN85 EP85:ET85 EM87:ET87 EV87:FA87 EV88:FB88 EN88:ET90 EV89:FG89 EV90:FN90">
    <cfRule type="expression" dxfId="1496" priority="1174">
      <formula>D10=2</formula>
    </cfRule>
    <cfRule type="expression" dxfId="1495" priority="1175">
      <formula>D10=1</formula>
    </cfRule>
  </conditionalFormatting>
  <conditionalFormatting sqref="CV10:ET14 EV10:FN14 CV17:ET20 EV17:FN20 BL21:ET24 EV21:FK31 DW25:ET27 BC28:ET28 DW29:ET31 DW32:ES32 EU32:FN32 EV33:FK33 DW33:ET43 EV34:EV38 EV39:FN44 CH44:ET44 EP45:ET47 EV45:FZ47 DS48:ET53 EV48:GI53 EV55:FN56 EV57:FM59 CZ64:ET66 EV64:GI66 CZ67:GI67 CZ68:ET75 EV68:GI77 CV76:ET77 DS78:ET78 EV78:FO78 DS79:FO79 DS84:ET84 EV84:FN85 EP85:ET85 EM87:ET87 EV87:FA87 EV88:FB88 EN88:ET90 EV89:FG89 EV90:FN90">
    <cfRule type="expression" dxfId="1494" priority="265">
      <formula>BC10="n/a"</formula>
    </cfRule>
  </conditionalFormatting>
  <conditionalFormatting sqref="CW31:CW32">
    <cfRule type="expression" dxfId="1493" priority="14">
      <formula>CW31=3</formula>
    </cfRule>
    <cfRule type="expression" dxfId="1492" priority="13">
      <formula>CW31="n/a"</formula>
    </cfRule>
    <cfRule type="expression" dxfId="1491" priority="842">
      <formula>CW31=2</formula>
    </cfRule>
    <cfRule type="expression" dxfId="1490" priority="843">
      <formula>CW31=1</formula>
    </cfRule>
  </conditionalFormatting>
  <conditionalFormatting sqref="CX31:CX32">
    <cfRule type="expression" dxfId="1489" priority="838">
      <formula>CX31=2</formula>
    </cfRule>
    <cfRule type="expression" dxfId="1488" priority="839">
      <formula>CX31=1</formula>
    </cfRule>
    <cfRule type="expression" dxfId="1487" priority="10">
      <formula>CX31=3</formula>
    </cfRule>
    <cfRule type="expression" dxfId="1486" priority="9">
      <formula>CX31="n/a"</formula>
    </cfRule>
  </conditionalFormatting>
  <conditionalFormatting sqref="CY25:CY26">
    <cfRule type="expression" dxfId="1485" priority="817">
      <formula>CY25=3</formula>
    </cfRule>
    <cfRule type="expression" dxfId="1484" priority="819">
      <formula>CY25=1</formula>
    </cfRule>
    <cfRule type="expression" dxfId="1483" priority="818">
      <formula>CY25=2</formula>
    </cfRule>
    <cfRule type="expression" dxfId="1482" priority="816">
      <formula>CY25="n/a"</formula>
    </cfRule>
  </conditionalFormatting>
  <conditionalFormatting sqref="CY31:CY32">
    <cfRule type="expression" dxfId="1481" priority="835">
      <formula>CY31=1</formula>
    </cfRule>
    <cfRule type="expression" dxfId="1480" priority="834">
      <formula>CY31=2</formula>
    </cfRule>
    <cfRule type="expression" dxfId="1479" priority="833">
      <formula>CY31=3</formula>
    </cfRule>
    <cfRule type="expression" dxfId="1478" priority="832">
      <formula>CY31="n/a"</formula>
    </cfRule>
  </conditionalFormatting>
  <conditionalFormatting sqref="CZ25:CZ26">
    <cfRule type="expression" dxfId="1477" priority="668">
      <formula>CZ25="n/a"</formula>
    </cfRule>
    <cfRule type="expression" dxfId="1476" priority="669">
      <formula>CZ25=3</formula>
    </cfRule>
    <cfRule type="expression" dxfId="1475" priority="670">
      <formula>CZ25=2</formula>
    </cfRule>
    <cfRule type="expression" dxfId="1474" priority="671">
      <formula>CZ25=1</formula>
    </cfRule>
  </conditionalFormatting>
  <conditionalFormatting sqref="CZ31:DV32">
    <cfRule type="expression" dxfId="1473" priority="333">
      <formula>CZ31="n/a"</formula>
    </cfRule>
    <cfRule type="expression" dxfId="1472" priority="336">
      <formula>CZ31=1</formula>
    </cfRule>
    <cfRule type="expression" dxfId="1471" priority="335">
      <formula>CZ31=2</formula>
    </cfRule>
    <cfRule type="expression" dxfId="1470" priority="334">
      <formula>CZ31=3</formula>
    </cfRule>
  </conditionalFormatting>
  <conditionalFormatting sqref="DA26">
    <cfRule type="expression" dxfId="1469" priority="665">
      <formula>DA26=3</formula>
    </cfRule>
    <cfRule type="expression" dxfId="1468" priority="666">
      <formula>DA26=2</formula>
    </cfRule>
    <cfRule type="expression" dxfId="1467" priority="667">
      <formula>DA26=1</formula>
    </cfRule>
    <cfRule type="expression" dxfId="1466" priority="664">
      <formula>DA26="n/a"</formula>
    </cfRule>
  </conditionalFormatting>
  <conditionalFormatting sqref="DB26">
    <cfRule type="expression" dxfId="1465" priority="661">
      <formula>DB26=3</formula>
    </cfRule>
    <cfRule type="expression" dxfId="1464" priority="660">
      <formula>DB26="n/a"</formula>
    </cfRule>
    <cfRule type="expression" dxfId="1463" priority="662">
      <formula>DB26=2</formula>
    </cfRule>
    <cfRule type="expression" dxfId="1462" priority="663">
      <formula>DB26=1</formula>
    </cfRule>
  </conditionalFormatting>
  <conditionalFormatting sqref="DC25:DD26">
    <cfRule type="expression" dxfId="1461" priority="657">
      <formula>DC25=3</formula>
    </cfRule>
    <cfRule type="expression" dxfId="1460" priority="656">
      <formula>DC25="n/a"</formula>
    </cfRule>
    <cfRule type="expression" dxfId="1459" priority="659">
      <formula>DC25=1</formula>
    </cfRule>
    <cfRule type="expression" dxfId="1458" priority="658">
      <formula>DC25=2</formula>
    </cfRule>
  </conditionalFormatting>
  <conditionalFormatting sqref="DE25:DE26">
    <cfRule type="expression" dxfId="1457" priority="795">
      <formula>DE25=1</formula>
    </cfRule>
    <cfRule type="expression" dxfId="1456" priority="794">
      <formula>DE25=2</formula>
    </cfRule>
    <cfRule type="expression" dxfId="1455" priority="793">
      <formula>DE25=3</formula>
    </cfRule>
    <cfRule type="expression" dxfId="1454" priority="792">
      <formula>DE25="n/a"</formula>
    </cfRule>
  </conditionalFormatting>
  <conditionalFormatting sqref="DF25:DF26">
    <cfRule type="expression" dxfId="1453" priority="787">
      <formula>DF25=1</formula>
    </cfRule>
    <cfRule type="expression" dxfId="1452" priority="786">
      <formula>DF25=2</formula>
    </cfRule>
    <cfRule type="expression" dxfId="1451" priority="785">
      <formula>DF25=3</formula>
    </cfRule>
    <cfRule type="expression" dxfId="1450" priority="784">
      <formula>DF25="n/a"</formula>
    </cfRule>
  </conditionalFormatting>
  <conditionalFormatting sqref="DG25:DG26">
    <cfRule type="expression" dxfId="1449" priority="776">
      <formula>DG25="n/a"</formula>
    </cfRule>
    <cfRule type="expression" dxfId="1448" priority="777">
      <formula>DG25=3</formula>
    </cfRule>
    <cfRule type="expression" dxfId="1447" priority="778">
      <formula>DG25=2</formula>
    </cfRule>
    <cfRule type="expression" dxfId="1446" priority="779">
      <formula>DG25=1</formula>
    </cfRule>
  </conditionalFormatting>
  <conditionalFormatting sqref="DH25:DH26">
    <cfRule type="expression" dxfId="1445" priority="770">
      <formula>DH25=2</formula>
    </cfRule>
    <cfRule type="expression" dxfId="1444" priority="771">
      <formula>DH25=1</formula>
    </cfRule>
    <cfRule type="expression" dxfId="1443" priority="768">
      <formula>DH25="n/a"</formula>
    </cfRule>
    <cfRule type="expression" dxfId="1442" priority="769">
      <formula>DH25=3</formula>
    </cfRule>
  </conditionalFormatting>
  <conditionalFormatting sqref="DI25:DI26">
    <cfRule type="expression" dxfId="1441" priority="760">
      <formula>DI25="n/a"</formula>
    </cfRule>
    <cfRule type="expression" dxfId="1440" priority="761">
      <formula>DI25=3</formula>
    </cfRule>
    <cfRule type="expression" dxfId="1439" priority="762">
      <formula>DI25=2</formula>
    </cfRule>
    <cfRule type="expression" dxfId="1438" priority="763">
      <formula>DI25=1</formula>
    </cfRule>
  </conditionalFormatting>
  <conditionalFormatting sqref="DJ25:DJ26">
    <cfRule type="expression" dxfId="1437" priority="752">
      <formula>DJ25="n/a"</formula>
    </cfRule>
    <cfRule type="expression" dxfId="1436" priority="753">
      <formula>DJ25=3</formula>
    </cfRule>
    <cfRule type="expression" dxfId="1435" priority="754">
      <formula>DJ25=2</formula>
    </cfRule>
    <cfRule type="expression" dxfId="1434" priority="755">
      <formula>DJ25=1</formula>
    </cfRule>
  </conditionalFormatting>
  <conditionalFormatting sqref="DK25:DK26">
    <cfRule type="expression" dxfId="1433" priority="746">
      <formula>DK25=2</formula>
    </cfRule>
    <cfRule type="expression" dxfId="1432" priority="745">
      <formula>DK25=3</formula>
    </cfRule>
    <cfRule type="expression" dxfId="1431" priority="744">
      <formula>DK25="n/a"</formula>
    </cfRule>
    <cfRule type="expression" dxfId="1430" priority="747">
      <formula>DK25=1</formula>
    </cfRule>
  </conditionalFormatting>
  <conditionalFormatting sqref="DL25:DL26">
    <cfRule type="expression" dxfId="1429" priority="737">
      <formula>DL25=3</formula>
    </cfRule>
    <cfRule type="expression" dxfId="1428" priority="739">
      <formula>DL25=1</formula>
    </cfRule>
    <cfRule type="expression" dxfId="1427" priority="738">
      <formula>DL25=2</formula>
    </cfRule>
    <cfRule type="expression" dxfId="1426" priority="736">
      <formula>DL25="n/a"</formula>
    </cfRule>
  </conditionalFormatting>
  <conditionalFormatting sqref="DM25:DM26">
    <cfRule type="expression" dxfId="1425" priority="728">
      <formula>DM25="n/a"</formula>
    </cfRule>
    <cfRule type="expression" dxfId="1424" priority="731">
      <formula>DM25=1</formula>
    </cfRule>
    <cfRule type="expression" dxfId="1423" priority="730">
      <formula>DM25=2</formula>
    </cfRule>
    <cfRule type="expression" dxfId="1422" priority="729">
      <formula>DM25=3</formula>
    </cfRule>
  </conditionalFormatting>
  <conditionalFormatting sqref="DN25:DN26">
    <cfRule type="expression" dxfId="1421" priority="721">
      <formula>DN25=3</formula>
    </cfRule>
    <cfRule type="expression" dxfId="1420" priority="720">
      <formula>DN25="n/a"</formula>
    </cfRule>
    <cfRule type="expression" dxfId="1419" priority="722">
      <formula>DN25=2</formula>
    </cfRule>
    <cfRule type="expression" dxfId="1418" priority="723">
      <formula>DN25=1</formula>
    </cfRule>
  </conditionalFormatting>
  <conditionalFormatting sqref="DO25:DO26">
    <cfRule type="expression" dxfId="1417" priority="715">
      <formula>DO25=1</formula>
    </cfRule>
    <cfRule type="expression" dxfId="1416" priority="712">
      <formula>DO25="n/a"</formula>
    </cfRule>
    <cfRule type="expression" dxfId="1415" priority="713">
      <formula>DO25=3</formula>
    </cfRule>
    <cfRule type="expression" dxfId="1414" priority="714">
      <formula>DO25=2</formula>
    </cfRule>
  </conditionalFormatting>
  <conditionalFormatting sqref="DP25:DP26">
    <cfRule type="expression" dxfId="1413" priority="705">
      <formula>DP25=3</formula>
    </cfRule>
    <cfRule type="expression" dxfId="1412" priority="704">
      <formula>DP25="n/a"</formula>
    </cfRule>
    <cfRule type="expression" dxfId="1411" priority="706">
      <formula>DP25=2</formula>
    </cfRule>
    <cfRule type="expression" dxfId="1410" priority="707">
      <formula>DP25=1</formula>
    </cfRule>
  </conditionalFormatting>
  <conditionalFormatting sqref="DQ26">
    <cfRule type="expression" dxfId="1409" priority="677">
      <formula>DQ26=3</formula>
    </cfRule>
    <cfRule type="expression" dxfId="1408" priority="676">
      <formula>DQ26="n/a"</formula>
    </cfRule>
    <cfRule type="expression" dxfId="1407" priority="678">
      <formula>DQ26=2</formula>
    </cfRule>
    <cfRule type="expression" dxfId="1406" priority="679">
      <formula>DQ26=1</formula>
    </cfRule>
  </conditionalFormatting>
  <conditionalFormatting sqref="DR26">
    <cfRule type="expression" dxfId="1405" priority="674">
      <formula>DR26=2</formula>
    </cfRule>
    <cfRule type="expression" dxfId="1404" priority="675">
      <formula>DR26=1</formula>
    </cfRule>
    <cfRule type="expression" dxfId="1403" priority="672">
      <formula>DR26="n/a"</formula>
    </cfRule>
    <cfRule type="expression" dxfId="1402" priority="673">
      <formula>DR26=3</formula>
    </cfRule>
  </conditionalFormatting>
  <conditionalFormatting sqref="DT25:DT26">
    <cfRule type="expression" dxfId="1401" priority="696">
      <formula>DT25="n/a"</formula>
    </cfRule>
    <cfRule type="expression" dxfId="1400" priority="697">
      <formula>DT25=3</formula>
    </cfRule>
    <cfRule type="expression" dxfId="1399" priority="698">
      <formula>DT25=2</formula>
    </cfRule>
    <cfRule type="expression" dxfId="1398" priority="699">
      <formula>DT25=1</formula>
    </cfRule>
  </conditionalFormatting>
  <conditionalFormatting sqref="DU25:DU26">
    <cfRule type="expression" dxfId="1397" priority="690">
      <formula>DU25=2</formula>
    </cfRule>
    <cfRule type="expression" dxfId="1396" priority="689">
      <formula>DU25=3</formula>
    </cfRule>
    <cfRule type="expression" dxfId="1395" priority="688">
      <formula>DU25="n/a"</formula>
    </cfRule>
    <cfRule type="expression" dxfId="1394" priority="691">
      <formula>DU25=1</formula>
    </cfRule>
  </conditionalFormatting>
  <conditionalFormatting sqref="DV25:DV26">
    <cfRule type="expression" dxfId="1393" priority="683">
      <formula>DV25=1</formula>
    </cfRule>
    <cfRule type="expression" dxfId="1392" priority="680">
      <formula>DV25="n/a"</formula>
    </cfRule>
    <cfRule type="expression" dxfId="1391" priority="681">
      <formula>DV25=3</formula>
    </cfRule>
    <cfRule type="expression" dxfId="1390" priority="682">
      <formula>DV25=2</formula>
    </cfRule>
  </conditionalFormatting>
  <conditionalFormatting sqref="DW86:EM86 EL87 EM88:EM90">
    <cfRule type="expression" dxfId="1389" priority="492">
      <formula>DW86="n/a"</formula>
    </cfRule>
    <cfRule type="expression" dxfId="1388" priority="493">
      <formula>DW86=3</formula>
    </cfRule>
    <cfRule type="expression" dxfId="1387" priority="494">
      <formula>DW86=2</formula>
    </cfRule>
    <cfRule type="expression" dxfId="1386" priority="495">
      <formula>DW86=1</formula>
    </cfRule>
  </conditionalFormatting>
  <conditionalFormatting sqref="EN85:EO85 DU86:DV86">
    <cfRule type="expression" dxfId="1385" priority="1653">
      <formula>DU85="n/a"</formula>
    </cfRule>
    <cfRule type="expression" dxfId="1384" priority="1656">
      <formula>DU85=1</formula>
    </cfRule>
    <cfRule type="expression" dxfId="1383" priority="1655">
      <formula>DU85=2</formula>
    </cfRule>
    <cfRule type="expression" dxfId="1382" priority="1654">
      <formula>DU85=3</formula>
    </cfRule>
  </conditionalFormatting>
  <conditionalFormatting sqref="ET32">
    <cfRule type="expression" dxfId="1381" priority="1">
      <formula>ET32="n/a"</formula>
    </cfRule>
    <cfRule type="expression" dxfId="1380" priority="2">
      <formula>ET32=3</formula>
    </cfRule>
    <cfRule type="expression" dxfId="1379" priority="4">
      <formula>ET32=1</formula>
    </cfRule>
    <cfRule type="expression" dxfId="1378" priority="3">
      <formula>ET32=2</formula>
    </cfRule>
  </conditionalFormatting>
  <conditionalFormatting sqref="EU33:EU66 E55:F69 D55:D77 W55:Y77 BB55:BB77 G55:H84 BC60:BJ67 N61:Q67 P76:Q77 F78:F86 W84:X84 BB84 BK84:BK86">
    <cfRule type="expression" dxfId="1377" priority="171">
      <formula>D33=2</formula>
    </cfRule>
    <cfRule type="expression" dxfId="1376" priority="170">
      <formula>D33=3</formula>
    </cfRule>
    <cfRule type="expression" dxfId="1375" priority="169">
      <formula>D33="n/a"</formula>
    </cfRule>
    <cfRule type="expression" dxfId="1374" priority="172">
      <formula>D33=1</formula>
    </cfRule>
  </conditionalFormatting>
  <conditionalFormatting sqref="EV9 FA9 FO9:FP9">
    <cfRule type="expression" dxfId="1373" priority="619">
      <formula>EV9="n/a"</formula>
    </cfRule>
  </conditionalFormatting>
  <conditionalFormatting sqref="EV86">
    <cfRule type="expression" dxfId="1372" priority="1648">
      <formula>EV86=1</formula>
    </cfRule>
    <cfRule type="expression" dxfId="1371" priority="1645">
      <formula>EV86="n/a"</formula>
    </cfRule>
    <cfRule type="expression" dxfId="1370" priority="1646">
      <formula>EV86=3</formula>
    </cfRule>
    <cfRule type="expression" dxfId="1369" priority="1647">
      <formula>EV86=2</formula>
    </cfRule>
  </conditionalFormatting>
  <conditionalFormatting sqref="EV82:FN82 FA83:FC83 FC86 FC88">
    <cfRule type="expression" dxfId="1368" priority="1652">
      <formula>EV82=1</formula>
    </cfRule>
    <cfRule type="expression" dxfId="1367" priority="1650">
      <formula>EV82=3</formula>
    </cfRule>
    <cfRule type="expression" dxfId="1366" priority="1649">
      <formula>EV82="n/a"</formula>
    </cfRule>
    <cfRule type="expression" dxfId="1365" priority="1651">
      <formula>EV82=2</formula>
    </cfRule>
  </conditionalFormatting>
  <conditionalFormatting sqref="EW9">
    <cfRule type="expression" dxfId="1364" priority="439">
      <formula>EW9=1</formula>
    </cfRule>
    <cfRule type="expression" dxfId="1363" priority="436">
      <formula>EW9="n/a"</formula>
    </cfRule>
    <cfRule type="expression" dxfId="1362" priority="437">
      <formula>EW9=3</formula>
    </cfRule>
    <cfRule type="expression" dxfId="1361" priority="438">
      <formula>EW9=2</formula>
    </cfRule>
  </conditionalFormatting>
  <conditionalFormatting sqref="EW54:EZ54">
    <cfRule type="expression" dxfId="1360" priority="46">
      <formula>EW54=1</formula>
    </cfRule>
    <cfRule type="expression" dxfId="1359" priority="45">
      <formula>EW54=2</formula>
    </cfRule>
    <cfRule type="expression" dxfId="1358" priority="44">
      <formula>EW54=3</formula>
    </cfRule>
    <cfRule type="expression" dxfId="1357" priority="43">
      <formula>EW54="n/a"</formula>
    </cfRule>
  </conditionalFormatting>
  <conditionalFormatting sqref="EW83:EZ83 FD83:FM83 FG86:FH86 FG87 FH88:FH89">
    <cfRule type="expression" dxfId="1356" priority="995">
      <formula>EW83=1</formula>
    </cfRule>
    <cfRule type="expression" dxfId="1355" priority="992">
      <formula>EW83="n/a"</formula>
    </cfRule>
    <cfRule type="expression" dxfId="1354" priority="993">
      <formula>EW83=3</formula>
    </cfRule>
    <cfRule type="expression" dxfId="1353" priority="994">
      <formula>EW83=2</formula>
    </cfRule>
  </conditionalFormatting>
  <conditionalFormatting sqref="EW86:FB86 FD86:FF86 FI86:FM86">
    <cfRule type="expression" dxfId="1352" priority="491">
      <formula>EW86=1</formula>
    </cfRule>
    <cfRule type="expression" dxfId="1351" priority="490">
      <formula>EW86=2</formula>
    </cfRule>
    <cfRule type="expression" dxfId="1350" priority="489">
      <formula>EW86=3</formula>
    </cfRule>
    <cfRule type="expression" dxfId="1349" priority="488">
      <formula>EW86="n/a"</formula>
    </cfRule>
  </conditionalFormatting>
  <conditionalFormatting sqref="EW34:FN38">
    <cfRule type="expression" dxfId="1348" priority="329">
      <formula>EW34="n/a"</formula>
    </cfRule>
    <cfRule type="expression" dxfId="1347" priority="332">
      <formula>EW34=1</formula>
    </cfRule>
    <cfRule type="expression" dxfId="1346" priority="331">
      <formula>EW34=2</formula>
    </cfRule>
    <cfRule type="expression" dxfId="1345" priority="330">
      <formula>EW34=3</formula>
    </cfRule>
  </conditionalFormatting>
  <conditionalFormatting sqref="EX9">
    <cfRule type="expression" dxfId="1344" priority="440">
      <formula>EX9="n/a"</formula>
    </cfRule>
    <cfRule type="expression" dxfId="1343" priority="441">
      <formula>EX9=3</formula>
    </cfRule>
    <cfRule type="expression" dxfId="1342" priority="442">
      <formula>EX9=2</formula>
    </cfRule>
    <cfRule type="expression" dxfId="1341" priority="443">
      <formula>EX9=1</formula>
    </cfRule>
  </conditionalFormatting>
  <conditionalFormatting sqref="EY9">
    <cfRule type="expression" dxfId="1340" priority="444">
      <formula>EY9="n/a"</formula>
    </cfRule>
    <cfRule type="expression" dxfId="1339" priority="445">
      <formula>EY9=3</formula>
    </cfRule>
    <cfRule type="expression" dxfId="1338" priority="447">
      <formula>EY9=1</formula>
    </cfRule>
    <cfRule type="expression" dxfId="1337" priority="446">
      <formula>EY9=2</formula>
    </cfRule>
  </conditionalFormatting>
  <conditionalFormatting sqref="EZ9">
    <cfRule type="expression" dxfId="1336" priority="435">
      <formula>EZ9=1</formula>
    </cfRule>
    <cfRule type="expression" dxfId="1335" priority="434">
      <formula>EZ9=2</formula>
    </cfRule>
    <cfRule type="expression" dxfId="1334" priority="433">
      <formula>EZ9=3</formula>
    </cfRule>
    <cfRule type="expression" dxfId="1333" priority="432">
      <formula>EZ9="n/a"</formula>
    </cfRule>
  </conditionalFormatting>
  <conditionalFormatting sqref="FA15:FA16 FB16:FN16">
    <cfRule type="expression" dxfId="1332" priority="358">
      <formula>FA15=1</formula>
    </cfRule>
    <cfRule type="expression" dxfId="1331" priority="357">
      <formula>FA15=2</formula>
    </cfRule>
    <cfRule type="expression" dxfId="1330" priority="356">
      <formula>FA15=3</formula>
    </cfRule>
    <cfRule type="expression" dxfId="1329" priority="355">
      <formula>FA15="n/a"</formula>
    </cfRule>
  </conditionalFormatting>
  <conditionalFormatting sqref="FA54">
    <cfRule type="expression" dxfId="1328" priority="50">
      <formula>FA54=1</formula>
    </cfRule>
    <cfRule type="expression" dxfId="1327" priority="47">
      <formula>FA54="n/a"</formula>
    </cfRule>
    <cfRule type="expression" dxfId="1326" priority="48">
      <formula>FA54=3</formula>
    </cfRule>
    <cfRule type="expression" dxfId="1325" priority="49">
      <formula>FA54=2</formula>
    </cfRule>
  </conditionalFormatting>
  <conditionalFormatting sqref="FB9">
    <cfRule type="expression" dxfId="1324" priority="428">
      <formula>FB9="n/a"</formula>
    </cfRule>
    <cfRule type="expression" dxfId="1323" priority="431">
      <formula>FB9=1</formula>
    </cfRule>
    <cfRule type="expression" dxfId="1322" priority="430">
      <formula>FB9=2</formula>
    </cfRule>
    <cfRule type="expression" dxfId="1321" priority="429">
      <formula>FB9=3</formula>
    </cfRule>
  </conditionalFormatting>
  <conditionalFormatting sqref="FB87">
    <cfRule type="expression" dxfId="1320" priority="323">
      <formula>FB87=1</formula>
    </cfRule>
    <cfRule type="expression" dxfId="1319" priority="322">
      <formula>FB87=2</formula>
    </cfRule>
    <cfRule type="expression" dxfId="1318" priority="321">
      <formula>FB87=3</formula>
    </cfRule>
    <cfRule type="expression" dxfId="1317" priority="320">
      <formula>FB87="n/a"</formula>
    </cfRule>
  </conditionalFormatting>
  <conditionalFormatting sqref="FB54:FN54">
    <cfRule type="expression" dxfId="1316" priority="53">
      <formula>FB54=2</formula>
    </cfRule>
    <cfRule type="expression" dxfId="1315" priority="54">
      <formula>FB54=1</formula>
    </cfRule>
    <cfRule type="expression" dxfId="1314" priority="52">
      <formula>FB54=3</formula>
    </cfRule>
    <cfRule type="expression" dxfId="1313" priority="51">
      <formula>FB54="n/a"</formula>
    </cfRule>
  </conditionalFormatting>
  <conditionalFormatting sqref="FB15:FP15 FS15:FW15 FY15:FZ15 EW15:EZ16">
    <cfRule type="expression" dxfId="1312" priority="351">
      <formula>EW15=1</formula>
    </cfRule>
    <cfRule type="expression" dxfId="1311" priority="350">
      <formula>EW15=2</formula>
    </cfRule>
    <cfRule type="expression" dxfId="1310" priority="349">
      <formula>EW15=3</formula>
    </cfRule>
    <cfRule type="expression" dxfId="1309" priority="348">
      <formula>EW15="n/a"</formula>
    </cfRule>
  </conditionalFormatting>
  <conditionalFormatting sqref="FC9">
    <cfRule type="expression" dxfId="1308" priority="424">
      <formula>FC9="n/a"</formula>
    </cfRule>
    <cfRule type="expression" dxfId="1307" priority="425">
      <formula>FC9=3</formula>
    </cfRule>
    <cfRule type="expression" dxfId="1306" priority="426">
      <formula>FC9=2</formula>
    </cfRule>
    <cfRule type="expression" dxfId="1305" priority="427">
      <formula>FC9=1</formula>
    </cfRule>
  </conditionalFormatting>
  <conditionalFormatting sqref="FD9">
    <cfRule type="expression" dxfId="1304" priority="420">
      <formula>FD9="n/a"</formula>
    </cfRule>
    <cfRule type="expression" dxfId="1303" priority="421">
      <formula>FD9=3</formula>
    </cfRule>
    <cfRule type="expression" dxfId="1302" priority="422">
      <formula>FD9=2</formula>
    </cfRule>
    <cfRule type="expression" dxfId="1301" priority="423">
      <formula>FD9=1</formula>
    </cfRule>
  </conditionalFormatting>
  <conditionalFormatting sqref="FE9">
    <cfRule type="expression" dxfId="1300" priority="417">
      <formula>FE9=3</formula>
    </cfRule>
    <cfRule type="expression" dxfId="1299" priority="418">
      <formula>FE9=2</formula>
    </cfRule>
    <cfRule type="expression" dxfId="1298" priority="416">
      <formula>FE9="n/a"</formula>
    </cfRule>
    <cfRule type="expression" dxfId="1297" priority="419">
      <formula>FE9=1</formula>
    </cfRule>
  </conditionalFormatting>
  <conditionalFormatting sqref="FF9">
    <cfRule type="expression" dxfId="1296" priority="412">
      <formula>FF9="n/a"</formula>
    </cfRule>
    <cfRule type="expression" dxfId="1295" priority="415">
      <formula>FF9=1</formula>
    </cfRule>
    <cfRule type="expression" dxfId="1294" priority="413">
      <formula>FF9=3</formula>
    </cfRule>
    <cfRule type="expression" dxfId="1293" priority="414">
      <formula>FF9=2</formula>
    </cfRule>
  </conditionalFormatting>
  <conditionalFormatting sqref="FG9">
    <cfRule type="expression" dxfId="1292" priority="458">
      <formula>FG9=2</formula>
    </cfRule>
    <cfRule type="expression" dxfId="1291" priority="459">
      <formula>FG9=1</formula>
    </cfRule>
    <cfRule type="expression" dxfId="1290" priority="457">
      <formula>FG9=3</formula>
    </cfRule>
    <cfRule type="expression" dxfId="1289" priority="456">
      <formula>FG9="n/a"</formula>
    </cfRule>
  </conditionalFormatting>
  <conditionalFormatting sqref="FH9">
    <cfRule type="expression" dxfId="1288" priority="455">
      <formula>FH9=1</formula>
    </cfRule>
    <cfRule type="expression" dxfId="1287" priority="454">
      <formula>FH9=2</formula>
    </cfRule>
    <cfRule type="expression" dxfId="1286" priority="453">
      <formula>FH9=3</formula>
    </cfRule>
    <cfRule type="expression" dxfId="1285" priority="452">
      <formula>FH9="n/a"</formula>
    </cfRule>
  </conditionalFormatting>
  <conditionalFormatting sqref="FI9">
    <cfRule type="expression" dxfId="1284" priority="451">
      <formula>FI9=1</formula>
    </cfRule>
    <cfRule type="expression" dxfId="1283" priority="449">
      <formula>FI9=3</formula>
    </cfRule>
    <cfRule type="expression" dxfId="1282" priority="448">
      <formula>FI9="n/a"</formula>
    </cfRule>
    <cfRule type="expression" dxfId="1281" priority="450">
      <formula>FI9=2</formula>
    </cfRule>
  </conditionalFormatting>
  <conditionalFormatting sqref="FJ9:FN9 BK10:CU11 BK12:CP12 CQ12:CU14 BK13:BT13 CH13:CP14 Z18:CU19 R20 U20:V20 CG20:CU20 Z20:BA24 R21:V21 FL21:FN31 U22:V24 CG25:CS25 AJ25:AJ26 AK26:BA26 U26:V27 BL26:CR27 R27 Z27:BA42 CS29:DV29 BL29:CR31 BK32:CR32 BL33:CR33 FL33:FN33 BL34:CU43 Z43:BJ43 BK44:BT44 BL45:CD46 CF45:CF46 CH45:CU46 DA45:EN46 CV45:CZ47 BC47:BI47 CD47 CF47:CU47 BZ49:CF49 AG50:AI51 BU51:CF51 BL52:CF52 BL56:CY58 S61:V61 BK65:CU67 BJ68:CU68 BK69:CY75 BD78:CU78 BT79:CU79 BL79:BS82 Y80:AI80 AK80:AY80 CC80:CU80 FO80 EW80:FN81 DS80:DU82 CC81:CN81 FO81:GI81 BT81:BT82 Y81:AY83 CO81:CU83 CC82:CJ82 CK82:CN83 CB83:CJ83 DS83:DT83 R84:V84 Y84:BA84 CH84:CU84 CH85:EM85 AI86 AT86:AU86 CF86:CK86 CS86:DT86 D87:F87 X87:BB87 BJ87:EK87 FC87:FF87 FH87:FM87 I87:Q89 S87:V89 FD88:FG88 E88:F89 X88:Y89 BK88:CJ89 FI88:FN89 D88:D90 Z88:BB90 CK88:EL90 R90:V90 BZ90:CF90 CH90:CJ90 BL17:CU17 Z44:BA47 DS47:EN47 DA47:DR53 AE48:BA48 BL48:BU48 CE48:CF48 BC48:BJ49 Z48:AD52 CH48:CZ52 AF49:AM49 AO49:BA49 AE49:AE52 AN49:AN52 AF50:AF52 AK50:AK52 AG52:AJ52 AL52:AM52 AO52:BA52 Z53:BA53 BL53:CZ53 BL55:CZ55 M78:BC79 D78:E83">
    <cfRule type="expression" dxfId="1280" priority="2871">
      <formula>D9=3</formula>
    </cfRule>
  </conditionalFormatting>
  <conditionalFormatting sqref="FJ9:FN9 BK10:CU11 BK12:CP12 CQ12:CU14 BK13:BT13 CH13:CP14 BL17:CU17 Z18:CU19 R20 U20:V20 CG20:CU20 Z20:BA24 R21:V21 FL21:FN31 U22:V24 CG25:CS25 AJ25:AJ26 AK26:BA26 U26:V27 BL26:CR27 R27 Z27:BA42 CS29:DV29 BL29:CR31 BK32:CR32 BL33:CR33 FL33:FN33 BL34:CU43 Z43:BJ43 BK44:BT44 Z44:BA47 BL45:CD46 CF45:CF46 CH45:CU46 DA45:EN46 CV45:CZ47 BC47:BI47 CD47 CF47:CU47 DS47:EN47 DA47:DR53 AE48:BA48 BL48:BU48 CE48:CF48 BC48:BJ49 Z48:AD52 CH48:CZ52 AF49:AM49 AO49:BA49 BZ49:CF49 AE49:AE52 AN49:AN52 AG50:AI51 AF50:AF52 AK50:AK52 BU51:CF51 AG52:AJ52 AL52:AM52 AO52:BA52 BL52:CF52 Z53:BA53 BL53:CZ53 BL55:CZ55 BL56:CY58 S61:V61 BK65:CU67 BJ68:CU68 BK69:CY75 BD78:CU78 M78:BC79 D78:E83 BT79:CU79 BL79:BS82 Y80:AI80 AK80:AY80 CC80:CU80 FO80 EW80:FN81 DS80:DU82 CC81:CN81 FO81:GI81 BT81:BT82 Y81:AY83 CO81:CU83 CC82:CJ82 CK82:CN83 CB83:CJ83 DS83:DT83 R84:V84 Y84:BA84 CH84:CU84 CH85:EM85 AI86 AT86:AU86 CF86:CK86 CS86:DT86 D87:F87 X87:BB87 BJ87:EK87 FC87:FF87 FH87:FM87 I87:Q89 S87:V89 FD88:FG88 E88:F89 X88:Y89 BK88:CJ89 FI88:FN89 D88:D90 Z88:BB90 CK88:EL90 R90:V90 BZ90:CF90 CH90:CJ90">
    <cfRule type="expression" dxfId="1279" priority="2873">
      <formula>D9=1</formula>
    </cfRule>
    <cfRule type="expression" dxfId="1278" priority="2872">
      <formula>D9=2</formula>
    </cfRule>
  </conditionalFormatting>
  <conditionalFormatting sqref="FN28">
    <cfRule type="expression" dxfId="1277" priority="877">
      <formula>FN28="n/a"</formula>
    </cfRule>
  </conditionalFormatting>
  <conditionalFormatting sqref="FN57:FN59">
    <cfRule type="expression" dxfId="1276" priority="2130">
      <formula>FN57=2</formula>
    </cfRule>
    <cfRule type="expression" dxfId="1275" priority="2128">
      <formula>FN57="n/a"</formula>
    </cfRule>
    <cfRule type="expression" dxfId="1274" priority="2131">
      <formula>FN57=1</formula>
    </cfRule>
    <cfRule type="expression" dxfId="1273" priority="2129">
      <formula>FN57=3</formula>
    </cfRule>
  </conditionalFormatting>
  <conditionalFormatting sqref="FN83">
    <cfRule type="expression" dxfId="1272" priority="989">
      <formula>FN83=3</formula>
    </cfRule>
    <cfRule type="expression" dxfId="1271" priority="988">
      <formula>FN83="n/a"</formula>
    </cfRule>
    <cfRule type="expression" dxfId="1270" priority="991">
      <formula>FN83=1</formula>
    </cfRule>
    <cfRule type="expression" dxfId="1269" priority="990">
      <formula>FN83=2</formula>
    </cfRule>
  </conditionalFormatting>
  <conditionalFormatting sqref="FN86">
    <cfRule type="expression" dxfId="1268" priority="486">
      <formula>FN86=2</formula>
    </cfRule>
    <cfRule type="expression" dxfId="1267" priority="484">
      <formula>FN86="n/a"</formula>
    </cfRule>
    <cfRule type="expression" dxfId="1266" priority="485">
      <formula>FN86=3</formula>
    </cfRule>
    <cfRule type="expression" dxfId="1265" priority="487">
      <formula>FN86=1</formula>
    </cfRule>
  </conditionalFormatting>
  <conditionalFormatting sqref="FN25:GI25">
    <cfRule type="expression" dxfId="1264" priority="1326">
      <formula>FN25="n/a"</formula>
    </cfRule>
  </conditionalFormatting>
  <conditionalFormatting sqref="FN87:GI87">
    <cfRule type="expression" dxfId="1263" priority="328">
      <formula>FN87="n/a"</formula>
    </cfRule>
  </conditionalFormatting>
  <conditionalFormatting sqref="FO11:FO14">
    <cfRule type="expression" dxfId="1262" priority="2481">
      <formula>FO11="n/a"</formula>
    </cfRule>
  </conditionalFormatting>
  <conditionalFormatting sqref="FO28 FQ28:FU28 FW28:GH28">
    <cfRule type="expression" dxfId="1261" priority="876">
      <formula>FO28="n/a"</formula>
    </cfRule>
  </conditionalFormatting>
  <conditionalFormatting sqref="FO44">
    <cfRule type="expression" dxfId="1260" priority="564">
      <formula>FO44="n/a"</formula>
    </cfRule>
  </conditionalFormatting>
  <conditionalFormatting sqref="FO54">
    <cfRule type="expression" dxfId="1259" priority="38">
      <formula>FO54="n/a"</formula>
    </cfRule>
  </conditionalFormatting>
  <conditionalFormatting sqref="FO82">
    <cfRule type="expression" dxfId="1258" priority="1642">
      <formula>FO82=3</formula>
    </cfRule>
    <cfRule type="expression" dxfId="1257" priority="1643">
      <formula>FO82=2</formula>
    </cfRule>
    <cfRule type="expression" dxfId="1256" priority="1644">
      <formula>FO82=1</formula>
    </cfRule>
    <cfRule type="expression" dxfId="1255" priority="1641">
      <formula>FO82="n/a"</formula>
    </cfRule>
  </conditionalFormatting>
  <conditionalFormatting sqref="FO22:FZ24 FO26:FZ26">
    <cfRule type="expression" dxfId="1254" priority="2715">
      <formula>FO22="n/a"</formula>
    </cfRule>
  </conditionalFormatting>
  <conditionalFormatting sqref="FP11:FP14 FQ13:GA14 FQ18:GI18 FP19:GI20 FP21 FR21:FV21 FX21:GI21">
    <cfRule type="expression" dxfId="1253" priority="2480">
      <formula>FP11="n/a"</formula>
    </cfRule>
  </conditionalFormatting>
  <conditionalFormatting sqref="FP54">
    <cfRule type="expression" dxfId="1252" priority="37">
      <formula>FP54="n/a"</formula>
    </cfRule>
  </conditionalFormatting>
  <conditionalFormatting sqref="FP44:FS44 FU44:FZ44">
    <cfRule type="expression" dxfId="1251" priority="575">
      <formula>FP44="n/a"</formula>
    </cfRule>
  </conditionalFormatting>
  <conditionalFormatting sqref="FP85:GA85">
    <cfRule type="expression" dxfId="1250" priority="306">
      <formula>FP85="n/a"</formula>
    </cfRule>
  </conditionalFormatting>
  <conditionalFormatting sqref="FP82:GI82 FO83:FV83 FX83:GC83 GE83:GI83 FO86:FV86 FX86:GC86 GE86:GI86">
    <cfRule type="expression" dxfId="1249" priority="1640">
      <formula>FO82="n/a"</formula>
    </cfRule>
  </conditionalFormatting>
  <conditionalFormatting sqref="FP84:GI84">
    <cfRule type="expression" dxfId="1248" priority="904">
      <formula>FP84="n/a"</formula>
    </cfRule>
  </conditionalFormatting>
  <conditionalFormatting sqref="FQ21 FW21">
    <cfRule type="expression" dxfId="1247" priority="2864">
      <formula>FQ21="n/a"</formula>
    </cfRule>
  </conditionalFormatting>
  <conditionalFormatting sqref="FQ15:FR15">
    <cfRule type="expression" dxfId="1246" priority="347">
      <formula>FQ15="n/a"</formula>
    </cfRule>
  </conditionalFormatting>
  <conditionalFormatting sqref="FQ11:FT12 FV11:FZ12 GB11:GI14">
    <cfRule type="expression" dxfId="1245" priority="1519">
      <formula>FQ11="n/a"</formula>
    </cfRule>
  </conditionalFormatting>
  <conditionalFormatting sqref="FQ54:FU54">
    <cfRule type="expression" dxfId="1244" priority="39">
      <formula>FQ54="n/a"</formula>
    </cfRule>
  </conditionalFormatting>
  <conditionalFormatting sqref="FQ9:FV9 FX9:GI9 FO10:FX10 GD10:GI10 GA10:GA12 FU11:FU12 FO27:GI27 FP28 FV28 GI28 FO29:GI43 FO88:GI90">
    <cfRule type="expression" dxfId="1243" priority="2869">
      <formula>FO9="n/a"</formula>
    </cfRule>
  </conditionalFormatting>
  <conditionalFormatting sqref="FT44">
    <cfRule type="expression" dxfId="1242" priority="565">
      <formula>FT44="n/a"</formula>
    </cfRule>
  </conditionalFormatting>
  <conditionalFormatting sqref="FV16">
    <cfRule type="expression" dxfId="1241" priority="346">
      <formula>FV16="n/a"</formula>
    </cfRule>
  </conditionalFormatting>
  <conditionalFormatting sqref="FV54">
    <cfRule type="expression" dxfId="1240" priority="42">
      <formula>FV54="n/a"</formula>
    </cfRule>
  </conditionalFormatting>
  <conditionalFormatting sqref="FW9">
    <cfRule type="expression" dxfId="1239" priority="409">
      <formula>FW9="n/a"</formula>
    </cfRule>
  </conditionalFormatting>
  <conditionalFormatting sqref="FW54:FZ54">
    <cfRule type="expression" dxfId="1238" priority="40">
      <formula>FW54="n/a"</formula>
    </cfRule>
  </conditionalFormatting>
  <conditionalFormatting sqref="FX15">
    <cfRule type="expression" dxfId="1237" priority="345">
      <formula>FX15="n/a"</formula>
    </cfRule>
  </conditionalFormatting>
  <conditionalFormatting sqref="FY10">
    <cfRule type="expression" dxfId="1236" priority="411">
      <formula>FY10="n/a"</formula>
    </cfRule>
  </conditionalFormatting>
  <conditionalFormatting sqref="FZ10">
    <cfRule type="expression" dxfId="1235" priority="410">
      <formula>FZ10="n/a"</formula>
    </cfRule>
  </conditionalFormatting>
  <conditionalFormatting sqref="GA44:GA47">
    <cfRule type="expression" dxfId="1234" priority="566">
      <formula>GA44="n/a"</formula>
    </cfRule>
  </conditionalFormatting>
  <conditionalFormatting sqref="GA15:GI16 FR16:FU16 FX16:FZ16">
    <cfRule type="expression" dxfId="1233" priority="352">
      <formula>FR15="n/a"</formula>
    </cfRule>
  </conditionalFormatting>
  <conditionalFormatting sqref="GA22:GI24 GA26:GI26">
    <cfRule type="expression" dxfId="1232" priority="2710">
      <formula>GA22="n/a"</formula>
    </cfRule>
  </conditionalFormatting>
  <conditionalFormatting sqref="GA54:GI54">
    <cfRule type="expression" dxfId="1231" priority="41">
      <formula>GA54="n/a"</formula>
    </cfRule>
  </conditionalFormatting>
  <conditionalFormatting sqref="GB10">
    <cfRule type="expression" dxfId="1230" priority="408">
      <formula>GB10="n/a"</formula>
    </cfRule>
  </conditionalFormatting>
  <conditionalFormatting sqref="GB85:GI85">
    <cfRule type="expression" dxfId="1229" priority="301">
      <formula>GB85="n/a"</formula>
    </cfRule>
  </conditionalFormatting>
  <conditionalFormatting sqref="GC10">
    <cfRule type="expression" dxfId="1228" priority="407">
      <formula>GC10="n/a"</formula>
    </cfRule>
  </conditionalFormatting>
  <dataValidations count="6">
    <dataValidation type="list" allowBlank="1" showInputMessage="1" showErrorMessage="1" sqref="FO82:GI82 FN83:GH83 FO88:GI90 FQ9:GI14 FO10:FP14 FQ15:FR15 FX15 FO16:FZ16 GA15:GI16 FO86:GH86 FN87:GI87 FO17:GI80 FO84:GI85" xr:uid="{00000000-0002-0000-0100-000000000000}">
      <formula1>$FO$4:$FO$5</formula1>
    </dataValidation>
    <dataValidation type="list" allowBlank="1" showInputMessage="1" showErrorMessage="1" sqref="FO81:GI81 FN88:FN90 CS28:EF28 CS25:CS26 CS27:CU27 CS29:DV29 CV25:CY26 CZ26:DD26 DT25:DV26 DQ26:DR26 CZ25 BD33:CR43 FB9:FN9 EW9:EZ9 FS15:FW15 FY15:FZ15 DC25:DD25 CT26:CU26 DE25:DP26 DW17:EF27 CS16:DV24 CS34:CU43 EW54:FM54 EV86:FM90 EV33:FN53 DW33:ET43 BD9:EU9 DW16:FN16 CS15:FP15 BD44:ET53 CS10:FN14 D9:BC53 BD10:CR31 DW29:EF32 CS31:DV31 BD32:DV32 EG17:FN32 FN54:FN82 EV55:FM83 D55:ET90 EU33:EU90 EV84:FN85" xr:uid="{00000000-0002-0000-0100-000001000000}">
      <formula1>$A$3:$A$6</formula1>
    </dataValidation>
    <dataValidation type="list" allowBlank="1" showInputMessage="1" showErrorMessage="1" sqref="FO9:FP9 EV9 FA9 FN86" xr:uid="{7A62CE40-E12D-4871-A71E-89D0E3E3EB21}">
      <formula1>$EW$4:$EW$5</formula1>
    </dataValidation>
    <dataValidation type="list" allowBlank="1" showInputMessage="1" showErrorMessage="1" sqref="A9:A90" xr:uid="{00000000-0002-0000-0100-000002000000}">
      <formula1>rng_Dzial</formula1>
    </dataValidation>
    <dataValidation type="list" allowBlank="1" showInputMessage="1" showErrorMessage="1" errorTitle="Datas not allowed" sqref="C9:C90" xr:uid="{00000000-0002-0000-0100-000004000000}">
      <formula1>rng_Vorges</formula1>
    </dataValidation>
    <dataValidation type="list" allowBlank="1" showInputMessage="1" showErrorMessage="1" errorTitle="Datas not allowed" sqref="B9:B90" xr:uid="{00000000-0002-0000-0100-000003000000}">
      <formula1>rng_Stanow</formula1>
    </dataValidation>
  </dataValidations>
  <pageMargins left="0.70866141732283472" right="0.70866141732283472" top="0.74803149606299213" bottom="0.74803149606299213" header="0.31496062992125984" footer="0.31496062992125984"/>
  <pageSetup orientation="landscape" r:id="rId1"/>
  <headerFooter>
    <oddHeader>&amp;CCL70 7.2  004a Matrix minimalnych kompetencji - nieprodukcyjni_V2</oddHeader>
    <oddFooter>&amp;LName: CL70 7.2  004a Matrix minimalnych kompetencji - nieprodukcyjni_V2     Issued/data: 2024/07/04 Release/zwolnił: M.Dudek    Plant: MRG   Dept./dział: HR    Lang./język: pl/en   Classification: Internal&amp;C&amp;Pz&amp;N&amp;R&amp;D&amp;T</oddFooter>
  </headerFooter>
  <drawing r:id="rId2"/>
  <legacyDrawing r:id="rId3"/>
  <tableParts count="3"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  <pageSetUpPr fitToPage="1"/>
  </sheetPr>
  <dimension ref="A1:GM232"/>
  <sheetViews>
    <sheetView showGridLines="0" zoomScaleNormal="10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B1" sqref="B1"/>
    </sheetView>
  </sheetViews>
  <sheetFormatPr defaultColWidth="9.42578125" defaultRowHeight="15" x14ac:dyDescent="0.25"/>
  <cols>
    <col min="1" max="1" width="23" style="132" customWidth="1"/>
    <col min="2" max="2" width="23.42578125" style="132" customWidth="1"/>
    <col min="3" max="3" width="8" style="132" customWidth="1"/>
    <col min="4" max="4" width="5.42578125" style="132" customWidth="1"/>
    <col min="5" max="5" width="12" style="132" customWidth="1"/>
    <col min="6" max="6" width="9.5703125" style="132" customWidth="1"/>
    <col min="7" max="8" width="5.5703125" style="132" customWidth="1"/>
    <col min="9" max="9" width="7.7109375" style="132" customWidth="1"/>
    <col min="10" max="10" width="6.42578125" style="132" bestFit="1" customWidth="1"/>
    <col min="11" max="11" width="5.5703125" style="132" customWidth="1"/>
    <col min="12" max="12" width="7.42578125" style="132" customWidth="1"/>
    <col min="13" max="19" width="5.5703125" style="132" customWidth="1"/>
    <col min="20" max="20" width="6.5703125" style="132" customWidth="1"/>
    <col min="21" max="25" width="5.5703125" style="132" customWidth="1"/>
    <col min="26" max="26" width="7" style="132" customWidth="1"/>
    <col min="27" max="34" width="5.5703125" style="132" customWidth="1"/>
    <col min="35" max="35" width="6.42578125" style="132" customWidth="1"/>
    <col min="36" max="38" width="5.5703125" style="132" customWidth="1"/>
    <col min="39" max="39" width="7.42578125" style="132" customWidth="1"/>
    <col min="40" max="51" width="5.5703125" style="132" customWidth="1"/>
    <col min="52" max="52" width="6.42578125" style="132" customWidth="1"/>
    <col min="53" max="53" width="5.5703125" style="132" customWidth="1"/>
    <col min="54" max="54" width="7.42578125" style="132" customWidth="1"/>
    <col min="55" max="56" width="5.5703125" style="132" customWidth="1"/>
    <col min="57" max="57" width="7.42578125" style="132" customWidth="1"/>
    <col min="58" max="65" width="5.5703125" style="132" customWidth="1"/>
    <col min="66" max="66" width="7.42578125" style="132" customWidth="1"/>
    <col min="67" max="67" width="6" style="132" customWidth="1"/>
    <col min="68" max="69" width="5.5703125" style="132" customWidth="1"/>
    <col min="70" max="70" width="6.42578125" style="132" customWidth="1"/>
    <col min="71" max="71" width="7.5703125" style="132" customWidth="1"/>
    <col min="72" max="72" width="6.5703125" style="132" customWidth="1"/>
    <col min="73" max="78" width="5.5703125" style="132" customWidth="1"/>
    <col min="79" max="79" width="6.5703125" style="132" customWidth="1"/>
    <col min="80" max="80" width="6.42578125" style="132" customWidth="1"/>
    <col min="81" max="96" width="5.42578125" style="132" bestFit="1" customWidth="1"/>
    <col min="97" max="97" width="5.5703125" style="132" customWidth="1"/>
    <col min="98" max="98" width="6.42578125" style="132" customWidth="1"/>
    <col min="99" max="101" width="5.42578125" style="132" bestFit="1" customWidth="1"/>
    <col min="102" max="105" width="5.42578125" style="132" customWidth="1"/>
    <col min="106" max="106" width="5.42578125" style="132" bestFit="1" customWidth="1"/>
    <col min="107" max="107" width="5.42578125" style="132" customWidth="1"/>
    <col min="108" max="108" width="5.42578125" style="132" bestFit="1" customWidth="1"/>
    <col min="109" max="109" width="5.42578125" style="132" customWidth="1"/>
    <col min="110" max="110" width="5.42578125" style="132" bestFit="1" customWidth="1"/>
    <col min="111" max="124" width="5.42578125" style="132" customWidth="1"/>
    <col min="125" max="125" width="5.42578125" style="132" bestFit="1" customWidth="1"/>
    <col min="126" max="127" width="6.42578125" style="132" bestFit="1" customWidth="1"/>
    <col min="128" max="142" width="5.42578125" style="132" bestFit="1" customWidth="1"/>
    <col min="143" max="143" width="5.5703125" style="132" customWidth="1"/>
    <col min="144" max="152" width="5.42578125" style="132" bestFit="1" customWidth="1"/>
    <col min="153" max="153" width="5.42578125" style="132" customWidth="1"/>
    <col min="154" max="154" width="5.42578125" style="132" bestFit="1" customWidth="1"/>
    <col min="155" max="161" width="5.5703125" style="132" customWidth="1"/>
    <col min="162" max="162" width="7.5703125" style="132" customWidth="1"/>
    <col min="163" max="164" width="7.42578125" style="132" customWidth="1"/>
    <col min="165" max="165" width="7.5703125" style="132" customWidth="1"/>
    <col min="166" max="167" width="5.5703125" style="132" customWidth="1"/>
    <col min="168" max="168" width="7.42578125" style="132" customWidth="1"/>
    <col min="169" max="171" width="5.5703125" style="132" customWidth="1"/>
    <col min="172" max="172" width="6.42578125" style="132" bestFit="1" customWidth="1"/>
    <col min="173" max="179" width="6" style="132" customWidth="1"/>
    <col min="180" max="180" width="10.5703125" style="132" customWidth="1"/>
    <col min="181" max="193" width="6" style="132" customWidth="1"/>
    <col min="194" max="194" width="15.5703125" style="132" customWidth="1"/>
    <col min="195" max="384" width="9.42578125" style="132"/>
    <col min="385" max="385" width="11.42578125" style="132" customWidth="1"/>
    <col min="386" max="386" width="23.5703125" style="132" customWidth="1"/>
    <col min="387" max="388" width="3.42578125" style="132" customWidth="1"/>
    <col min="389" max="389" width="4.42578125" style="132" customWidth="1"/>
    <col min="390" max="393" width="3.42578125" style="132" customWidth="1"/>
    <col min="394" max="401" width="4.42578125" style="132" customWidth="1"/>
    <col min="402" max="444" width="3.42578125" style="132" customWidth="1"/>
    <col min="445" max="445" width="6" style="132" customWidth="1"/>
    <col min="446" max="640" width="9.42578125" style="132"/>
    <col min="641" max="641" width="11.42578125" style="132" customWidth="1"/>
    <col min="642" max="642" width="23.5703125" style="132" customWidth="1"/>
    <col min="643" max="644" width="3.42578125" style="132" customWidth="1"/>
    <col min="645" max="645" width="4.42578125" style="132" customWidth="1"/>
    <col min="646" max="649" width="3.42578125" style="132" customWidth="1"/>
    <col min="650" max="657" width="4.42578125" style="132" customWidth="1"/>
    <col min="658" max="700" width="3.42578125" style="132" customWidth="1"/>
    <col min="701" max="701" width="6" style="132" customWidth="1"/>
    <col min="702" max="896" width="9.42578125" style="132"/>
    <col min="897" max="897" width="11.42578125" style="132" customWidth="1"/>
    <col min="898" max="898" width="23.5703125" style="132" customWidth="1"/>
    <col min="899" max="900" width="3.42578125" style="132" customWidth="1"/>
    <col min="901" max="901" width="4.42578125" style="132" customWidth="1"/>
    <col min="902" max="905" width="3.42578125" style="132" customWidth="1"/>
    <col min="906" max="913" width="4.42578125" style="132" customWidth="1"/>
    <col min="914" max="956" width="3.42578125" style="132" customWidth="1"/>
    <col min="957" max="957" width="6" style="132" customWidth="1"/>
    <col min="958" max="1152" width="9.42578125" style="132"/>
    <col min="1153" max="1153" width="11.42578125" style="132" customWidth="1"/>
    <col min="1154" max="1154" width="23.5703125" style="132" customWidth="1"/>
    <col min="1155" max="1156" width="3.42578125" style="132" customWidth="1"/>
    <col min="1157" max="1157" width="4.42578125" style="132" customWidth="1"/>
    <col min="1158" max="1161" width="3.42578125" style="132" customWidth="1"/>
    <col min="1162" max="1169" width="4.42578125" style="132" customWidth="1"/>
    <col min="1170" max="1212" width="3.42578125" style="132" customWidth="1"/>
    <col min="1213" max="1213" width="6" style="132" customWidth="1"/>
    <col min="1214" max="1408" width="9.42578125" style="132"/>
    <col min="1409" max="1409" width="11.42578125" style="132" customWidth="1"/>
    <col min="1410" max="1410" width="23.5703125" style="132" customWidth="1"/>
    <col min="1411" max="1412" width="3.42578125" style="132" customWidth="1"/>
    <col min="1413" max="1413" width="4.42578125" style="132" customWidth="1"/>
    <col min="1414" max="1417" width="3.42578125" style="132" customWidth="1"/>
    <col min="1418" max="1425" width="4.42578125" style="132" customWidth="1"/>
    <col min="1426" max="1468" width="3.42578125" style="132" customWidth="1"/>
    <col min="1469" max="1469" width="6" style="132" customWidth="1"/>
    <col min="1470" max="1664" width="9.42578125" style="132"/>
    <col min="1665" max="1665" width="11.42578125" style="132" customWidth="1"/>
    <col min="1666" max="1666" width="23.5703125" style="132" customWidth="1"/>
    <col min="1667" max="1668" width="3.42578125" style="132" customWidth="1"/>
    <col min="1669" max="1669" width="4.42578125" style="132" customWidth="1"/>
    <col min="1670" max="1673" width="3.42578125" style="132" customWidth="1"/>
    <col min="1674" max="1681" width="4.42578125" style="132" customWidth="1"/>
    <col min="1682" max="1724" width="3.42578125" style="132" customWidth="1"/>
    <col min="1725" max="1725" width="6" style="132" customWidth="1"/>
    <col min="1726" max="1920" width="9.42578125" style="132"/>
    <col min="1921" max="1921" width="11.42578125" style="132" customWidth="1"/>
    <col min="1922" max="1922" width="23.5703125" style="132" customWidth="1"/>
    <col min="1923" max="1924" width="3.42578125" style="132" customWidth="1"/>
    <col min="1925" max="1925" width="4.42578125" style="132" customWidth="1"/>
    <col min="1926" max="1929" width="3.42578125" style="132" customWidth="1"/>
    <col min="1930" max="1937" width="4.42578125" style="132" customWidth="1"/>
    <col min="1938" max="1980" width="3.42578125" style="132" customWidth="1"/>
    <col min="1981" max="1981" width="6" style="132" customWidth="1"/>
    <col min="1982" max="2176" width="9.42578125" style="132"/>
    <col min="2177" max="2177" width="11.42578125" style="132" customWidth="1"/>
    <col min="2178" max="2178" width="23.5703125" style="132" customWidth="1"/>
    <col min="2179" max="2180" width="3.42578125" style="132" customWidth="1"/>
    <col min="2181" max="2181" width="4.42578125" style="132" customWidth="1"/>
    <col min="2182" max="2185" width="3.42578125" style="132" customWidth="1"/>
    <col min="2186" max="2193" width="4.42578125" style="132" customWidth="1"/>
    <col min="2194" max="2236" width="3.42578125" style="132" customWidth="1"/>
    <col min="2237" max="2237" width="6" style="132" customWidth="1"/>
    <col min="2238" max="2432" width="9.42578125" style="132"/>
    <col min="2433" max="2433" width="11.42578125" style="132" customWidth="1"/>
    <col min="2434" max="2434" width="23.5703125" style="132" customWidth="1"/>
    <col min="2435" max="2436" width="3.42578125" style="132" customWidth="1"/>
    <col min="2437" max="2437" width="4.42578125" style="132" customWidth="1"/>
    <col min="2438" max="2441" width="3.42578125" style="132" customWidth="1"/>
    <col min="2442" max="2449" width="4.42578125" style="132" customWidth="1"/>
    <col min="2450" max="2492" width="3.42578125" style="132" customWidth="1"/>
    <col min="2493" max="2493" width="6" style="132" customWidth="1"/>
    <col min="2494" max="2688" width="9.42578125" style="132"/>
    <col min="2689" max="2689" width="11.42578125" style="132" customWidth="1"/>
    <col min="2690" max="2690" width="23.5703125" style="132" customWidth="1"/>
    <col min="2691" max="2692" width="3.42578125" style="132" customWidth="1"/>
    <col min="2693" max="2693" width="4.42578125" style="132" customWidth="1"/>
    <col min="2694" max="2697" width="3.42578125" style="132" customWidth="1"/>
    <col min="2698" max="2705" width="4.42578125" style="132" customWidth="1"/>
    <col min="2706" max="2748" width="3.42578125" style="132" customWidth="1"/>
    <col min="2749" max="2749" width="6" style="132" customWidth="1"/>
    <col min="2750" max="2944" width="9.42578125" style="132"/>
    <col min="2945" max="2945" width="11.42578125" style="132" customWidth="1"/>
    <col min="2946" max="2946" width="23.5703125" style="132" customWidth="1"/>
    <col min="2947" max="2948" width="3.42578125" style="132" customWidth="1"/>
    <col min="2949" max="2949" width="4.42578125" style="132" customWidth="1"/>
    <col min="2950" max="2953" width="3.42578125" style="132" customWidth="1"/>
    <col min="2954" max="2961" width="4.42578125" style="132" customWidth="1"/>
    <col min="2962" max="3004" width="3.42578125" style="132" customWidth="1"/>
    <col min="3005" max="3005" width="6" style="132" customWidth="1"/>
    <col min="3006" max="3200" width="9.42578125" style="132"/>
    <col min="3201" max="3201" width="11.42578125" style="132" customWidth="1"/>
    <col min="3202" max="3202" width="23.5703125" style="132" customWidth="1"/>
    <col min="3203" max="3204" width="3.42578125" style="132" customWidth="1"/>
    <col min="3205" max="3205" width="4.42578125" style="132" customWidth="1"/>
    <col min="3206" max="3209" width="3.42578125" style="132" customWidth="1"/>
    <col min="3210" max="3217" width="4.42578125" style="132" customWidth="1"/>
    <col min="3218" max="3260" width="3.42578125" style="132" customWidth="1"/>
    <col min="3261" max="3261" width="6" style="132" customWidth="1"/>
    <col min="3262" max="3456" width="9.42578125" style="132"/>
    <col min="3457" max="3457" width="11.42578125" style="132" customWidth="1"/>
    <col min="3458" max="3458" width="23.5703125" style="132" customWidth="1"/>
    <col min="3459" max="3460" width="3.42578125" style="132" customWidth="1"/>
    <col min="3461" max="3461" width="4.42578125" style="132" customWidth="1"/>
    <col min="3462" max="3465" width="3.42578125" style="132" customWidth="1"/>
    <col min="3466" max="3473" width="4.42578125" style="132" customWidth="1"/>
    <col min="3474" max="3516" width="3.42578125" style="132" customWidth="1"/>
    <col min="3517" max="3517" width="6" style="132" customWidth="1"/>
    <col min="3518" max="3712" width="9.42578125" style="132"/>
    <col min="3713" max="3713" width="11.42578125" style="132" customWidth="1"/>
    <col min="3714" max="3714" width="23.5703125" style="132" customWidth="1"/>
    <col min="3715" max="3716" width="3.42578125" style="132" customWidth="1"/>
    <col min="3717" max="3717" width="4.42578125" style="132" customWidth="1"/>
    <col min="3718" max="3721" width="3.42578125" style="132" customWidth="1"/>
    <col min="3722" max="3729" width="4.42578125" style="132" customWidth="1"/>
    <col min="3730" max="3772" width="3.42578125" style="132" customWidth="1"/>
    <col min="3773" max="3773" width="6" style="132" customWidth="1"/>
    <col min="3774" max="3968" width="9.42578125" style="132"/>
    <col min="3969" max="3969" width="11.42578125" style="132" customWidth="1"/>
    <col min="3970" max="3970" width="23.5703125" style="132" customWidth="1"/>
    <col min="3971" max="3972" width="3.42578125" style="132" customWidth="1"/>
    <col min="3973" max="3973" width="4.42578125" style="132" customWidth="1"/>
    <col min="3974" max="3977" width="3.42578125" style="132" customWidth="1"/>
    <col min="3978" max="3985" width="4.42578125" style="132" customWidth="1"/>
    <col min="3986" max="4028" width="3.42578125" style="132" customWidth="1"/>
    <col min="4029" max="4029" width="6" style="132" customWidth="1"/>
    <col min="4030" max="4224" width="9.42578125" style="132"/>
    <col min="4225" max="4225" width="11.42578125" style="132" customWidth="1"/>
    <col min="4226" max="4226" width="23.5703125" style="132" customWidth="1"/>
    <col min="4227" max="4228" width="3.42578125" style="132" customWidth="1"/>
    <col min="4229" max="4229" width="4.42578125" style="132" customWidth="1"/>
    <col min="4230" max="4233" width="3.42578125" style="132" customWidth="1"/>
    <col min="4234" max="4241" width="4.42578125" style="132" customWidth="1"/>
    <col min="4242" max="4284" width="3.42578125" style="132" customWidth="1"/>
    <col min="4285" max="4285" width="6" style="132" customWidth="1"/>
    <col min="4286" max="4480" width="9.42578125" style="132"/>
    <col min="4481" max="4481" width="11.42578125" style="132" customWidth="1"/>
    <col min="4482" max="4482" width="23.5703125" style="132" customWidth="1"/>
    <col min="4483" max="4484" width="3.42578125" style="132" customWidth="1"/>
    <col min="4485" max="4485" width="4.42578125" style="132" customWidth="1"/>
    <col min="4486" max="4489" width="3.42578125" style="132" customWidth="1"/>
    <col min="4490" max="4497" width="4.42578125" style="132" customWidth="1"/>
    <col min="4498" max="4540" width="3.42578125" style="132" customWidth="1"/>
    <col min="4541" max="4541" width="6" style="132" customWidth="1"/>
    <col min="4542" max="4736" width="9.42578125" style="132"/>
    <col min="4737" max="4737" width="11.42578125" style="132" customWidth="1"/>
    <col min="4738" max="4738" width="23.5703125" style="132" customWidth="1"/>
    <col min="4739" max="4740" width="3.42578125" style="132" customWidth="1"/>
    <col min="4741" max="4741" width="4.42578125" style="132" customWidth="1"/>
    <col min="4742" max="4745" width="3.42578125" style="132" customWidth="1"/>
    <col min="4746" max="4753" width="4.42578125" style="132" customWidth="1"/>
    <col min="4754" max="4796" width="3.42578125" style="132" customWidth="1"/>
    <col min="4797" max="4797" width="6" style="132" customWidth="1"/>
    <col min="4798" max="4992" width="9.42578125" style="132"/>
    <col min="4993" max="4993" width="11.42578125" style="132" customWidth="1"/>
    <col min="4994" max="4994" width="23.5703125" style="132" customWidth="1"/>
    <col min="4995" max="4996" width="3.42578125" style="132" customWidth="1"/>
    <col min="4997" max="4997" width="4.42578125" style="132" customWidth="1"/>
    <col min="4998" max="5001" width="3.42578125" style="132" customWidth="1"/>
    <col min="5002" max="5009" width="4.42578125" style="132" customWidth="1"/>
    <col min="5010" max="5052" width="3.42578125" style="132" customWidth="1"/>
    <col min="5053" max="5053" width="6" style="132" customWidth="1"/>
    <col min="5054" max="5248" width="9.42578125" style="132"/>
    <col min="5249" max="5249" width="11.42578125" style="132" customWidth="1"/>
    <col min="5250" max="5250" width="23.5703125" style="132" customWidth="1"/>
    <col min="5251" max="5252" width="3.42578125" style="132" customWidth="1"/>
    <col min="5253" max="5253" width="4.42578125" style="132" customWidth="1"/>
    <col min="5254" max="5257" width="3.42578125" style="132" customWidth="1"/>
    <col min="5258" max="5265" width="4.42578125" style="132" customWidth="1"/>
    <col min="5266" max="5308" width="3.42578125" style="132" customWidth="1"/>
    <col min="5309" max="5309" width="6" style="132" customWidth="1"/>
    <col min="5310" max="5504" width="9.42578125" style="132"/>
    <col min="5505" max="5505" width="11.42578125" style="132" customWidth="1"/>
    <col min="5506" max="5506" width="23.5703125" style="132" customWidth="1"/>
    <col min="5507" max="5508" width="3.42578125" style="132" customWidth="1"/>
    <col min="5509" max="5509" width="4.42578125" style="132" customWidth="1"/>
    <col min="5510" max="5513" width="3.42578125" style="132" customWidth="1"/>
    <col min="5514" max="5521" width="4.42578125" style="132" customWidth="1"/>
    <col min="5522" max="5564" width="3.42578125" style="132" customWidth="1"/>
    <col min="5565" max="5565" width="6" style="132" customWidth="1"/>
    <col min="5566" max="5760" width="9.42578125" style="132"/>
    <col min="5761" max="5761" width="11.42578125" style="132" customWidth="1"/>
    <col min="5762" max="5762" width="23.5703125" style="132" customWidth="1"/>
    <col min="5763" max="5764" width="3.42578125" style="132" customWidth="1"/>
    <col min="5765" max="5765" width="4.42578125" style="132" customWidth="1"/>
    <col min="5766" max="5769" width="3.42578125" style="132" customWidth="1"/>
    <col min="5770" max="5777" width="4.42578125" style="132" customWidth="1"/>
    <col min="5778" max="5820" width="3.42578125" style="132" customWidth="1"/>
    <col min="5821" max="5821" width="6" style="132" customWidth="1"/>
    <col min="5822" max="6016" width="9.42578125" style="132"/>
    <col min="6017" max="6017" width="11.42578125" style="132" customWidth="1"/>
    <col min="6018" max="6018" width="23.5703125" style="132" customWidth="1"/>
    <col min="6019" max="6020" width="3.42578125" style="132" customWidth="1"/>
    <col min="6021" max="6021" width="4.42578125" style="132" customWidth="1"/>
    <col min="6022" max="6025" width="3.42578125" style="132" customWidth="1"/>
    <col min="6026" max="6033" width="4.42578125" style="132" customWidth="1"/>
    <col min="6034" max="6076" width="3.42578125" style="132" customWidth="1"/>
    <col min="6077" max="6077" width="6" style="132" customWidth="1"/>
    <col min="6078" max="6272" width="9.42578125" style="132"/>
    <col min="6273" max="6273" width="11.42578125" style="132" customWidth="1"/>
    <col min="6274" max="6274" width="23.5703125" style="132" customWidth="1"/>
    <col min="6275" max="6276" width="3.42578125" style="132" customWidth="1"/>
    <col min="6277" max="6277" width="4.42578125" style="132" customWidth="1"/>
    <col min="6278" max="6281" width="3.42578125" style="132" customWidth="1"/>
    <col min="6282" max="6289" width="4.42578125" style="132" customWidth="1"/>
    <col min="6290" max="6332" width="3.42578125" style="132" customWidth="1"/>
    <col min="6333" max="6333" width="6" style="132" customWidth="1"/>
    <col min="6334" max="6528" width="9.42578125" style="132"/>
    <col min="6529" max="6529" width="11.42578125" style="132" customWidth="1"/>
    <col min="6530" max="6530" width="23.5703125" style="132" customWidth="1"/>
    <col min="6531" max="6532" width="3.42578125" style="132" customWidth="1"/>
    <col min="6533" max="6533" width="4.42578125" style="132" customWidth="1"/>
    <col min="6534" max="6537" width="3.42578125" style="132" customWidth="1"/>
    <col min="6538" max="6545" width="4.42578125" style="132" customWidth="1"/>
    <col min="6546" max="6588" width="3.42578125" style="132" customWidth="1"/>
    <col min="6589" max="6589" width="6" style="132" customWidth="1"/>
    <col min="6590" max="6784" width="9.42578125" style="132"/>
    <col min="6785" max="6785" width="11.42578125" style="132" customWidth="1"/>
    <col min="6786" max="6786" width="23.5703125" style="132" customWidth="1"/>
    <col min="6787" max="6788" width="3.42578125" style="132" customWidth="1"/>
    <col min="6789" max="6789" width="4.42578125" style="132" customWidth="1"/>
    <col min="6790" max="6793" width="3.42578125" style="132" customWidth="1"/>
    <col min="6794" max="6801" width="4.42578125" style="132" customWidth="1"/>
    <col min="6802" max="6844" width="3.42578125" style="132" customWidth="1"/>
    <col min="6845" max="6845" width="6" style="132" customWidth="1"/>
    <col min="6846" max="7040" width="9.42578125" style="132"/>
    <col min="7041" max="7041" width="11.42578125" style="132" customWidth="1"/>
    <col min="7042" max="7042" width="23.5703125" style="132" customWidth="1"/>
    <col min="7043" max="7044" width="3.42578125" style="132" customWidth="1"/>
    <col min="7045" max="7045" width="4.42578125" style="132" customWidth="1"/>
    <col min="7046" max="7049" width="3.42578125" style="132" customWidth="1"/>
    <col min="7050" max="7057" width="4.42578125" style="132" customWidth="1"/>
    <col min="7058" max="7100" width="3.42578125" style="132" customWidth="1"/>
    <col min="7101" max="7101" width="6" style="132" customWidth="1"/>
    <col min="7102" max="7296" width="9.42578125" style="132"/>
    <col min="7297" max="7297" width="11.42578125" style="132" customWidth="1"/>
    <col min="7298" max="7298" width="23.5703125" style="132" customWidth="1"/>
    <col min="7299" max="7300" width="3.42578125" style="132" customWidth="1"/>
    <col min="7301" max="7301" width="4.42578125" style="132" customWidth="1"/>
    <col min="7302" max="7305" width="3.42578125" style="132" customWidth="1"/>
    <col min="7306" max="7313" width="4.42578125" style="132" customWidth="1"/>
    <col min="7314" max="7356" width="3.42578125" style="132" customWidth="1"/>
    <col min="7357" max="7357" width="6" style="132" customWidth="1"/>
    <col min="7358" max="7552" width="9.42578125" style="132"/>
    <col min="7553" max="7553" width="11.42578125" style="132" customWidth="1"/>
    <col min="7554" max="7554" width="23.5703125" style="132" customWidth="1"/>
    <col min="7555" max="7556" width="3.42578125" style="132" customWidth="1"/>
    <col min="7557" max="7557" width="4.42578125" style="132" customWidth="1"/>
    <col min="7558" max="7561" width="3.42578125" style="132" customWidth="1"/>
    <col min="7562" max="7569" width="4.42578125" style="132" customWidth="1"/>
    <col min="7570" max="7612" width="3.42578125" style="132" customWidth="1"/>
    <col min="7613" max="7613" width="6" style="132" customWidth="1"/>
    <col min="7614" max="7808" width="9.42578125" style="132"/>
    <col min="7809" max="7809" width="11.42578125" style="132" customWidth="1"/>
    <col min="7810" max="7810" width="23.5703125" style="132" customWidth="1"/>
    <col min="7811" max="7812" width="3.42578125" style="132" customWidth="1"/>
    <col min="7813" max="7813" width="4.42578125" style="132" customWidth="1"/>
    <col min="7814" max="7817" width="3.42578125" style="132" customWidth="1"/>
    <col min="7818" max="7825" width="4.42578125" style="132" customWidth="1"/>
    <col min="7826" max="7868" width="3.42578125" style="132" customWidth="1"/>
    <col min="7869" max="7869" width="6" style="132" customWidth="1"/>
    <col min="7870" max="8064" width="9.42578125" style="132"/>
    <col min="8065" max="8065" width="11.42578125" style="132" customWidth="1"/>
    <col min="8066" max="8066" width="23.5703125" style="132" customWidth="1"/>
    <col min="8067" max="8068" width="3.42578125" style="132" customWidth="1"/>
    <col min="8069" max="8069" width="4.42578125" style="132" customWidth="1"/>
    <col min="8070" max="8073" width="3.42578125" style="132" customWidth="1"/>
    <col min="8074" max="8081" width="4.42578125" style="132" customWidth="1"/>
    <col min="8082" max="8124" width="3.42578125" style="132" customWidth="1"/>
    <col min="8125" max="8125" width="6" style="132" customWidth="1"/>
    <col min="8126" max="8320" width="9.42578125" style="132"/>
    <col min="8321" max="8321" width="11.42578125" style="132" customWidth="1"/>
    <col min="8322" max="8322" width="23.5703125" style="132" customWidth="1"/>
    <col min="8323" max="8324" width="3.42578125" style="132" customWidth="1"/>
    <col min="8325" max="8325" width="4.42578125" style="132" customWidth="1"/>
    <col min="8326" max="8329" width="3.42578125" style="132" customWidth="1"/>
    <col min="8330" max="8337" width="4.42578125" style="132" customWidth="1"/>
    <col min="8338" max="8380" width="3.42578125" style="132" customWidth="1"/>
    <col min="8381" max="8381" width="6" style="132" customWidth="1"/>
    <col min="8382" max="8576" width="9.42578125" style="132"/>
    <col min="8577" max="8577" width="11.42578125" style="132" customWidth="1"/>
    <col min="8578" max="8578" width="23.5703125" style="132" customWidth="1"/>
    <col min="8579" max="8580" width="3.42578125" style="132" customWidth="1"/>
    <col min="8581" max="8581" width="4.42578125" style="132" customWidth="1"/>
    <col min="8582" max="8585" width="3.42578125" style="132" customWidth="1"/>
    <col min="8586" max="8593" width="4.42578125" style="132" customWidth="1"/>
    <col min="8594" max="8636" width="3.42578125" style="132" customWidth="1"/>
    <col min="8637" max="8637" width="6" style="132" customWidth="1"/>
    <col min="8638" max="8832" width="9.42578125" style="132"/>
    <col min="8833" max="8833" width="11.42578125" style="132" customWidth="1"/>
    <col min="8834" max="8834" width="23.5703125" style="132" customWidth="1"/>
    <col min="8835" max="8836" width="3.42578125" style="132" customWidth="1"/>
    <col min="8837" max="8837" width="4.42578125" style="132" customWidth="1"/>
    <col min="8838" max="8841" width="3.42578125" style="132" customWidth="1"/>
    <col min="8842" max="8849" width="4.42578125" style="132" customWidth="1"/>
    <col min="8850" max="8892" width="3.42578125" style="132" customWidth="1"/>
    <col min="8893" max="8893" width="6" style="132" customWidth="1"/>
    <col min="8894" max="9088" width="9.42578125" style="132"/>
    <col min="9089" max="9089" width="11.42578125" style="132" customWidth="1"/>
    <col min="9090" max="9090" width="23.5703125" style="132" customWidth="1"/>
    <col min="9091" max="9092" width="3.42578125" style="132" customWidth="1"/>
    <col min="9093" max="9093" width="4.42578125" style="132" customWidth="1"/>
    <col min="9094" max="9097" width="3.42578125" style="132" customWidth="1"/>
    <col min="9098" max="9105" width="4.42578125" style="132" customWidth="1"/>
    <col min="9106" max="9148" width="3.42578125" style="132" customWidth="1"/>
    <col min="9149" max="9149" width="6" style="132" customWidth="1"/>
    <col min="9150" max="9344" width="9.42578125" style="132"/>
    <col min="9345" max="9345" width="11.42578125" style="132" customWidth="1"/>
    <col min="9346" max="9346" width="23.5703125" style="132" customWidth="1"/>
    <col min="9347" max="9348" width="3.42578125" style="132" customWidth="1"/>
    <col min="9349" max="9349" width="4.42578125" style="132" customWidth="1"/>
    <col min="9350" max="9353" width="3.42578125" style="132" customWidth="1"/>
    <col min="9354" max="9361" width="4.42578125" style="132" customWidth="1"/>
    <col min="9362" max="9404" width="3.42578125" style="132" customWidth="1"/>
    <col min="9405" max="9405" width="6" style="132" customWidth="1"/>
    <col min="9406" max="9600" width="9.42578125" style="132"/>
    <col min="9601" max="9601" width="11.42578125" style="132" customWidth="1"/>
    <col min="9602" max="9602" width="23.5703125" style="132" customWidth="1"/>
    <col min="9603" max="9604" width="3.42578125" style="132" customWidth="1"/>
    <col min="9605" max="9605" width="4.42578125" style="132" customWidth="1"/>
    <col min="9606" max="9609" width="3.42578125" style="132" customWidth="1"/>
    <col min="9610" max="9617" width="4.42578125" style="132" customWidth="1"/>
    <col min="9618" max="9660" width="3.42578125" style="132" customWidth="1"/>
    <col min="9661" max="9661" width="6" style="132" customWidth="1"/>
    <col min="9662" max="9856" width="9.42578125" style="132"/>
    <col min="9857" max="9857" width="11.42578125" style="132" customWidth="1"/>
    <col min="9858" max="9858" width="23.5703125" style="132" customWidth="1"/>
    <col min="9859" max="9860" width="3.42578125" style="132" customWidth="1"/>
    <col min="9861" max="9861" width="4.42578125" style="132" customWidth="1"/>
    <col min="9862" max="9865" width="3.42578125" style="132" customWidth="1"/>
    <col min="9866" max="9873" width="4.42578125" style="132" customWidth="1"/>
    <col min="9874" max="9916" width="3.42578125" style="132" customWidth="1"/>
    <col min="9917" max="9917" width="6" style="132" customWidth="1"/>
    <col min="9918" max="10112" width="9.42578125" style="132"/>
    <col min="10113" max="10113" width="11.42578125" style="132" customWidth="1"/>
    <col min="10114" max="10114" width="23.5703125" style="132" customWidth="1"/>
    <col min="10115" max="10116" width="3.42578125" style="132" customWidth="1"/>
    <col min="10117" max="10117" width="4.42578125" style="132" customWidth="1"/>
    <col min="10118" max="10121" width="3.42578125" style="132" customWidth="1"/>
    <col min="10122" max="10129" width="4.42578125" style="132" customWidth="1"/>
    <col min="10130" max="10172" width="3.42578125" style="132" customWidth="1"/>
    <col min="10173" max="10173" width="6" style="132" customWidth="1"/>
    <col min="10174" max="10368" width="9.42578125" style="132"/>
    <col min="10369" max="10369" width="11.42578125" style="132" customWidth="1"/>
    <col min="10370" max="10370" width="23.5703125" style="132" customWidth="1"/>
    <col min="10371" max="10372" width="3.42578125" style="132" customWidth="1"/>
    <col min="10373" max="10373" width="4.42578125" style="132" customWidth="1"/>
    <col min="10374" max="10377" width="3.42578125" style="132" customWidth="1"/>
    <col min="10378" max="10385" width="4.42578125" style="132" customWidth="1"/>
    <col min="10386" max="10428" width="3.42578125" style="132" customWidth="1"/>
    <col min="10429" max="10429" width="6" style="132" customWidth="1"/>
    <col min="10430" max="10624" width="9.42578125" style="132"/>
    <col min="10625" max="10625" width="11.42578125" style="132" customWidth="1"/>
    <col min="10626" max="10626" width="23.5703125" style="132" customWidth="1"/>
    <col min="10627" max="10628" width="3.42578125" style="132" customWidth="1"/>
    <col min="10629" max="10629" width="4.42578125" style="132" customWidth="1"/>
    <col min="10630" max="10633" width="3.42578125" style="132" customWidth="1"/>
    <col min="10634" max="10641" width="4.42578125" style="132" customWidth="1"/>
    <col min="10642" max="10684" width="3.42578125" style="132" customWidth="1"/>
    <col min="10685" max="10685" width="6" style="132" customWidth="1"/>
    <col min="10686" max="10880" width="9.42578125" style="132"/>
    <col min="10881" max="10881" width="11.42578125" style="132" customWidth="1"/>
    <col min="10882" max="10882" width="23.5703125" style="132" customWidth="1"/>
    <col min="10883" max="10884" width="3.42578125" style="132" customWidth="1"/>
    <col min="10885" max="10885" width="4.42578125" style="132" customWidth="1"/>
    <col min="10886" max="10889" width="3.42578125" style="132" customWidth="1"/>
    <col min="10890" max="10897" width="4.42578125" style="132" customWidth="1"/>
    <col min="10898" max="10940" width="3.42578125" style="132" customWidth="1"/>
    <col min="10941" max="10941" width="6" style="132" customWidth="1"/>
    <col min="10942" max="11136" width="9.42578125" style="132"/>
    <col min="11137" max="11137" width="11.42578125" style="132" customWidth="1"/>
    <col min="11138" max="11138" width="23.5703125" style="132" customWidth="1"/>
    <col min="11139" max="11140" width="3.42578125" style="132" customWidth="1"/>
    <col min="11141" max="11141" width="4.42578125" style="132" customWidth="1"/>
    <col min="11142" max="11145" width="3.42578125" style="132" customWidth="1"/>
    <col min="11146" max="11153" width="4.42578125" style="132" customWidth="1"/>
    <col min="11154" max="11196" width="3.42578125" style="132" customWidth="1"/>
    <col min="11197" max="11197" width="6" style="132" customWidth="1"/>
    <col min="11198" max="11392" width="9.42578125" style="132"/>
    <col min="11393" max="11393" width="11.42578125" style="132" customWidth="1"/>
    <col min="11394" max="11394" width="23.5703125" style="132" customWidth="1"/>
    <col min="11395" max="11396" width="3.42578125" style="132" customWidth="1"/>
    <col min="11397" max="11397" width="4.42578125" style="132" customWidth="1"/>
    <col min="11398" max="11401" width="3.42578125" style="132" customWidth="1"/>
    <col min="11402" max="11409" width="4.42578125" style="132" customWidth="1"/>
    <col min="11410" max="11452" width="3.42578125" style="132" customWidth="1"/>
    <col min="11453" max="11453" width="6" style="132" customWidth="1"/>
    <col min="11454" max="11648" width="9.42578125" style="132"/>
    <col min="11649" max="11649" width="11.42578125" style="132" customWidth="1"/>
    <col min="11650" max="11650" width="23.5703125" style="132" customWidth="1"/>
    <col min="11651" max="11652" width="3.42578125" style="132" customWidth="1"/>
    <col min="11653" max="11653" width="4.42578125" style="132" customWidth="1"/>
    <col min="11654" max="11657" width="3.42578125" style="132" customWidth="1"/>
    <col min="11658" max="11665" width="4.42578125" style="132" customWidth="1"/>
    <col min="11666" max="11708" width="3.42578125" style="132" customWidth="1"/>
    <col min="11709" max="11709" width="6" style="132" customWidth="1"/>
    <col min="11710" max="11904" width="9.42578125" style="132"/>
    <col min="11905" max="11905" width="11.42578125" style="132" customWidth="1"/>
    <col min="11906" max="11906" width="23.5703125" style="132" customWidth="1"/>
    <col min="11907" max="11908" width="3.42578125" style="132" customWidth="1"/>
    <col min="11909" max="11909" width="4.42578125" style="132" customWidth="1"/>
    <col min="11910" max="11913" width="3.42578125" style="132" customWidth="1"/>
    <col min="11914" max="11921" width="4.42578125" style="132" customWidth="1"/>
    <col min="11922" max="11964" width="3.42578125" style="132" customWidth="1"/>
    <col min="11965" max="11965" width="6" style="132" customWidth="1"/>
    <col min="11966" max="12160" width="9.42578125" style="132"/>
    <col min="12161" max="12161" width="11.42578125" style="132" customWidth="1"/>
    <col min="12162" max="12162" width="23.5703125" style="132" customWidth="1"/>
    <col min="12163" max="12164" width="3.42578125" style="132" customWidth="1"/>
    <col min="12165" max="12165" width="4.42578125" style="132" customWidth="1"/>
    <col min="12166" max="12169" width="3.42578125" style="132" customWidth="1"/>
    <col min="12170" max="12177" width="4.42578125" style="132" customWidth="1"/>
    <col min="12178" max="12220" width="3.42578125" style="132" customWidth="1"/>
    <col min="12221" max="12221" width="6" style="132" customWidth="1"/>
    <col min="12222" max="12416" width="9.42578125" style="132"/>
    <col min="12417" max="12417" width="11.42578125" style="132" customWidth="1"/>
    <col min="12418" max="12418" width="23.5703125" style="132" customWidth="1"/>
    <col min="12419" max="12420" width="3.42578125" style="132" customWidth="1"/>
    <col min="12421" max="12421" width="4.42578125" style="132" customWidth="1"/>
    <col min="12422" max="12425" width="3.42578125" style="132" customWidth="1"/>
    <col min="12426" max="12433" width="4.42578125" style="132" customWidth="1"/>
    <col min="12434" max="12476" width="3.42578125" style="132" customWidth="1"/>
    <col min="12477" max="12477" width="6" style="132" customWidth="1"/>
    <col min="12478" max="12672" width="9.42578125" style="132"/>
    <col min="12673" max="12673" width="11.42578125" style="132" customWidth="1"/>
    <col min="12674" max="12674" width="23.5703125" style="132" customWidth="1"/>
    <col min="12675" max="12676" width="3.42578125" style="132" customWidth="1"/>
    <col min="12677" max="12677" width="4.42578125" style="132" customWidth="1"/>
    <col min="12678" max="12681" width="3.42578125" style="132" customWidth="1"/>
    <col min="12682" max="12689" width="4.42578125" style="132" customWidth="1"/>
    <col min="12690" max="12732" width="3.42578125" style="132" customWidth="1"/>
    <col min="12733" max="12733" width="6" style="132" customWidth="1"/>
    <col min="12734" max="12928" width="9.42578125" style="132"/>
    <col min="12929" max="12929" width="11.42578125" style="132" customWidth="1"/>
    <col min="12930" max="12930" width="23.5703125" style="132" customWidth="1"/>
    <col min="12931" max="12932" width="3.42578125" style="132" customWidth="1"/>
    <col min="12933" max="12933" width="4.42578125" style="132" customWidth="1"/>
    <col min="12934" max="12937" width="3.42578125" style="132" customWidth="1"/>
    <col min="12938" max="12945" width="4.42578125" style="132" customWidth="1"/>
    <col min="12946" max="12988" width="3.42578125" style="132" customWidth="1"/>
    <col min="12989" max="12989" width="6" style="132" customWidth="1"/>
    <col min="12990" max="13184" width="9.42578125" style="132"/>
    <col min="13185" max="13185" width="11.42578125" style="132" customWidth="1"/>
    <col min="13186" max="13186" width="23.5703125" style="132" customWidth="1"/>
    <col min="13187" max="13188" width="3.42578125" style="132" customWidth="1"/>
    <col min="13189" max="13189" width="4.42578125" style="132" customWidth="1"/>
    <col min="13190" max="13193" width="3.42578125" style="132" customWidth="1"/>
    <col min="13194" max="13201" width="4.42578125" style="132" customWidth="1"/>
    <col min="13202" max="13244" width="3.42578125" style="132" customWidth="1"/>
    <col min="13245" max="13245" width="6" style="132" customWidth="1"/>
    <col min="13246" max="13440" width="9.42578125" style="132"/>
    <col min="13441" max="13441" width="11.42578125" style="132" customWidth="1"/>
    <col min="13442" max="13442" width="23.5703125" style="132" customWidth="1"/>
    <col min="13443" max="13444" width="3.42578125" style="132" customWidth="1"/>
    <col min="13445" max="13445" width="4.42578125" style="132" customWidth="1"/>
    <col min="13446" max="13449" width="3.42578125" style="132" customWidth="1"/>
    <col min="13450" max="13457" width="4.42578125" style="132" customWidth="1"/>
    <col min="13458" max="13500" width="3.42578125" style="132" customWidth="1"/>
    <col min="13501" max="13501" width="6" style="132" customWidth="1"/>
    <col min="13502" max="13696" width="9.42578125" style="132"/>
    <col min="13697" max="13697" width="11.42578125" style="132" customWidth="1"/>
    <col min="13698" max="13698" width="23.5703125" style="132" customWidth="1"/>
    <col min="13699" max="13700" width="3.42578125" style="132" customWidth="1"/>
    <col min="13701" max="13701" width="4.42578125" style="132" customWidth="1"/>
    <col min="13702" max="13705" width="3.42578125" style="132" customWidth="1"/>
    <col min="13706" max="13713" width="4.42578125" style="132" customWidth="1"/>
    <col min="13714" max="13756" width="3.42578125" style="132" customWidth="1"/>
    <col min="13757" max="13757" width="6" style="132" customWidth="1"/>
    <col min="13758" max="13952" width="9.42578125" style="132"/>
    <col min="13953" max="13953" width="11.42578125" style="132" customWidth="1"/>
    <col min="13954" max="13954" width="23.5703125" style="132" customWidth="1"/>
    <col min="13955" max="13956" width="3.42578125" style="132" customWidth="1"/>
    <col min="13957" max="13957" width="4.42578125" style="132" customWidth="1"/>
    <col min="13958" max="13961" width="3.42578125" style="132" customWidth="1"/>
    <col min="13962" max="13969" width="4.42578125" style="132" customWidth="1"/>
    <col min="13970" max="14012" width="3.42578125" style="132" customWidth="1"/>
    <col min="14013" max="14013" width="6" style="132" customWidth="1"/>
    <col min="14014" max="14208" width="9.42578125" style="132"/>
    <col min="14209" max="14209" width="11.42578125" style="132" customWidth="1"/>
    <col min="14210" max="14210" width="23.5703125" style="132" customWidth="1"/>
    <col min="14211" max="14212" width="3.42578125" style="132" customWidth="1"/>
    <col min="14213" max="14213" width="4.42578125" style="132" customWidth="1"/>
    <col min="14214" max="14217" width="3.42578125" style="132" customWidth="1"/>
    <col min="14218" max="14225" width="4.42578125" style="132" customWidth="1"/>
    <col min="14226" max="14268" width="3.42578125" style="132" customWidth="1"/>
    <col min="14269" max="14269" width="6" style="132" customWidth="1"/>
    <col min="14270" max="14464" width="9.42578125" style="132"/>
    <col min="14465" max="14465" width="11.42578125" style="132" customWidth="1"/>
    <col min="14466" max="14466" width="23.5703125" style="132" customWidth="1"/>
    <col min="14467" max="14468" width="3.42578125" style="132" customWidth="1"/>
    <col min="14469" max="14469" width="4.42578125" style="132" customWidth="1"/>
    <col min="14470" max="14473" width="3.42578125" style="132" customWidth="1"/>
    <col min="14474" max="14481" width="4.42578125" style="132" customWidth="1"/>
    <col min="14482" max="14524" width="3.42578125" style="132" customWidth="1"/>
    <col min="14525" max="14525" width="6" style="132" customWidth="1"/>
    <col min="14526" max="14720" width="9.42578125" style="132"/>
    <col min="14721" max="14721" width="11.42578125" style="132" customWidth="1"/>
    <col min="14722" max="14722" width="23.5703125" style="132" customWidth="1"/>
    <col min="14723" max="14724" width="3.42578125" style="132" customWidth="1"/>
    <col min="14725" max="14725" width="4.42578125" style="132" customWidth="1"/>
    <col min="14726" max="14729" width="3.42578125" style="132" customWidth="1"/>
    <col min="14730" max="14737" width="4.42578125" style="132" customWidth="1"/>
    <col min="14738" max="14780" width="3.42578125" style="132" customWidth="1"/>
    <col min="14781" max="14781" width="6" style="132" customWidth="1"/>
    <col min="14782" max="14976" width="9.42578125" style="132"/>
    <col min="14977" max="14977" width="11.42578125" style="132" customWidth="1"/>
    <col min="14978" max="14978" width="23.5703125" style="132" customWidth="1"/>
    <col min="14979" max="14980" width="3.42578125" style="132" customWidth="1"/>
    <col min="14981" max="14981" width="4.42578125" style="132" customWidth="1"/>
    <col min="14982" max="14985" width="3.42578125" style="132" customWidth="1"/>
    <col min="14986" max="14993" width="4.42578125" style="132" customWidth="1"/>
    <col min="14994" max="15036" width="3.42578125" style="132" customWidth="1"/>
    <col min="15037" max="15037" width="6" style="132" customWidth="1"/>
    <col min="15038" max="15232" width="9.42578125" style="132"/>
    <col min="15233" max="15233" width="11.42578125" style="132" customWidth="1"/>
    <col min="15234" max="15234" width="23.5703125" style="132" customWidth="1"/>
    <col min="15235" max="15236" width="3.42578125" style="132" customWidth="1"/>
    <col min="15237" max="15237" width="4.42578125" style="132" customWidth="1"/>
    <col min="15238" max="15241" width="3.42578125" style="132" customWidth="1"/>
    <col min="15242" max="15249" width="4.42578125" style="132" customWidth="1"/>
    <col min="15250" max="15292" width="3.42578125" style="132" customWidth="1"/>
    <col min="15293" max="15293" width="6" style="132" customWidth="1"/>
    <col min="15294" max="15488" width="9.42578125" style="132"/>
    <col min="15489" max="15489" width="11.42578125" style="132" customWidth="1"/>
    <col min="15490" max="15490" width="23.5703125" style="132" customWidth="1"/>
    <col min="15491" max="15492" width="3.42578125" style="132" customWidth="1"/>
    <col min="15493" max="15493" width="4.42578125" style="132" customWidth="1"/>
    <col min="15494" max="15497" width="3.42578125" style="132" customWidth="1"/>
    <col min="15498" max="15505" width="4.42578125" style="132" customWidth="1"/>
    <col min="15506" max="15548" width="3.42578125" style="132" customWidth="1"/>
    <col min="15549" max="15549" width="6" style="132" customWidth="1"/>
    <col min="15550" max="15744" width="9.42578125" style="132"/>
    <col min="15745" max="15745" width="11.42578125" style="132" customWidth="1"/>
    <col min="15746" max="15746" width="23.5703125" style="132" customWidth="1"/>
    <col min="15747" max="15748" width="3.42578125" style="132" customWidth="1"/>
    <col min="15749" max="15749" width="4.42578125" style="132" customWidth="1"/>
    <col min="15750" max="15753" width="3.42578125" style="132" customWidth="1"/>
    <col min="15754" max="15761" width="4.42578125" style="132" customWidth="1"/>
    <col min="15762" max="15804" width="3.42578125" style="132" customWidth="1"/>
    <col min="15805" max="15805" width="6" style="132" customWidth="1"/>
    <col min="15806" max="16000" width="9.42578125" style="132"/>
    <col min="16001" max="16001" width="11.42578125" style="132" customWidth="1"/>
    <col min="16002" max="16002" width="23.5703125" style="132" customWidth="1"/>
    <col min="16003" max="16004" width="3.42578125" style="132" customWidth="1"/>
    <col min="16005" max="16005" width="4.42578125" style="132" customWidth="1"/>
    <col min="16006" max="16009" width="3.42578125" style="132" customWidth="1"/>
    <col min="16010" max="16017" width="4.42578125" style="132" customWidth="1"/>
    <col min="16018" max="16060" width="3.42578125" style="132" customWidth="1"/>
    <col min="16061" max="16061" width="6" style="132" customWidth="1"/>
    <col min="16062" max="16256" width="9.42578125" style="132"/>
    <col min="16257" max="16257" width="11.42578125" style="132" customWidth="1"/>
    <col min="16258" max="16258" width="23.5703125" style="132" customWidth="1"/>
    <col min="16259" max="16260" width="3.42578125" style="132" customWidth="1"/>
    <col min="16261" max="16261" width="4.42578125" style="132" customWidth="1"/>
    <col min="16262" max="16265" width="3.42578125" style="132" customWidth="1"/>
    <col min="16266" max="16273" width="4.42578125" style="132" customWidth="1"/>
    <col min="16274" max="16316" width="3.42578125" style="132" customWidth="1"/>
    <col min="16317" max="16317" width="6" style="132" customWidth="1"/>
    <col min="16318" max="16384" width="9.42578125" style="132"/>
  </cols>
  <sheetData>
    <row r="1" spans="1:195" ht="47.25" customHeight="1" thickBot="1" x14ac:dyDescent="0.3">
      <c r="A1" s="130"/>
      <c r="B1" s="131"/>
      <c r="C1" s="131"/>
      <c r="D1" s="131"/>
      <c r="E1" s="131"/>
      <c r="F1" s="131"/>
      <c r="G1" s="574" t="s">
        <v>0</v>
      </c>
      <c r="H1" s="574"/>
      <c r="I1" s="574"/>
      <c r="J1" s="574"/>
      <c r="K1" s="574"/>
      <c r="L1" s="574"/>
      <c r="M1" s="574"/>
      <c r="N1" s="574"/>
      <c r="O1" s="574"/>
      <c r="P1" s="574"/>
      <c r="Q1" s="574"/>
      <c r="R1" s="574"/>
      <c r="S1" s="574"/>
      <c r="T1" s="574"/>
      <c r="U1" s="574"/>
      <c r="V1" s="574"/>
      <c r="W1" s="574"/>
      <c r="X1" s="574"/>
      <c r="Y1" s="574"/>
      <c r="Z1" s="574"/>
      <c r="AA1" s="574"/>
      <c r="AB1" s="574"/>
      <c r="AC1" s="574"/>
      <c r="AD1" s="574"/>
      <c r="AE1" s="574"/>
      <c r="AF1" s="574"/>
      <c r="AG1" s="574"/>
      <c r="AH1" s="574"/>
      <c r="AI1" s="574"/>
      <c r="AJ1" s="574"/>
      <c r="AK1" s="574"/>
      <c r="AL1" s="574"/>
      <c r="AM1" s="574"/>
      <c r="AN1" s="574"/>
      <c r="AO1" s="574"/>
      <c r="AP1" s="574"/>
      <c r="AQ1" s="574"/>
      <c r="AR1" s="574"/>
      <c r="AS1" s="574"/>
      <c r="AT1" s="574"/>
      <c r="AU1" s="574"/>
      <c r="AV1" s="574"/>
      <c r="AW1" s="574"/>
      <c r="AX1" s="574"/>
      <c r="AY1" s="574"/>
      <c r="AZ1" s="574"/>
      <c r="BA1" s="574"/>
      <c r="BB1" s="574"/>
      <c r="BC1" s="574"/>
      <c r="BD1" s="574"/>
      <c r="BE1" s="574"/>
      <c r="BF1" s="574"/>
      <c r="BG1" s="574"/>
      <c r="BH1" s="574"/>
      <c r="BI1" s="574"/>
      <c r="BJ1" s="574"/>
      <c r="BK1" s="574"/>
      <c r="BL1" s="574"/>
      <c r="BM1" s="591" t="s">
        <v>0</v>
      </c>
      <c r="BN1" s="574"/>
      <c r="BO1" s="574"/>
      <c r="BP1" s="574"/>
      <c r="BQ1" s="574"/>
      <c r="BR1" s="574"/>
      <c r="BS1" s="574"/>
      <c r="BT1" s="574"/>
      <c r="BU1" s="574"/>
      <c r="BV1" s="574"/>
      <c r="BW1" s="574"/>
      <c r="BX1" s="574"/>
      <c r="BY1" s="574"/>
      <c r="BZ1" s="574"/>
      <c r="CA1" s="574"/>
      <c r="CB1" s="574"/>
      <c r="CC1" s="574"/>
      <c r="CD1" s="574"/>
      <c r="CE1" s="574"/>
      <c r="CF1" s="574"/>
      <c r="CG1" s="574"/>
      <c r="CH1" s="574"/>
      <c r="CI1" s="574"/>
      <c r="CJ1" s="574"/>
      <c r="CK1" s="574"/>
      <c r="CL1" s="574"/>
      <c r="CM1" s="574"/>
      <c r="CN1" s="574"/>
      <c r="CO1" s="574"/>
      <c r="CP1" s="574"/>
      <c r="CQ1" s="574"/>
      <c r="CR1" s="574"/>
      <c r="CS1" s="574"/>
      <c r="CT1" s="574"/>
      <c r="CU1" s="574"/>
      <c r="CV1" s="574"/>
      <c r="CW1" s="574"/>
      <c r="CX1" s="574"/>
      <c r="CY1" s="574"/>
      <c r="CZ1" s="574"/>
      <c r="DA1" s="574"/>
      <c r="DB1" s="574"/>
      <c r="DC1" s="574"/>
      <c r="DD1" s="574"/>
      <c r="DE1" s="574"/>
      <c r="DF1" s="574"/>
      <c r="DG1" s="574"/>
      <c r="DH1" s="574"/>
      <c r="DI1" s="574"/>
      <c r="DJ1" s="574"/>
      <c r="DK1" s="574"/>
      <c r="DL1" s="574"/>
      <c r="DM1" s="574"/>
      <c r="DN1" s="574"/>
      <c r="DO1" s="574"/>
      <c r="DP1" s="574"/>
      <c r="DQ1" s="574"/>
      <c r="DR1" s="574"/>
      <c r="DS1" s="574"/>
      <c r="DT1" s="574"/>
      <c r="DU1" s="574"/>
      <c r="DV1" s="574"/>
      <c r="DW1" s="574"/>
      <c r="DX1" s="574"/>
      <c r="DY1" s="574"/>
      <c r="DZ1" s="574"/>
      <c r="EA1" s="574"/>
      <c r="EB1" s="574"/>
      <c r="EC1" s="574"/>
      <c r="ED1" s="574"/>
      <c r="EE1" s="574"/>
      <c r="EF1" s="574"/>
      <c r="EG1" s="574"/>
      <c r="EH1" s="574"/>
      <c r="EI1" s="574"/>
      <c r="EJ1" s="574"/>
      <c r="EK1" s="574"/>
      <c r="EL1" s="574"/>
      <c r="EM1" s="574"/>
      <c r="EN1" s="574"/>
      <c r="EO1" s="574"/>
      <c r="EP1" s="574"/>
      <c r="EQ1" s="574"/>
      <c r="ER1" s="574"/>
      <c r="ES1" s="574"/>
      <c r="ET1" s="574"/>
      <c r="EU1" s="574"/>
      <c r="EV1" s="574"/>
      <c r="EW1" s="574"/>
      <c r="EX1" s="574"/>
      <c r="EY1" s="574"/>
      <c r="EZ1" s="574"/>
      <c r="FA1" s="574"/>
      <c r="FB1" s="574"/>
      <c r="FC1" s="574"/>
      <c r="FD1" s="574"/>
      <c r="FE1" s="574"/>
      <c r="FF1" s="574"/>
      <c r="FG1" s="574"/>
      <c r="FH1" s="574"/>
      <c r="FI1" s="574"/>
      <c r="FJ1" s="574"/>
      <c r="FK1" s="574"/>
      <c r="FL1" s="574"/>
      <c r="FM1" s="574"/>
      <c r="FN1" s="574"/>
      <c r="FO1" s="574"/>
      <c r="FP1" s="575"/>
      <c r="FQ1" s="574" t="s">
        <v>0</v>
      </c>
      <c r="FR1" s="574"/>
      <c r="FS1" s="574"/>
      <c r="FT1" s="574"/>
      <c r="FU1" s="574"/>
      <c r="FV1" s="574"/>
      <c r="FW1" s="574"/>
      <c r="FX1" s="574"/>
      <c r="FY1" s="574"/>
      <c r="FZ1" s="574"/>
      <c r="GA1" s="574"/>
      <c r="GB1" s="574"/>
      <c r="GC1" s="574"/>
      <c r="GD1" s="574"/>
      <c r="GE1" s="574"/>
      <c r="GF1" s="574"/>
      <c r="GG1" s="574"/>
      <c r="GH1" s="574"/>
      <c r="GI1" s="574"/>
      <c r="GJ1" s="574"/>
      <c r="GK1" s="574"/>
      <c r="GL1" s="575"/>
    </row>
    <row r="2" spans="1:195" ht="21" customHeight="1" x14ac:dyDescent="0.25">
      <c r="A2" s="613" t="s">
        <v>1</v>
      </c>
      <c r="B2" s="614"/>
      <c r="C2" s="134"/>
      <c r="D2" s="134"/>
      <c r="E2" s="134"/>
      <c r="F2" s="134"/>
      <c r="G2" s="135"/>
      <c r="H2" s="135"/>
      <c r="I2" s="135"/>
      <c r="J2" s="135"/>
      <c r="K2" s="135"/>
      <c r="L2" s="602"/>
      <c r="M2" s="609"/>
      <c r="N2" s="596"/>
      <c r="O2" s="56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602"/>
      <c r="AS2" s="135"/>
      <c r="AT2" s="135"/>
      <c r="AU2" s="137" t="s">
        <v>2</v>
      </c>
      <c r="AV2" s="137"/>
      <c r="AW2" s="137"/>
      <c r="AX2" s="137"/>
      <c r="AY2" s="590">
        <f ca="1">TODAY()</f>
        <v>46063</v>
      </c>
      <c r="AZ2" s="590"/>
      <c r="BA2" s="590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5"/>
      <c r="CJ2" s="135"/>
      <c r="CK2" s="137"/>
      <c r="CL2" s="137"/>
      <c r="CM2" s="137"/>
      <c r="CN2" s="137"/>
      <c r="CO2" s="137"/>
      <c r="CP2" s="137"/>
      <c r="CQ2" s="137"/>
      <c r="CR2" s="137"/>
      <c r="CS2" s="137"/>
      <c r="CT2" s="137"/>
      <c r="CU2" s="137"/>
      <c r="CV2" s="137"/>
      <c r="CW2" s="138"/>
      <c r="CX2" s="138"/>
      <c r="CY2" s="138"/>
      <c r="CZ2" s="138"/>
      <c r="DA2" s="138"/>
      <c r="DB2" s="138"/>
      <c r="DC2" s="138"/>
      <c r="DD2" s="138"/>
      <c r="DE2" s="138"/>
      <c r="DF2" s="138"/>
      <c r="DG2" s="138"/>
      <c r="DH2" s="138"/>
      <c r="DI2" s="138"/>
      <c r="DJ2" s="138"/>
      <c r="DK2" s="138"/>
      <c r="DL2" s="138"/>
      <c r="DM2" s="138"/>
      <c r="DN2" s="138"/>
      <c r="DO2" s="138"/>
      <c r="DP2" s="138"/>
      <c r="DQ2" s="138"/>
      <c r="DR2" s="138"/>
      <c r="DS2" s="138"/>
      <c r="DT2" s="138"/>
      <c r="DU2" s="138"/>
      <c r="DV2" s="138"/>
      <c r="DW2" s="138"/>
      <c r="DX2" s="138"/>
      <c r="DY2" s="138"/>
      <c r="DZ2" s="135"/>
      <c r="EA2" s="135"/>
      <c r="EB2" s="590"/>
      <c r="EC2" s="590"/>
      <c r="ED2" s="590"/>
      <c r="EE2" s="590"/>
      <c r="EF2" s="590"/>
      <c r="EG2" s="590"/>
      <c r="EH2" s="590"/>
      <c r="EI2" s="590"/>
      <c r="EJ2" s="590"/>
      <c r="EK2" s="590"/>
      <c r="EL2" s="590"/>
      <c r="EM2" s="590"/>
      <c r="EN2" s="590"/>
      <c r="EO2" s="590"/>
      <c r="EP2" s="138"/>
      <c r="EQ2" s="135"/>
      <c r="ER2" s="135"/>
      <c r="ES2" s="590"/>
      <c r="ET2" s="590"/>
      <c r="EU2" s="590"/>
      <c r="EV2" s="590"/>
      <c r="EW2" s="590"/>
      <c r="EX2" s="590"/>
      <c r="EY2" s="595"/>
      <c r="EZ2" s="595"/>
      <c r="FA2" s="135"/>
      <c r="FB2" s="135"/>
      <c r="FC2" s="590"/>
      <c r="FD2" s="590"/>
      <c r="FE2" s="590"/>
      <c r="FF2" s="590"/>
      <c r="FG2" s="590"/>
      <c r="FH2" s="590"/>
      <c r="FI2" s="590"/>
      <c r="FJ2" s="135"/>
      <c r="FK2" s="135"/>
      <c r="FL2" s="135"/>
      <c r="FM2" s="135"/>
      <c r="FN2" s="135"/>
      <c r="FO2" s="135"/>
      <c r="FP2" s="135"/>
      <c r="FQ2" s="139"/>
      <c r="FR2" s="135"/>
      <c r="FS2" s="135"/>
      <c r="FT2" s="135"/>
      <c r="FU2" s="135"/>
      <c r="FV2" s="135"/>
      <c r="FW2" s="139"/>
      <c r="FX2" s="135"/>
      <c r="FY2" s="135"/>
      <c r="FZ2" s="135"/>
      <c r="GA2" s="135"/>
      <c r="GB2" s="135"/>
      <c r="GC2" s="139"/>
      <c r="GD2" s="135"/>
      <c r="GE2" s="135"/>
      <c r="GF2" s="135"/>
      <c r="GG2" s="135"/>
      <c r="GH2" s="139"/>
      <c r="GI2" s="138"/>
      <c r="GJ2" s="138"/>
      <c r="GK2" s="140"/>
      <c r="GL2" s="138">
        <v>1</v>
      </c>
    </row>
    <row r="3" spans="1:195" ht="12" customHeight="1" thickBot="1" x14ac:dyDescent="0.3">
      <c r="A3" s="141" t="s">
        <v>176</v>
      </c>
      <c r="B3" s="138" t="s">
        <v>3</v>
      </c>
      <c r="C3" s="138"/>
      <c r="D3" s="138"/>
      <c r="E3" s="138"/>
      <c r="F3" s="138"/>
      <c r="G3" s="138"/>
      <c r="H3" s="138"/>
      <c r="I3" s="138"/>
      <c r="J3" s="138"/>
      <c r="K3" s="138"/>
      <c r="L3" s="603"/>
      <c r="M3" s="610"/>
      <c r="N3" s="597"/>
      <c r="O3" s="566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42" t="s">
        <v>4</v>
      </c>
      <c r="AH3" s="142"/>
      <c r="AI3" s="143"/>
      <c r="AJ3" s="142"/>
      <c r="AK3" s="142" t="s">
        <v>5</v>
      </c>
      <c r="AL3" s="142"/>
      <c r="AM3" s="142">
        <v>2</v>
      </c>
      <c r="AN3" s="142" t="s">
        <v>6</v>
      </c>
      <c r="AO3" s="142"/>
      <c r="AP3" s="142"/>
      <c r="AQ3" s="142">
        <v>3</v>
      </c>
      <c r="AR3" s="603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  <c r="CH3" s="138"/>
      <c r="CI3" s="138"/>
      <c r="CJ3" s="138"/>
      <c r="CK3" s="144"/>
      <c r="CL3" s="144"/>
      <c r="CM3" s="144"/>
      <c r="CN3" s="144"/>
      <c r="CO3" s="144"/>
      <c r="CP3" s="144"/>
      <c r="CQ3" s="144"/>
      <c r="CR3" s="144"/>
      <c r="CS3" s="144"/>
      <c r="CT3" s="144"/>
      <c r="CU3" s="144"/>
      <c r="CV3" s="144"/>
      <c r="CW3" s="144"/>
      <c r="CX3" s="144"/>
      <c r="CY3" s="144"/>
      <c r="CZ3" s="144"/>
      <c r="DA3" s="144"/>
      <c r="DB3" s="144"/>
      <c r="DC3" s="144"/>
      <c r="DD3" s="138"/>
      <c r="DE3" s="138"/>
      <c r="DF3" s="138"/>
      <c r="DG3" s="138"/>
      <c r="DH3" s="138"/>
      <c r="DI3" s="138"/>
      <c r="DJ3" s="138"/>
      <c r="DK3" s="138"/>
      <c r="DL3" s="138"/>
      <c r="DM3" s="138"/>
      <c r="DN3" s="138"/>
      <c r="DO3" s="138"/>
      <c r="DP3" s="138"/>
      <c r="DQ3" s="138"/>
      <c r="DR3" s="138"/>
      <c r="DS3" s="138"/>
      <c r="DT3" s="138"/>
      <c r="DU3" s="138"/>
      <c r="DV3" s="138"/>
      <c r="DW3" s="138"/>
      <c r="DX3" s="138"/>
      <c r="DY3" s="138"/>
      <c r="DZ3" s="138"/>
      <c r="EA3" s="138"/>
      <c r="EB3" s="138"/>
      <c r="EC3" s="138"/>
      <c r="ED3" s="138"/>
      <c r="EE3" s="138"/>
      <c r="EF3" s="138"/>
      <c r="EG3" s="138"/>
      <c r="EH3" s="138"/>
      <c r="EI3" s="138"/>
      <c r="EJ3" s="138"/>
      <c r="EK3" s="138"/>
      <c r="EL3" s="138"/>
      <c r="EM3" s="138"/>
      <c r="EN3" s="138"/>
      <c r="EO3" s="138"/>
      <c r="EP3" s="138"/>
      <c r="EQ3" s="138"/>
      <c r="ER3" s="138"/>
      <c r="ES3" s="138"/>
      <c r="ET3" s="138"/>
      <c r="EU3" s="138"/>
      <c r="EV3" s="138"/>
      <c r="EW3" s="138"/>
      <c r="EX3" s="138"/>
      <c r="EY3" s="138"/>
      <c r="EZ3" s="138"/>
      <c r="FA3" s="138"/>
      <c r="FB3" s="138"/>
      <c r="FC3" s="138"/>
      <c r="FD3" s="138"/>
      <c r="FE3" s="138"/>
      <c r="FF3" s="138"/>
      <c r="FG3" s="138"/>
      <c r="FH3" s="138"/>
      <c r="FI3" s="138"/>
      <c r="FJ3" s="138"/>
      <c r="FK3" s="138"/>
      <c r="FL3" s="138"/>
      <c r="FM3" s="138"/>
      <c r="FN3" s="138"/>
      <c r="FO3" s="138"/>
      <c r="FP3" s="138"/>
      <c r="FQ3" s="145"/>
      <c r="FR3" s="138"/>
      <c r="FS3" s="138"/>
      <c r="FT3" s="138"/>
      <c r="FU3" s="138"/>
      <c r="FV3" s="138"/>
      <c r="FW3" s="145"/>
      <c r="FX3" s="138"/>
      <c r="FY3" s="138"/>
      <c r="FZ3" s="138"/>
      <c r="GA3" s="138"/>
      <c r="GB3" s="138"/>
      <c r="GC3" s="145"/>
      <c r="GD3" s="138"/>
      <c r="GE3" s="138"/>
      <c r="GF3" s="138"/>
      <c r="GG3" s="146"/>
      <c r="GH3" s="147"/>
      <c r="GI3" s="138"/>
      <c r="GJ3" s="138"/>
      <c r="GK3" s="140"/>
      <c r="GL3" s="138">
        <v>2</v>
      </c>
    </row>
    <row r="4" spans="1:195" ht="11.85" customHeight="1" x14ac:dyDescent="0.25">
      <c r="A4" s="148">
        <v>1</v>
      </c>
      <c r="B4" s="149" t="s">
        <v>7</v>
      </c>
      <c r="C4" s="149"/>
      <c r="D4" s="149"/>
      <c r="E4" s="149"/>
      <c r="F4" s="149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42"/>
      <c r="AH4" s="142"/>
      <c r="AI4" s="143"/>
      <c r="AJ4" s="142"/>
      <c r="AK4" s="142"/>
      <c r="AL4" s="142"/>
      <c r="AM4" s="142"/>
      <c r="AN4" s="142"/>
      <c r="AO4" s="142"/>
      <c r="AP4" s="142"/>
      <c r="AQ4" s="142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44"/>
      <c r="CL4" s="144"/>
      <c r="CM4" s="144"/>
      <c r="CN4" s="144"/>
      <c r="CO4" s="144"/>
      <c r="CP4" s="144"/>
      <c r="CQ4" s="144"/>
      <c r="CR4" s="144"/>
      <c r="CS4" s="144"/>
      <c r="CT4" s="144"/>
      <c r="CU4" s="144"/>
      <c r="CV4" s="144"/>
      <c r="CW4" s="144"/>
      <c r="CX4" s="144"/>
      <c r="CY4" s="144"/>
      <c r="CZ4" s="144"/>
      <c r="DA4" s="144"/>
      <c r="DB4" s="144"/>
      <c r="DC4" s="144"/>
      <c r="DD4" s="138"/>
      <c r="DE4" s="138"/>
      <c r="DF4" s="138"/>
      <c r="DG4" s="138"/>
      <c r="DH4" s="138"/>
      <c r="DI4" s="138"/>
      <c r="DJ4" s="138"/>
      <c r="DK4" s="138"/>
      <c r="DL4" s="138"/>
      <c r="DM4" s="138"/>
      <c r="DN4" s="138"/>
      <c r="DO4" s="138"/>
      <c r="DP4" s="138"/>
      <c r="DQ4" s="138"/>
      <c r="DR4" s="138"/>
      <c r="DS4" s="138"/>
      <c r="DT4" s="138"/>
      <c r="DU4" s="138"/>
      <c r="DV4" s="138"/>
      <c r="DW4" s="138"/>
      <c r="DX4" s="138"/>
      <c r="DY4" s="138"/>
      <c r="DZ4" s="138"/>
      <c r="EA4" s="138"/>
      <c r="EB4" s="138"/>
      <c r="EC4" s="138"/>
      <c r="ED4" s="138"/>
      <c r="EE4" s="138"/>
      <c r="EF4" s="138"/>
      <c r="EG4" s="138"/>
      <c r="EH4" s="138"/>
      <c r="EI4" s="138"/>
      <c r="EJ4" s="138"/>
      <c r="EK4" s="138"/>
      <c r="EL4" s="138"/>
      <c r="EM4" s="138"/>
      <c r="EN4" s="138"/>
      <c r="EO4" s="138"/>
      <c r="EP4" s="138"/>
      <c r="EQ4" s="138"/>
      <c r="ER4" s="138"/>
      <c r="ES4" s="138"/>
      <c r="ET4" s="138"/>
      <c r="EU4" s="138"/>
      <c r="EV4" s="138"/>
      <c r="EW4" s="138"/>
      <c r="EX4" s="138"/>
      <c r="EY4" s="138"/>
      <c r="EZ4" s="138"/>
      <c r="FA4" s="138"/>
      <c r="FB4" s="138"/>
      <c r="FC4" s="138"/>
      <c r="FD4" s="138"/>
      <c r="FE4" s="138"/>
      <c r="FF4" s="138"/>
      <c r="FG4" s="138"/>
      <c r="FH4" s="138"/>
      <c r="FI4" s="138"/>
      <c r="FJ4" s="138"/>
      <c r="FK4" s="138"/>
      <c r="FL4" s="138"/>
      <c r="FM4" s="138"/>
      <c r="FN4" s="138"/>
      <c r="FO4" s="138"/>
      <c r="FP4" s="138"/>
      <c r="FQ4" s="145"/>
      <c r="FR4" s="138"/>
      <c r="FS4" s="138"/>
      <c r="FT4" s="138"/>
      <c r="FU4" s="138"/>
      <c r="FV4" s="138"/>
      <c r="FW4" s="145"/>
      <c r="FX4" s="138"/>
      <c r="FY4" s="138"/>
      <c r="FZ4" s="138"/>
      <c r="GA4" s="138"/>
      <c r="GB4" s="138"/>
      <c r="GC4" s="145"/>
      <c r="GD4" s="138"/>
      <c r="GE4" s="138"/>
      <c r="GF4" s="138"/>
      <c r="GG4" s="146"/>
      <c r="GH4" s="147"/>
      <c r="GI4" s="138"/>
      <c r="GJ4" s="138"/>
      <c r="GK4" s="140"/>
      <c r="GL4" s="138">
        <v>3</v>
      </c>
    </row>
    <row r="5" spans="1:195" ht="10.35" customHeight="1" thickBot="1" x14ac:dyDescent="0.3">
      <c r="A5" s="150">
        <v>2</v>
      </c>
      <c r="B5" s="138" t="s">
        <v>8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576" t="s">
        <v>9</v>
      </c>
      <c r="AH5" s="576"/>
      <c r="AI5" s="576"/>
      <c r="AJ5" s="576"/>
      <c r="AK5" s="576"/>
      <c r="AL5" s="576"/>
      <c r="AM5" s="576"/>
      <c r="AN5" s="576"/>
      <c r="AO5" s="576"/>
      <c r="AP5" s="577">
        <v>51</v>
      </c>
      <c r="AQ5" s="577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138"/>
      <c r="CV5" s="138"/>
      <c r="CW5" s="138"/>
      <c r="CX5" s="138"/>
      <c r="CY5" s="138"/>
      <c r="CZ5" s="138"/>
      <c r="DA5" s="138"/>
      <c r="DB5" s="138"/>
      <c r="DC5" s="138"/>
      <c r="DD5" s="138"/>
      <c r="DE5" s="138"/>
      <c r="DF5" s="138"/>
      <c r="DG5" s="138"/>
      <c r="DH5" s="138"/>
      <c r="DI5" s="138"/>
      <c r="DJ5" s="138"/>
      <c r="DK5" s="138"/>
      <c r="DL5" s="138"/>
      <c r="DM5" s="138"/>
      <c r="DN5" s="138"/>
      <c r="DO5" s="138"/>
      <c r="DP5" s="138"/>
      <c r="DQ5" s="138"/>
      <c r="DR5" s="138"/>
      <c r="DS5" s="138"/>
      <c r="DT5" s="138"/>
      <c r="DU5" s="138"/>
      <c r="DV5" s="138"/>
      <c r="DW5" s="138"/>
      <c r="DX5" s="138"/>
      <c r="DY5" s="138"/>
      <c r="DZ5" s="138"/>
      <c r="EA5" s="138"/>
      <c r="EB5" s="138"/>
      <c r="EC5" s="138"/>
      <c r="ED5" s="138"/>
      <c r="EE5" s="138"/>
      <c r="EF5" s="138"/>
      <c r="EG5" s="138"/>
      <c r="EH5" s="138"/>
      <c r="EI5" s="138"/>
      <c r="EJ5" s="138"/>
      <c r="EK5" s="138"/>
      <c r="EL5" s="138"/>
      <c r="EM5" s="138"/>
      <c r="EN5" s="138"/>
      <c r="EO5" s="138"/>
      <c r="EP5" s="138"/>
      <c r="EQ5" s="138"/>
      <c r="ER5" s="138"/>
      <c r="ES5" s="138"/>
      <c r="ET5" s="138"/>
      <c r="EU5" s="138"/>
      <c r="EV5" s="138"/>
      <c r="EW5" s="138"/>
      <c r="EX5" s="138"/>
      <c r="EY5" s="138"/>
      <c r="EZ5" s="138"/>
      <c r="FA5" s="138"/>
      <c r="FB5" s="138"/>
      <c r="FC5" s="138"/>
      <c r="FD5" s="138"/>
      <c r="FE5" s="138"/>
      <c r="FF5" s="138"/>
      <c r="FG5" s="138"/>
      <c r="FH5" s="138"/>
      <c r="FI5" s="138"/>
      <c r="FJ5" s="138"/>
      <c r="FK5" s="138"/>
      <c r="FL5" s="138"/>
      <c r="FM5" s="138"/>
      <c r="FN5" s="138"/>
      <c r="FO5" s="138"/>
      <c r="FP5" s="138"/>
      <c r="FQ5" s="145"/>
      <c r="FR5" s="138"/>
      <c r="FS5" s="138"/>
      <c r="FT5" s="138"/>
      <c r="FU5" s="138"/>
      <c r="FV5" s="138"/>
      <c r="FW5" s="145"/>
      <c r="FX5" s="138"/>
      <c r="FY5" s="138"/>
      <c r="FZ5" s="138"/>
      <c r="GA5" s="138"/>
      <c r="GB5" s="138"/>
      <c r="GC5" s="145"/>
      <c r="GD5" s="138"/>
      <c r="GE5" s="138"/>
      <c r="GF5" s="138"/>
      <c r="GG5" s="138"/>
      <c r="GH5" s="145"/>
      <c r="GI5" s="138"/>
      <c r="GJ5" s="138"/>
      <c r="GK5" s="140"/>
      <c r="GL5" s="138" t="s">
        <v>160</v>
      </c>
    </row>
    <row r="6" spans="1:195" ht="11.85" customHeight="1" thickBot="1" x14ac:dyDescent="0.3">
      <c r="A6" s="151">
        <v>3</v>
      </c>
      <c r="B6" s="138" t="s">
        <v>10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576" t="s">
        <v>11</v>
      </c>
      <c r="AH6" s="576"/>
      <c r="AI6" s="576"/>
      <c r="AJ6" s="576"/>
      <c r="AK6" s="576"/>
      <c r="AL6" s="576"/>
      <c r="AM6" s="576"/>
      <c r="AN6" s="576"/>
      <c r="AO6" s="576"/>
      <c r="AP6" s="577">
        <f>AP5*3</f>
        <v>153</v>
      </c>
      <c r="AQ6" s="577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38"/>
      <c r="BE6" s="138"/>
      <c r="BF6" s="138"/>
      <c r="BG6" s="138"/>
      <c r="BH6" s="138"/>
      <c r="BI6" s="138"/>
      <c r="BJ6" s="138"/>
      <c r="BK6" s="138"/>
      <c r="BL6" s="138"/>
      <c r="BM6" s="138"/>
      <c r="BN6" s="138"/>
      <c r="BO6" s="138"/>
      <c r="BP6" s="138"/>
      <c r="BQ6" s="138"/>
      <c r="BR6" s="138"/>
      <c r="BS6" s="138"/>
      <c r="BT6" s="138"/>
      <c r="BU6" s="138"/>
      <c r="BV6" s="138"/>
      <c r="BW6" s="138"/>
      <c r="BX6" s="138"/>
      <c r="BY6" s="138"/>
      <c r="BZ6" s="138"/>
      <c r="CA6" s="138"/>
      <c r="CB6" s="138"/>
      <c r="CC6" s="138"/>
      <c r="CD6" s="138"/>
      <c r="CE6" s="138"/>
      <c r="CF6" s="138"/>
      <c r="CG6" s="138"/>
      <c r="CH6" s="138"/>
      <c r="CI6" s="138"/>
      <c r="CJ6" s="138"/>
      <c r="CK6" s="138"/>
      <c r="CL6" s="138"/>
      <c r="CM6" s="138"/>
      <c r="CN6" s="138"/>
      <c r="CO6" s="138"/>
      <c r="CP6" s="138"/>
      <c r="CQ6" s="138"/>
      <c r="CR6" s="138"/>
      <c r="CS6" s="138"/>
      <c r="CT6" s="138"/>
      <c r="CU6" s="138"/>
      <c r="CV6" s="138"/>
      <c r="CW6" s="138"/>
      <c r="CX6" s="138"/>
      <c r="CY6" s="138"/>
      <c r="CZ6" s="138"/>
      <c r="DA6" s="138"/>
      <c r="DB6" s="138"/>
      <c r="DC6" s="138"/>
      <c r="DD6" s="138"/>
      <c r="DE6" s="138"/>
      <c r="DF6" s="138"/>
      <c r="DG6" s="138"/>
      <c r="DH6" s="138"/>
      <c r="DI6" s="138"/>
      <c r="DJ6" s="138"/>
      <c r="DK6" s="138"/>
      <c r="DL6" s="138"/>
      <c r="DM6" s="138"/>
      <c r="DN6" s="138"/>
      <c r="DO6" s="138"/>
      <c r="DP6" s="138"/>
      <c r="DQ6" s="138"/>
      <c r="DR6" s="138"/>
      <c r="DS6" s="138"/>
      <c r="DT6" s="138"/>
      <c r="DU6" s="138"/>
      <c r="DV6" s="138"/>
      <c r="DW6" s="138"/>
      <c r="DX6" s="138"/>
      <c r="DY6" s="138"/>
      <c r="DZ6" s="138"/>
      <c r="EA6" s="138"/>
      <c r="EB6" s="138"/>
      <c r="EC6" s="138"/>
      <c r="ED6" s="138"/>
      <c r="EE6" s="138"/>
      <c r="EF6" s="138"/>
      <c r="EG6" s="138"/>
      <c r="EH6" s="138"/>
      <c r="EI6" s="138"/>
      <c r="EJ6" s="138"/>
      <c r="EK6" s="138"/>
      <c r="EL6" s="138"/>
      <c r="EM6" s="138"/>
      <c r="EN6" s="138"/>
      <c r="EO6" s="138"/>
      <c r="EP6" s="138"/>
      <c r="EQ6" s="138"/>
      <c r="ER6" s="138"/>
      <c r="ES6" s="138"/>
      <c r="ET6" s="138"/>
      <c r="EU6" s="138"/>
      <c r="EV6" s="138"/>
      <c r="EW6" s="138"/>
      <c r="EX6" s="138"/>
      <c r="EY6" s="592" t="s">
        <v>720</v>
      </c>
      <c r="EZ6" s="593"/>
      <c r="FA6" s="593"/>
      <c r="FB6" s="593"/>
      <c r="FC6" s="593"/>
      <c r="FD6" s="593"/>
      <c r="FE6" s="593"/>
      <c r="FF6" s="593"/>
      <c r="FG6" s="593"/>
      <c r="FH6" s="593"/>
      <c r="FI6" s="593"/>
      <c r="FJ6" s="593"/>
      <c r="FK6" s="593"/>
      <c r="FL6" s="593"/>
      <c r="FM6" s="593"/>
      <c r="FN6" s="593"/>
      <c r="FO6" s="593"/>
      <c r="FP6" s="594"/>
      <c r="FQ6" s="578" t="s">
        <v>12</v>
      </c>
      <c r="FR6" s="579"/>
      <c r="FS6" s="579"/>
      <c r="FT6" s="579"/>
      <c r="FU6" s="579"/>
      <c r="FV6" s="579"/>
      <c r="FW6" s="579"/>
      <c r="FX6" s="579"/>
      <c r="FY6" s="579"/>
      <c r="FZ6" s="579"/>
      <c r="GA6" s="579"/>
      <c r="GB6" s="579"/>
      <c r="GC6" s="579"/>
      <c r="GD6" s="579"/>
      <c r="GE6" s="579"/>
      <c r="GF6" s="579"/>
      <c r="GG6" s="579"/>
      <c r="GH6" s="579"/>
      <c r="GI6" s="579"/>
      <c r="GJ6" s="579"/>
      <c r="GK6" s="580"/>
      <c r="GL6" s="152"/>
    </row>
    <row r="7" spans="1:195" s="153" customFormat="1" ht="27.75" customHeight="1" thickBot="1" x14ac:dyDescent="0.25">
      <c r="A7" s="611" t="s">
        <v>13</v>
      </c>
      <c r="B7" s="612"/>
      <c r="C7" s="612"/>
      <c r="D7" s="612"/>
      <c r="E7" s="612"/>
      <c r="F7" s="450"/>
      <c r="G7" s="615" t="s">
        <v>14</v>
      </c>
      <c r="H7" s="616"/>
      <c r="I7" s="616"/>
      <c r="J7" s="616"/>
      <c r="K7" s="617"/>
      <c r="L7" s="598" t="s">
        <v>15</v>
      </c>
      <c r="M7" s="599"/>
      <c r="N7" s="600"/>
      <c r="O7" s="600"/>
      <c r="P7" s="600"/>
      <c r="Q7" s="600"/>
      <c r="R7" s="600"/>
      <c r="S7" s="600"/>
      <c r="T7" s="601"/>
      <c r="U7" s="598" t="s">
        <v>16</v>
      </c>
      <c r="V7" s="599"/>
      <c r="W7" s="600"/>
      <c r="X7" s="600"/>
      <c r="Y7" s="600"/>
      <c r="Z7" s="600"/>
      <c r="AA7" s="600"/>
      <c r="AB7" s="601"/>
      <c r="AC7" s="598" t="s">
        <v>17</v>
      </c>
      <c r="AD7" s="599"/>
      <c r="AE7" s="600"/>
      <c r="AF7" s="600"/>
      <c r="AG7" s="600"/>
      <c r="AH7" s="600"/>
      <c r="AI7" s="600"/>
      <c r="AJ7" s="600"/>
      <c r="AK7" s="600"/>
      <c r="AL7" s="601"/>
      <c r="AM7" s="528" t="s">
        <v>276</v>
      </c>
      <c r="AN7" s="529"/>
      <c r="AO7" s="529"/>
      <c r="AP7" s="529"/>
      <c r="AQ7" s="529"/>
      <c r="AR7" s="529"/>
      <c r="AS7" s="529"/>
      <c r="AT7" s="529"/>
      <c r="AU7" s="530"/>
      <c r="AV7" s="528" t="s">
        <v>18</v>
      </c>
      <c r="AW7" s="529"/>
      <c r="AX7" s="529"/>
      <c r="AY7" s="530"/>
      <c r="AZ7" s="528" t="s">
        <v>19</v>
      </c>
      <c r="BA7" s="529"/>
      <c r="BB7" s="529"/>
      <c r="BC7" s="529"/>
      <c r="BD7" s="529"/>
      <c r="BE7" s="529"/>
      <c r="BF7" s="529"/>
      <c r="BG7" s="529"/>
      <c r="BH7" s="529"/>
      <c r="BI7" s="529"/>
      <c r="BJ7" s="529"/>
      <c r="BK7" s="529"/>
      <c r="BL7" s="529"/>
      <c r="BM7" s="528" t="s">
        <v>20</v>
      </c>
      <c r="BN7" s="529"/>
      <c r="BO7" s="529"/>
      <c r="BP7" s="529"/>
      <c r="BQ7" s="529"/>
      <c r="BR7" s="529"/>
      <c r="BS7" s="529"/>
      <c r="BT7" s="529"/>
      <c r="BU7" s="529"/>
      <c r="BV7" s="529"/>
      <c r="BW7" s="528" t="s">
        <v>21</v>
      </c>
      <c r="BX7" s="529"/>
      <c r="BY7" s="529"/>
      <c r="BZ7" s="529"/>
      <c r="CA7" s="529"/>
      <c r="CB7" s="529"/>
      <c r="CC7" s="529"/>
      <c r="CD7" s="529"/>
      <c r="CE7" s="529"/>
      <c r="CF7" s="529"/>
      <c r="CG7" s="529"/>
      <c r="CH7" s="530"/>
      <c r="CI7" s="528" t="s">
        <v>22</v>
      </c>
      <c r="CJ7" s="529"/>
      <c r="CK7" s="529"/>
      <c r="CL7" s="530"/>
      <c r="CM7" s="528" t="s">
        <v>23</v>
      </c>
      <c r="CN7" s="529"/>
      <c r="CO7" s="529"/>
      <c r="CP7" s="529"/>
      <c r="CQ7" s="529"/>
      <c r="CR7" s="529"/>
      <c r="CS7" s="529"/>
      <c r="CT7" s="529"/>
      <c r="CU7" s="528" t="s">
        <v>24</v>
      </c>
      <c r="CV7" s="529"/>
      <c r="CW7" s="529"/>
      <c r="CX7" s="529"/>
      <c r="CY7" s="529"/>
      <c r="CZ7" s="529"/>
      <c r="DA7" s="529"/>
      <c r="DB7" s="529"/>
      <c r="DC7" s="529"/>
      <c r="DD7" s="529"/>
      <c r="DE7" s="529"/>
      <c r="DF7" s="529"/>
      <c r="DG7" s="529"/>
      <c r="DH7" s="529"/>
      <c r="DI7" s="529"/>
      <c r="DJ7" s="529"/>
      <c r="DK7" s="529"/>
      <c r="DL7" s="529"/>
      <c r="DM7" s="529"/>
      <c r="DN7" s="529"/>
      <c r="DO7" s="529"/>
      <c r="DP7" s="529"/>
      <c r="DQ7" s="529"/>
      <c r="DR7" s="529"/>
      <c r="DS7" s="529"/>
      <c r="DT7" s="529"/>
      <c r="DU7" s="529"/>
      <c r="DV7" s="529"/>
      <c r="DW7" s="529"/>
      <c r="DX7" s="530"/>
      <c r="DY7" s="529" t="s">
        <v>25</v>
      </c>
      <c r="DZ7" s="529"/>
      <c r="EA7" s="529"/>
      <c r="EB7" s="529"/>
      <c r="EC7" s="529"/>
      <c r="ED7" s="529"/>
      <c r="EE7" s="529"/>
      <c r="EF7" s="529"/>
      <c r="EG7" s="529"/>
      <c r="EH7" s="529"/>
      <c r="EI7" s="529"/>
      <c r="EJ7" s="529"/>
      <c r="EK7" s="529"/>
      <c r="EL7" s="529"/>
      <c r="EM7" s="529"/>
      <c r="EN7" s="529"/>
      <c r="EO7" s="530"/>
      <c r="EP7" s="504" t="s">
        <v>313</v>
      </c>
      <c r="EQ7" s="505"/>
      <c r="ER7" s="505"/>
      <c r="ES7" s="505"/>
      <c r="ET7" s="505"/>
      <c r="EU7" s="505"/>
      <c r="EV7" s="505"/>
      <c r="EW7" s="505"/>
      <c r="EX7" s="506"/>
      <c r="EY7" s="528" t="s">
        <v>26</v>
      </c>
      <c r="EZ7" s="529"/>
      <c r="FA7" s="529"/>
      <c r="FB7" s="529"/>
      <c r="FC7" s="529"/>
      <c r="FD7" s="529"/>
      <c r="FE7" s="529"/>
      <c r="FF7" s="529"/>
      <c r="FG7" s="529"/>
      <c r="FH7" s="529"/>
      <c r="FI7" s="529"/>
      <c r="FJ7" s="529"/>
      <c r="FK7" s="530"/>
      <c r="FL7" s="504" t="s">
        <v>719</v>
      </c>
      <c r="FM7" s="505"/>
      <c r="FN7" s="505"/>
      <c r="FO7" s="505"/>
      <c r="FP7" s="506"/>
      <c r="FQ7" s="586" t="s">
        <v>27</v>
      </c>
      <c r="FR7" s="587"/>
      <c r="FS7" s="588"/>
      <c r="FT7" s="588"/>
      <c r="FU7" s="588"/>
      <c r="FV7" s="589"/>
      <c r="FW7" s="586" t="s">
        <v>28</v>
      </c>
      <c r="FX7" s="587"/>
      <c r="FY7" s="588"/>
      <c r="FZ7" s="588"/>
      <c r="GA7" s="588"/>
      <c r="GB7" s="589"/>
      <c r="GC7" s="581" t="s">
        <v>29</v>
      </c>
      <c r="GD7" s="582"/>
      <c r="GE7" s="582"/>
      <c r="GF7" s="583"/>
      <c r="GG7" s="584"/>
      <c r="GH7" s="584"/>
      <c r="GI7" s="584"/>
      <c r="GJ7" s="584"/>
      <c r="GK7" s="585"/>
    </row>
    <row r="8" spans="1:195" s="153" customFormat="1" ht="67.5" customHeight="1" thickBot="1" x14ac:dyDescent="0.25">
      <c r="A8" s="154" t="s">
        <v>379</v>
      </c>
      <c r="B8" s="155" t="s">
        <v>159</v>
      </c>
      <c r="C8" s="155" t="s">
        <v>177</v>
      </c>
      <c r="D8" s="155" t="s">
        <v>385</v>
      </c>
      <c r="E8" s="155" t="s">
        <v>164</v>
      </c>
      <c r="F8" s="156" t="s">
        <v>167</v>
      </c>
      <c r="G8" s="157" t="s">
        <v>31</v>
      </c>
      <c r="H8" s="158" t="s">
        <v>32</v>
      </c>
      <c r="I8" s="159" t="s">
        <v>372</v>
      </c>
      <c r="J8" s="158" t="s">
        <v>286</v>
      </c>
      <c r="K8" s="160" t="s">
        <v>287</v>
      </c>
      <c r="L8" s="161" t="s">
        <v>33</v>
      </c>
      <c r="M8" s="162" t="s">
        <v>34</v>
      </c>
      <c r="N8" s="162" t="s">
        <v>35</v>
      </c>
      <c r="O8" s="162" t="s">
        <v>36</v>
      </c>
      <c r="P8" s="162" t="s">
        <v>37</v>
      </c>
      <c r="Q8" s="162" t="s">
        <v>38</v>
      </c>
      <c r="R8" s="162" t="s">
        <v>39</v>
      </c>
      <c r="S8" s="163" t="s">
        <v>40</v>
      </c>
      <c r="T8" s="164" t="s">
        <v>285</v>
      </c>
      <c r="U8" s="165" t="s">
        <v>41</v>
      </c>
      <c r="V8" s="162" t="s">
        <v>275</v>
      </c>
      <c r="W8" s="162" t="s">
        <v>42</v>
      </c>
      <c r="X8" s="162" t="s">
        <v>551</v>
      </c>
      <c r="Y8" s="162" t="s">
        <v>44</v>
      </c>
      <c r="Z8" s="166" t="s">
        <v>45</v>
      </c>
      <c r="AA8" s="166" t="s">
        <v>552</v>
      </c>
      <c r="AB8" s="166" t="s">
        <v>553</v>
      </c>
      <c r="AC8" s="167" t="s">
        <v>46</v>
      </c>
      <c r="AD8" s="162" t="s">
        <v>47</v>
      </c>
      <c r="AE8" s="162" t="s">
        <v>48</v>
      </c>
      <c r="AF8" s="162" t="s">
        <v>49</v>
      </c>
      <c r="AG8" s="162" t="s">
        <v>50</v>
      </c>
      <c r="AH8" s="162" t="s">
        <v>51</v>
      </c>
      <c r="AI8" s="162" t="s">
        <v>52</v>
      </c>
      <c r="AJ8" s="162" t="s">
        <v>53</v>
      </c>
      <c r="AK8" s="162" t="s">
        <v>54</v>
      </c>
      <c r="AL8" s="162" t="s">
        <v>57</v>
      </c>
      <c r="AM8" s="167" t="s">
        <v>376</v>
      </c>
      <c r="AN8" s="162" t="s">
        <v>59</v>
      </c>
      <c r="AO8" s="162" t="s">
        <v>61</v>
      </c>
      <c r="AP8" s="162" t="s">
        <v>62</v>
      </c>
      <c r="AQ8" s="162" t="s">
        <v>63</v>
      </c>
      <c r="AR8" s="162" t="s">
        <v>66</v>
      </c>
      <c r="AS8" s="162" t="s">
        <v>67</v>
      </c>
      <c r="AT8" s="162" t="s">
        <v>68</v>
      </c>
      <c r="AU8" s="162" t="s">
        <v>69</v>
      </c>
      <c r="AV8" s="167" t="s">
        <v>70</v>
      </c>
      <c r="AW8" s="162" t="s">
        <v>71</v>
      </c>
      <c r="AX8" s="162" t="s">
        <v>72</v>
      </c>
      <c r="AY8" s="168" t="s">
        <v>73</v>
      </c>
      <c r="AZ8" s="161" t="s">
        <v>74</v>
      </c>
      <c r="BA8" s="162" t="s">
        <v>75</v>
      </c>
      <c r="BB8" s="162" t="s">
        <v>76</v>
      </c>
      <c r="BC8" s="162" t="s">
        <v>77</v>
      </c>
      <c r="BD8" s="162" t="s">
        <v>78</v>
      </c>
      <c r="BE8" s="162" t="s">
        <v>79</v>
      </c>
      <c r="BF8" s="162" t="s">
        <v>566</v>
      </c>
      <c r="BG8" s="162" t="s">
        <v>564</v>
      </c>
      <c r="BH8" s="162" t="s">
        <v>569</v>
      </c>
      <c r="BI8" s="162" t="s">
        <v>562</v>
      </c>
      <c r="BJ8" s="162" t="s">
        <v>568</v>
      </c>
      <c r="BK8" s="162" t="s">
        <v>567</v>
      </c>
      <c r="BL8" s="162" t="s">
        <v>561</v>
      </c>
      <c r="BM8" s="167" t="s">
        <v>80</v>
      </c>
      <c r="BN8" s="162" t="s">
        <v>81</v>
      </c>
      <c r="BO8" s="162" t="s">
        <v>82</v>
      </c>
      <c r="BP8" s="162" t="s">
        <v>83</v>
      </c>
      <c r="BQ8" s="162" t="s">
        <v>84</v>
      </c>
      <c r="BR8" s="162" t="s">
        <v>85</v>
      </c>
      <c r="BS8" s="162" t="s">
        <v>86</v>
      </c>
      <c r="BT8" s="162" t="s">
        <v>87</v>
      </c>
      <c r="BU8" s="162" t="s">
        <v>88</v>
      </c>
      <c r="BV8" s="162" t="s">
        <v>375</v>
      </c>
      <c r="BW8" s="167" t="s">
        <v>89</v>
      </c>
      <c r="BX8" s="161" t="s">
        <v>91</v>
      </c>
      <c r="BY8" s="161" t="s">
        <v>92</v>
      </c>
      <c r="BZ8" s="161" t="s">
        <v>93</v>
      </c>
      <c r="CA8" s="161" t="s">
        <v>94</v>
      </c>
      <c r="CB8" s="161" t="s">
        <v>95</v>
      </c>
      <c r="CC8" s="162" t="s">
        <v>96</v>
      </c>
      <c r="CD8" s="162" t="s">
        <v>97</v>
      </c>
      <c r="CE8" s="166" t="s">
        <v>98</v>
      </c>
      <c r="CF8" s="166" t="s">
        <v>99</v>
      </c>
      <c r="CG8" s="166" t="s">
        <v>557</v>
      </c>
      <c r="CH8" s="168" t="s">
        <v>101</v>
      </c>
      <c r="CI8" s="161" t="s">
        <v>102</v>
      </c>
      <c r="CJ8" s="162" t="s">
        <v>103</v>
      </c>
      <c r="CK8" s="162" t="s">
        <v>104</v>
      </c>
      <c r="CL8" s="166" t="s">
        <v>105</v>
      </c>
      <c r="CM8" s="167" t="s">
        <v>106</v>
      </c>
      <c r="CN8" s="162" t="s">
        <v>107</v>
      </c>
      <c r="CO8" s="162" t="s">
        <v>108</v>
      </c>
      <c r="CP8" s="162" t="s">
        <v>110</v>
      </c>
      <c r="CQ8" s="162" t="s">
        <v>111</v>
      </c>
      <c r="CR8" s="162" t="s">
        <v>112</v>
      </c>
      <c r="CS8" s="169" t="s">
        <v>565</v>
      </c>
      <c r="CT8" s="169" t="s">
        <v>289</v>
      </c>
      <c r="CU8" s="232" t="s">
        <v>114</v>
      </c>
      <c r="CV8" s="231" t="s">
        <v>115</v>
      </c>
      <c r="CW8" s="231" t="s">
        <v>116</v>
      </c>
      <c r="CX8" s="373" t="s">
        <v>683</v>
      </c>
      <c r="CY8" s="373" t="s">
        <v>684</v>
      </c>
      <c r="CZ8" s="373" t="s">
        <v>685</v>
      </c>
      <c r="DA8" s="373" t="s">
        <v>682</v>
      </c>
      <c r="DB8" s="231" t="s">
        <v>119</v>
      </c>
      <c r="DC8" s="373" t="s">
        <v>686</v>
      </c>
      <c r="DD8" s="231" t="s">
        <v>120</v>
      </c>
      <c r="DE8" s="373" t="s">
        <v>687</v>
      </c>
      <c r="DF8" s="373" t="s">
        <v>703</v>
      </c>
      <c r="DG8" s="373" t="s">
        <v>688</v>
      </c>
      <c r="DH8" s="373" t="s">
        <v>689</v>
      </c>
      <c r="DI8" s="373" t="s">
        <v>690</v>
      </c>
      <c r="DJ8" s="373" t="s">
        <v>691</v>
      </c>
      <c r="DK8" s="373" t="s">
        <v>692</v>
      </c>
      <c r="DL8" s="373" t="s">
        <v>693</v>
      </c>
      <c r="DM8" s="373" t="s">
        <v>694</v>
      </c>
      <c r="DN8" s="373" t="s">
        <v>695</v>
      </c>
      <c r="DO8" s="373" t="s">
        <v>696</v>
      </c>
      <c r="DP8" s="373" t="s">
        <v>697</v>
      </c>
      <c r="DQ8" s="373" t="s">
        <v>698</v>
      </c>
      <c r="DR8" s="373" t="s">
        <v>699</v>
      </c>
      <c r="DS8" s="373" t="s">
        <v>700</v>
      </c>
      <c r="DT8" s="373" t="s">
        <v>701</v>
      </c>
      <c r="DU8" s="231" t="s">
        <v>122</v>
      </c>
      <c r="DV8" s="235" t="s">
        <v>291</v>
      </c>
      <c r="DW8" s="235" t="s">
        <v>292</v>
      </c>
      <c r="DX8" s="233" t="s">
        <v>123</v>
      </c>
      <c r="DY8" s="170" t="s">
        <v>315</v>
      </c>
      <c r="DZ8" s="171" t="s">
        <v>316</v>
      </c>
      <c r="EA8" s="171" t="s">
        <v>317</v>
      </c>
      <c r="EB8" s="171" t="s">
        <v>318</v>
      </c>
      <c r="EC8" s="171" t="s">
        <v>319</v>
      </c>
      <c r="ED8" s="171" t="s">
        <v>320</v>
      </c>
      <c r="EE8" s="171" t="s">
        <v>321</v>
      </c>
      <c r="EF8" s="172" t="s">
        <v>342</v>
      </c>
      <c r="EG8" s="171" t="s">
        <v>323</v>
      </c>
      <c r="EH8" s="171" t="s">
        <v>324</v>
      </c>
      <c r="EI8" s="171" t="s">
        <v>325</v>
      </c>
      <c r="EJ8" s="171" t="s">
        <v>326</v>
      </c>
      <c r="EK8" s="171" t="s">
        <v>327</v>
      </c>
      <c r="EL8" s="171" t="s">
        <v>328</v>
      </c>
      <c r="EM8" s="171" t="s">
        <v>329</v>
      </c>
      <c r="EN8" s="171" t="s">
        <v>330</v>
      </c>
      <c r="EO8" s="173" t="s">
        <v>331</v>
      </c>
      <c r="EP8" s="174" t="s">
        <v>334</v>
      </c>
      <c r="EQ8" s="172" t="s">
        <v>335</v>
      </c>
      <c r="ER8" s="172" t="s">
        <v>336</v>
      </c>
      <c r="ES8" s="172" t="s">
        <v>337</v>
      </c>
      <c r="ET8" s="172" t="s">
        <v>338</v>
      </c>
      <c r="EU8" s="172" t="s">
        <v>339</v>
      </c>
      <c r="EV8" s="172" t="s">
        <v>340</v>
      </c>
      <c r="EW8" s="487" t="s">
        <v>759</v>
      </c>
      <c r="EX8" s="175" t="s">
        <v>346</v>
      </c>
      <c r="EY8" s="176" t="s">
        <v>132</v>
      </c>
      <c r="EZ8" s="171" t="s">
        <v>133</v>
      </c>
      <c r="FA8" s="171" t="s">
        <v>134</v>
      </c>
      <c r="FB8" s="171" t="s">
        <v>135</v>
      </c>
      <c r="FC8" s="171" t="s">
        <v>136</v>
      </c>
      <c r="FD8" s="171" t="s">
        <v>356</v>
      </c>
      <c r="FE8" s="171" t="s">
        <v>357</v>
      </c>
      <c r="FF8" s="171" t="s">
        <v>359</v>
      </c>
      <c r="FG8" s="171" t="s">
        <v>360</v>
      </c>
      <c r="FH8" s="171" t="s">
        <v>137</v>
      </c>
      <c r="FI8" s="171" t="s">
        <v>138</v>
      </c>
      <c r="FJ8" s="177" t="s">
        <v>278</v>
      </c>
      <c r="FK8" s="177" t="s">
        <v>279</v>
      </c>
      <c r="FL8" s="174" t="s">
        <v>280</v>
      </c>
      <c r="FM8" s="159" t="s">
        <v>281</v>
      </c>
      <c r="FN8" s="159" t="s">
        <v>282</v>
      </c>
      <c r="FO8" s="159" t="s">
        <v>283</v>
      </c>
      <c r="FP8" s="177" t="s">
        <v>284</v>
      </c>
      <c r="FQ8" s="178" t="s">
        <v>139</v>
      </c>
      <c r="FR8" s="179" t="s">
        <v>140</v>
      </c>
      <c r="FS8" s="179" t="s">
        <v>141</v>
      </c>
      <c r="FT8" s="179" t="s">
        <v>142</v>
      </c>
      <c r="FU8" s="179" t="s">
        <v>143</v>
      </c>
      <c r="FV8" s="180" t="s">
        <v>144</v>
      </c>
      <c r="FW8" s="178" t="s">
        <v>139</v>
      </c>
      <c r="FX8" s="179" t="s">
        <v>145</v>
      </c>
      <c r="FY8" s="179" t="s">
        <v>146</v>
      </c>
      <c r="FZ8" s="179" t="s">
        <v>147</v>
      </c>
      <c r="GA8" s="179" t="s">
        <v>148</v>
      </c>
      <c r="GB8" s="444" t="s">
        <v>149</v>
      </c>
      <c r="GC8" s="178" t="s">
        <v>150</v>
      </c>
      <c r="GD8" s="179" t="s">
        <v>151</v>
      </c>
      <c r="GE8" s="179" t="s">
        <v>152</v>
      </c>
      <c r="GF8" s="179" t="s">
        <v>153</v>
      </c>
      <c r="GG8" s="179" t="s">
        <v>154</v>
      </c>
      <c r="GH8" s="179" t="s">
        <v>155</v>
      </c>
      <c r="GI8" s="179" t="s">
        <v>156</v>
      </c>
      <c r="GJ8" s="179" t="s">
        <v>157</v>
      </c>
      <c r="GK8" s="180" t="s">
        <v>158</v>
      </c>
      <c r="GL8" s="181" t="s">
        <v>30</v>
      </c>
    </row>
    <row r="9" spans="1:195" s="197" customFormat="1" ht="28.35" customHeight="1" x14ac:dyDescent="0.25">
      <c r="A9" s="135" t="s">
        <v>21</v>
      </c>
      <c r="B9" s="138" t="s">
        <v>735</v>
      </c>
      <c r="C9" s="135" t="s">
        <v>230</v>
      </c>
      <c r="D9" s="135">
        <v>1394</v>
      </c>
      <c r="E9" s="563" t="s">
        <v>598</v>
      </c>
      <c r="F9" s="307" t="s">
        <v>165</v>
      </c>
      <c r="G9" s="308">
        <v>2</v>
      </c>
      <c r="H9" s="308">
        <v>2</v>
      </c>
      <c r="I9" s="308">
        <v>2</v>
      </c>
      <c r="J9" s="308" t="s">
        <v>176</v>
      </c>
      <c r="K9" s="308" t="s">
        <v>176</v>
      </c>
      <c r="L9" s="308">
        <v>2</v>
      </c>
      <c r="M9" s="308" t="s">
        <v>176</v>
      </c>
      <c r="N9" s="308" t="s">
        <v>176</v>
      </c>
      <c r="O9" s="308">
        <v>1</v>
      </c>
      <c r="P9" s="308">
        <v>1</v>
      </c>
      <c r="Q9" s="308" t="s">
        <v>176</v>
      </c>
      <c r="R9" s="308" t="s">
        <v>176</v>
      </c>
      <c r="S9" s="308" t="s">
        <v>176</v>
      </c>
      <c r="T9" s="308" t="s">
        <v>176</v>
      </c>
      <c r="U9" s="308" t="s">
        <v>176</v>
      </c>
      <c r="V9" s="308" t="s">
        <v>176</v>
      </c>
      <c r="W9" s="308" t="s">
        <v>176</v>
      </c>
      <c r="X9" s="308" t="s">
        <v>176</v>
      </c>
      <c r="Y9" s="308" t="s">
        <v>176</v>
      </c>
      <c r="Z9" s="308" t="s">
        <v>176</v>
      </c>
      <c r="AA9" s="308" t="s">
        <v>176</v>
      </c>
      <c r="AB9" s="308">
        <v>2</v>
      </c>
      <c r="AC9" s="308">
        <v>1</v>
      </c>
      <c r="AD9" s="308">
        <v>1</v>
      </c>
      <c r="AE9" s="308" t="s">
        <v>176</v>
      </c>
      <c r="AF9" s="308" t="s">
        <v>176</v>
      </c>
      <c r="AG9" s="308" t="s">
        <v>176</v>
      </c>
      <c r="AH9" s="308" t="s">
        <v>176</v>
      </c>
      <c r="AI9" s="308" t="s">
        <v>176</v>
      </c>
      <c r="AJ9" s="308" t="s">
        <v>176</v>
      </c>
      <c r="AK9" s="308" t="s">
        <v>176</v>
      </c>
      <c r="AL9" s="308">
        <v>1</v>
      </c>
      <c r="AM9" s="308" t="s">
        <v>176</v>
      </c>
      <c r="AN9" s="308" t="s">
        <v>176</v>
      </c>
      <c r="AO9" s="308" t="s">
        <v>176</v>
      </c>
      <c r="AP9" s="308" t="s">
        <v>176</v>
      </c>
      <c r="AQ9" s="308" t="s">
        <v>176</v>
      </c>
      <c r="AR9" s="308" t="s">
        <v>176</v>
      </c>
      <c r="AS9" s="308" t="s">
        <v>176</v>
      </c>
      <c r="AT9" s="308" t="s">
        <v>176</v>
      </c>
      <c r="AU9" s="308" t="s">
        <v>176</v>
      </c>
      <c r="AV9" s="308">
        <v>2</v>
      </c>
      <c r="AW9" s="308" t="s">
        <v>176</v>
      </c>
      <c r="AX9" s="308" t="s">
        <v>176</v>
      </c>
      <c r="AY9" s="308" t="s">
        <v>176</v>
      </c>
      <c r="AZ9" s="308" t="s">
        <v>176</v>
      </c>
      <c r="BA9" s="308">
        <v>1</v>
      </c>
      <c r="BB9" s="308">
        <v>2</v>
      </c>
      <c r="BC9" s="308" t="s">
        <v>176</v>
      </c>
      <c r="BD9" s="308" t="s">
        <v>176</v>
      </c>
      <c r="BE9" s="308" t="s">
        <v>176</v>
      </c>
      <c r="BF9" s="308" t="s">
        <v>176</v>
      </c>
      <c r="BG9" s="308" t="s">
        <v>176</v>
      </c>
      <c r="BH9" s="308" t="s">
        <v>176</v>
      </c>
      <c r="BI9" s="308" t="s">
        <v>176</v>
      </c>
      <c r="BJ9" s="308" t="s">
        <v>176</v>
      </c>
      <c r="BK9" s="308" t="s">
        <v>176</v>
      </c>
      <c r="BL9" s="308" t="s">
        <v>176</v>
      </c>
      <c r="BM9" s="308" t="s">
        <v>176</v>
      </c>
      <c r="BN9" s="308" t="s">
        <v>176</v>
      </c>
      <c r="BO9" s="308" t="s">
        <v>176</v>
      </c>
      <c r="BP9" s="308" t="s">
        <v>176</v>
      </c>
      <c r="BQ9" s="308" t="s">
        <v>176</v>
      </c>
      <c r="BR9" s="308" t="s">
        <v>176</v>
      </c>
      <c r="BS9" s="308" t="s">
        <v>176</v>
      </c>
      <c r="BT9" s="308" t="s">
        <v>176</v>
      </c>
      <c r="BU9" s="308" t="s">
        <v>176</v>
      </c>
      <c r="BV9" s="308" t="s">
        <v>176</v>
      </c>
      <c r="BW9" s="308">
        <v>3</v>
      </c>
      <c r="BX9" s="308">
        <v>3</v>
      </c>
      <c r="BY9" s="308">
        <v>3</v>
      </c>
      <c r="BZ9" s="308">
        <v>3</v>
      </c>
      <c r="CA9" s="308">
        <v>3</v>
      </c>
      <c r="CB9" s="308" t="s">
        <v>176</v>
      </c>
      <c r="CC9" s="308">
        <v>3</v>
      </c>
      <c r="CD9" s="308">
        <v>3</v>
      </c>
      <c r="CE9" s="308">
        <v>3</v>
      </c>
      <c r="CF9" s="308">
        <v>3</v>
      </c>
      <c r="CG9" s="308">
        <v>3</v>
      </c>
      <c r="CH9" s="308">
        <v>3</v>
      </c>
      <c r="CI9" s="308">
        <v>2</v>
      </c>
      <c r="CJ9" s="308" t="s">
        <v>176</v>
      </c>
      <c r="CK9" s="308" t="s">
        <v>176</v>
      </c>
      <c r="CL9" s="308" t="s">
        <v>176</v>
      </c>
      <c r="CM9" s="308">
        <v>1</v>
      </c>
      <c r="CN9" s="308">
        <v>1</v>
      </c>
      <c r="CO9" s="308">
        <v>1</v>
      </c>
      <c r="CP9" s="308" t="s">
        <v>176</v>
      </c>
      <c r="CQ9" s="308" t="s">
        <v>176</v>
      </c>
      <c r="CR9" s="308" t="s">
        <v>176</v>
      </c>
      <c r="CS9" s="308" t="s">
        <v>176</v>
      </c>
      <c r="CT9" s="308" t="s">
        <v>176</v>
      </c>
      <c r="CU9" s="308" t="s">
        <v>176</v>
      </c>
      <c r="CV9" s="308" t="s">
        <v>176</v>
      </c>
      <c r="CW9" s="308" t="s">
        <v>176</v>
      </c>
      <c r="CX9" s="308" t="s">
        <v>176</v>
      </c>
      <c r="CY9" s="308" t="s">
        <v>176</v>
      </c>
      <c r="CZ9" s="308" t="s">
        <v>176</v>
      </c>
      <c r="DA9" s="308" t="s">
        <v>176</v>
      </c>
      <c r="DB9" s="308" t="s">
        <v>176</v>
      </c>
      <c r="DC9" s="308" t="s">
        <v>176</v>
      </c>
      <c r="DD9" s="308" t="s">
        <v>176</v>
      </c>
      <c r="DE9" s="308" t="s">
        <v>176</v>
      </c>
      <c r="DF9" s="308" t="s">
        <v>176</v>
      </c>
      <c r="DG9" s="308" t="s">
        <v>176</v>
      </c>
      <c r="DH9" s="308" t="s">
        <v>176</v>
      </c>
      <c r="DI9" s="308" t="s">
        <v>176</v>
      </c>
      <c r="DJ9" s="308" t="s">
        <v>176</v>
      </c>
      <c r="DK9" s="308" t="s">
        <v>176</v>
      </c>
      <c r="DL9" s="308" t="s">
        <v>176</v>
      </c>
      <c r="DM9" s="308" t="s">
        <v>176</v>
      </c>
      <c r="DN9" s="308" t="s">
        <v>176</v>
      </c>
      <c r="DO9" s="308" t="s">
        <v>176</v>
      </c>
      <c r="DP9" s="308" t="s">
        <v>176</v>
      </c>
      <c r="DQ9" s="308" t="s">
        <v>176</v>
      </c>
      <c r="DR9" s="308" t="s">
        <v>176</v>
      </c>
      <c r="DS9" s="308" t="s">
        <v>176</v>
      </c>
      <c r="DT9" s="308" t="s">
        <v>176</v>
      </c>
      <c r="DU9" s="308" t="s">
        <v>176</v>
      </c>
      <c r="DV9" s="308" t="s">
        <v>176</v>
      </c>
      <c r="DW9" s="308" t="s">
        <v>176</v>
      </c>
      <c r="DX9" s="308" t="s">
        <v>176</v>
      </c>
      <c r="DY9" s="308" t="s">
        <v>176</v>
      </c>
      <c r="DZ9" s="308" t="s">
        <v>176</v>
      </c>
      <c r="EA9" s="308" t="s">
        <v>176</v>
      </c>
      <c r="EB9" s="308" t="s">
        <v>176</v>
      </c>
      <c r="EC9" s="308" t="s">
        <v>176</v>
      </c>
      <c r="ED9" s="308" t="s">
        <v>176</v>
      </c>
      <c r="EE9" s="308" t="s">
        <v>176</v>
      </c>
      <c r="EF9" s="308" t="s">
        <v>176</v>
      </c>
      <c r="EG9" s="308" t="s">
        <v>176</v>
      </c>
      <c r="EH9" s="308" t="s">
        <v>176</v>
      </c>
      <c r="EI9" s="308" t="s">
        <v>176</v>
      </c>
      <c r="EJ9" s="308" t="s">
        <v>176</v>
      </c>
      <c r="EK9" s="308" t="s">
        <v>176</v>
      </c>
      <c r="EL9" s="308" t="s">
        <v>176</v>
      </c>
      <c r="EM9" s="308" t="s">
        <v>176</v>
      </c>
      <c r="EN9" s="308" t="s">
        <v>176</v>
      </c>
      <c r="EO9" s="308" t="s">
        <v>176</v>
      </c>
      <c r="EP9" s="308" t="s">
        <v>176</v>
      </c>
      <c r="EQ9" s="308" t="s">
        <v>176</v>
      </c>
      <c r="ER9" s="308" t="s">
        <v>176</v>
      </c>
      <c r="ES9" s="308" t="s">
        <v>176</v>
      </c>
      <c r="ET9" s="308" t="s">
        <v>176</v>
      </c>
      <c r="EU9" s="308" t="s">
        <v>176</v>
      </c>
      <c r="EV9" s="308" t="s">
        <v>176</v>
      </c>
      <c r="EW9" s="308" t="s">
        <v>176</v>
      </c>
      <c r="EX9" s="308" t="s">
        <v>176</v>
      </c>
      <c r="EY9" s="308">
        <v>3</v>
      </c>
      <c r="EZ9" s="308">
        <v>3</v>
      </c>
      <c r="FA9" s="308">
        <v>3</v>
      </c>
      <c r="FB9" s="308">
        <v>2</v>
      </c>
      <c r="FC9" s="308" t="s">
        <v>176</v>
      </c>
      <c r="FD9" s="308">
        <v>1</v>
      </c>
      <c r="FE9" s="308">
        <v>3</v>
      </c>
      <c r="FF9" s="308">
        <v>3</v>
      </c>
      <c r="FG9" s="308">
        <v>3</v>
      </c>
      <c r="FH9" s="308">
        <v>3</v>
      </c>
      <c r="FI9" s="308">
        <v>3</v>
      </c>
      <c r="FJ9" s="308">
        <v>3</v>
      </c>
      <c r="FK9" s="308">
        <v>3</v>
      </c>
      <c r="FL9" s="308">
        <v>2</v>
      </c>
      <c r="FM9" s="308">
        <v>3</v>
      </c>
      <c r="FN9" s="308">
        <v>3</v>
      </c>
      <c r="FO9" s="308">
        <v>3</v>
      </c>
      <c r="FP9" s="308">
        <v>3</v>
      </c>
      <c r="FQ9" s="308" t="s">
        <v>176</v>
      </c>
      <c r="FR9" s="308" t="s">
        <v>176</v>
      </c>
      <c r="FS9" s="308" t="s">
        <v>176</v>
      </c>
      <c r="FT9" s="308"/>
      <c r="FU9" s="308" t="s">
        <v>176</v>
      </c>
      <c r="FV9" s="308" t="s">
        <v>176</v>
      </c>
      <c r="FW9" s="308" t="s">
        <v>176</v>
      </c>
      <c r="FX9" s="308" t="s">
        <v>176</v>
      </c>
      <c r="FY9" s="308" t="s">
        <v>176</v>
      </c>
      <c r="FZ9" s="308"/>
      <c r="GA9" s="308" t="s">
        <v>176</v>
      </c>
      <c r="GB9" s="308" t="s">
        <v>176</v>
      </c>
      <c r="GC9" s="308" t="s">
        <v>176</v>
      </c>
      <c r="GD9" s="308" t="s">
        <v>176</v>
      </c>
      <c r="GE9" s="308" t="s">
        <v>176</v>
      </c>
      <c r="GF9" s="308" t="s">
        <v>176</v>
      </c>
      <c r="GG9" s="308" t="s">
        <v>176</v>
      </c>
      <c r="GH9" s="308" t="s">
        <v>176</v>
      </c>
      <c r="GI9" s="308" t="s">
        <v>176</v>
      </c>
      <c r="GJ9" s="308" t="s">
        <v>176</v>
      </c>
      <c r="GK9" s="308" t="s">
        <v>176</v>
      </c>
      <c r="GL9" s="311">
        <f>SUM(G9:FP9)</f>
        <v>105</v>
      </c>
      <c r="GM9" s="132"/>
    </row>
    <row r="10" spans="1:195" s="197" customFormat="1" ht="28.35" customHeight="1" thickBot="1" x14ac:dyDescent="0.3">
      <c r="A10" s="135" t="s">
        <v>21</v>
      </c>
      <c r="B10" s="138" t="s">
        <v>735</v>
      </c>
      <c r="C10" s="135" t="s">
        <v>230</v>
      </c>
      <c r="D10" s="138">
        <f>D9</f>
        <v>1394</v>
      </c>
      <c r="E10" s="564"/>
      <c r="F10" s="312" t="s">
        <v>166</v>
      </c>
      <c r="G10" s="313">
        <f>IF(INDEX(tab_MinKomp[Przepisy BHP / BHP Vorschriften],MATCH($B9,tab_MinKomp[[Stanowisko / Position ]:[Stanowisko / Position ]],0))="n/a","n/a",G9-INDEX(tab_MinKomp[Przepisy BHP / BHP Vorschriften],MATCH($B9,tab_MinKomp[[Stanowisko / Position ]:[Stanowisko / Position ]],0)))</f>
        <v>0</v>
      </c>
      <c r="H10" s="313">
        <f>IF(INDEX(tab_MinKomp[Przepisy PPOŻ / Brandschutzbestimmungen],MATCH($B9,tab_MinKomp[[Stanowisko / Position ]:[Stanowisko / Position ]],0))="n/a","n/a",H9-INDEX(tab_MinKomp[Przepisy PPOŻ / Brandschutzbestimmungen],MATCH($B9,tab_MinKomp[[Stanowisko / Position ]:[Stanowisko / Position ]],0)))</f>
        <v>0</v>
      </c>
      <c r="I10" s="313">
        <f>IF(INDEX(tab_MinKomp[Ryzyko zawodowe na stanowiskach pracyv/ Berufliche Risiken an Arbeitsstellen],MATCH($B9,tab_MinKomp[[Stanowisko / Position ]:[Stanowisko / Position ]],0))="n/a","n/a",I9-INDEX(tab_MinKomp[Ryzyko zawodowe na stanowiskach pracyv/ Berufliche Risiken an Arbeitsstellen],MATCH($B9,tab_MinKomp[[Stanowisko / Position ]:[Stanowisko / Position ]],0)))</f>
        <v>0</v>
      </c>
      <c r="J10" s="313" t="str">
        <f>IF(INDEX(tab_MinKomp[Gospodarka substancjami niebezpiecznymi / Gefahrstoffmanagement],MATCH($B9,tab_MinKomp[[Stanowisko / Position ]:[Stanowisko / Position ]],0))="n/a","n/a",J9-INDEX(tab_MinKomp[Gospodarka substancjami niebezpiecznymi / Gefahrstoffmanagement],MATCH($B9,tab_MinKomp[[Stanowisko / Position ]:[Stanowisko / Position ]],0)))</f>
        <v>n/a</v>
      </c>
      <c r="K10" s="313" t="str">
        <f>IF(INDEX(tab_MinKomp[Gospodarka odpadami / Abfallwirtschaft],MATCH($B9,tab_MinKomp[[Stanowisko / Position ]:[Stanowisko / Position ]],0))="n/a","n/a",K9-INDEX(tab_MinKomp[Gospodarka odpadami / Abfallwirtschaft],MATCH($B9,tab_MinKomp[[Stanowisko / Position ]:[Stanowisko / Position ]],0)))</f>
        <v>n/a</v>
      </c>
      <c r="L10" s="315">
        <f>IF(INDEX(tab_MinKomp[Przepisy kodeksu pracy / Bestimmungen des Arbeitsgesetzes],MATCH($B9,tab_MinKomp[[Stanowisko / Position ]:[Stanowisko / Position ]],0))="n/a","n/a",L9-INDEX(tab_MinKomp[Przepisy kodeksu pracy / Bestimmungen des Arbeitsgesetzes],MATCH($B9,tab_MinKomp[[Stanowisko / Position ]:[Stanowisko / Position ]],0)))</f>
        <v>0</v>
      </c>
      <c r="M10" s="315" t="str">
        <f>IF(INDEX(tab_MinKomp[Przepisy o ub.społ. ZUS  / Sozialversicherungsvorschriften],MATCH($B9,tab_MinKomp[[Stanowisko / Position ]:[Stanowisko / Position ]],0))="n/a","n/a",M9-INDEX(tab_MinKomp[Przepisy o ub.społ. ZUS  / Sozialversicherungsvorschriften],MATCH($B9,tab_MinKomp[[Stanowisko / Position ]:[Stanowisko / Position ]],0)))</f>
        <v>n/a</v>
      </c>
      <c r="N10" s="315" t="str">
        <f>IF(INDEX(tab_MinKomp[PRZEPISY O PDOF /persönlich Einkommensteuergesetz ],MATCH($B9,tab_MinKomp[[Stanowisko / Position ]:[Stanowisko / Position ]],0))="n/a","n/a",N9-INDEX(tab_MinKomp[PRZEPISY O PDOF /persönlich Einkommensteuergesetz ],MATCH($B9,tab_MinKomp[[Stanowisko / Position ]:[Stanowisko / Position ]],0)))</f>
        <v>n/a</v>
      </c>
      <c r="O10" s="315">
        <f>IF(INDEX(tab_MinKomp[Regulamin pracy / Arbeitsordnung],MATCH($B9,tab_MinKomp[[Stanowisko / Position ]:[Stanowisko / Position ]],0))="n/a","n/a",O9-INDEX(tab_MinKomp[Regulamin pracy / Arbeitsordnung],MATCH($B9,tab_MinKomp[[Stanowisko / Position ]:[Stanowisko / Position ]],0)))</f>
        <v>0</v>
      </c>
      <c r="P10" s="315">
        <f>IF(INDEX(tab_MinKomp[Regulamin wynagradzania / Vergütungsordnung],MATCH($B9,tab_MinKomp[[Stanowisko / Position ]:[Stanowisko / Position ]],0))="n/a","n/a",P9-INDEX(tab_MinKomp[Regulamin wynagradzania / Vergütungsordnung],MATCH($B9,tab_MinKomp[[Stanowisko / Position ]:[Stanowisko / Position ]],0)))</f>
        <v>0</v>
      </c>
      <c r="Q10" s="315" t="str">
        <f>IF(INDEX(tab_MinKomp[System R2PŁATNIK PRO: Płace / Lohnabrechnung],MATCH($B9,tab_MinKomp[[Stanowisko / Position ]:[Stanowisko / Position ]],0))="n/a","n/a",Q9-INDEX(tab_MinKomp[System R2PŁATNIK PRO: Płace / Lohnabrechnung],MATCH($B9,tab_MinKomp[[Stanowisko / Position ]:[Stanowisko / Position ]],0)))</f>
        <v>n/a</v>
      </c>
      <c r="R10" s="315" t="str">
        <f>IF(INDEX(tab_MinKomp[SystemR2PŁATNIK PRO: KADRY / Personaldaten],MATCH($B9,tab_MinKomp[[Stanowisko / Position ]:[Stanowisko / Position ]],0))="n/a","n/a",R9-INDEX(tab_MinKomp[SystemR2PŁATNIK PRO: KADRY / Personaldaten],MATCH($B9,tab_MinKomp[[Stanowisko / Position ]:[Stanowisko / Position ]],0)))</f>
        <v>n/a</v>
      </c>
      <c r="S10" s="315" t="str">
        <f>IF(INDEX(tab_MinKomp[SYSTEM R2PŁATNIK PRO: zarządzanie pracownikami / Arbeitsverwaltung],MATCH($B9,tab_MinKomp[[Stanowisko / Position ]:[Stanowisko / Position ]],0))="n/a","n/a",S9-INDEX(tab_MinKomp[SYSTEM R2PŁATNIK PRO: zarządzanie pracownikami / Arbeitsverwaltung],MATCH($B9,tab_MinKomp[[Stanowisko / Position ]:[Stanowisko / Position ]],0)))</f>
        <v>n/a</v>
      </c>
      <c r="T10" s="315" t="str">
        <f>IF(INDEX(tab_MinKomp[Doradztwo, wsparcie personalne / Personalberatung und Unterstützung],MATCH($B9,tab_MinKomp[[Stanowisko / Position ]:[Stanowisko / Position ]],0))="n/a","n/a",T9-INDEX(tab_MinKomp[Doradztwo, wsparcie personalne / Personalberatung und Unterstützung],MATCH($B9,tab_MinKomp[[Stanowisko / Position ]:[Stanowisko / Position ]],0)))</f>
        <v>n/a</v>
      </c>
      <c r="U10" s="315" t="str">
        <f>IF(INDEX(tab_MinKomp[Przepisy o podatku VAT / MwSt.- Gesetz],MATCH($B9,tab_MinKomp[[Stanowisko / Position ]:[Stanowisko / Position ]],0))="n/a","n/a",U9-INDEX(tab_MinKomp[Przepisy o podatku VAT / MwSt.- Gesetz],MATCH($B9,tab_MinKomp[[Stanowisko / Position ]:[Stanowisko / Position ]],0)))</f>
        <v>n/a</v>
      </c>
      <c r="V10" s="315" t="str">
        <f>IF(INDEX(tab_MinKomp[PrzepisyPDOP / geschäftlich Einkommensteuergesetz],MATCH($B9,tab_MinKomp[[Stanowisko / Position ]:[Stanowisko / Position ]],0))="n/a","n/a",V9-INDEX(tab_MinKomp[PrzepisyPDOP / geschäftlich Einkommensteuergesetz],MATCH($B9,tab_MinKomp[[Stanowisko / Position ]:[Stanowisko / Position ]],0)))</f>
        <v>n/a</v>
      </c>
      <c r="W10" s="315" t="str">
        <f>IF(INDEX(tab_MinKomp[System BAAN / FINANSE (FIBU)],MATCH($B9,tab_MinKomp[[Stanowisko / Position ]:[Stanowisko / Position ]],0))="n/a","n/a",W9-INDEX(tab_MinKomp[System BAAN / FINANSE (FIBU)],MATCH($B9,tab_MinKomp[[Stanowisko / Position ]:[Stanowisko / Position ]],0)))</f>
        <v>n/a</v>
      </c>
      <c r="X10" s="315" t="str">
        <f>IF(INDEX(tab_MinKomp[Systemy pomocnicze / Hilfssysteme(STOCKPROGRAM, KALK2000 etc.)],MATCH($B9,tab_MinKomp[[Stanowisko / Position ]:[Stanowisko / Position ]],0))="n/a","n/a",X9-INDEX(tab_MinKomp[Systemy pomocnicze / Hilfssysteme(STOCKPROGRAM, KALK2000 etc.)],MATCH($B9,tab_MinKomp[[Stanowisko / Position ]:[Stanowisko / Position ]],0)))</f>
        <v>n/a</v>
      </c>
      <c r="Y10" s="315" t="str">
        <f>IF(INDEX(tab_MinKomp[Polityka rachunkowości / Buchführungspolitik],MATCH($B9,tab_MinKomp[[Stanowisko / Position ]:[Stanowisko / Position ]],0))="n/a","n/a",Y9-INDEX(tab_MinKomp[Polityka rachunkowości / Buchführungspolitik],MATCH($B9,tab_MinKomp[[Stanowisko / Position ]:[Stanowisko / Position ]],0)))</f>
        <v>n/a</v>
      </c>
      <c r="Z10" s="315" t="str">
        <f>IF(INDEX(tab_MinKomp[Ustawa o rachunkowości / Rechnungslegungsgesetz],MATCH($B9,tab_MinKomp[[Stanowisko / Position ]:[Stanowisko / Position ]],0))="n/a","n/a",Z9-INDEX(tab_MinKomp[Ustawa o rachunkowości / Rechnungslegungsgesetz],MATCH($B9,tab_MinKomp[[Stanowisko / Position ]:[Stanowisko / Position ]],0)))</f>
        <v>n/a</v>
      </c>
      <c r="AA10" s="315" t="str">
        <f>IF(INDEX(tab_MinKomp[WORKFLOW - TS-100],MATCH($B9,tab_MinKomp[[Stanowisko / Position ]:[Stanowisko / Position ]],0))="n/a","n/a",AA9-INDEX(tab_MinKomp[WORKFLOW - TS-100],MATCH($B9,tab_MinKomp[[Stanowisko / Position ]:[Stanowisko / Position ]],0)))</f>
        <v>n/a</v>
      </c>
      <c r="AB10" s="315">
        <f>IF(INDEX(tab_MinKomp[WORKFLOW - SFMS],MATCH($B9,tab_MinKomp[[Stanowisko / Position ]:[Stanowisko / Position ]],0))="n/a","n/a",AB9-INDEX(tab_MinKomp[WORKFLOW - SFMS],MATCH($B9,tab_MinKomp[[Stanowisko / Position ]:[Stanowisko / Position ]],0)))</f>
        <v>0</v>
      </c>
      <c r="AC10" s="315">
        <f>IF(INDEX(tab_MinKomp[System ISO 9001:2015],MATCH($B9,tab_MinKomp[[Stanowisko / Position ]:[Stanowisko / Position ]],0))="n/a","n/a",AC9-INDEX(tab_MinKomp[System ISO 9001:2015],MATCH($B9,tab_MinKomp[[Stanowisko / Position ]:[Stanowisko / Position ]],0)))</f>
        <v>0</v>
      </c>
      <c r="AD10" s="315">
        <f>IF(INDEX(tab_MinKomp[System IATF 16949:2016],MATCH($B9,tab_MinKomp[[Stanowisko / Position ]:[Stanowisko / Position ]],0))="n/a","n/a",AD9-INDEX(tab_MinKomp[System IATF 16949:2016],MATCH($B9,tab_MinKomp[[Stanowisko / Position ]:[Stanowisko / Position ]],0)))</f>
        <v>0</v>
      </c>
      <c r="AE10" s="315" t="str">
        <f>IF(INDEX(tab_MinKomp[System ISO 14001:2015],MATCH($B9,tab_MinKomp[[Stanowisko / Position ]:[Stanowisko / Position ]],0))="n/a","n/a",AE9-INDEX(tab_MinKomp[System ISO 14001:2015],MATCH($B9,tab_MinKomp[[Stanowisko / Position ]:[Stanowisko / Position ]],0)))</f>
        <v>n/a</v>
      </c>
      <c r="AF10" s="315" t="str">
        <f>IF(INDEX(tab_MinKomp[System PN-N 18001:2004 / ISO 45001:2018],MATCH($B9,tab_MinKomp[[Stanowisko / Position ]:[Stanowisko / Position ]],0))="n/a","n/a",AF9-INDEX(tab_MinKomp[System PN-N 18001:2004 / ISO 45001:2018],MATCH($B9,tab_MinKomp[[Stanowisko / Position ]:[Stanowisko / Position ]],0)))</f>
        <v>n/a</v>
      </c>
      <c r="AG10" s="315" t="str">
        <f>IF(INDEX(tab_MinKomp[Wymagania VDA 6.3 Process / Forderungen],MATCH($B9,tab_MinKomp[[Stanowisko / Position ]:[Stanowisko / Position ]],0))="n/a","n/a",AG9-INDEX(tab_MinKomp[Wymagania VDA 6.3 Process / Forderungen],MATCH($B9,tab_MinKomp[[Stanowisko / Position ]:[Stanowisko / Position ]],0)))</f>
        <v>n/a</v>
      </c>
      <c r="AH10" s="315" t="str">
        <f>IF(INDEX(tab_MinKomp[Wymagania VDA 6.5 Product / Forderungen],MATCH($B9,tab_MinKomp[[Stanowisko / Position ]:[Stanowisko / Position ]],0))="n/a","n/a",AH9-INDEX(tab_MinKomp[Wymagania VDA 6.5 Product / Forderungen],MATCH($B9,tab_MinKomp[[Stanowisko / Position ]:[Stanowisko / Position ]],0)))</f>
        <v>n/a</v>
      </c>
      <c r="AI10" s="315" t="str">
        <f>IF(INDEX(tab_MinKomp[PSCR (VW Product Safety &amp; Conformity Representative)],MATCH($B9,tab_MinKomp[[Stanowisko / Position ]:[Stanowisko / Position ]],0))="n/a","n/a",AI9-INDEX(tab_MinKomp[PSCR (VW Product Safety &amp; Conformity Representative)],MATCH($B9,tab_MinKomp[[Stanowisko / Position ]:[Stanowisko / Position ]],0)))</f>
        <v>n/a</v>
      </c>
      <c r="AJ10" s="315" t="str">
        <f>IF(INDEX(tab_MinKomp[Auditor systemu ISO 17025:2018],MATCH($B9,tab_MinKomp[[Stanowisko / Position ]:[Stanowisko / Position ]],0))="n/a","n/a",AJ9-INDEX(tab_MinKomp[Auditor systemu ISO 17025:2018],MATCH($B9,tab_MinKomp[[Stanowisko / Position ]:[Stanowisko / Position ]],0)))</f>
        <v>n/a</v>
      </c>
      <c r="AK10" s="315" t="str">
        <f>IF(INDEX(tab_MinKomp[Pełnomocnik systemu / Systemvertreter],MATCH($B9,tab_MinKomp[[Stanowisko / Position ]:[Stanowisko / Position ]],0))="n/a","n/a",AK9-INDEX(tab_MinKomp[Pełnomocnik systemu / Systemvertreter],MATCH($B9,tab_MinKomp[[Stanowisko / Position ]:[Stanowisko / Position ]],0)))</f>
        <v>n/a</v>
      </c>
      <c r="AL10" s="315">
        <f>IF(INDEX(tab_MinKomp[Polityka Etyczna - Compliance],MATCH($B9,tab_MinKomp[[Stanowisko / Position ]:[Stanowisko / Position ]],0))="n/a","n/a",AL9-INDEX(tab_MinKomp[Polityka Etyczna - Compliance],MATCH($B9,tab_MinKomp[[Stanowisko / Position ]:[Stanowisko / Position ]],0)))</f>
        <v>0</v>
      </c>
      <c r="AM10" s="315" t="str">
        <f>IF(INDEX(tab_MinKomp[WDRAŻANIE NOWYCH PROJEKTÓW/ PROCEDURA CTM],MATCH($B9,tab_MinKomp[[Stanowisko / Position ]:[Stanowisko / Position ]],0))="n/a","n/a",AM9-INDEX(tab_MinKomp[WDRAŻANIE NOWYCH PROJEKTÓW/ PROCEDURA CTM],MATCH($B9,tab_MinKomp[[Stanowisko / Position ]:[Stanowisko / Position ]],0)))</f>
        <v>n/a</v>
      </c>
      <c r="AN10" s="315" t="str">
        <f>IF(INDEX(tab_MinKomp[KAMIENIE MILOWE MSL/PIFF],MATCH($B9,tab_MinKomp[[Stanowisko / Position ]:[Stanowisko / Position ]],0))="n/a","n/a",AN9-INDEX(tab_MinKomp[KAMIENIE MILOWE MSL/PIFF],MATCH($B9,tab_MinKomp[[Stanowisko / Position ]:[Stanowisko / Position ]],0)))</f>
        <v>n/a</v>
      </c>
      <c r="AO10" s="315" t="str">
        <f>IF(INDEX(tab_MinKomp[CP],MATCH($B9,tab_MinKomp[[Stanowisko / Position ]:[Stanowisko / Position ]],0))="n/a","n/a",AO9-INDEX(tab_MinKomp[CP],MATCH($B9,tab_MinKomp[[Stanowisko / Position ]:[Stanowisko / Position ]],0)))</f>
        <v>n/a</v>
      </c>
      <c r="AP10" s="315" t="str">
        <f>IF(INDEX(tab_MinKomp[FMEA],MATCH($B9,tab_MinKomp[[Stanowisko / Position ]:[Stanowisko / Position ]],0))="n/a","n/a",AP9-INDEX(tab_MinKomp[FMEA],MATCH($B9,tab_MinKomp[[Stanowisko / Position ]:[Stanowisko / Position ]],0)))</f>
        <v>n/a</v>
      </c>
      <c r="AQ10" s="315" t="str">
        <f>IF(INDEX(tab_MinKomp[FLOW CHART],MATCH($B9,tab_MinKomp[[Stanowisko / Position ]:[Stanowisko / Position ]],0))="n/a","n/a",AQ9-INDEX(tab_MinKomp[FLOW CHART],MATCH($B9,tab_MinKomp[[Stanowisko / Position ]:[Stanowisko / Position ]],0)))</f>
        <v>n/a</v>
      </c>
      <c r="AR10" s="315" t="str">
        <f>IF(INDEX(tab_MinKomp[APQP],MATCH($B9,tab_MinKomp[[Stanowisko / Position ]:[Stanowisko / Position ]],0))="n/a","n/a",AR9-INDEX(tab_MinKomp[APQP],MATCH($B9,tab_MinKomp[[Stanowisko / Position ]:[Stanowisko / Position ]],0)))</f>
        <v>n/a</v>
      </c>
      <c r="AS10" s="315" t="str">
        <f>IF(INDEX(tab_MinKomp[MSA],MATCH($B9,tab_MinKomp[[Stanowisko / Position ]:[Stanowisko / Position ]],0))="n/a","n/a",AS9-INDEX(tab_MinKomp[MSA],MATCH($B9,tab_MinKomp[[Stanowisko / Position ]:[Stanowisko / Position ]],0)))</f>
        <v>n/a</v>
      </c>
      <c r="AT10" s="315" t="str">
        <f>IF(INDEX(tab_MinKomp[SPC],MATCH($B9,tab_MinKomp[[Stanowisko / Position ]:[Stanowisko / Position ]],0))="n/a","n/a",AT9-INDEX(tab_MinKomp[SPC],MATCH($B9,tab_MinKomp[[Stanowisko / Position ]:[Stanowisko / Position ]],0)))</f>
        <v>n/a</v>
      </c>
      <c r="AU10" s="315" t="str">
        <f>IF(INDEX(tab_MinKomp[CSR (SPECYFICZNE WYMAGANIA KLIENTA)],MATCH($B9,tab_MinKomp[[Stanowisko / Position ]:[Stanowisko / Position ]],0))="n/a","n/a",AU9-INDEX(tab_MinKomp[CSR (SPECYFICZNE WYMAGANIA KLIENTA)],MATCH($B9,tab_MinKomp[[Stanowisko / Position ]:[Stanowisko / Position ]],0)))</f>
        <v>n/a</v>
      </c>
      <c r="AV10" s="315">
        <f>IF(INDEX(tab_MinKomp[5S],MATCH($B9,tab_MinKomp[[Stanowisko / Position ]:[Stanowisko / Position ]],0))="n/a","n/a",AV9-INDEX(tab_MinKomp[5S],MATCH($B9,tab_MinKomp[[Stanowisko / Position ]:[Stanowisko / Position ]],0)))</f>
        <v>0</v>
      </c>
      <c r="AW10" s="315" t="str">
        <f>IF(INDEX(tab_MinKomp[LEAN MANAGEMENT],MATCH($B9,tab_MinKomp[[Stanowisko / Position ]:[Stanowisko / Position ]],0))="n/a","n/a",AW9-INDEX(tab_MinKomp[LEAN MANAGEMENT],MATCH($B9,tab_MinKomp[[Stanowisko / Position ]:[Stanowisko / Position ]],0)))</f>
        <v>n/a</v>
      </c>
      <c r="AX10" s="315" t="str">
        <f>IF(INDEX(tab_MinKomp[5R],MATCH($B9,tab_MinKomp[[Stanowisko / Position ]:[Stanowisko / Position ]],0))="n/a","n/a",AX9-INDEX(tab_MinKomp[5R],MATCH($B9,tab_MinKomp[[Stanowisko / Position ]:[Stanowisko / Position ]],0)))</f>
        <v>n/a</v>
      </c>
      <c r="AY10" s="315" t="str">
        <f>IF(INDEX(tab_MinKomp[Six Sigma],MATCH($B9,tab_MinKomp[[Stanowisko / Position ]:[Stanowisko / Position ]],0))="n/a","n/a",AY9-INDEX(tab_MinKomp[Six Sigma],MATCH($B9,tab_MinKomp[[Stanowisko / Position ]:[Stanowisko / Position ]],0)))</f>
        <v>n/a</v>
      </c>
      <c r="AZ10" s="315" t="str">
        <f>IF(INDEX(tab_MinKomp[System BAAN / Distribution &amp; Supply Chain],MATCH($B9,tab_MinKomp[[Stanowisko / Position ]:[Stanowisko / Position ]],0))="n/a","n/a",AZ9-INDEX(tab_MinKomp[System BAAN / Distribution &amp; Supply Chain],MATCH($B9,tab_MinKomp[[Stanowisko / Position ]:[Stanowisko / Position ]],0)))</f>
        <v>n/a</v>
      </c>
      <c r="BA10" s="315">
        <f>IF(INDEX(tab_MinKomp[Gospodarka magazynowa / Lagerverwaltung],MATCH($B9,tab_MinKomp[[Stanowisko / Position ]:[Stanowisko / Position ]],0))="n/a","n/a",BA9-INDEX(tab_MinKomp[Gospodarka magazynowa / Lagerverwaltung],MATCH($B9,tab_MinKomp[[Stanowisko / Position ]:[Stanowisko / Position ]],0)))</f>
        <v>0</v>
      </c>
      <c r="BB10" s="315">
        <f>IF(INDEX(tab_MinKomp[Inwentaryzacja - organizacja i przebieg / Inventurprozess],MATCH($B9,tab_MinKomp[[Stanowisko / Position ]:[Stanowisko / Position ]],0))="n/a","n/a",BB9-INDEX(tab_MinKomp[Inwentaryzacja - organizacja i przebieg / Inventurprozess],MATCH($B9,tab_MinKomp[[Stanowisko / Position ]:[Stanowisko / Position ]],0)))</f>
        <v>1</v>
      </c>
      <c r="BC10" s="315" t="str">
        <f>IF(INDEX(tab_MinKomp[Organizacja dostaw / Versorgungsorganisation],MATCH($B9,tab_MinKomp[[Stanowisko / Position ]:[Stanowisko / Position ]],0))="n/a","n/a",BC9-INDEX(tab_MinKomp[Organizacja dostaw / Versorgungsorganisation],MATCH($B9,tab_MinKomp[[Stanowisko / Position ]:[Stanowisko / Position ]],0)))</f>
        <v>n/a</v>
      </c>
      <c r="BD10" s="315" t="str">
        <f>IF(INDEX(tab_MinKomp[Organizacja wysyłek / Organisation von Lieferungen],MATCH($B9,tab_MinKomp[[Stanowisko / Position ]:[Stanowisko / Position ]],0))="n/a","n/a",BD9-INDEX(tab_MinKomp[Organizacja wysyłek / Organisation von Lieferungen],MATCH($B9,tab_MinKomp[[Stanowisko / Position ]:[Stanowisko / Position ]],0)))</f>
        <v>n/a</v>
      </c>
      <c r="BE10" s="315" t="str">
        <f>IF(INDEX(tab_MinKomp[Analiza magazynowa - Program Polen.mdb / Inventuranalyse],MATCH($B9,tab_MinKomp[[Stanowisko / Position ]:[Stanowisko / Position ]],0))="n/a","n/a",BE9-INDEX(tab_MinKomp[Analiza magazynowa - Program Polen.mdb / Inventuranalyse],MATCH($B9,tab_MinKomp[[Stanowisko / Position ]:[Stanowisko / Position ]],0)))</f>
        <v>n/a</v>
      </c>
      <c r="BF10" s="315" t="str">
        <f>IF(INDEX(tab_MinKomp[MMOG (Materials Management Operations Guidelines)],MATCH($B9,tab_MinKomp[[Stanowisko / Position ]:[Stanowisko / Position ]],0))="n/a","n/a",BF9-INDEX(tab_MinKomp[MMOG (Materials Management Operations Guidelines)],MATCH($B9,tab_MinKomp[[Stanowisko / Position ]:[Stanowisko / Position ]],0)))</f>
        <v>n/a</v>
      </c>
      <c r="BG10" s="315" t="str">
        <f>IF(INDEX(tab_MinKomp[GPP],MATCH($B9,tab_MinKomp[[Stanowisko / Position ]:[Stanowisko / Position ]],0))="n/a","n/a",BG9-INDEX(tab_MinKomp[GPP],MATCH($B9,tab_MinKomp[[Stanowisko / Position ]:[Stanowisko / Position ]],0)))</f>
        <v>n/a</v>
      </c>
      <c r="BH10" s="315" t="str">
        <f>IF(INDEX(tab_MinKomp[AIAG (Automotive Industry Action Group)],MATCH($B9,tab_MinKomp[[Stanowisko / Position ]:[Stanowisko / Position ]],0))="n/a","n/a",BH9-INDEX(tab_MinKomp[AIAG (Automotive Industry Action Group)],MATCH($B9,tab_MinKomp[[Stanowisko / Position ]:[Stanowisko / Position ]],0)))</f>
        <v>n/a</v>
      </c>
      <c r="BI10" s="315" t="str">
        <f>IF(INDEX(tab_MinKomp[Super-G disputes],MATCH($B9,tab_MinKomp[[Stanowisko / Position ]:[Stanowisko / Position ]],0))="n/a","n/a",BI9-INDEX(tab_MinKomp[Super-G disputes],MATCH($B9,tab_MinKomp[[Stanowisko / Position ]:[Stanowisko / Position ]],0)))</f>
        <v>n/a</v>
      </c>
      <c r="BJ10" s="315" t="str">
        <f>IF(INDEX(tab_MinKomp[CMMS3/eDDL (Direct Data Link)],MATCH($B9,tab_MinKomp[[Stanowisko / Position ]:[Stanowisko / Position ]],0))="n/a","n/a",BJ9-INDEX(tab_MinKomp[CMMS3/eDDL (Direct Data Link)],MATCH($B9,tab_MinKomp[[Stanowisko / Position ]:[Stanowisko / Position ]],0)))</f>
        <v>n/a</v>
      </c>
      <c r="BK10" s="315" t="str">
        <f>IF(INDEX(tab_MinKomp[MP&amp;L (Material Planning and Logistics)],MATCH($B9,tab_MinKomp[[Stanowisko / Position ]:[Stanowisko / Position ]],0))="n/a","n/a",BK9-INDEX(tab_MinKomp[MP&amp;L (Material Planning and Logistics)],MATCH($B9,tab_MinKomp[[Stanowisko / Position ]:[Stanowisko / Position ]],0)))</f>
        <v>n/a</v>
      </c>
      <c r="BL10" s="315" t="str">
        <f>IF(INDEX(tab_MinKomp[Supplier delivery rating],MATCH($B9,tab_MinKomp[[Stanowisko / Position ]:[Stanowisko / Position ]],0))="n/a","n/a",BL9-INDEX(tab_MinKomp[Supplier delivery rating],MATCH($B9,tab_MinKomp[[Stanowisko / Position ]:[Stanowisko / Position ]],0)))</f>
        <v>n/a</v>
      </c>
      <c r="BM10" s="315" t="str">
        <f>IF(INDEX(tab_MinKomp[Planowanie produkcji / Produktionsplanung],MATCH($B9,tab_MinKomp[[Stanowisko / Position ]:[Stanowisko / Position ]],0))="n/a","n/a",BM9-INDEX(tab_MinKomp[Planowanie produkcji / Produktionsplanung],MATCH($B9,tab_MinKomp[[Stanowisko / Position ]:[Stanowisko / Position ]],0)))</f>
        <v>n/a</v>
      </c>
      <c r="BN10" s="315" t="str">
        <f>IF(INDEX(tab_MinKomp[Obsługa maszyn Engel / Engel Maschinenbedienung],MATCH($B9,tab_MinKomp[[Stanowisko / Position ]:[Stanowisko / Position ]],0))="n/a","n/a",BN9-INDEX(tab_MinKomp[Obsługa maszyn Engel / Engel Maschinenbedienung],MATCH($B9,tab_MinKomp[[Stanowisko / Position ]:[Stanowisko / Position ]],0)))</f>
        <v>n/a</v>
      </c>
      <c r="BO10" s="315" t="str">
        <f>IF(INDEX(tab_MinKomp[Obsługa maszyn Novapax / Novapax Maschinenbedienung],MATCH($B9,tab_MinKomp[[Stanowisko / Position ]:[Stanowisko / Position ]],0))="n/a","n/a",BO9-INDEX(tab_MinKomp[Obsługa maszyn Novapax / Novapax Maschinenbedienung],MATCH($B9,tab_MinKomp[[Stanowisko / Position ]:[Stanowisko / Position ]],0)))</f>
        <v>n/a</v>
      </c>
      <c r="BP10" s="315" t="str">
        <f>IF(INDEX(tab_MinKomp[Obsługa maszyn KVT / KVT Maschinenbedienung],MATCH($B9,tab_MinKomp[[Stanowisko / Position ]:[Stanowisko / Position ]],0))="n/a","n/a",BP9-INDEX(tab_MinKomp[Obsługa maszyn KVT / KVT Maschinenbedienung],MATCH($B9,tab_MinKomp[[Stanowisko / Position ]:[Stanowisko / Position ]],0)))</f>
        <v>n/a</v>
      </c>
      <c r="BQ10" s="315" t="str">
        <f>IF(INDEX(tab_MinKomp[Obsługa maszyn ASL / ASL Maschinenbedienung],MATCH($B9,tab_MinKomp[[Stanowisko / Position ]:[Stanowisko / Position ]],0))="n/a","n/a",BQ9-INDEX(tab_MinKomp[Obsługa maszyn ASL / ASL Maschinenbedienung],MATCH($B9,tab_MinKomp[[Stanowisko / Position ]:[Stanowisko / Position ]],0)))</f>
        <v>n/a</v>
      </c>
      <c r="BR10" s="315" t="str">
        <f>IF(INDEX(tab_MinKomp[Obsługa maszyn Branson / Branson Maschinenbedienung],MATCH($B9,tab_MinKomp[[Stanowisko / Position ]:[Stanowisko / Position ]],0))="n/a","n/a",BR9-INDEX(tab_MinKomp[Obsługa maszyn Branson / Branson Maschinenbedienung],MATCH($B9,tab_MinKomp[[Stanowisko / Position ]:[Stanowisko / Position ]],0)))</f>
        <v>n/a</v>
      </c>
      <c r="BS10" s="315" t="str">
        <f>IF(INDEX(tab_MinKomp[Obsługa maszyn Kamtec / Kamtec Maschinenbedienung],MATCH($B9,tab_MinKomp[[Stanowisko / Position ]:[Stanowisko / Position ]],0))="n/a","n/a",BS9-INDEX(tab_MinKomp[Obsługa maszyn Kamtec / Kamtec Maschinenbedienung],MATCH($B9,tab_MinKomp[[Stanowisko / Position ]:[Stanowisko / Position ]],0)))</f>
        <v>n/a</v>
      </c>
      <c r="BT10" s="315" t="str">
        <f>IF(INDEX(tab_MinKomp[Obsługa maszyn Piovan / Piovan Maschinenbedienung],MATCH($B9,tab_MinKomp[[Stanowisko / Position ]:[Stanowisko / Position ]],0))="n/a","n/a",BT9-INDEX(tab_MinKomp[Obsługa maszyn Piovan / Piovan Maschinenbedienung],MATCH($B9,tab_MinKomp[[Stanowisko / Position ]:[Stanowisko / Position ]],0)))</f>
        <v>n/a</v>
      </c>
      <c r="BU10" s="315" t="str">
        <f>IF(INDEX(tab_MinKomp[Obsługa maszyn REP / REP Maschinenbedienung],MATCH($B9,tab_MinKomp[[Stanowisko / Position ]:[Stanowisko / Position ]],0))="n/a","n/a",BU9-INDEX(tab_MinKomp[Obsługa maszyn REP / REP Maschinenbedienung],MATCH($B9,tab_MinKomp[[Stanowisko / Position ]:[Stanowisko / Position ]],0)))</f>
        <v>n/a</v>
      </c>
      <c r="BV10" s="315" t="str">
        <f>IF(INDEX(tab_MinKomp[Obsługa maszyn Engel / Engel Maschinenbedienung],MATCH($B9,tab_MinKomp[[Stanowisko / Position ]:[Stanowisko / Position ]],0))="n/a","n/a",BV9-INDEX(tab_MinKomp[Obsługa maszyn Engel / Engel Maschinenbedienung],MATCH($B9,tab_MinKomp[[Stanowisko / Position ]:[Stanowisko / Position ]],0)))</f>
        <v>n/a</v>
      </c>
      <c r="BW10" s="315">
        <f>IF(INDEX(tab_MinKomp[Informatyka ogólna (techniczne i systemowe) / Allgemeine IT (Technik und System)],MATCH($B9,tab_MinKomp[[Stanowisko / Position ]:[Stanowisko / Position ]],0))="n/a","n/a",BW9-INDEX(tab_MinKomp[Informatyka ogólna (techniczne i systemowe) / Allgemeine IT (Technik und System)],MATCH($B9,tab_MinKomp[[Stanowisko / Position ]:[Stanowisko / Position ]],0)))</f>
        <v>0</v>
      </c>
      <c r="BX10" s="315">
        <f>IF(INDEX(tab_MinKomp[Sieci komputerowe / Computernetzwerke],MATCH($B9,tab_MinKomp[[Stanowisko / Position ]:[Stanowisko / Position ]],0))="n/a","n/a",BX9-INDEX(tab_MinKomp[Sieci komputerowe / Computernetzwerke],MATCH($B9,tab_MinKomp[[Stanowisko / Position ]:[Stanowisko / Position ]],0)))</f>
        <v>0</v>
      </c>
      <c r="BY10" s="315">
        <f>IF(INDEX(tab_MinKomp[Hardware (komputery PC, drukarki biurowe i etykietowe, telefonia stacjonarna i mobilna) (PC, Drucker, Telefpne, Handys)],MATCH($B9,tab_MinKomp[[Stanowisko / Position ]:[Stanowisko / Position ]],0))="n/a","n/a",BY9-INDEX(tab_MinKomp[Hardware (komputery PC, drukarki biurowe i etykietowe, telefonia stacjonarna i mobilna) (PC, Drucker, Telefpne, Handys)],MATCH($B9,tab_MinKomp[[Stanowisko / Position ]:[Stanowisko / Position ]],0)))</f>
        <v>0</v>
      </c>
      <c r="BZ10" s="315">
        <f>IF(INDEX(tab_MinKomp[Software &amp; Systems (MS Office, MS Remote Desktop)],MATCH($B9,tab_MinKomp[[Stanowisko / Position ]:[Stanowisko / Position ]],0))="n/a","n/a",BZ9-INDEX(tab_MinKomp[Software &amp; Systems (MS Office, MS Remote Desktop)],MATCH($B9,tab_MinKomp[[Stanowisko / Position ]:[Stanowisko / Position ]],0)))</f>
        <v>0</v>
      </c>
      <c r="CA10" s="315">
        <f>IF(INDEX(tab_MinKomp[Programowanie obiektowe (PHP) / Objektprogrammierung],MATCH($B9,tab_MinKomp[[Stanowisko / Position ]:[Stanowisko / Position ]],0))="n/a","n/a",CA9-INDEX(tab_MinKomp[Programowanie obiektowe (PHP) / Objektprogrammierung],MATCH($B9,tab_MinKomp[[Stanowisko / Position ]:[Stanowisko / Position ]],0)))</f>
        <v>2</v>
      </c>
      <c r="CB10" s="315" t="str">
        <f>IF(INDEX(tab_MinKomp[Scrum],MATCH($B9,tab_MinKomp[[Stanowisko / Position ]:[Stanowisko / Position ]],0))="n/a","n/a",CB9-INDEX(tab_MinKomp[Scrum],MATCH($B9,tab_MinKomp[[Stanowisko / Position ]:[Stanowisko / Position ]],0)))</f>
        <v>n/a</v>
      </c>
      <c r="CC10" s="315">
        <f>IF(INDEX(tab_MinKomp[SQL (MySQL)],MATCH($B9,tab_MinKomp[[Stanowisko / Position ]:[Stanowisko / Position ]],0))="n/a","n/a",CC9-INDEX(tab_MinKomp[SQL (MySQL)],MATCH($B9,tab_MinKomp[[Stanowisko / Position ]:[Stanowisko / Position ]],0)))</f>
        <v>0</v>
      </c>
      <c r="CD10" s="315">
        <f>IF(INDEX(tab_MinKomp[Javascript],MATCH($B9,tab_MinKomp[[Stanowisko / Position ]:[Stanowisko / Position ]],0))="n/a","n/a",CD9-INDEX(tab_MinKomp[Javascript],MATCH($B9,tab_MinKomp[[Stanowisko / Position ]:[Stanowisko / Position ]],0)))</f>
        <v>1</v>
      </c>
      <c r="CE10" s="315">
        <f>IF(INDEX(tab_MinKomp[Joomla],MATCH($B9,tab_MinKomp[[Stanowisko / Position ]:[Stanowisko / Position ]],0))="n/a","n/a",CE9-INDEX(tab_MinKomp[Joomla],MATCH($B9,tab_MinKomp[[Stanowisko / Position ]:[Stanowisko / Position ]],0)))</f>
        <v>0</v>
      </c>
      <c r="CF10" s="315">
        <f>IF(INDEX(tab_MinKomp[Bash],MATCH($B9,tab_MinKomp[[Stanowisko / Position ]:[Stanowisko / Position ]],0))="n/a","n/a",CF9-INDEX(tab_MinKomp[Bash],MATCH($B9,tab_MinKomp[[Stanowisko / Position ]:[Stanowisko / Position ]],0)))</f>
        <v>1</v>
      </c>
      <c r="CG10" s="315">
        <f>IF(INDEX(tab_MinKomp[Systemy MES (HYDRA / SFMS)],MATCH($B9,tab_MinKomp[[Stanowisko / Position ]:[Stanowisko / Position ]],0))="n/a","n/a",CG9-INDEX(tab_MinKomp[Systemy MES (HYDRA / SFMS)],MATCH($B9,tab_MinKomp[[Stanowisko / Position ]:[Stanowisko / Position ]],0)))</f>
        <v>0</v>
      </c>
      <c r="CH10" s="315">
        <f>IF(INDEX(tab_MinKomp[HTML / CSS],MATCH($B9,tab_MinKomp[[Stanowisko / Position ]:[Stanowisko / Position ]],0))="n/a","n/a",CH9-INDEX(tab_MinKomp[HTML / CSS],MATCH($B9,tab_MinKomp[[Stanowisko / Position ]:[Stanowisko / Position ]],0)))</f>
        <v>1</v>
      </c>
      <c r="CI10" s="315">
        <f>IF(INDEX(tab_MinKomp[SYSTEM PR],MATCH($B9,tab_MinKomp[[Stanowisko / Position ]:[Stanowisko / Position ]],0))="n/a","n/a",CI9-INDEX(tab_MinKomp[SYSTEM PR],MATCH($B9,tab_MinKomp[[Stanowisko / Position ]:[Stanowisko / Position ]],0)))</f>
        <v>0</v>
      </c>
      <c r="CJ10" s="315" t="str">
        <f>IF(INDEX(tab_MinKomp[System Einkauf XP / EBA],MATCH($B9,tab_MinKomp[[Stanowisko / Position ]:[Stanowisko / Position ]],0))="n/a","n/a",CJ9-INDEX(tab_MinKomp[System Einkauf XP / EBA],MATCH($B9,tab_MinKomp[[Stanowisko / Position ]:[Stanowisko / Position ]],0)))</f>
        <v>n/a</v>
      </c>
      <c r="CK10" s="315" t="str">
        <f>IF(INDEX(tab_MinKomp[Techniki negocjacyjne / Verhandlungstechniken],MATCH($B9,tab_MinKomp[[Stanowisko / Position ]:[Stanowisko / Position ]],0))="n/a","n/a",CK9-INDEX(tab_MinKomp[Techniki negocjacyjne / Verhandlungstechniken],MATCH($B9,tab_MinKomp[[Stanowisko / Position ]:[Stanowisko / Position ]],0)))</f>
        <v>n/a</v>
      </c>
      <c r="CL10" s="315" t="str">
        <f>IF(INDEX(tab_MinKomp[Znajomość rynku branżowego / Kenntnis des Industrie Marktes],MATCH($B9,tab_MinKomp[[Stanowisko / Position ]:[Stanowisko / Position ]],0))="n/a","n/a",CL9-INDEX(tab_MinKomp[Znajomość rynku branżowego / Kenntnis des Industrie Marktes],MATCH($B9,tab_MinKomp[[Stanowisko / Position ]:[Stanowisko / Position ]],0)))</f>
        <v>n/a</v>
      </c>
      <c r="CM10" s="315">
        <f>IF(INDEX(tab_MinKomp[RAPORTY 8D / 8D Berichten],MATCH($B9,tab_MinKomp[[Stanowisko / Position ]:[Stanowisko / Position ]],0))="n/a","n/a",CM9-INDEX(tab_MinKomp[RAPORTY 8D / 8D Berichten],MATCH($B9,tab_MinKomp[[Stanowisko / Position ]:[Stanowisko / Position ]],0)))</f>
        <v>0</v>
      </c>
      <c r="CN10" s="315">
        <f>IF(INDEX(tab_MinKomp[NARZĘDZIA JAKOŚCIOWE (5WHY, Ishikawa, etc) / QS-Werkzeuge],MATCH($B9,tab_MinKomp[[Stanowisko / Position ]:[Stanowisko / Position ]],0))="n/a","n/a",CN9-INDEX(tab_MinKomp[NARZĘDZIA JAKOŚCIOWE (5WHY, Ishikawa, etc) / QS-Werkzeuge],MATCH($B9,tab_MinKomp[[Stanowisko / Position ]:[Stanowisko / Position ]],0)))</f>
        <v>0</v>
      </c>
      <c r="CO10" s="315">
        <f>IF(INDEX(tab_MinKomp[PDCA],MATCH($B9,tab_MinKomp[[Stanowisko / Position ]:[Stanowisko / Position ]],0))="n/a","n/a",CO9-INDEX(tab_MinKomp[PDCA],MATCH($B9,tab_MinKomp[[Stanowisko / Position ]:[Stanowisko / Position ]],0)))</f>
        <v>0</v>
      </c>
      <c r="CP10" s="315" t="str">
        <f>IF(INDEX(tab_MinKomp[Pareto],MATCH($B9,tab_MinKomp[[Stanowisko / Position ]:[Stanowisko / Position ]],0))="n/a","n/a",CP9-INDEX(tab_MinKomp[Pareto],MATCH($B9,tab_MinKomp[[Stanowisko / Position ]:[Stanowisko / Position ]],0)))</f>
        <v>n/a</v>
      </c>
      <c r="CQ10" s="315" t="str">
        <f>IF(INDEX(tab_MinKomp[PPAP/PSW],MATCH($B9,tab_MinKomp[[Stanowisko / Position ]:[Stanowisko / Position ]],0))="n/a","n/a",CQ9-INDEX(tab_MinKomp[PPAP/PSW],MATCH($B9,tab_MinKomp[[Stanowisko / Position ]:[Stanowisko / Position ]],0)))</f>
        <v>n/a</v>
      </c>
      <c r="CR10" s="315" t="str">
        <f>IF(INDEX(tab_MinKomp[SUPPLIER MANAGEMENT],MATCH($B9,tab_MinKomp[[Stanowisko / Position ]:[Stanowisko / Position ]],0))="n/a","n/a",CR9-INDEX(tab_MinKomp[SUPPLIER MANAGEMENT],MATCH($B9,tab_MinKomp[[Stanowisko / Position ]:[Stanowisko / Position ]],0)))</f>
        <v>n/a</v>
      </c>
      <c r="CS10" s="315" t="str">
        <f>IF(INDEX(tab_MinKomp[OBSŁUGA PORTALI KLIENTA / Kundenportale],MATCH($B9,tab_MinKomp[[Stanowisko / Position ]:[Stanowisko / Position ]],0))="n/a","n/a",CS9-INDEX(tab_MinKomp[OBSŁUGA PORTALI KLIENTA / Kundenportale],MATCH($B9,tab_MinKomp[[Stanowisko / Position ]:[Stanowisko / Position ]],0)))</f>
        <v>n/a</v>
      </c>
      <c r="CT10" s="315" t="str">
        <f>IF(INDEX(tab_MinKomp[Obsługa systemu BABTECQ / BABTECQ System],MATCH($B9,tab_MinKomp[[Stanowisko / Position ]:[Stanowisko / Position ]],0))="n/a","n/a",CT9-INDEX(tab_MinKomp[Obsługa systemu BABTECQ / BABTECQ System],MATCH($B9,tab_MinKomp[[Stanowisko / Position ]:[Stanowisko / Position ]],0)))</f>
        <v>n/a</v>
      </c>
      <c r="CU10" s="315" t="str">
        <f>IF(INDEX(tab_MinKomp[Rysunek techniczny / technische Zeichnung],MATCH($B9,tab_MinKomp[[Stanowisko / Position ]:[Stanowisko / Position ]],0))="n/a","n/a",CU9-INDEX(tab_MinKomp[Rysunek techniczny / technische Zeichnung],MATCH($B9,tab_MinKomp[[Stanowisko / Position ]:[Stanowisko / Position ]],0)))</f>
        <v>n/a</v>
      </c>
      <c r="CV10" s="315" t="str">
        <f>IF(INDEX(tab_MinKomp[Kalibracja / Kalibrierung],MATCH($B9,tab_MinKomp[[Stanowisko / Position ]:[Stanowisko / Position ]],0))="n/a","n/a",CV9-INDEX(tab_MinKomp[Kalibracja / Kalibrierung],MATCH($B9,tab_MinKomp[[Stanowisko / Position ]:[Stanowisko / Position ]],0)))</f>
        <v>n/a</v>
      </c>
      <c r="CW10" s="315" t="str">
        <f>IF(INDEX(tab_MinKomp[Rekwalifikacja / Requalifizierung],MATCH($B9,tab_MinKomp[[Stanowisko / Position ]:[Stanowisko / Position ]],0))="n/a","n/a",CW9-INDEX(tab_MinKomp[Rekwalifikacja / Requalifizierung],MATCH($B9,tab_MinKomp[[Stanowisko / Position ]:[Stanowisko / Position ]],0)))</f>
        <v>n/a</v>
      </c>
      <c r="CX10" s="315" t="str">
        <f>IF(INDEX(tab_MinKomp[Obsługa mikroskopu optycznego / Bedienung eines optischen Mikroskops],MATCH($B9,tab_MinKomp[[Stanowisko / Position ]:[Stanowisko / Position ]],0))="n/a","n/a",CX9-INDEX(tab_MinKomp[Obsługa mikroskopu optycznego / Bedienung eines optischen Mikroskops],MATCH($B9,tab_MinKomp[[Stanowisko / Position ]:[Stanowisko / Position ]],0)))</f>
        <v>n/a</v>
      </c>
      <c r="CY10" s="315" t="str">
        <f>IF(INDEX(tab_MinKomp[Wykonywanie pomiarów optycznych - ocena wizualna / Optische Messungen durchführen – visuelle Beurteilung],MATCH($B9,tab_MinKomp[[Stanowisko / Position ]:[Stanowisko / Position ]],0))="n/a","n/a",CY9-INDEX(tab_MinKomp[Wykonywanie pomiarów optycznych - ocena wizualna / Optische Messungen durchführen – visuelle Beurteilung],MATCH($B9,tab_MinKomp[[Stanowisko / Position ]:[Stanowisko / Position ]],0)))</f>
        <v>n/a</v>
      </c>
      <c r="CZ10" s="315" t="str">
        <f>IF(INDEX(tab_MinKomp[Obsługa Rheometra / Rheometra-Unterstützung],MATCH($B9,tab_MinKomp[[Stanowisko / Position ]:[Stanowisko / Position ]],0))="n/a","n/a",CZ9-INDEX(tab_MinKomp[Obsługa Rheometra / Rheometra-Unterstützung],MATCH($B9,tab_MinKomp[[Stanowisko / Position ]:[Stanowisko / Position ]],0)))</f>
        <v>n/a</v>
      </c>
      <c r="DA10" s="315" t="str">
        <f>IF(INDEX(tab_MinKomp[Testy właściwości Rheometra mieszanki gumy],MATCH($B9,tab_MinKomp[[Stanowisko / Position ]:[Stanowisko / Position ]],0))="n/a","n/a",DA9-INDEX(tab_MinKomp[Testy właściwości Rheometra mieszanki gumy],MATCH($B9,tab_MinKomp[[Stanowisko / Position ]:[Stanowisko / Position ]],0)))</f>
        <v>n/a</v>
      </c>
      <c r="DB10" s="315" t="str">
        <f>IF(INDEX(tab_MinKomp[CMM - Contura Zeiss],MATCH($B9,tab_MinKomp[[Stanowisko / Position ]:[Stanowisko / Position ]],0))="n/a","n/a",DB9-INDEX(tab_MinKomp[CMM - Contura Zeiss],MATCH($B9,tab_MinKomp[[Stanowisko / Position ]:[Stanowisko / Position ]],0)))</f>
        <v>n/a</v>
      </c>
      <c r="DC10" s="315" t="str">
        <f>IF(INDEX(tab_MinKomp[Wykonywanie precyzyjnych pomiarów metrycznych, pomiary 3D],MATCH($B9,tab_MinKomp[[Stanowisko / Position ]:[Stanowisko / Position ]],0))="n/a","n/a",DC9-INDEX(tab_MinKomp[Wykonywanie precyzyjnych pomiarów metrycznych, pomiary 3D],MATCH($B9,tab_MinKomp[[Stanowisko / Position ]:[Stanowisko / Position ]],0)))</f>
        <v>n/a</v>
      </c>
      <c r="DD10" s="315" t="str">
        <f>IF(INDEX(tab_MinKomp[Pisanie programów / Programme schreiben],MATCH($B9,tab_MinKomp[[Stanowisko / Position ]:[Stanowisko / Position ]],0))="n/a","n/a",DD9-INDEX(tab_MinKomp[Pisanie programów / Programme schreiben],MATCH($B9,tab_MinKomp[[Stanowisko / Position ]:[Stanowisko / Position ]],0)))</f>
        <v>n/a</v>
      </c>
      <c r="DE10" s="315" t="str">
        <f>IF(INDEX(tab_MinKomp[Obsługa wyposażenia do testów czystości (myjka + analizator) / Betrieb von Sauberkeitsprüfgeräten (Waschmaschine + Analysegerät)],MATCH($B9,tab_MinKomp[[Stanowisko / Position ]:[Stanowisko / Position ]],0))="n/a","n/a",DE9-INDEX(tab_MinKomp[Obsługa wyposażenia do testów czystości (myjka + analizator) / Betrieb von Sauberkeitsprüfgeräten (Waschmaschine + Analysegerät)],MATCH($B9,tab_MinKomp[[Stanowisko / Position ]:[Stanowisko / Position ]],0)))</f>
        <v>n/a</v>
      </c>
      <c r="DF10" s="315" t="str">
        <f>IF(INDEX(tab_MinKomp[Testy czystości / Reinheitstests],MATCH($B9,tab_MinKomp[[Stanowisko / Position ]:[Stanowisko / Position ]],0))="n/a","n/a",DF9-INDEX(tab_MinKomp[Testy czystości / Reinheitstests],MATCH($B9,tab_MinKomp[[Stanowisko / Position ]:[Stanowisko / Position ]],0)))</f>
        <v>n/a</v>
      </c>
      <c r="DG10" s="315" t="str">
        <f>IF(INDEX(tab_MinKomp[Obsługa wysokościomierza / Unterstützung für Höhenmesser],MATCH($B9,tab_MinKomp[[Stanowisko / Position ]:[Stanowisko / Position ]],0))="n/a","n/a",DG9-INDEX(tab_MinKomp[Obsługa wysokościomierza / Unterstützung für Höhenmesser],MATCH($B9,tab_MinKomp[[Stanowisko / Position ]:[Stanowisko / Position ]],0)))</f>
        <v>n/a</v>
      </c>
      <c r="DH10" s="315" t="str">
        <f>IF(INDEX(tab_MinKomp[Pomiary wysokości materiału / Materialhöhenmessungen],MATCH($B9,tab_MinKomp[[Stanowisko / Position ]:[Stanowisko / Position ]],0))="n/a","n/a",DH9-INDEX(tab_MinKomp[Pomiary wysokości materiału / Materialhöhenmessungen],MATCH($B9,tab_MinKomp[[Stanowisko / Position ]:[Stanowisko / Position ]],0)))</f>
        <v>n/a</v>
      </c>
      <c r="DI10" s="315" t="str">
        <f>IF(INDEX(tab_MinKomp[Obsługa okrągłościomierza / Unterstützung für Rundheitsmessgeräte],MATCH($B9,tab_MinKomp[[Stanowisko / Position ]:[Stanowisko / Position ]],0))="n/a","n/a",DI9-INDEX(tab_MinKomp[Obsługa okrągłościomierza / Unterstützung für Rundheitsmessgeräte],MATCH($B9,tab_MinKomp[[Stanowisko / Position ]:[Stanowisko / Position ]],0)))</f>
        <v>n/a</v>
      </c>
      <c r="DJ10" s="315" t="str">
        <f>IF(INDEX(tab_MinKomp[Wykonywania pomiarów owalności, srednicy materiału / Messung der Ovalität und des Durchmessers des Materials],MATCH($B9,tab_MinKomp[[Stanowisko / Position ]:[Stanowisko / Position ]],0))="n/a","n/a",DJ9-INDEX(tab_MinKomp[Wykonywania pomiarów owalności, srednicy materiału / Messung der Ovalität und des Durchmessers des Materials],MATCH($B9,tab_MinKomp[[Stanowisko / Position ]:[Stanowisko / Position ]],0)))</f>
        <v>n/a</v>
      </c>
      <c r="DK10" s="315" t="str">
        <f>IF(INDEX(tab_MinKomp[Obsługa urządzenia do pomiarów chropowoatości powierzchni materiału],MATCH($B9,tab_MinKomp[[Stanowisko / Position ]:[Stanowisko / Position ]],0))="n/a","n/a",DK9-INDEX(tab_MinKomp[Obsługa urządzenia do pomiarów chropowoatości powierzchni materiału],MATCH($B9,tab_MinKomp[[Stanowisko / Position ]:[Stanowisko / Position ]],0)))</f>
        <v>n/a</v>
      </c>
      <c r="DL10" s="315" t="str">
        <f>IF(INDEX(tab_MinKomp[Wykonywanie pomiarów chropowatości powierzchni materiału / Durchführung von Messungen der Materialoberflächenrauheit],MATCH($B9,tab_MinKomp[[Stanowisko / Position ]:[Stanowisko / Position ]],0))="n/a","n/a",DL9-INDEX(tab_MinKomp[Wykonywanie pomiarów chropowatości powierzchni materiału / Durchführung von Messungen der Materialoberflächenrauheit],MATCH($B9,tab_MinKomp[[Stanowisko / Position ]:[Stanowisko / Position ]],0)))</f>
        <v>n/a</v>
      </c>
      <c r="DM10" s="315" t="str">
        <f>IF(INDEX(tab_MinKomp[Obsługa urządzenia do pomiaru siły radialnej części - postępowanie z trzpieniami. / Funktionsweise des Geräts zur Messung der Radialkraft von Teilen – Handhabungsstifte.],MATCH($B9,tab_MinKomp[[Stanowisko / Position ]:[Stanowisko / Position ]],0))="n/a","n/a",DM9-INDEX(tab_MinKomp[Obsługa urządzenia do pomiaru siły radialnej części - postępowanie z trzpieniami. / Funktionsweise des Geräts zur Messung der Radialkraft von Teilen – Handhabungsstifte.],MATCH($B9,tab_MinKomp[[Stanowisko / Position ]:[Stanowisko / Position ]],0)))</f>
        <v>n/a</v>
      </c>
      <c r="DN10" s="315" t="str">
        <f>IF(INDEX(tab_MinKomp[Wykonywanie pomiarów siły radialnej części / Führen Sie Radialkraftmessungen an Teilen durch],MATCH($B9,tab_MinKomp[[Stanowisko / Position ]:[Stanowisko / Position ]],0))="n/a","n/a",DN9-INDEX(tab_MinKomp[Wykonywanie pomiarów siły radialnej części / Führen Sie Radialkraftmessungen an Teilen durch],MATCH($B9,tab_MinKomp[[Stanowisko / Position ]:[Stanowisko / Position ]],0)))</f>
        <v>n/a</v>
      </c>
      <c r="DO10" s="315" t="str">
        <f>IF(INDEX(tab_MinKomp[Obsługa komory do testów wybuchwych / Betrieb einer Explosionsprüfkammer],MATCH($B9,tab_MinKomp[[Stanowisko / Position ]:[Stanowisko / Position ]],0))="n/a","n/a",DO9-INDEX(tab_MinKomp[Obsługa komory do testów wybuchwych / Betrieb einer Explosionsprüfkammer],MATCH($B9,tab_MinKomp[[Stanowisko / Position ]:[Stanowisko / Position ]],0)))</f>
        <v>n/a</v>
      </c>
      <c r="DP10" s="315" t="str">
        <f>IF(INDEX(tab_MinKomp[Wykonywanie testów wybuchowych części / Durchführung von Explosionstests an Teilen],MATCH($B9,tab_MinKomp[[Stanowisko / Position ]:[Stanowisko / Position ]],0))="n/a","n/a",DP9-INDEX(tab_MinKomp[Wykonywanie testów wybuchowych części / Durchführung von Explosionstests an Teilen],MATCH($B9,tab_MinKomp[[Stanowisko / Position ]:[Stanowisko / Position ]],0)))</f>
        <v>n/a</v>
      </c>
      <c r="DQ10" s="315" t="str">
        <f>IF(INDEX(tab_MinKomp[Obsługa urządzeń do mierzenia siły trzymania i/lub rozciągania / Betrieb von Geräten zur Messung der Halte- und/oder Dehnkraft],MATCH($B9,tab_MinKomp[[Stanowisko / Position ]:[Stanowisko / Position ]],0))="n/a","n/a",DQ9-INDEX(tab_MinKomp[Obsługa urządzeń do mierzenia siły trzymania i/lub rozciągania / Betrieb von Geräten zur Messung der Halte- und/oder Dehnkraft],MATCH($B9,tab_MinKomp[[Stanowisko / Position ]:[Stanowisko / Position ]],0)))</f>
        <v>n/a</v>
      </c>
      <c r="DR10" s="315" t="str">
        <f>IF(INDEX(tab_MinKomp[Wykonywanie testów mierzenia siły trzymania i/lub rozciągania / Durchführung von Tests zur Messung der Halte- und/oder Streckkraft],MATCH($B9,tab_MinKomp[[Stanowisko / Position ]:[Stanowisko / Position ]],0))="n/a","n/a",DR9-INDEX(tab_MinKomp[Wykonywanie testów mierzenia siły trzymania i/lub rozciągania / Durchführung von Tests zur Messung der Halte- und/oder Streckkraft],MATCH($B9,tab_MinKomp[[Stanowisko / Position ]:[Stanowisko / Position ]],0)))</f>
        <v>n/a</v>
      </c>
      <c r="DS10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Luftstrom)],MATCH($B9,tab_MinKomp[[Stanowisko / Position ]:[Stanowisko / Position ]],0))="n/a","n/a",DS9-INDEX(tab_MinKomp[Obsługa multimetru do pomiarów środowiskowych (temperatura, wilgotność, hałas, oświetlenie, przepływ powietrza) / Betrieb eines Multimeters für Umweltmessungen (Temperatur, Luftfeuchtigkeit, Lärm, Beleuchtung, Luftstrom)],MATCH($B9,tab_MinKomp[[Stanowisko / Position ]:[Stanowisko / Position ]],0)))</f>
        <v>n/a</v>
      </c>
      <c r="DT10" s="315" t="str">
        <f>IF(INDEX(tab_MinKomp[Kontrola warunków środowiskowych pracy (temperatura, wilgotność, hałas, oświetlenie, przepływ powietrza) / Kontrolle der Arbeitsumgebungsbedingungen (Temperatur, Luftfeuchtigkeit, Lärm, Beleuchtung, Luftstrom)],MATCH($B9,tab_MinKomp[[Stanowisko / Position ]:[Stanowisko / Position ]],0))="n/a","n/a",DT9-INDEX(tab_MinKomp[Kontrola warunków środowiskowych pracy (temperatura, wilgotność, hałas, oświetlenie, przepływ powietrza) / Kontrolle der Arbeitsumgebungsbedingungen (Temperatur, Luftfeuchtigkeit, Lärm, Beleuchtung, Luftstrom)],MATCH($B9,tab_MinKomp[[Stanowisko / Position ]:[Stanowisko / Position ]],0)))</f>
        <v>n/a</v>
      </c>
      <c r="DU10" s="315" t="str">
        <f>IF(INDEX(tab_MinKomp[MSA i SPC],MATCH($B9,tab_MinKomp[[Stanowisko / Position ]:[Stanowisko / Position ]],0))="n/a","n/a",DU9-INDEX(tab_MinKomp[MSA i SPC],MATCH($B9,tab_MinKomp[[Stanowisko / Position ]:[Stanowisko / Position ]],0)))</f>
        <v>n/a</v>
      </c>
      <c r="DV10" s="315" t="str">
        <f>IF(INDEX(tab_MinKomp[Kontrola wejściowa komponentów/ Eingangskontrolle],MATCH($B9,tab_MinKomp[[Stanowisko / Position ]:[Stanowisko / Position ]],0))="n/a","n/a",DV9-INDEX(tab_MinKomp[Kontrola wejściowa komponentów/ Eingangskontrolle],MATCH($B9,tab_MinKomp[[Stanowisko / Position ]:[Stanowisko / Position ]],0)))</f>
        <v>n/a</v>
      </c>
      <c r="DW10" s="315" t="str">
        <f>IF(INDEX(tab_MinKomp[Kontrola wyjściowa produktu / Ausgangskontrolle],MATCH($B9,tab_MinKomp[[Stanowisko / Position ]:[Stanowisko / Position ]],0))="n/a","n/a",DW9-INDEX(tab_MinKomp[Kontrola wyjściowa produktu / Ausgangskontrolle],MATCH($B9,tab_MinKomp[[Stanowisko / Position ]:[Stanowisko / Position ]],0)))</f>
        <v>n/a</v>
      </c>
      <c r="DX10" s="315" t="str">
        <f>IF(INDEX(tab_MinKomp[Kontrola codzienna produkcji / Tägliche Produktionskontrolle],MATCH($B9,tab_MinKomp[[Stanowisko / Position ]:[Stanowisko / Position ]],0))="n/a","n/a",DX9-INDEX(tab_MinKomp[Kontrola codzienna produkcji / Tägliche Produktionskontrolle],MATCH($B9,tab_MinKomp[[Stanowisko / Position ]:[Stanowisko / Position ]],0)))</f>
        <v>n/a</v>
      </c>
      <c r="DY10" s="315" t="str">
        <f>IF(INDEX(tab_MinKomp[Konserwacja Rep],MATCH($B9,tab_MinKomp[[Stanowisko / Position ]:[Stanowisko / Position ]],0))="n/a","n/a",DY9-INDEX(tab_MinKomp[Konserwacja Rep],MATCH($B9,tab_MinKomp[[Stanowisko / Position ]:[Stanowisko / Position ]],0)))</f>
        <v>n/a</v>
      </c>
      <c r="DZ10" s="315" t="str">
        <f>IF(INDEX(tab_MinKomp[[Konserwacja Engel ]],MATCH($B9,tab_MinKomp[[Stanowisko / Position ]:[Stanowisko / Position ]],0))="n/a","n/a",DZ9-INDEX(tab_MinKomp[[Konserwacja Engel ]],MATCH($B9,tab_MinKomp[[Stanowisko / Position ]:[Stanowisko / Position ]],0)))</f>
        <v>n/a</v>
      </c>
      <c r="EA10" s="315" t="str">
        <f>IF(INDEX(tab_MinKomp[Konserwacja B 50],MATCH($B9,tab_MinKomp[[Stanowisko / Position ]:[Stanowisko / Position ]],0))="n/a","n/a",EA9-INDEX(tab_MinKomp[Konserwacja B 50],MATCH($B9,tab_MinKomp[[Stanowisko / Position ]:[Stanowisko / Position ]],0)))</f>
        <v>n/a</v>
      </c>
      <c r="EB10" s="315" t="str">
        <f>IF(INDEX(tab_MinKomp[[Konserwacja EOL ]],MATCH($B9,tab_MinKomp[[Stanowisko / Position ]:[Stanowisko / Position ]],0))="n/a","n/a",EB9-INDEX(tab_MinKomp[[Konserwacja EOL ]],MATCH($B9,tab_MinKomp[[Stanowisko / Position ]:[Stanowisko / Position ]],0)))</f>
        <v>n/a</v>
      </c>
      <c r="EC10" s="315" t="str">
        <f>IF(INDEX(tab_MinKomp[Konserwacja Branson],MATCH($B9,tab_MinKomp[[Stanowisko / Position ]:[Stanowisko / Position ]],0))="n/a","n/a",EC9-INDEX(tab_MinKomp[Konserwacja Branson],MATCH($B9,tab_MinKomp[[Stanowisko / Position ]:[Stanowisko / Position ]],0)))</f>
        <v>n/a</v>
      </c>
      <c r="ED10" s="315" t="str">
        <f>IF(INDEX(tab_MinKomp[Konserwacja coolery],MATCH($B9,tab_MinKomp[[Stanowisko / Position ]:[Stanowisko / Position ]],0))="n/a","n/a",ED9-INDEX(tab_MinKomp[Konserwacja coolery],MATCH($B9,tab_MinKomp[[Stanowisko / Position ]:[Stanowisko / Position ]],0)))</f>
        <v>n/a</v>
      </c>
      <c r="EE10" s="315" t="str">
        <f>IF(INDEX(tab_MinKomp[Konserwacja piecy],MATCH($B9,tab_MinKomp[[Stanowisko / Position ]:[Stanowisko / Position ]],0))="n/a","n/a",EE9-INDEX(tab_MinKomp[Konserwacja piecy],MATCH($B9,tab_MinKomp[[Stanowisko / Position ]:[Stanowisko / Position ]],0)))</f>
        <v>n/a</v>
      </c>
      <c r="EF10" s="315" t="str">
        <f>IF(INDEX(tab_MinKomp[Rysunek techniczny- czytanie],MATCH($B9,tab_MinKomp[[Stanowisko / Position ]:[Stanowisko / Position ]],0))="n/a","n/a",EF9-INDEX(tab_MinKomp[Rysunek techniczny- czytanie],MATCH($B9,tab_MinKomp[[Stanowisko / Position ]:[Stanowisko / Position ]],0)))</f>
        <v>n/a</v>
      </c>
      <c r="EG10" s="315" t="str">
        <f>IF(INDEX(tab_MinKomp[Elektryka],MATCH($B9,tab_MinKomp[[Stanowisko / Position ]:[Stanowisko / Position ]],0))="n/a","n/a",EG9-INDEX(tab_MinKomp[Elektryka],MATCH($B9,tab_MinKomp[[Stanowisko / Position ]:[Stanowisko / Position ]],0)))</f>
        <v>n/a</v>
      </c>
      <c r="EH10" s="315" t="str">
        <f>IF(INDEX(tab_MinKomp[Pneumatyka],MATCH($B9,tab_MinKomp[[Stanowisko / Position ]:[Stanowisko / Position ]],0))="n/a","n/a",EH9-INDEX(tab_MinKomp[Pneumatyka],MATCH($B9,tab_MinKomp[[Stanowisko / Position ]:[Stanowisko / Position ]],0)))</f>
        <v>n/a</v>
      </c>
      <c r="EI10" s="315" t="str">
        <f>IF(INDEX(tab_MinKomp[[Hydraulika ]],MATCH($B9,tab_MinKomp[[Stanowisko / Position ]:[Stanowisko / Position ]],0))="n/a","n/a",EI9-INDEX(tab_MinKomp[[Hydraulika ]],MATCH($B9,tab_MinKomp[[Stanowisko / Position ]:[Stanowisko / Position ]],0)))</f>
        <v>n/a</v>
      </c>
      <c r="EJ10" s="315" t="str">
        <f>IF(INDEX(tab_MinKomp[Podciśnienie],MATCH($B9,tab_MinKomp[[Stanowisko / Position ]:[Stanowisko / Position ]],0))="n/a","n/a",EJ9-INDEX(tab_MinKomp[Podciśnienie],MATCH($B9,tab_MinKomp[[Stanowisko / Position ]:[Stanowisko / Position ]],0)))</f>
        <v>n/a</v>
      </c>
      <c r="EK10" s="315" t="str">
        <f>IF(INDEX(tab_MinKomp[Usuwanie awarii],MATCH($B9,tab_MinKomp[[Stanowisko / Position ]:[Stanowisko / Position ]],0))="n/a","n/a",EK9-INDEX(tab_MinKomp[Usuwanie awarii],MATCH($B9,tab_MinKomp[[Stanowisko / Position ]:[Stanowisko / Position ]],0)))</f>
        <v>n/a</v>
      </c>
      <c r="EL10" s="315" t="str">
        <f>IF(INDEX(tab_MinKomp[Obsługa robotów],MATCH($B9,tab_MinKomp[[Stanowisko / Position ]:[Stanowisko / Position ]],0))="n/a","n/a",EL9-INDEX(tab_MinKomp[Obsługa robotów],MATCH($B9,tab_MinKomp[[Stanowisko / Position ]:[Stanowisko / Position ]],0)))</f>
        <v>n/a</v>
      </c>
      <c r="EM10" s="315" t="str">
        <f>IF(INDEX(tab_MinKomp[Obsługa sterowania maszyny],MATCH($B9,tab_MinKomp[[Stanowisko / Position ]:[Stanowisko / Position ]],0))="n/a","n/a",EM9-INDEX(tab_MinKomp[Obsługa sterowania maszyny],MATCH($B9,tab_MinKomp[[Stanowisko / Position ]:[Stanowisko / Position ]],0)))</f>
        <v>n/a</v>
      </c>
      <c r="EN10" s="315" t="str">
        <f>IF(INDEX(tab_MinKomp[Usuwanie przyczyn żródłowych],MATCH($B9,tab_MinKomp[[Stanowisko / Position ]:[Stanowisko / Position ]],0))="n/a","n/a",EN9-INDEX(tab_MinKomp[Usuwanie przyczyn żródłowych],MATCH($B9,tab_MinKomp[[Stanowisko / Position ]:[Stanowisko / Position ]],0)))</f>
        <v>n/a</v>
      </c>
      <c r="EO10" s="315" t="str">
        <f>IF(INDEX(tab_MinKomp[Cmms stosowanie],MATCH($B9,tab_MinKomp[[Stanowisko / Position ]:[Stanowisko / Position ]],0))="n/a","n/a",EO9-INDEX(tab_MinKomp[Cmms stosowanie],MATCH($B9,tab_MinKomp[[Stanowisko / Position ]:[Stanowisko / Position ]],0)))</f>
        <v>n/a</v>
      </c>
      <c r="EP10" s="315" t="str">
        <f>IF(INDEX(tab_MinKomp[[Czyszczenie form gumowych ]],MATCH($B9,tab_MinKomp[[Stanowisko / Position ]:[Stanowisko / Position ]],0))="n/a","n/a",EP9-INDEX(tab_MinKomp[[Czyszczenie form gumowych ]],MATCH($B9,tab_MinKomp[[Stanowisko / Position ]:[Stanowisko / Position ]],0)))</f>
        <v>n/a</v>
      </c>
      <c r="EQ10" s="315" t="str">
        <f>IF(INDEX(tab_MinKomp[Czyszczenie form plastikowych],MATCH($B9,tab_MinKomp[[Stanowisko / Position ]:[Stanowisko / Position ]],0))="n/a","n/a",EQ9-INDEX(tab_MinKomp[Czyszczenie form plastikowych],MATCH($B9,tab_MinKomp[[Stanowisko / Position ]:[Stanowisko / Position ]],0)))</f>
        <v>n/a</v>
      </c>
      <c r="ER10" s="315" t="str">
        <f>IF(INDEX(tab_MinKomp[Wymiana form plastik],MATCH($B9,tab_MinKomp[[Stanowisko / Position ]:[Stanowisko / Position ]],0))="n/a","n/a",ER9-INDEX(tab_MinKomp[Wymiana form plastik],MATCH($B9,tab_MinKomp[[Stanowisko / Position ]:[Stanowisko / Position ]],0)))</f>
        <v>n/a</v>
      </c>
      <c r="ES10" s="315" t="str">
        <f>IF(INDEX(tab_MinKomp[Wymiana form guma],MATCH($B9,tab_MinKomp[[Stanowisko / Position ]:[Stanowisko / Position ]],0))="n/a","n/a",ES9-INDEX(tab_MinKomp[Wymiana form guma],MATCH($B9,tab_MinKomp[[Stanowisko / Position ]:[Stanowisko / Position ]],0)))</f>
        <v>n/a</v>
      </c>
      <c r="ET10" s="315" t="str">
        <f>IF(INDEX(tab_MinKomp[Konserwacja KK],MATCH($B9,tab_MinKomp[[Stanowisko / Position ]:[Stanowisko / Position ]],0))="n/a","n/a",ET9-INDEX(tab_MinKomp[Konserwacja KK],MATCH($B9,tab_MinKomp[[Stanowisko / Position ]:[Stanowisko / Position ]],0)))</f>
        <v>n/a</v>
      </c>
      <c r="EU10" s="315" t="str">
        <f>IF(INDEX(tab_MinKomp[Konserwacja form guma],MATCH($B9,tab_MinKomp[[Stanowisko / Position ]:[Stanowisko / Position ]],0))="n/a","n/a",EU9-INDEX(tab_MinKomp[Konserwacja form guma],MATCH($B9,tab_MinKomp[[Stanowisko / Position ]:[Stanowisko / Position ]],0)))</f>
        <v>n/a</v>
      </c>
      <c r="EV10" s="315" t="str">
        <f>IF(INDEX(tab_MinKomp[Konserwacja form plastiki],MATCH($B9,tab_MinKomp[[Stanowisko / Position ]:[Stanowisko / Position ]],0))="n/a","n/a",EV9-INDEX(tab_MinKomp[Konserwacja form plastiki],MATCH($B9,tab_MinKomp[[Stanowisko / Position ]:[Stanowisko / Position ]],0)))</f>
        <v>n/a</v>
      </c>
      <c r="EW10" s="330" t="str">
        <f>IF(INDEX(tab_MinKomp[Konserwacja form plastiki],MATCH($B9,tab_MinKomp[[Stanowisko / Position ]:[Stanowisko / Position ]],0))="n/a","n/a",EW9-INDEX(tab_MinKomp[Konserwacja form plastiki],MATCH($B9,tab_MinKomp[[Stanowisko / Position ]:[Stanowisko / Position ]],0)))</f>
        <v>n/a</v>
      </c>
      <c r="EX10" s="315" t="str">
        <f>IF(INDEX(tab_MinKomp[Konserwacja Gorącego Kanału],MATCH($B9,tab_MinKomp[[Stanowisko / Position ]:[Stanowisko / Position ]],0))="n/a","n/a",EX9-INDEX(tab_MinKomp[Konserwacja Gorącego Kanału],MATCH($B9,tab_MinKomp[[Stanowisko / Position ]:[Stanowisko / Position ]],0)))</f>
        <v>n/a</v>
      </c>
      <c r="EY10" s="315">
        <f>IF(INDEX(tab_MinKomp[MS Office (Excel)],MATCH($B9,tab_MinKomp[[Stanowisko / Position ]:[Stanowisko / Position ]],0))="n/a","n/a",EY9-INDEX(tab_MinKomp[MS Office (Excel)],MATCH($B9,tab_MinKomp[[Stanowisko / Position ]:[Stanowisko / Position ]],0)))</f>
        <v>0</v>
      </c>
      <c r="EZ10" s="315">
        <f>IF(INDEX(tab_MinKomp[MS Office (Word)],MATCH($B9,tab_MinKomp[[Stanowisko / Position ]:[Stanowisko / Position ]],0))="n/a","n/a",EZ9-INDEX(tab_MinKomp[MS Office (Word)],MATCH($B9,tab_MinKomp[[Stanowisko / Position ]:[Stanowisko / Position ]],0)))</f>
        <v>0</v>
      </c>
      <c r="FA10" s="315">
        <f>IF(INDEX(tab_MinKomp[MS Office (Power Point)],MATCH($B9,tab_MinKomp[[Stanowisko / Position ]:[Stanowisko / Position ]],0))="n/a","n/a",FA9-INDEX(tab_MinKomp[MS Office (Power Point)],MATCH($B9,tab_MinKomp[[Stanowisko / Position ]:[Stanowisko / Position ]],0)))</f>
        <v>1</v>
      </c>
      <c r="FB10" s="315">
        <f>IF(INDEX(tab_MinKomp[Język angielski / Englisch],MATCH($B9,tab_MinKomp[[Stanowisko / Position ]:[Stanowisko / Position ]],0))="n/a","n/a",FB9-INDEX(tab_MinKomp[Język angielski / Englisch],MATCH($B9,tab_MinKomp[[Stanowisko / Position ]:[Stanowisko / Position ]],0)))</f>
        <v>0</v>
      </c>
      <c r="FC10" s="315" t="str">
        <f>IF(INDEX(tab_MinKomp[Język niemiecki / Deutsch],MATCH($B9,tab_MinKomp[[Stanowisko / Position ]:[Stanowisko / Position ]],0))="n/a","n/a",FC9-INDEX(tab_MinKomp[Język niemiecki / Deutsch],MATCH($B9,tab_MinKomp[[Stanowisko / Position ]:[Stanowisko / Position ]],0)))</f>
        <v>n/a</v>
      </c>
      <c r="FD10" s="315">
        <f>IF(INDEX(tab_MinKomp[Zarządzanie dokumentacją procesową / Process dokumentation management],MATCH($B9,tab_MinKomp[[Stanowisko / Position ]:[Stanowisko / Position ]],0))="n/a","n/a",FD9-INDEX(tab_MinKomp[Zarządzanie dokumentacją procesową / Process dokumentation management],MATCH($B9,tab_MinKomp[[Stanowisko / Position ]:[Stanowisko / Position ]],0)))</f>
        <v>0</v>
      </c>
      <c r="FE10" s="315">
        <f>IF(INDEX(tab_MinKomp[Znajomość procesów z obszaru / Kenntiss der prozesse in dem Bereich],MATCH($B9,tab_MinKomp[[Stanowisko / Position ]:[Stanowisko / Position ]],0))="n/a","n/a",FE9-INDEX(tab_MinKomp[Znajomość procesów z obszaru / Kenntiss der prozesse in dem Bereich],MATCH($B9,tab_MinKomp[[Stanowisko / Position ]:[Stanowisko / Position ]],0)))</f>
        <v>0</v>
      </c>
      <c r="FF10" s="315">
        <f>IF(INDEX(tab_MinKomp[optymalizacja procesów / Prozessoptymalisierung],MATCH($B9,tab_MinKomp[[Stanowisko / Position ]:[Stanowisko / Position ]],0))="n/a","n/a",FF9-INDEX(tab_MinKomp[optymalizacja procesów / Prozessoptymalisierung],MATCH($B9,tab_MinKomp[[Stanowisko / Position ]:[Stanowisko / Position ]],0)))</f>
        <v>0</v>
      </c>
      <c r="FG10" s="315">
        <f>IF(INDEX(tab_MinKomp[Umiejętności szkoleniowe / Trainingsfähigkeiten],MATCH($B9,tab_MinKomp[[Stanowisko / Position ]:[Stanowisko / Position ]],0))="n/a","n/a",FG9-INDEX(tab_MinKomp[Umiejętności szkoleniowe / Trainingsfähigkeiten],MATCH($B9,tab_MinKomp[[Stanowisko / Position ]:[Stanowisko / Position ]],0)))</f>
        <v>0</v>
      </c>
      <c r="FH10" s="315">
        <f>IF(INDEX(tab_MinKomp[Analityczne myślenie, podejście / Analitysches Denken, Einstellung],MATCH($B9,tab_MinKomp[[Stanowisko / Position ]:[Stanowisko / Position ]],0))="n/a","n/a",FH9-INDEX(tab_MinKomp[Analityczne myślenie, podejście / Analitysches Denken, Einstellung],MATCH($B9,tab_MinKomp[[Stanowisko / Position ]:[Stanowisko / Position ]],0)))</f>
        <v>0</v>
      </c>
      <c r="FI10" s="315">
        <f>IF(INDEX(tab_MinKomp[Dokładność, precyzja w dzialaniu / Genauigkeit, Präzision in die Arbeit],MATCH($B9,tab_MinKomp[[Stanowisko / Position ]:[Stanowisko / Position ]],0))="n/a","n/a",FI9-INDEX(tab_MinKomp[Dokładność, precyzja w dzialaniu / Genauigkeit, Präzision in die Arbeit],MATCH($B9,tab_MinKomp[[Stanowisko / Position ]:[Stanowisko / Position ]],0)))</f>
        <v>0</v>
      </c>
      <c r="FJ10" s="315">
        <f>IF(INDEX(tab_MinKomp[Dyspozycyjność / Verfügbarkeit],MATCH($B9,tab_MinKomp[[Stanowisko / Position ]:[Stanowisko / Position ]],0))="n/a","n/a",FJ9-INDEX(tab_MinKomp[Dyspozycyjność / Verfügbarkeit],MATCH($B9,tab_MinKomp[[Stanowisko / Position ]:[Stanowisko / Position ]],0)))</f>
        <v>0</v>
      </c>
      <c r="FK10" s="315">
        <f>IF(INDEX(tab_MinKomp[Zaangażowanie / 
Engagement],MATCH($B9,tab_MinKomp[[Stanowisko / Position ]:[Stanowisko / Position ]],0))="n/a","n/a",FK9-INDEX(tab_MinKomp[Zaangażowanie / 
Engagement],MATCH($B9,tab_MinKomp[[Stanowisko / Position ]:[Stanowisko / Position ]],0)))</f>
        <v>0</v>
      </c>
      <c r="FL10" s="315">
        <f>IF(INDEX(tab_MinKomp[Planowanie strategiczne / Strategische Planung],MATCH($B9,tab_MinKomp[[Stanowisko / Position ]:[Stanowisko / Position ]],0))="n/a","n/a",FL9-INDEX(tab_MinKomp[Planowanie strategiczne / Strategische Planung],MATCH($B9,tab_MinKomp[[Stanowisko / Position ]:[Stanowisko / Position ]],0)))</f>
        <v>-1</v>
      </c>
      <c r="FM10" s="315">
        <f>IF(INDEX(tab_MinKomp[Konsekwentne i dynamiczne działanie],MATCH($B9,tab_MinKomp[[Stanowisko / Position ]:[Stanowisko / Position ]],0))="n/a","n/a",FM9-INDEX(tab_MinKomp[Konsekwentne i dynamiczne działanie],MATCH($B9,tab_MinKomp[[Stanowisko / Position ]:[Stanowisko / Position ]],0)))</f>
        <v>0</v>
      </c>
      <c r="FN10" s="315">
        <f>IF(INDEX(tab_MinKomp[Elastyczność w działaniu],MATCH($B9,tab_MinKomp[[Stanowisko / Position ]:[Stanowisko / Position ]],0))="n/a","n/a",FN9-INDEX(tab_MinKomp[Elastyczność w działaniu],MATCH($B9,tab_MinKomp[[Stanowisko / Position ]:[Stanowisko / Position ]],0)))</f>
        <v>0</v>
      </c>
      <c r="FO10" s="315">
        <f>IF(INDEX(tab_MinKomp[Komunikatywność],MATCH($B9,tab_MinKomp[[Stanowisko / Position ]:[Stanowisko / Position ]],0))="n/a","n/a",FO9-INDEX(tab_MinKomp[Komunikatywność],MATCH($B9,tab_MinKomp[[Stanowisko / Position ]:[Stanowisko / Position ]],0)))</f>
        <v>0</v>
      </c>
      <c r="FP10" s="315">
        <f>IF(INDEX(tab_MinKomp[Motywowanie i budowanie zaangażowania zespołu],MATCH($B9,tab_MinKomp[[Stanowisko / Position ]:[Stanowisko / Position ]],0))="n/a","n/a",FP9-INDEX(tab_MinKomp[Motywowanie i budowanie zaangażowania zespołu],MATCH($B9,tab_MinKomp[[Stanowisko / Position ]:[Stanowisko / Position ]],0)))</f>
        <v>0</v>
      </c>
      <c r="FQ10" s="318" t="s">
        <v>176</v>
      </c>
      <c r="FR10" s="315" t="s">
        <v>176</v>
      </c>
      <c r="FS10" s="315" t="s">
        <v>176</v>
      </c>
      <c r="FT10" s="315" t="str">
        <f>IF(INDEX(tab_MinKomp[MINIMUM 3 LATA / min. 3 Jahre],MATCH($B9,tab_MinKomp[[Stanowisko / Position ]:[Stanowisko / Position ]],0))="n/a","n/a",INDEX(tab_MinKomp[MINIMUM 3 LATA / min. 3 Jahre],MATCH($B9,tab_MinKomp[[Stanowisko / Position ]:[Stanowisko / Position ]],0)))</f>
        <v>X</v>
      </c>
      <c r="FU10" s="315" t="s">
        <v>176</v>
      </c>
      <c r="FV10" s="319" t="s">
        <v>176</v>
      </c>
      <c r="FW10" s="318" t="s">
        <v>176</v>
      </c>
      <c r="FX10" s="315" t="s">
        <v>176</v>
      </c>
      <c r="FY10" s="315" t="s">
        <v>176</v>
      </c>
      <c r="FZ10" s="315" t="str">
        <f>IF(INDEX(tab_MinKomp[ŚREDNIE KIERUNKOWE / berufliches Gymnasium],MATCH($B9,tab_MinKomp[[Stanowisko / Position ]:[Stanowisko / Position ]],0))="n/a","n/a",INDEX(tab_MinKomp[ŚREDNIE KIERUNKOWE / berufliches Gymnasium],MATCH($B9,tab_MinKomp[[Stanowisko / Position ]:[Stanowisko / Position ]],0)))</f>
        <v>X</v>
      </c>
      <c r="GA10" s="315" t="s">
        <v>176</v>
      </c>
      <c r="GB10" s="319" t="s">
        <v>176</v>
      </c>
      <c r="GC10" s="318" t="str">
        <f>IF(INDEX(tab_MinKomp[PIERWSZA POMOC / Erste Hilfe],MATCH($B9,tab_MinKomp[[Stanowisko / Position ]:[Stanowisko / Position ]],0))="n/a","n/a",INDEX(tab_MinKomp[PIERWSZA POMOC / Erste Hilfe],MATCH($B9,tab_MinKomp[[Stanowisko / Position ]:[Stanowisko / Position ]],0)))</f>
        <v>n/a</v>
      </c>
      <c r="GD10" s="315" t="str">
        <f>IF(INDEX(tab_MinKomp[Specjalista BHP / BHP Spezialist],MATCH($B9,tab_MinKomp[[Stanowisko / Position ]:[Stanowisko / Position ]],0))="n/a","n/a",INDEX(tab_MinKomp[Specjalista BHP / BHP Spezialist],MATCH($B9,tab_MinKomp[[Stanowisko / Position ]:[Stanowisko / Position ]],0)))</f>
        <v>n/a</v>
      </c>
      <c r="GE10" s="315" t="str">
        <f>IF(INDEX(tab_MinKomp[Inspektor ochrony PPOŻ / Brandschutzinspektor],MATCH($B9,tab_MinKomp[[Stanowisko / Position ]:[Stanowisko / Position ]],0))="n/a","n/a",INDEX(tab_MinKomp[Inspektor ochrony PPOŻ / Brandschutzinspektor],MATCH($B9,tab_MinKomp[[Stanowisko / Position ]:[Stanowisko / Position ]],0)))</f>
        <v>n/a</v>
      </c>
      <c r="GF10" s="315" t="str">
        <f>IF(INDEX(tab_MinKomp[WÓZKI JEZDNIOWE / Gebelstapler],MATCH($B9,tab_MinKomp[[Stanowisko / Position ]:[Stanowisko / Position ]],0))="n/a","n/a",INDEX(tab_MinKomp[WÓZKI JEZDNIOWE / Gebelstapler],MATCH($B9,tab_MinKomp[[Stanowisko / Position ]:[Stanowisko / Position ]],0)))</f>
        <v>n/a</v>
      </c>
      <c r="GG10" s="315" t="str">
        <f>IF(INDEX(tab_MinKomp[SEP],MATCH($B9,tab_MinKomp[[Stanowisko / Position ]:[Stanowisko / Position ]],0))="n/a","n/a",INDEX(tab_MinKomp[SEP],MATCH($B9,tab_MinKomp[[Stanowisko / Position ]:[Stanowisko / Position ]],0)))</f>
        <v>n/a</v>
      </c>
      <c r="GH10" s="315" t="str">
        <f>IF(INDEX(tab_MinKomp[SEP  DOZÓR / SEP Aufsicht],MATCH($B9,tab_MinKomp[[Stanowisko / Position ]:[Stanowisko / Position ]],0))="n/a","n/a",INDEX(tab_MinKomp[SEP  DOZÓR / SEP Aufsicht],MATCH($B9,tab_MinKomp[[Stanowisko / Position ]:[Stanowisko / Position ]],0)))</f>
        <v>n/a</v>
      </c>
      <c r="GI10" s="315" t="str">
        <f>IF(INDEX(tab_MinKomp[PODNOŚNIKI / Hebevorrichtung],MATCH($B9,tab_MinKomp[[Stanowisko / Position ]:[Stanowisko / Position ]],0))="n/a","n/a",INDEX(tab_MinKomp[PODNOŚNIKI / Hebevorrichtung],MATCH($B9,tab_MinKomp[[Stanowisko / Position ]:[Stanowisko / Position ]],0)))</f>
        <v>n/a</v>
      </c>
      <c r="GJ10" s="315" t="str">
        <f>IF(INDEX(tab_MinKomp[SUWNICE / Laufkran],MATCH($B9,tab_MinKomp[[Stanowisko / Position ]:[Stanowisko / Position ]],0))="n/a","n/a",INDEX(tab_MinKomp[SUWNICE / Laufkran],MATCH($B9,tab_MinKomp[[Stanowisko / Position ]:[Stanowisko / Position ]],0)))</f>
        <v>n/a</v>
      </c>
      <c r="GK10" s="319" t="str">
        <f>IF(INDEX(tab_MinKomp[WYSOKOŚCIOWE / Höhenberechtigungen],MATCH($B9,tab_MinKomp[[Stanowisko / Position ]:[Stanowisko / Position ]],0))="n/a","n/a",INDEX(tab_MinKomp[WYSOKOŚCIOWE / Höhenberechtigungen],MATCH($B9,tab_MinKomp[[Stanowisko / Position ]:[Stanowisko / Position ]],0)))</f>
        <v>n/a</v>
      </c>
      <c r="GL10" s="320">
        <f>SUM(G10:FP10)/(GL9-(SUM(G10:FP10)))</f>
        <v>6.0606060606060608E-2</v>
      </c>
      <c r="GM10" s="132"/>
    </row>
    <row r="11" spans="1:195" s="197" customFormat="1" ht="28.35" customHeight="1" x14ac:dyDescent="0.25">
      <c r="A11" s="135" t="s">
        <v>21</v>
      </c>
      <c r="B11" s="138" t="s">
        <v>734</v>
      </c>
      <c r="C11" s="135" t="s">
        <v>230</v>
      </c>
      <c r="D11" s="135">
        <v>1717</v>
      </c>
      <c r="E11" s="563" t="s">
        <v>670</v>
      </c>
      <c r="F11" s="307" t="s">
        <v>165</v>
      </c>
      <c r="G11" s="308">
        <v>2</v>
      </c>
      <c r="H11" s="308">
        <v>2</v>
      </c>
      <c r="I11" s="308">
        <v>2</v>
      </c>
      <c r="J11" s="308" t="s">
        <v>176</v>
      </c>
      <c r="K11" s="308" t="s">
        <v>176</v>
      </c>
      <c r="L11" s="308">
        <v>1</v>
      </c>
      <c r="M11" s="308" t="s">
        <v>176</v>
      </c>
      <c r="N11" s="308" t="s">
        <v>176</v>
      </c>
      <c r="O11" s="308">
        <v>1</v>
      </c>
      <c r="P11" s="308">
        <v>1</v>
      </c>
      <c r="Q11" s="308" t="s">
        <v>176</v>
      </c>
      <c r="R11" s="308" t="s">
        <v>176</v>
      </c>
      <c r="S11" s="308" t="s">
        <v>176</v>
      </c>
      <c r="T11" s="308" t="s">
        <v>176</v>
      </c>
      <c r="U11" s="308" t="s">
        <v>176</v>
      </c>
      <c r="V11" s="308" t="s">
        <v>176</v>
      </c>
      <c r="W11" s="308" t="s">
        <v>176</v>
      </c>
      <c r="X11" s="308" t="s">
        <v>176</v>
      </c>
      <c r="Y11" s="308" t="s">
        <v>176</v>
      </c>
      <c r="Z11" s="308" t="s">
        <v>176</v>
      </c>
      <c r="AA11" s="308" t="s">
        <v>176</v>
      </c>
      <c r="AB11" s="308">
        <v>2</v>
      </c>
      <c r="AC11" s="308">
        <v>1</v>
      </c>
      <c r="AD11" s="308">
        <v>1</v>
      </c>
      <c r="AE11" s="308" t="s">
        <v>176</v>
      </c>
      <c r="AF11" s="308" t="s">
        <v>176</v>
      </c>
      <c r="AG11" s="308" t="s">
        <v>176</v>
      </c>
      <c r="AH11" s="308" t="s">
        <v>176</v>
      </c>
      <c r="AI11" s="308" t="s">
        <v>176</v>
      </c>
      <c r="AJ11" s="308" t="s">
        <v>176</v>
      </c>
      <c r="AK11" s="308" t="s">
        <v>176</v>
      </c>
      <c r="AL11" s="308">
        <v>1</v>
      </c>
      <c r="AM11" s="308" t="s">
        <v>176</v>
      </c>
      <c r="AN11" s="308" t="s">
        <v>176</v>
      </c>
      <c r="AO11" s="308" t="s">
        <v>176</v>
      </c>
      <c r="AP11" s="308" t="s">
        <v>176</v>
      </c>
      <c r="AQ11" s="308" t="s">
        <v>176</v>
      </c>
      <c r="AR11" s="308" t="s">
        <v>176</v>
      </c>
      <c r="AS11" s="308" t="s">
        <v>176</v>
      </c>
      <c r="AT11" s="308" t="s">
        <v>176</v>
      </c>
      <c r="AU11" s="308" t="s">
        <v>176</v>
      </c>
      <c r="AV11" s="308">
        <v>2</v>
      </c>
      <c r="AW11" s="308" t="s">
        <v>176</v>
      </c>
      <c r="AX11" s="308" t="s">
        <v>176</v>
      </c>
      <c r="AY11" s="308" t="s">
        <v>176</v>
      </c>
      <c r="AZ11" s="308" t="s">
        <v>176</v>
      </c>
      <c r="BA11" s="308">
        <v>1</v>
      </c>
      <c r="BB11" s="308">
        <v>1</v>
      </c>
      <c r="BC11" s="308" t="s">
        <v>176</v>
      </c>
      <c r="BD11" s="308" t="s">
        <v>176</v>
      </c>
      <c r="BE11" s="308" t="s">
        <v>176</v>
      </c>
      <c r="BF11" s="308" t="s">
        <v>176</v>
      </c>
      <c r="BG11" s="308" t="s">
        <v>176</v>
      </c>
      <c r="BH11" s="308" t="s">
        <v>176</v>
      </c>
      <c r="BI11" s="308" t="s">
        <v>176</v>
      </c>
      <c r="BJ11" s="308" t="s">
        <v>176</v>
      </c>
      <c r="BK11" s="308" t="s">
        <v>176</v>
      </c>
      <c r="BL11" s="308" t="s">
        <v>176</v>
      </c>
      <c r="BM11" s="308" t="s">
        <v>176</v>
      </c>
      <c r="BN11" s="308" t="s">
        <v>176</v>
      </c>
      <c r="BO11" s="308" t="s">
        <v>176</v>
      </c>
      <c r="BP11" s="308" t="s">
        <v>176</v>
      </c>
      <c r="BQ11" s="308" t="s">
        <v>176</v>
      </c>
      <c r="BR11" s="308" t="s">
        <v>176</v>
      </c>
      <c r="BS11" s="308" t="s">
        <v>176</v>
      </c>
      <c r="BT11" s="308" t="s">
        <v>176</v>
      </c>
      <c r="BU11" s="308" t="s">
        <v>176</v>
      </c>
      <c r="BV11" s="308" t="s">
        <v>176</v>
      </c>
      <c r="BW11" s="308">
        <v>3</v>
      </c>
      <c r="BX11" s="308">
        <v>3</v>
      </c>
      <c r="BY11" s="308">
        <v>3</v>
      </c>
      <c r="BZ11" s="308">
        <v>3</v>
      </c>
      <c r="CA11" s="308">
        <v>2</v>
      </c>
      <c r="CB11" s="308" t="s">
        <v>176</v>
      </c>
      <c r="CC11" s="308">
        <v>2</v>
      </c>
      <c r="CD11" s="308">
        <v>2</v>
      </c>
      <c r="CE11" s="308">
        <v>2</v>
      </c>
      <c r="CF11" s="308">
        <v>2</v>
      </c>
      <c r="CG11" s="308">
        <v>2</v>
      </c>
      <c r="CH11" s="308">
        <v>2</v>
      </c>
      <c r="CI11" s="308">
        <v>2</v>
      </c>
      <c r="CJ11" s="308" t="s">
        <v>176</v>
      </c>
      <c r="CK11" s="308" t="s">
        <v>176</v>
      </c>
      <c r="CL11" s="308" t="s">
        <v>176</v>
      </c>
      <c r="CM11" s="308">
        <v>1</v>
      </c>
      <c r="CN11" s="308">
        <v>1</v>
      </c>
      <c r="CO11" s="308">
        <v>1</v>
      </c>
      <c r="CP11" s="308" t="s">
        <v>176</v>
      </c>
      <c r="CQ11" s="308" t="s">
        <v>176</v>
      </c>
      <c r="CR11" s="308" t="s">
        <v>176</v>
      </c>
      <c r="CS11" s="308" t="s">
        <v>176</v>
      </c>
      <c r="CT11" s="308" t="s">
        <v>176</v>
      </c>
      <c r="CU11" s="308" t="s">
        <v>176</v>
      </c>
      <c r="CV11" s="308" t="s">
        <v>176</v>
      </c>
      <c r="CW11" s="308" t="s">
        <v>176</v>
      </c>
      <c r="CX11" s="308" t="s">
        <v>176</v>
      </c>
      <c r="CY11" s="308" t="s">
        <v>176</v>
      </c>
      <c r="CZ11" s="308" t="s">
        <v>176</v>
      </c>
      <c r="DA11" s="308" t="s">
        <v>176</v>
      </c>
      <c r="DB11" s="308" t="s">
        <v>176</v>
      </c>
      <c r="DC11" s="308" t="s">
        <v>176</v>
      </c>
      <c r="DD11" s="308" t="s">
        <v>176</v>
      </c>
      <c r="DE11" s="308" t="s">
        <v>176</v>
      </c>
      <c r="DF11" s="308" t="s">
        <v>176</v>
      </c>
      <c r="DG11" s="308" t="s">
        <v>176</v>
      </c>
      <c r="DH11" s="308" t="s">
        <v>176</v>
      </c>
      <c r="DI11" s="308" t="s">
        <v>176</v>
      </c>
      <c r="DJ11" s="308" t="s">
        <v>176</v>
      </c>
      <c r="DK11" s="308" t="s">
        <v>176</v>
      </c>
      <c r="DL11" s="308" t="s">
        <v>176</v>
      </c>
      <c r="DM11" s="308" t="s">
        <v>176</v>
      </c>
      <c r="DN11" s="308" t="s">
        <v>176</v>
      </c>
      <c r="DO11" s="308" t="s">
        <v>176</v>
      </c>
      <c r="DP11" s="308" t="s">
        <v>176</v>
      </c>
      <c r="DQ11" s="308" t="s">
        <v>176</v>
      </c>
      <c r="DR11" s="308" t="s">
        <v>176</v>
      </c>
      <c r="DS11" s="308" t="s">
        <v>176</v>
      </c>
      <c r="DT11" s="308" t="s">
        <v>176</v>
      </c>
      <c r="DU11" s="308" t="s">
        <v>176</v>
      </c>
      <c r="DV11" s="308" t="s">
        <v>176</v>
      </c>
      <c r="DW11" s="308" t="s">
        <v>176</v>
      </c>
      <c r="DX11" s="308" t="s">
        <v>176</v>
      </c>
      <c r="DY11" s="308" t="s">
        <v>176</v>
      </c>
      <c r="DZ11" s="308" t="s">
        <v>176</v>
      </c>
      <c r="EA11" s="308" t="s">
        <v>176</v>
      </c>
      <c r="EB11" s="308" t="s">
        <v>176</v>
      </c>
      <c r="EC11" s="308" t="s">
        <v>176</v>
      </c>
      <c r="ED11" s="308" t="s">
        <v>176</v>
      </c>
      <c r="EE11" s="308" t="s">
        <v>176</v>
      </c>
      <c r="EF11" s="308" t="s">
        <v>176</v>
      </c>
      <c r="EG11" s="308" t="s">
        <v>176</v>
      </c>
      <c r="EH11" s="308" t="s">
        <v>176</v>
      </c>
      <c r="EI11" s="308" t="s">
        <v>176</v>
      </c>
      <c r="EJ11" s="308" t="s">
        <v>176</v>
      </c>
      <c r="EK11" s="308" t="s">
        <v>176</v>
      </c>
      <c r="EL11" s="308" t="s">
        <v>176</v>
      </c>
      <c r="EM11" s="308" t="s">
        <v>176</v>
      </c>
      <c r="EN11" s="308" t="s">
        <v>176</v>
      </c>
      <c r="EO11" s="308" t="s">
        <v>176</v>
      </c>
      <c r="EP11" s="308" t="s">
        <v>176</v>
      </c>
      <c r="EQ11" s="308" t="s">
        <v>176</v>
      </c>
      <c r="ER11" s="308" t="s">
        <v>176</v>
      </c>
      <c r="ES11" s="308" t="s">
        <v>176</v>
      </c>
      <c r="ET11" s="308" t="s">
        <v>176</v>
      </c>
      <c r="EU11" s="308" t="s">
        <v>176</v>
      </c>
      <c r="EV11" s="308" t="s">
        <v>176</v>
      </c>
      <c r="EW11" s="308" t="s">
        <v>176</v>
      </c>
      <c r="EX11" s="308" t="s">
        <v>176</v>
      </c>
      <c r="EY11" s="308">
        <v>3</v>
      </c>
      <c r="EZ11" s="308">
        <v>3</v>
      </c>
      <c r="FA11" s="308">
        <v>3</v>
      </c>
      <c r="FB11" s="308">
        <v>2</v>
      </c>
      <c r="FC11" s="308" t="s">
        <v>176</v>
      </c>
      <c r="FD11" s="308">
        <v>1</v>
      </c>
      <c r="FE11" s="308">
        <v>2</v>
      </c>
      <c r="FF11" s="308">
        <v>2</v>
      </c>
      <c r="FG11" s="308">
        <v>2</v>
      </c>
      <c r="FH11" s="308">
        <v>3</v>
      </c>
      <c r="FI11" s="308">
        <v>3</v>
      </c>
      <c r="FJ11" s="308">
        <v>3</v>
      </c>
      <c r="FK11" s="308">
        <v>2</v>
      </c>
      <c r="FL11" s="308">
        <v>2</v>
      </c>
      <c r="FM11" s="308">
        <v>2</v>
      </c>
      <c r="FN11" s="308">
        <v>2</v>
      </c>
      <c r="FO11" s="308">
        <v>2</v>
      </c>
      <c r="FP11" s="308">
        <v>2</v>
      </c>
      <c r="FQ11" s="308" t="s">
        <v>176</v>
      </c>
      <c r="FR11" s="308"/>
      <c r="FS11" s="308" t="s">
        <v>176</v>
      </c>
      <c r="FT11" s="308" t="s">
        <v>176</v>
      </c>
      <c r="FU11" s="308" t="s">
        <v>176</v>
      </c>
      <c r="FV11" s="308" t="s">
        <v>176</v>
      </c>
      <c r="FW11" s="308" t="s">
        <v>176</v>
      </c>
      <c r="FX11" s="308"/>
      <c r="FY11" s="308" t="s">
        <v>176</v>
      </c>
      <c r="FZ11" s="308" t="s">
        <v>176</v>
      </c>
      <c r="GA11" s="308" t="s">
        <v>176</v>
      </c>
      <c r="GB11" s="308" t="s">
        <v>176</v>
      </c>
      <c r="GC11" s="308" t="s">
        <v>176</v>
      </c>
      <c r="GD11" s="308" t="s">
        <v>176</v>
      </c>
      <c r="GE11" s="308" t="s">
        <v>176</v>
      </c>
      <c r="GF11" s="308" t="s">
        <v>176</v>
      </c>
      <c r="GG11" s="308" t="s">
        <v>176</v>
      </c>
      <c r="GH11" s="308" t="s">
        <v>176</v>
      </c>
      <c r="GI11" s="308" t="s">
        <v>176</v>
      </c>
      <c r="GJ11" s="308" t="s">
        <v>176</v>
      </c>
      <c r="GK11" s="308" t="s">
        <v>176</v>
      </c>
      <c r="GL11" s="311">
        <f>SUM(G11:FP11)</f>
        <v>88</v>
      </c>
      <c r="GM11" s="132"/>
    </row>
    <row r="12" spans="1:195" s="197" customFormat="1" ht="28.35" customHeight="1" thickBot="1" x14ac:dyDescent="0.3">
      <c r="A12" s="135" t="s">
        <v>21</v>
      </c>
      <c r="B12" s="138" t="s">
        <v>734</v>
      </c>
      <c r="C12" s="135" t="s">
        <v>230</v>
      </c>
      <c r="D12" s="138">
        <v>1717</v>
      </c>
      <c r="E12" s="564"/>
      <c r="F12" s="312" t="s">
        <v>166</v>
      </c>
      <c r="G12" s="313">
        <f>IF(INDEX(tab_MinKomp[Przepisy BHP / BHP Vorschriften],MATCH($B11,tab_MinKomp[[Stanowisko / Position ]:[Stanowisko / Position ]],0))="n/a","n/a",G11-INDEX(tab_MinKomp[Przepisy BHP / BHP Vorschriften],MATCH($B11,tab_MinKomp[[Stanowisko / Position ]:[Stanowisko / Position ]],0)))</f>
        <v>0</v>
      </c>
      <c r="H12" s="313">
        <f>IF(INDEX(tab_MinKomp[Przepisy PPOŻ / Brandschutzbestimmungen],MATCH($B11,tab_MinKomp[[Stanowisko / Position ]:[Stanowisko / Position ]],0))="n/a","n/a",H11-INDEX(tab_MinKomp[Przepisy PPOŻ / Brandschutzbestimmungen],MATCH($B11,tab_MinKomp[[Stanowisko / Position ]:[Stanowisko / Position ]],0)))</f>
        <v>0</v>
      </c>
      <c r="I12" s="313">
        <f>IF(INDEX(tab_MinKomp[Ryzyko zawodowe na stanowiskach pracyv/ Berufliche Risiken an Arbeitsstellen],MATCH($B11,tab_MinKomp[[Stanowisko / Position ]:[Stanowisko / Position ]],0))="n/a","n/a",I11-INDEX(tab_MinKomp[Ryzyko zawodowe na stanowiskach pracyv/ Berufliche Risiken an Arbeitsstellen],MATCH($B11,tab_MinKomp[[Stanowisko / Position ]:[Stanowisko / Position ]],0)))</f>
        <v>0</v>
      </c>
      <c r="J12" s="313" t="str">
        <f>IF(INDEX(tab_MinKomp[Gospodarka substancjami niebezpiecznymi / Gefahrstoffmanagement],MATCH($B11,tab_MinKomp[[Stanowisko / Position ]:[Stanowisko / Position ]],0))="n/a","n/a",J11-INDEX(tab_MinKomp[Gospodarka substancjami niebezpiecznymi / Gefahrstoffmanagement],MATCH($B11,tab_MinKomp[[Stanowisko / Position ]:[Stanowisko / Position ]],0)))</f>
        <v>n/a</v>
      </c>
      <c r="K12" s="313" t="str">
        <f>IF(INDEX(tab_MinKomp[Gospodarka odpadami / Abfallwirtschaft],MATCH($B11,tab_MinKomp[[Stanowisko / Position ]:[Stanowisko / Position ]],0))="n/a","n/a",K11-INDEX(tab_MinKomp[Gospodarka odpadami / Abfallwirtschaft],MATCH($B11,tab_MinKomp[[Stanowisko / Position ]:[Stanowisko / Position ]],0)))</f>
        <v>n/a</v>
      </c>
      <c r="L12" s="315">
        <f>IF(INDEX(tab_MinKomp[Przepisy kodeksu pracy / Bestimmungen des Arbeitsgesetzes],MATCH($B11,tab_MinKomp[[Stanowisko / Position ]:[Stanowisko / Position ]],0))="n/a","n/a",L11-INDEX(tab_MinKomp[Przepisy kodeksu pracy / Bestimmungen des Arbeitsgesetzes],MATCH($B11,tab_MinKomp[[Stanowisko / Position ]:[Stanowisko / Position ]],0)))</f>
        <v>0</v>
      </c>
      <c r="M12" s="315" t="str">
        <f>IF(INDEX(tab_MinKomp[Przepisy o ub.społ. ZUS  / Sozialversicherungsvorschriften],MATCH($B11,tab_MinKomp[[Stanowisko / Position ]:[Stanowisko / Position ]],0))="n/a","n/a",M11-INDEX(tab_MinKomp[Przepisy o ub.społ. ZUS  / Sozialversicherungsvorschriften],MATCH($B11,tab_MinKomp[[Stanowisko / Position ]:[Stanowisko / Position ]],0)))</f>
        <v>n/a</v>
      </c>
      <c r="N12" s="315" t="str">
        <f>IF(INDEX(tab_MinKomp[PRZEPISY O PDOF /persönlich Einkommensteuergesetz ],MATCH($B11,tab_MinKomp[[Stanowisko / Position ]:[Stanowisko / Position ]],0))="n/a","n/a",N11-INDEX(tab_MinKomp[PRZEPISY O PDOF /persönlich Einkommensteuergesetz ],MATCH($B11,tab_MinKomp[[Stanowisko / Position ]:[Stanowisko / Position ]],0)))</f>
        <v>n/a</v>
      </c>
      <c r="O12" s="315">
        <f>IF(INDEX(tab_MinKomp[Regulamin pracy / Arbeitsordnung],MATCH($B11,tab_MinKomp[[Stanowisko / Position ]:[Stanowisko / Position ]],0))="n/a","n/a",O11-INDEX(tab_MinKomp[Regulamin pracy / Arbeitsordnung],MATCH($B11,tab_MinKomp[[Stanowisko / Position ]:[Stanowisko / Position ]],0)))</f>
        <v>0</v>
      </c>
      <c r="P12" s="315">
        <f>IF(INDEX(tab_MinKomp[Regulamin wynagradzania / Vergütungsordnung],MATCH($B11,tab_MinKomp[[Stanowisko / Position ]:[Stanowisko / Position ]],0))="n/a","n/a",P11-INDEX(tab_MinKomp[Regulamin wynagradzania / Vergütungsordnung],MATCH($B11,tab_MinKomp[[Stanowisko / Position ]:[Stanowisko / Position ]],0)))</f>
        <v>0</v>
      </c>
      <c r="Q12" s="315" t="str">
        <f>IF(INDEX(tab_MinKomp[System R2PŁATNIK PRO: Płace / Lohnabrechnung],MATCH($B11,tab_MinKomp[[Stanowisko / Position ]:[Stanowisko / Position ]],0))="n/a","n/a",Q11-INDEX(tab_MinKomp[System R2PŁATNIK PRO: Płace / Lohnabrechnung],MATCH($B11,tab_MinKomp[[Stanowisko / Position ]:[Stanowisko / Position ]],0)))</f>
        <v>n/a</v>
      </c>
      <c r="R12" s="315" t="str">
        <f>IF(INDEX(tab_MinKomp[SystemR2PŁATNIK PRO: KADRY / Personaldaten],MATCH($B11,tab_MinKomp[[Stanowisko / Position ]:[Stanowisko / Position ]],0))="n/a","n/a",R11-INDEX(tab_MinKomp[SystemR2PŁATNIK PRO: KADRY / Personaldaten],MATCH($B11,tab_MinKomp[[Stanowisko / Position ]:[Stanowisko / Position ]],0)))</f>
        <v>n/a</v>
      </c>
      <c r="S12" s="315" t="str">
        <f>IF(INDEX(tab_MinKomp[SYSTEM R2PŁATNIK PRO: zarządzanie pracownikami / Arbeitsverwaltung],MATCH($B11,tab_MinKomp[[Stanowisko / Position ]:[Stanowisko / Position ]],0))="n/a","n/a",S11-INDEX(tab_MinKomp[SYSTEM R2PŁATNIK PRO: zarządzanie pracownikami / Arbeitsverwaltung],MATCH($B11,tab_MinKomp[[Stanowisko / Position ]:[Stanowisko / Position ]],0)))</f>
        <v>n/a</v>
      </c>
      <c r="T12" s="315" t="str">
        <f>IF(INDEX(tab_MinKomp[Doradztwo, wsparcie personalne / Personalberatung und Unterstützung],MATCH($B11,tab_MinKomp[[Stanowisko / Position ]:[Stanowisko / Position ]],0))="n/a","n/a",T11-INDEX(tab_MinKomp[Doradztwo, wsparcie personalne / Personalberatung und Unterstützung],MATCH($B11,tab_MinKomp[[Stanowisko / Position ]:[Stanowisko / Position ]],0)))</f>
        <v>n/a</v>
      </c>
      <c r="U12" s="315" t="str">
        <f>IF(INDEX(tab_MinKomp[Przepisy o podatku VAT / MwSt.- Gesetz],MATCH($B11,tab_MinKomp[[Stanowisko / Position ]:[Stanowisko / Position ]],0))="n/a","n/a",U11-INDEX(tab_MinKomp[Przepisy o podatku VAT / MwSt.- Gesetz],MATCH($B11,tab_MinKomp[[Stanowisko / Position ]:[Stanowisko / Position ]],0)))</f>
        <v>n/a</v>
      </c>
      <c r="V12" s="315" t="str">
        <f>IF(INDEX(tab_MinKomp[PrzepisyPDOP / geschäftlich Einkommensteuergesetz],MATCH($B11,tab_MinKomp[[Stanowisko / Position ]:[Stanowisko / Position ]],0))="n/a","n/a",V11-INDEX(tab_MinKomp[PrzepisyPDOP / geschäftlich Einkommensteuergesetz],MATCH($B11,tab_MinKomp[[Stanowisko / Position ]:[Stanowisko / Position ]],0)))</f>
        <v>n/a</v>
      </c>
      <c r="W12" s="315" t="str">
        <f>IF(INDEX(tab_MinKomp[System BAAN / FINANSE (FIBU)],MATCH($B11,tab_MinKomp[[Stanowisko / Position ]:[Stanowisko / Position ]],0))="n/a","n/a",W11-INDEX(tab_MinKomp[System BAAN / FINANSE (FIBU)],MATCH($B11,tab_MinKomp[[Stanowisko / Position ]:[Stanowisko / Position ]],0)))</f>
        <v>n/a</v>
      </c>
      <c r="X12" s="315" t="str">
        <f>IF(INDEX(tab_MinKomp[Systemy pomocnicze / Hilfssysteme(STOCKPROGRAM, KALK2000 etc.)],MATCH($B11,tab_MinKomp[[Stanowisko / Position ]:[Stanowisko / Position ]],0))="n/a","n/a",X11-INDEX(tab_MinKomp[Systemy pomocnicze / Hilfssysteme(STOCKPROGRAM, KALK2000 etc.)],MATCH($B11,tab_MinKomp[[Stanowisko / Position ]:[Stanowisko / Position ]],0)))</f>
        <v>n/a</v>
      </c>
      <c r="Y12" s="315" t="str">
        <f>IF(INDEX(tab_MinKomp[Polityka rachunkowości / Buchführungspolitik],MATCH($B11,tab_MinKomp[[Stanowisko / Position ]:[Stanowisko / Position ]],0))="n/a","n/a",Y11-INDEX(tab_MinKomp[Polityka rachunkowości / Buchführungspolitik],MATCH($B11,tab_MinKomp[[Stanowisko / Position ]:[Stanowisko / Position ]],0)))</f>
        <v>n/a</v>
      </c>
      <c r="Z12" s="315" t="str">
        <f>IF(INDEX(tab_MinKomp[Ustawa o rachunkowości / Rechnungslegungsgesetz],MATCH($B11,tab_MinKomp[[Stanowisko / Position ]:[Stanowisko / Position ]],0))="n/a","n/a",Z11-INDEX(tab_MinKomp[Ustawa o rachunkowości / Rechnungslegungsgesetz],MATCH($B11,tab_MinKomp[[Stanowisko / Position ]:[Stanowisko / Position ]],0)))</f>
        <v>n/a</v>
      </c>
      <c r="AA12" s="315" t="str">
        <f>IF(INDEX(tab_MinKomp[WORKFLOW - TS-100],MATCH($B11,tab_MinKomp[[Stanowisko / Position ]:[Stanowisko / Position ]],0))="n/a","n/a",AA11-INDEX(tab_MinKomp[WORKFLOW - TS-100],MATCH($B11,tab_MinKomp[[Stanowisko / Position ]:[Stanowisko / Position ]],0)))</f>
        <v>n/a</v>
      </c>
      <c r="AB12" s="315">
        <f>IF(INDEX(tab_MinKomp[WORKFLOW - SFMS],MATCH($B11,tab_MinKomp[[Stanowisko / Position ]:[Stanowisko / Position ]],0))="n/a","n/a",AB11-INDEX(tab_MinKomp[WORKFLOW - SFMS],MATCH($B11,tab_MinKomp[[Stanowisko / Position ]:[Stanowisko / Position ]],0)))</f>
        <v>0</v>
      </c>
      <c r="AC12" s="315">
        <f>IF(INDEX(tab_MinKomp[System ISO 9001:2015],MATCH($B11,tab_MinKomp[[Stanowisko / Position ]:[Stanowisko / Position ]],0))="n/a","n/a",AC11-INDEX(tab_MinKomp[System ISO 9001:2015],MATCH($B11,tab_MinKomp[[Stanowisko / Position ]:[Stanowisko / Position ]],0)))</f>
        <v>0</v>
      </c>
      <c r="AD12" s="315">
        <f>IF(INDEX(tab_MinKomp[System IATF 16949:2016],MATCH($B11,tab_MinKomp[[Stanowisko / Position ]:[Stanowisko / Position ]],0))="n/a","n/a",AD11-INDEX(tab_MinKomp[System IATF 16949:2016],MATCH($B11,tab_MinKomp[[Stanowisko / Position ]:[Stanowisko / Position ]],0)))</f>
        <v>0</v>
      </c>
      <c r="AE12" s="315" t="str">
        <f>IF(INDEX(tab_MinKomp[System ISO 14001:2015],MATCH($B11,tab_MinKomp[[Stanowisko / Position ]:[Stanowisko / Position ]],0))="n/a","n/a",AE11-INDEX(tab_MinKomp[System ISO 14001:2015],MATCH($B11,tab_MinKomp[[Stanowisko / Position ]:[Stanowisko / Position ]],0)))</f>
        <v>n/a</v>
      </c>
      <c r="AF12" s="315" t="str">
        <f>IF(INDEX(tab_MinKomp[System PN-N 18001:2004 / ISO 45001:2018],MATCH($B11,tab_MinKomp[[Stanowisko / Position ]:[Stanowisko / Position ]],0))="n/a","n/a",AF11-INDEX(tab_MinKomp[System PN-N 18001:2004 / ISO 45001:2018],MATCH($B11,tab_MinKomp[[Stanowisko / Position ]:[Stanowisko / Position ]],0)))</f>
        <v>n/a</v>
      </c>
      <c r="AG12" s="315" t="str">
        <f>IF(INDEX(tab_MinKomp[Wymagania VDA 6.3 Process / Forderungen],MATCH($B11,tab_MinKomp[[Stanowisko / Position ]:[Stanowisko / Position ]],0))="n/a","n/a",AG11-INDEX(tab_MinKomp[Wymagania VDA 6.3 Process / Forderungen],MATCH($B11,tab_MinKomp[[Stanowisko / Position ]:[Stanowisko / Position ]],0)))</f>
        <v>n/a</v>
      </c>
      <c r="AH12" s="315" t="str">
        <f>IF(INDEX(tab_MinKomp[Wymagania VDA 6.5 Product / Forderungen],MATCH($B11,tab_MinKomp[[Stanowisko / Position ]:[Stanowisko / Position ]],0))="n/a","n/a",AH11-INDEX(tab_MinKomp[Wymagania VDA 6.5 Product / Forderungen],MATCH($B11,tab_MinKomp[[Stanowisko / Position ]:[Stanowisko / Position ]],0)))</f>
        <v>n/a</v>
      </c>
      <c r="AI12" s="315" t="str">
        <f>IF(INDEX(tab_MinKomp[PSCR (VW Product Safety &amp; Conformity Representative)],MATCH($B11,tab_MinKomp[[Stanowisko / Position ]:[Stanowisko / Position ]],0))="n/a","n/a",AI11-INDEX(tab_MinKomp[PSCR (VW Product Safety &amp; Conformity Representative)],MATCH($B11,tab_MinKomp[[Stanowisko / Position ]:[Stanowisko / Position ]],0)))</f>
        <v>n/a</v>
      </c>
      <c r="AJ12" s="315" t="str">
        <f>IF(INDEX(tab_MinKomp[Auditor systemu ISO 17025:2018],MATCH($B11,tab_MinKomp[[Stanowisko / Position ]:[Stanowisko / Position ]],0))="n/a","n/a",AJ11-INDEX(tab_MinKomp[Auditor systemu ISO 17025:2018],MATCH($B11,tab_MinKomp[[Stanowisko / Position ]:[Stanowisko / Position ]],0)))</f>
        <v>n/a</v>
      </c>
      <c r="AK12" s="315" t="str">
        <f>IF(INDEX(tab_MinKomp[Pełnomocnik systemu / Systemvertreter],MATCH($B11,tab_MinKomp[[Stanowisko / Position ]:[Stanowisko / Position ]],0))="n/a","n/a",AK11-INDEX(tab_MinKomp[Pełnomocnik systemu / Systemvertreter],MATCH($B11,tab_MinKomp[[Stanowisko / Position ]:[Stanowisko / Position ]],0)))</f>
        <v>n/a</v>
      </c>
      <c r="AL12" s="315">
        <f>IF(INDEX(tab_MinKomp[Polityka Etyczna - Compliance],MATCH($B11,tab_MinKomp[[Stanowisko / Position ]:[Stanowisko / Position ]],0))="n/a","n/a",AL11-INDEX(tab_MinKomp[Polityka Etyczna - Compliance],MATCH($B11,tab_MinKomp[[Stanowisko / Position ]:[Stanowisko / Position ]],0)))</f>
        <v>0</v>
      </c>
      <c r="AM12" s="315" t="str">
        <f>IF(INDEX(tab_MinKomp[WDRAŻANIE NOWYCH PROJEKTÓW/ PROCEDURA CTM],MATCH($B11,tab_MinKomp[[Stanowisko / Position ]:[Stanowisko / Position ]],0))="n/a","n/a",AM11-INDEX(tab_MinKomp[WDRAŻANIE NOWYCH PROJEKTÓW/ PROCEDURA CTM],MATCH($B11,tab_MinKomp[[Stanowisko / Position ]:[Stanowisko / Position ]],0)))</f>
        <v>n/a</v>
      </c>
      <c r="AN12" s="315" t="str">
        <f>IF(INDEX(tab_MinKomp[KAMIENIE MILOWE MSL/PIFF],MATCH($B11,tab_MinKomp[[Stanowisko / Position ]:[Stanowisko / Position ]],0))="n/a","n/a",AN11-INDEX(tab_MinKomp[KAMIENIE MILOWE MSL/PIFF],MATCH($B11,tab_MinKomp[[Stanowisko / Position ]:[Stanowisko / Position ]],0)))</f>
        <v>n/a</v>
      </c>
      <c r="AO12" s="315" t="str">
        <f>IF(INDEX(tab_MinKomp[CP],MATCH($B11,tab_MinKomp[[Stanowisko / Position ]:[Stanowisko / Position ]],0))="n/a","n/a",AO11-INDEX(tab_MinKomp[CP],MATCH($B11,tab_MinKomp[[Stanowisko / Position ]:[Stanowisko / Position ]],0)))</f>
        <v>n/a</v>
      </c>
      <c r="AP12" s="315" t="str">
        <f>IF(INDEX(tab_MinKomp[FMEA],MATCH($B11,tab_MinKomp[[Stanowisko / Position ]:[Stanowisko / Position ]],0))="n/a","n/a",AP11-INDEX(tab_MinKomp[FMEA],MATCH($B11,tab_MinKomp[[Stanowisko / Position ]:[Stanowisko / Position ]],0)))</f>
        <v>n/a</v>
      </c>
      <c r="AQ12" s="315" t="str">
        <f>IF(INDEX(tab_MinKomp[FLOW CHART],MATCH($B11,tab_MinKomp[[Stanowisko / Position ]:[Stanowisko / Position ]],0))="n/a","n/a",AQ11-INDEX(tab_MinKomp[FLOW CHART],MATCH($B11,tab_MinKomp[[Stanowisko / Position ]:[Stanowisko / Position ]],0)))</f>
        <v>n/a</v>
      </c>
      <c r="AR12" s="315" t="str">
        <f>IF(INDEX(tab_MinKomp[APQP],MATCH($B11,tab_MinKomp[[Stanowisko / Position ]:[Stanowisko / Position ]],0))="n/a","n/a",AR11-INDEX(tab_MinKomp[APQP],MATCH($B11,tab_MinKomp[[Stanowisko / Position ]:[Stanowisko / Position ]],0)))</f>
        <v>n/a</v>
      </c>
      <c r="AS12" s="315" t="str">
        <f>IF(INDEX(tab_MinKomp[MSA],MATCH($B11,tab_MinKomp[[Stanowisko / Position ]:[Stanowisko / Position ]],0))="n/a","n/a",AS11-INDEX(tab_MinKomp[MSA],MATCH($B11,tab_MinKomp[[Stanowisko / Position ]:[Stanowisko / Position ]],0)))</f>
        <v>n/a</v>
      </c>
      <c r="AT12" s="315" t="str">
        <f>IF(INDEX(tab_MinKomp[SPC],MATCH($B11,tab_MinKomp[[Stanowisko / Position ]:[Stanowisko / Position ]],0))="n/a","n/a",AT11-INDEX(tab_MinKomp[SPC],MATCH($B11,tab_MinKomp[[Stanowisko / Position ]:[Stanowisko / Position ]],0)))</f>
        <v>n/a</v>
      </c>
      <c r="AU12" s="315" t="str">
        <f>IF(INDEX(tab_MinKomp[CSR (SPECYFICZNE WYMAGANIA KLIENTA)],MATCH($B11,tab_MinKomp[[Stanowisko / Position ]:[Stanowisko / Position ]],0))="n/a","n/a",AU11-INDEX(tab_MinKomp[CSR (SPECYFICZNE WYMAGANIA KLIENTA)],MATCH($B11,tab_MinKomp[[Stanowisko / Position ]:[Stanowisko / Position ]],0)))</f>
        <v>n/a</v>
      </c>
      <c r="AV12" s="315">
        <f>IF(INDEX(tab_MinKomp[5S],MATCH($B11,tab_MinKomp[[Stanowisko / Position ]:[Stanowisko / Position ]],0))="n/a","n/a",AV11-INDEX(tab_MinKomp[5S],MATCH($B11,tab_MinKomp[[Stanowisko / Position ]:[Stanowisko / Position ]],0)))</f>
        <v>0</v>
      </c>
      <c r="AW12" s="315" t="str">
        <f>IF(INDEX(tab_MinKomp[LEAN MANAGEMENT],MATCH($B11,tab_MinKomp[[Stanowisko / Position ]:[Stanowisko / Position ]],0))="n/a","n/a",AW11-INDEX(tab_MinKomp[LEAN MANAGEMENT],MATCH($B11,tab_MinKomp[[Stanowisko / Position ]:[Stanowisko / Position ]],0)))</f>
        <v>n/a</v>
      </c>
      <c r="AX12" s="315" t="str">
        <f>IF(INDEX(tab_MinKomp[5R],MATCH($B11,tab_MinKomp[[Stanowisko / Position ]:[Stanowisko / Position ]],0))="n/a","n/a",AX11-INDEX(tab_MinKomp[5R],MATCH($B11,tab_MinKomp[[Stanowisko / Position ]:[Stanowisko / Position ]],0)))</f>
        <v>n/a</v>
      </c>
      <c r="AY12" s="315" t="str">
        <f>IF(INDEX(tab_MinKomp[Six Sigma],MATCH($B11,tab_MinKomp[[Stanowisko / Position ]:[Stanowisko / Position ]],0))="n/a","n/a",AY11-INDEX(tab_MinKomp[Six Sigma],MATCH($B11,tab_MinKomp[[Stanowisko / Position ]:[Stanowisko / Position ]],0)))</f>
        <v>n/a</v>
      </c>
      <c r="AZ12" s="315" t="str">
        <f>IF(INDEX(tab_MinKomp[System BAAN / Distribution &amp; Supply Chain],MATCH($B11,tab_MinKomp[[Stanowisko / Position ]:[Stanowisko / Position ]],0))="n/a","n/a",AZ11-INDEX(tab_MinKomp[System BAAN / Distribution &amp; Supply Chain],MATCH($B11,tab_MinKomp[[Stanowisko / Position ]:[Stanowisko / Position ]],0)))</f>
        <v>n/a</v>
      </c>
      <c r="BA12" s="315">
        <f>IF(INDEX(tab_MinKomp[Gospodarka magazynowa / Lagerverwaltung],MATCH($B11,tab_MinKomp[[Stanowisko / Position ]:[Stanowisko / Position ]],0))="n/a","n/a",BA11-INDEX(tab_MinKomp[Gospodarka magazynowa / Lagerverwaltung],MATCH($B11,tab_MinKomp[[Stanowisko / Position ]:[Stanowisko / Position ]],0)))</f>
        <v>0</v>
      </c>
      <c r="BB12" s="315">
        <f>IF(INDEX(tab_MinKomp[Inwentaryzacja - organizacja i przebieg / Inventurprozess],MATCH($B11,tab_MinKomp[[Stanowisko / Position ]:[Stanowisko / Position ]],0))="n/a","n/a",BB11-INDEX(tab_MinKomp[Inwentaryzacja - organizacja i przebieg / Inventurprozess],MATCH($B11,tab_MinKomp[[Stanowisko / Position ]:[Stanowisko / Position ]],0)))</f>
        <v>0</v>
      </c>
      <c r="BC12" s="315" t="str">
        <f>IF(INDEX(tab_MinKomp[Organizacja dostaw / Versorgungsorganisation],MATCH($B11,tab_MinKomp[[Stanowisko / Position ]:[Stanowisko / Position ]],0))="n/a","n/a",BC11-INDEX(tab_MinKomp[Organizacja dostaw / Versorgungsorganisation],MATCH($B11,tab_MinKomp[[Stanowisko / Position ]:[Stanowisko / Position ]],0)))</f>
        <v>n/a</v>
      </c>
      <c r="BD12" s="315" t="str">
        <f>IF(INDEX(tab_MinKomp[Organizacja wysyłek / Organisation von Lieferungen],MATCH($B11,tab_MinKomp[[Stanowisko / Position ]:[Stanowisko / Position ]],0))="n/a","n/a",BD11-INDEX(tab_MinKomp[Organizacja wysyłek / Organisation von Lieferungen],MATCH($B11,tab_MinKomp[[Stanowisko / Position ]:[Stanowisko / Position ]],0)))</f>
        <v>n/a</v>
      </c>
      <c r="BE12" s="315" t="str">
        <f>IF(INDEX(tab_MinKomp[Analiza magazynowa - Program Polen.mdb / Inventuranalyse],MATCH($B11,tab_MinKomp[[Stanowisko / Position ]:[Stanowisko / Position ]],0))="n/a","n/a",BE11-INDEX(tab_MinKomp[Analiza magazynowa - Program Polen.mdb / Inventuranalyse],MATCH($B11,tab_MinKomp[[Stanowisko / Position ]:[Stanowisko / Position ]],0)))</f>
        <v>n/a</v>
      </c>
      <c r="BF12" s="315" t="str">
        <f>IF(INDEX(tab_MinKomp[MMOG (Materials Management Operations Guidelines)],MATCH($B11,tab_MinKomp[[Stanowisko / Position ]:[Stanowisko / Position ]],0))="n/a","n/a",BF11-INDEX(tab_MinKomp[MMOG (Materials Management Operations Guidelines)],MATCH($B11,tab_MinKomp[[Stanowisko / Position ]:[Stanowisko / Position ]],0)))</f>
        <v>n/a</v>
      </c>
      <c r="BG12" s="315" t="str">
        <f>IF(INDEX(tab_MinKomp[GPP],MATCH($B11,tab_MinKomp[[Stanowisko / Position ]:[Stanowisko / Position ]],0))="n/a","n/a",BG11-INDEX(tab_MinKomp[GPP],MATCH($B11,tab_MinKomp[[Stanowisko / Position ]:[Stanowisko / Position ]],0)))</f>
        <v>n/a</v>
      </c>
      <c r="BH12" s="315" t="str">
        <f>IF(INDEX(tab_MinKomp[AIAG (Automotive Industry Action Group)],MATCH($B11,tab_MinKomp[[Stanowisko / Position ]:[Stanowisko / Position ]],0))="n/a","n/a",BH11-INDEX(tab_MinKomp[AIAG (Automotive Industry Action Group)],MATCH($B11,tab_MinKomp[[Stanowisko / Position ]:[Stanowisko / Position ]],0)))</f>
        <v>n/a</v>
      </c>
      <c r="BI12" s="315" t="str">
        <f>IF(INDEX(tab_MinKomp[Super-G disputes],MATCH($B11,tab_MinKomp[[Stanowisko / Position ]:[Stanowisko / Position ]],0))="n/a","n/a",BI11-INDEX(tab_MinKomp[Super-G disputes],MATCH($B11,tab_MinKomp[[Stanowisko / Position ]:[Stanowisko / Position ]],0)))</f>
        <v>n/a</v>
      </c>
      <c r="BJ12" s="315" t="str">
        <f>IF(INDEX(tab_MinKomp[CMMS3/eDDL (Direct Data Link)],MATCH($B11,tab_MinKomp[[Stanowisko / Position ]:[Stanowisko / Position ]],0))="n/a","n/a",BJ11-INDEX(tab_MinKomp[CMMS3/eDDL (Direct Data Link)],MATCH($B11,tab_MinKomp[[Stanowisko / Position ]:[Stanowisko / Position ]],0)))</f>
        <v>n/a</v>
      </c>
      <c r="BK12" s="315" t="str">
        <f>IF(INDEX(tab_MinKomp[MP&amp;L (Material Planning and Logistics)],MATCH($B11,tab_MinKomp[[Stanowisko / Position ]:[Stanowisko / Position ]],0))="n/a","n/a",BK11-INDEX(tab_MinKomp[MP&amp;L (Material Planning and Logistics)],MATCH($B11,tab_MinKomp[[Stanowisko / Position ]:[Stanowisko / Position ]],0)))</f>
        <v>n/a</v>
      </c>
      <c r="BL12" s="315" t="str">
        <f>IF(INDEX(tab_MinKomp[Supplier delivery rating],MATCH($B11,tab_MinKomp[[Stanowisko / Position ]:[Stanowisko / Position ]],0))="n/a","n/a",BL11-INDEX(tab_MinKomp[Supplier delivery rating],MATCH($B11,tab_MinKomp[[Stanowisko / Position ]:[Stanowisko / Position ]],0)))</f>
        <v>n/a</v>
      </c>
      <c r="BM12" s="315" t="str">
        <f>IF(INDEX(tab_MinKomp[Planowanie produkcji / Produktionsplanung],MATCH($B11,tab_MinKomp[[Stanowisko / Position ]:[Stanowisko / Position ]],0))="n/a","n/a",BM11-INDEX(tab_MinKomp[Planowanie produkcji / Produktionsplanung],MATCH($B11,tab_MinKomp[[Stanowisko / Position ]:[Stanowisko / Position ]],0)))</f>
        <v>n/a</v>
      </c>
      <c r="BN12" s="315" t="str">
        <f>IF(INDEX(tab_MinKomp[Obsługa maszyn Engel / Engel Maschinenbedienung],MATCH($B11,tab_MinKomp[[Stanowisko / Position ]:[Stanowisko / Position ]],0))="n/a","n/a",BN11-INDEX(tab_MinKomp[Obsługa maszyn Engel / Engel Maschinenbedienung],MATCH($B11,tab_MinKomp[[Stanowisko / Position ]:[Stanowisko / Position ]],0)))</f>
        <v>n/a</v>
      </c>
      <c r="BO12" s="315" t="str">
        <f>IF(INDEX(tab_MinKomp[Obsługa maszyn Novapax / Novapax Maschinenbedienung],MATCH($B11,tab_MinKomp[[Stanowisko / Position ]:[Stanowisko / Position ]],0))="n/a","n/a",BO11-INDEX(tab_MinKomp[Obsługa maszyn Novapax / Novapax Maschinenbedienung],MATCH($B11,tab_MinKomp[[Stanowisko / Position ]:[Stanowisko / Position ]],0)))</f>
        <v>n/a</v>
      </c>
      <c r="BP12" s="315" t="str">
        <f>IF(INDEX(tab_MinKomp[Obsługa maszyn KVT / KVT Maschinenbedienung],MATCH($B11,tab_MinKomp[[Stanowisko / Position ]:[Stanowisko / Position ]],0))="n/a","n/a",BP11-INDEX(tab_MinKomp[Obsługa maszyn KVT / KVT Maschinenbedienung],MATCH($B11,tab_MinKomp[[Stanowisko / Position ]:[Stanowisko / Position ]],0)))</f>
        <v>n/a</v>
      </c>
      <c r="BQ12" s="315" t="str">
        <f>IF(INDEX(tab_MinKomp[Obsługa maszyn ASL / ASL Maschinenbedienung],MATCH($B11,tab_MinKomp[[Stanowisko / Position ]:[Stanowisko / Position ]],0))="n/a","n/a",BQ11-INDEX(tab_MinKomp[Obsługa maszyn ASL / ASL Maschinenbedienung],MATCH($B11,tab_MinKomp[[Stanowisko / Position ]:[Stanowisko / Position ]],0)))</f>
        <v>n/a</v>
      </c>
      <c r="BR12" s="315" t="str">
        <f>IF(INDEX(tab_MinKomp[Obsługa maszyn Branson / Branson Maschinenbedienung],MATCH($B11,tab_MinKomp[[Stanowisko / Position ]:[Stanowisko / Position ]],0))="n/a","n/a",BR11-INDEX(tab_MinKomp[Obsługa maszyn Branson / Branson Maschinenbedienung],MATCH($B11,tab_MinKomp[[Stanowisko / Position ]:[Stanowisko / Position ]],0)))</f>
        <v>n/a</v>
      </c>
      <c r="BS12" s="315" t="str">
        <f>IF(INDEX(tab_MinKomp[Obsługa maszyn Kamtec / Kamtec Maschinenbedienung],MATCH($B11,tab_MinKomp[[Stanowisko / Position ]:[Stanowisko / Position ]],0))="n/a","n/a",BS11-INDEX(tab_MinKomp[Obsługa maszyn Kamtec / Kamtec Maschinenbedienung],MATCH($B11,tab_MinKomp[[Stanowisko / Position ]:[Stanowisko / Position ]],0)))</f>
        <v>n/a</v>
      </c>
      <c r="BT12" s="315" t="str">
        <f>IF(INDEX(tab_MinKomp[Obsługa maszyn Piovan / Piovan Maschinenbedienung],MATCH($B11,tab_MinKomp[[Stanowisko / Position ]:[Stanowisko / Position ]],0))="n/a","n/a",BT11-INDEX(tab_MinKomp[Obsługa maszyn Piovan / Piovan Maschinenbedienung],MATCH($B11,tab_MinKomp[[Stanowisko / Position ]:[Stanowisko / Position ]],0)))</f>
        <v>n/a</v>
      </c>
      <c r="BU12" s="315" t="str">
        <f>IF(INDEX(tab_MinKomp[Obsługa maszyn REP / REP Maschinenbedienung],MATCH($B11,tab_MinKomp[[Stanowisko / Position ]:[Stanowisko / Position ]],0))="n/a","n/a",BU11-INDEX(tab_MinKomp[Obsługa maszyn REP / REP Maschinenbedienung],MATCH($B11,tab_MinKomp[[Stanowisko / Position ]:[Stanowisko / Position ]],0)))</f>
        <v>n/a</v>
      </c>
      <c r="BV12" s="315" t="str">
        <f>IF(INDEX(tab_MinKomp[Obsługa maszyn Novapax / Novapax Maschinenbedienung],MATCH($B11,tab_MinKomp[[Stanowisko / Position ]:[Stanowisko / Position ]],0))="n/a","n/a",BV11-INDEX(tab_MinKomp[Obsługa maszyn Novapax / Novapax Maschinenbedienung],MATCH($B11,tab_MinKomp[[Stanowisko / Position ]:[Stanowisko / Position ]],0)))</f>
        <v>n/a</v>
      </c>
      <c r="BW12" s="315">
        <f>IF(INDEX(tab_MinKomp[Informatyka ogólna (techniczne i systemowe) / Allgemeine IT (Technik und System)],MATCH($B11,tab_MinKomp[[Stanowisko / Position ]:[Stanowisko / Position ]],0))="n/a","n/a",BW11-INDEX(tab_MinKomp[Informatyka ogólna (techniczne i systemowe) / Allgemeine IT (Technik und System)],MATCH($B11,tab_MinKomp[[Stanowisko / Position ]:[Stanowisko / Position ]],0)))</f>
        <v>1</v>
      </c>
      <c r="BX12" s="315">
        <f>IF(INDEX(tab_MinKomp[Sieci komputerowe / Computernetzwerke],MATCH($B11,tab_MinKomp[[Stanowisko / Position ]:[Stanowisko / Position ]],0))="n/a","n/a",BX11-INDEX(tab_MinKomp[Sieci komputerowe / Computernetzwerke],MATCH($B11,tab_MinKomp[[Stanowisko / Position ]:[Stanowisko / Position ]],0)))</f>
        <v>1</v>
      </c>
      <c r="BY12" s="315">
        <f>IF(INDEX(tab_MinKomp[Hardware (komputery PC, drukarki biurowe i etykietowe, telefonia stacjonarna i mobilna) (PC, Drucker, Telefpne, Handys)],MATCH($B11,tab_MinKomp[[Stanowisko / Position ]:[Stanowisko / Position ]],0))="n/a","n/a",BY11-INDEX(tab_MinKomp[Hardware (komputery PC, drukarki biurowe i etykietowe, telefonia stacjonarna i mobilna) (PC, Drucker, Telefpne, Handys)],MATCH($B11,tab_MinKomp[[Stanowisko / Position ]:[Stanowisko / Position ]],0)))</f>
        <v>1</v>
      </c>
      <c r="BZ12" s="315">
        <f>IF(INDEX(tab_MinKomp[Software &amp; Systems (MS Office, MS Remote Desktop)],MATCH($B11,tab_MinKomp[[Stanowisko / Position ]:[Stanowisko / Position ]],0))="n/a","n/a",BZ11-INDEX(tab_MinKomp[Software &amp; Systems (MS Office, MS Remote Desktop)],MATCH($B11,tab_MinKomp[[Stanowisko / Position ]:[Stanowisko / Position ]],0)))</f>
        <v>1</v>
      </c>
      <c r="CA12" s="315">
        <f>IF(INDEX(tab_MinKomp[Programowanie obiektowe (PHP) / Objektprogrammierung],MATCH($B11,tab_MinKomp[[Stanowisko / Position ]:[Stanowisko / Position ]],0))="n/a","n/a",CA11-INDEX(tab_MinKomp[Programowanie obiektowe (PHP) / Objektprogrammierung],MATCH($B11,tab_MinKomp[[Stanowisko / Position ]:[Stanowisko / Position ]],0)))</f>
        <v>1</v>
      </c>
      <c r="CB12" s="315" t="str">
        <f>IF(INDEX(tab_MinKomp[Scrum],MATCH($B11,tab_MinKomp[[Stanowisko / Position ]:[Stanowisko / Position ]],0))="n/a","n/a",CB11-INDEX(tab_MinKomp[Scrum],MATCH($B11,tab_MinKomp[[Stanowisko / Position ]:[Stanowisko / Position ]],0)))</f>
        <v>n/a</v>
      </c>
      <c r="CC12" s="315">
        <f>IF(INDEX(tab_MinKomp[SQL (MySQL)],MATCH($B11,tab_MinKomp[[Stanowisko / Position ]:[Stanowisko / Position ]],0))="n/a","n/a",CC11-INDEX(tab_MinKomp[SQL (MySQL)],MATCH($B11,tab_MinKomp[[Stanowisko / Position ]:[Stanowisko / Position ]],0)))</f>
        <v>0</v>
      </c>
      <c r="CD12" s="315">
        <f>IF(INDEX(tab_MinKomp[Javascript],MATCH($B11,tab_MinKomp[[Stanowisko / Position ]:[Stanowisko / Position ]],0))="n/a","n/a",CD11-INDEX(tab_MinKomp[Javascript],MATCH($B11,tab_MinKomp[[Stanowisko / Position ]:[Stanowisko / Position ]],0)))</f>
        <v>0</v>
      </c>
      <c r="CE12" s="315">
        <f>IF(INDEX(tab_MinKomp[Joomla],MATCH($B11,tab_MinKomp[[Stanowisko / Position ]:[Stanowisko / Position ]],0))="n/a","n/a",CE11-INDEX(tab_MinKomp[Joomla],MATCH($B11,tab_MinKomp[[Stanowisko / Position ]:[Stanowisko / Position ]],0)))</f>
        <v>0</v>
      </c>
      <c r="CF12" s="315">
        <f>IF(INDEX(tab_MinKomp[Bash],MATCH($B11,tab_MinKomp[[Stanowisko / Position ]:[Stanowisko / Position ]],0))="n/a","n/a",CF11-INDEX(tab_MinKomp[Bash],MATCH($B11,tab_MinKomp[[Stanowisko / Position ]:[Stanowisko / Position ]],0)))</f>
        <v>0</v>
      </c>
      <c r="CG12" s="315">
        <f>IF(INDEX(tab_MinKomp[Systemy MES (HYDRA / SFMS)],MATCH($B11,tab_MinKomp[[Stanowisko / Position ]:[Stanowisko / Position ]],0))="n/a","n/a",CG11-INDEX(tab_MinKomp[Systemy MES (HYDRA / SFMS)],MATCH($B11,tab_MinKomp[[Stanowisko / Position ]:[Stanowisko / Position ]],0)))</f>
        <v>0</v>
      </c>
      <c r="CH12" s="315">
        <f>IF(INDEX(tab_MinKomp[HTML / CSS],MATCH($B11,tab_MinKomp[[Stanowisko / Position ]:[Stanowisko / Position ]],0))="n/a","n/a",CH11-INDEX(tab_MinKomp[HTML / CSS],MATCH($B11,tab_MinKomp[[Stanowisko / Position ]:[Stanowisko / Position ]],0)))</f>
        <v>0</v>
      </c>
      <c r="CI12" s="315">
        <f>IF(INDEX(tab_MinKomp[SYSTEM PR],MATCH($B11,tab_MinKomp[[Stanowisko / Position ]:[Stanowisko / Position ]],0))="n/a","n/a",CI11-INDEX(tab_MinKomp[SYSTEM PR],MATCH($B11,tab_MinKomp[[Stanowisko / Position ]:[Stanowisko / Position ]],0)))</f>
        <v>0</v>
      </c>
      <c r="CJ12" s="315" t="str">
        <f>IF(INDEX(tab_MinKomp[System Einkauf XP / EBA],MATCH($B11,tab_MinKomp[[Stanowisko / Position ]:[Stanowisko / Position ]],0))="n/a","n/a",CJ11-INDEX(tab_MinKomp[System Einkauf XP / EBA],MATCH($B11,tab_MinKomp[[Stanowisko / Position ]:[Stanowisko / Position ]],0)))</f>
        <v>n/a</v>
      </c>
      <c r="CK12" s="315" t="str">
        <f>IF(INDEX(tab_MinKomp[Techniki negocjacyjne / Verhandlungstechniken],MATCH($B11,tab_MinKomp[[Stanowisko / Position ]:[Stanowisko / Position ]],0))="n/a","n/a",CK11-INDEX(tab_MinKomp[Techniki negocjacyjne / Verhandlungstechniken],MATCH($B11,tab_MinKomp[[Stanowisko / Position ]:[Stanowisko / Position ]],0)))</f>
        <v>n/a</v>
      </c>
      <c r="CL12" s="315" t="str">
        <f>IF(INDEX(tab_MinKomp[Znajomość rynku branżowego / Kenntnis des Industrie Marktes],MATCH($B11,tab_MinKomp[[Stanowisko / Position ]:[Stanowisko / Position ]],0))="n/a","n/a",CL11-INDEX(tab_MinKomp[Znajomość rynku branżowego / Kenntnis des Industrie Marktes],MATCH($B11,tab_MinKomp[[Stanowisko / Position ]:[Stanowisko / Position ]],0)))</f>
        <v>n/a</v>
      </c>
      <c r="CM12" s="315">
        <f>IF(INDEX(tab_MinKomp[RAPORTY 8D / 8D Berichten],MATCH($B11,tab_MinKomp[[Stanowisko / Position ]:[Stanowisko / Position ]],0))="n/a","n/a",CM11-INDEX(tab_MinKomp[RAPORTY 8D / 8D Berichten],MATCH($B11,tab_MinKomp[[Stanowisko / Position ]:[Stanowisko / Position ]],0)))</f>
        <v>0</v>
      </c>
      <c r="CN12" s="315">
        <f>IF(INDEX(tab_MinKomp[NARZĘDZIA JAKOŚCIOWE (5WHY, Ishikawa, etc) / QS-Werkzeuge],MATCH($B11,tab_MinKomp[[Stanowisko / Position ]:[Stanowisko / Position ]],0))="n/a","n/a",CN11-INDEX(tab_MinKomp[NARZĘDZIA JAKOŚCIOWE (5WHY, Ishikawa, etc) / QS-Werkzeuge],MATCH($B11,tab_MinKomp[[Stanowisko / Position ]:[Stanowisko / Position ]],0)))</f>
        <v>0</v>
      </c>
      <c r="CO12" s="315">
        <f>IF(INDEX(tab_MinKomp[PDCA],MATCH($B11,tab_MinKomp[[Stanowisko / Position ]:[Stanowisko / Position ]],0))="n/a","n/a",CO11-INDEX(tab_MinKomp[PDCA],MATCH($B11,tab_MinKomp[[Stanowisko / Position ]:[Stanowisko / Position ]],0)))</f>
        <v>0</v>
      </c>
      <c r="CP12" s="315" t="str">
        <f>IF(INDEX(tab_MinKomp[Pareto],MATCH($B11,tab_MinKomp[[Stanowisko / Position ]:[Stanowisko / Position ]],0))="n/a","n/a",CP11-INDEX(tab_MinKomp[Pareto],MATCH($B11,tab_MinKomp[[Stanowisko / Position ]:[Stanowisko / Position ]],0)))</f>
        <v>n/a</v>
      </c>
      <c r="CQ12" s="315" t="str">
        <f>IF(INDEX(tab_MinKomp[PPAP/PSW],MATCH($B11,tab_MinKomp[[Stanowisko / Position ]:[Stanowisko / Position ]],0))="n/a","n/a",CQ11-INDEX(tab_MinKomp[PPAP/PSW],MATCH($B11,tab_MinKomp[[Stanowisko / Position ]:[Stanowisko / Position ]],0)))</f>
        <v>n/a</v>
      </c>
      <c r="CR12" s="315" t="str">
        <f>IF(INDEX(tab_MinKomp[SUPPLIER MANAGEMENT],MATCH($B11,tab_MinKomp[[Stanowisko / Position ]:[Stanowisko / Position ]],0))="n/a","n/a",CR11-INDEX(tab_MinKomp[SUPPLIER MANAGEMENT],MATCH($B11,tab_MinKomp[[Stanowisko / Position ]:[Stanowisko / Position ]],0)))</f>
        <v>n/a</v>
      </c>
      <c r="CS12" s="315" t="str">
        <f>IF(INDEX(tab_MinKomp[OBSŁUGA PORTALI KLIENTA / Kundenportale],MATCH($B11,tab_MinKomp[[Stanowisko / Position ]:[Stanowisko / Position ]],0))="n/a","n/a",CS11-INDEX(tab_MinKomp[OBSŁUGA PORTALI KLIENTA / Kundenportale],MATCH($B11,tab_MinKomp[[Stanowisko / Position ]:[Stanowisko / Position ]],0)))</f>
        <v>n/a</v>
      </c>
      <c r="CT12" s="315" t="str">
        <f>IF(INDEX(tab_MinKomp[Obsługa systemu BABTECQ / BABTECQ System],MATCH($B11,tab_MinKomp[[Stanowisko / Position ]:[Stanowisko / Position ]],0))="n/a","n/a",CT11-INDEX(tab_MinKomp[Obsługa systemu BABTECQ / BABTECQ System],MATCH($B11,tab_MinKomp[[Stanowisko / Position ]:[Stanowisko / Position ]],0)))</f>
        <v>n/a</v>
      </c>
      <c r="CU12" s="315" t="str">
        <f>IF(INDEX(tab_MinKomp[Rysunek techniczny / technische Zeichnung],MATCH($B11,tab_MinKomp[[Stanowisko / Position ]:[Stanowisko / Position ]],0))="n/a","n/a",CU11-INDEX(tab_MinKomp[Rysunek techniczny / technische Zeichnung],MATCH($B11,tab_MinKomp[[Stanowisko / Position ]:[Stanowisko / Position ]],0)))</f>
        <v>n/a</v>
      </c>
      <c r="CV12" s="315" t="str">
        <f>IF(INDEX(tab_MinKomp[Kalibracja / Kalibrierung],MATCH($B11,tab_MinKomp[[Stanowisko / Position ]:[Stanowisko / Position ]],0))="n/a","n/a",CV11-INDEX(tab_MinKomp[Kalibracja / Kalibrierung],MATCH($B11,tab_MinKomp[[Stanowisko / Position ]:[Stanowisko / Position ]],0)))</f>
        <v>n/a</v>
      </c>
      <c r="CW12" s="315" t="str">
        <f>IF(INDEX(tab_MinKomp[Rekwalifikacja / Requalifizierung],MATCH($B11,tab_MinKomp[[Stanowisko / Position ]:[Stanowisko / Position ]],0))="n/a","n/a",CW11-INDEX(tab_MinKomp[Rekwalifikacja / Requalifizierung],MATCH($B11,tab_MinKomp[[Stanowisko / Position ]:[Stanowisko / Position ]],0)))</f>
        <v>n/a</v>
      </c>
      <c r="CX12" s="315" t="str">
        <f>IF(INDEX(tab_MinKomp[Obsługa mikroskopu optycznego / Bedienung eines optischen Mikroskops],MATCH($B11,tab_MinKomp[[Stanowisko / Position ]:[Stanowisko / Position ]],0))="n/a","n/a",CX11-INDEX(tab_MinKomp[Obsługa mikroskopu optycznego / Bedienung eines optischen Mikroskops],MATCH($B11,tab_MinKomp[[Stanowisko / Position ]:[Stanowisko / Position ]],0)))</f>
        <v>n/a</v>
      </c>
      <c r="CY12" s="315" t="str">
        <f>IF(INDEX(tab_MinKomp[Wykonywanie pomiarów optycznych - ocena wizualna / Optische Messungen durchführen – visuelle Beurteilung],MATCH($B11,tab_MinKomp[[Stanowisko / Position ]:[Stanowisko / Position ]],0))="n/a","n/a",CY11-INDEX(tab_MinKomp[Wykonywanie pomiarów optycznych - ocena wizualna / Optische Messungen durchführen – visuelle Beurteilung],MATCH($B11,tab_MinKomp[[Stanowisko / Position ]:[Stanowisko / Position ]],0)))</f>
        <v>n/a</v>
      </c>
      <c r="CZ12" s="315" t="str">
        <f>IF(INDEX(tab_MinKomp[Obsługa Rheometra / Rheometra-Unterstützung],MATCH($B11,tab_MinKomp[[Stanowisko / Position ]:[Stanowisko / Position ]],0))="n/a","n/a",CZ11-INDEX(tab_MinKomp[Obsługa Rheometra / Rheometra-Unterstützung],MATCH($B11,tab_MinKomp[[Stanowisko / Position ]:[Stanowisko / Position ]],0)))</f>
        <v>n/a</v>
      </c>
      <c r="DA12" s="315" t="str">
        <f>IF(INDEX(tab_MinKomp[Testy właściwości Rheometra mieszanki gumy],MATCH($B11,tab_MinKomp[[Stanowisko / Position ]:[Stanowisko / Position ]],0))="n/a","n/a",DA11-INDEX(tab_MinKomp[Testy właściwości Rheometra mieszanki gumy],MATCH($B11,tab_MinKomp[[Stanowisko / Position ]:[Stanowisko / Position ]],0)))</f>
        <v>n/a</v>
      </c>
      <c r="DB12" s="315" t="str">
        <f>IF(INDEX(tab_MinKomp[CMM - Contura Zeiss],MATCH($B11,tab_MinKomp[[Stanowisko / Position ]:[Stanowisko / Position ]],0))="n/a","n/a",DB11-INDEX(tab_MinKomp[CMM - Contura Zeiss],MATCH($B11,tab_MinKomp[[Stanowisko / Position ]:[Stanowisko / Position ]],0)))</f>
        <v>n/a</v>
      </c>
      <c r="DC12" s="315" t="str">
        <f>IF(INDEX(tab_MinKomp[Wykonywanie precyzyjnych pomiarów metrycznych, pomiary 3D],MATCH($B11,tab_MinKomp[[Stanowisko / Position ]:[Stanowisko / Position ]],0))="n/a","n/a",DC11-INDEX(tab_MinKomp[Wykonywanie precyzyjnych pomiarów metrycznych, pomiary 3D],MATCH($B11,tab_MinKomp[[Stanowisko / Position ]:[Stanowisko / Position ]],0)))</f>
        <v>n/a</v>
      </c>
      <c r="DD12" s="315" t="str">
        <f>IF(INDEX(tab_MinKomp[Pisanie programów / Programme schreiben],MATCH($B11,tab_MinKomp[[Stanowisko / Position ]:[Stanowisko / Position ]],0))="n/a","n/a",DD11-INDEX(tab_MinKomp[Pisanie programów / Programme schreiben],MATCH($B11,tab_MinKomp[[Stanowisko / Position ]:[Stanowisko / Position ]],0)))</f>
        <v>n/a</v>
      </c>
      <c r="DE12" s="315" t="str">
        <f>IF(INDEX(tab_MinKomp[Obsługa wyposażenia do testów czystości (myjka + analizator) / Betrieb von Sauberkeitsprüfgeräten (Waschmaschine + Analysegerät)],MATCH($B11,tab_MinKomp[[Stanowisko / Position ]:[Stanowisko / Position ]],0))="n/a","n/a",DE11-INDEX(tab_MinKomp[Obsługa wyposażenia do testów czystości (myjka + analizator) / Betrieb von Sauberkeitsprüfgeräten (Waschmaschine + Analysegerät)],MATCH($B11,tab_MinKomp[[Stanowisko / Position ]:[Stanowisko / Position ]],0)))</f>
        <v>n/a</v>
      </c>
      <c r="DF12" s="315" t="str">
        <f>IF(INDEX(tab_MinKomp[Testy czystości / Reinheitstests],MATCH($B11,tab_MinKomp[[Stanowisko / Position ]:[Stanowisko / Position ]],0))="n/a","n/a",DF11-INDEX(tab_MinKomp[Testy czystości / Reinheitstests],MATCH($B11,tab_MinKomp[[Stanowisko / Position ]:[Stanowisko / Position ]],0)))</f>
        <v>n/a</v>
      </c>
      <c r="DG12" s="315" t="str">
        <f>IF(INDEX(tab_MinKomp[Obsługa wysokościomierza / Unterstützung für Höhenmesser],MATCH($B11,tab_MinKomp[[Stanowisko / Position ]:[Stanowisko / Position ]],0))="n/a","n/a",DG11-INDEX(tab_MinKomp[Obsługa wysokościomierza / Unterstützung für Höhenmesser],MATCH($B11,tab_MinKomp[[Stanowisko / Position ]:[Stanowisko / Position ]],0)))</f>
        <v>n/a</v>
      </c>
      <c r="DH12" s="315" t="str">
        <f>IF(INDEX(tab_MinKomp[Pomiary wysokości materiału / Materialhöhenmessungen],MATCH($B11,tab_MinKomp[[Stanowisko / Position ]:[Stanowisko / Position ]],0))="n/a","n/a",DH11-INDEX(tab_MinKomp[Pomiary wysokości materiału / Materialhöhenmessungen],MATCH($B11,tab_MinKomp[[Stanowisko / Position ]:[Stanowisko / Position ]],0)))</f>
        <v>n/a</v>
      </c>
      <c r="DI12" s="315" t="str">
        <f>IF(INDEX(tab_MinKomp[Obsługa okrągłościomierza / Unterstützung für Rundheitsmessgeräte],MATCH($B11,tab_MinKomp[[Stanowisko / Position ]:[Stanowisko / Position ]],0))="n/a","n/a",DI11-INDEX(tab_MinKomp[Obsługa okrągłościomierza / Unterstützung für Rundheitsmessgeräte],MATCH($B11,tab_MinKomp[[Stanowisko / Position ]:[Stanowisko / Position ]],0)))</f>
        <v>n/a</v>
      </c>
      <c r="DJ12" s="315" t="str">
        <f>IF(INDEX(tab_MinKomp[Wykonywania pomiarów owalności, srednicy materiału / Messung der Ovalität und des Durchmessers des Materials],MATCH($B11,tab_MinKomp[[Stanowisko / Position ]:[Stanowisko / Position ]],0))="n/a","n/a",DJ11-INDEX(tab_MinKomp[Wykonywania pomiarów owalności, srednicy materiału / Messung der Ovalität und des Durchmessers des Materials],MATCH($B11,tab_MinKomp[[Stanowisko / Position ]:[Stanowisko / Position ]],0)))</f>
        <v>n/a</v>
      </c>
      <c r="DK12" s="315" t="str">
        <f>IF(INDEX(tab_MinKomp[Obsługa urządzenia do pomiarów chropowoatości powierzchni materiału],MATCH($B11,tab_MinKomp[[Stanowisko / Position ]:[Stanowisko / Position ]],0))="n/a","n/a",DK11-INDEX(tab_MinKomp[Obsługa urządzenia do pomiarów chropowoatości powierzchni materiału],MATCH($B11,tab_MinKomp[[Stanowisko / Position ]:[Stanowisko / Position ]],0)))</f>
        <v>n/a</v>
      </c>
      <c r="DL12" s="315" t="str">
        <f>IF(INDEX(tab_MinKomp[Wykonywanie pomiarów chropowatości powierzchni materiału / Durchführung von Messungen der Materialoberflächenrauheit],MATCH($B11,tab_MinKomp[[Stanowisko / Position ]:[Stanowisko / Position ]],0))="n/a","n/a",DL11-INDEX(tab_MinKomp[Wykonywanie pomiarów chropowatości powierzchni materiału / Durchführung von Messungen der Materialoberflächenrauheit],MATCH($B11,tab_MinKomp[[Stanowisko / Position ]:[Stanowisko / Position ]],0)))</f>
        <v>n/a</v>
      </c>
      <c r="DM12" s="315" t="str">
        <f>IF(INDEX(tab_MinKomp[Obsługa urządzenia do pomiaru siły radialnej części - postępowanie z trzpieniami. / Funktionsweise des Geräts zur Messung der Radialkraft von Teilen – Handhabungsstifte.],MATCH($B11,tab_MinKomp[[Stanowisko / Position ]:[Stanowisko / Position ]],0))="n/a","n/a",DM11-INDEX(tab_MinKomp[Obsługa urządzenia do pomiaru siły radialnej części - postępowanie z trzpieniami. / Funktionsweise des Geräts zur Messung der Radialkraft von Teilen – Handhabungsstifte.],MATCH($B11,tab_MinKomp[[Stanowisko / Position ]:[Stanowisko / Position ]],0)))</f>
        <v>n/a</v>
      </c>
      <c r="DN12" s="315" t="str">
        <f>IF(INDEX(tab_MinKomp[Wykonywanie pomiarów siły radialnej części / Führen Sie Radialkraftmessungen an Teilen durch],MATCH($B11,tab_MinKomp[[Stanowisko / Position ]:[Stanowisko / Position ]],0))="n/a","n/a",DN11-INDEX(tab_MinKomp[Wykonywanie pomiarów siły radialnej części / Führen Sie Radialkraftmessungen an Teilen durch],MATCH($B11,tab_MinKomp[[Stanowisko / Position ]:[Stanowisko / Position ]],0)))</f>
        <v>n/a</v>
      </c>
      <c r="DO12" s="315" t="str">
        <f>IF(INDEX(tab_MinKomp[Obsługa komory do testów wybuchwych / Betrieb einer Explosionsprüfkammer],MATCH($B11,tab_MinKomp[[Stanowisko / Position ]:[Stanowisko / Position ]],0))="n/a","n/a",DO11-INDEX(tab_MinKomp[Obsługa komory do testów wybuchwych / Betrieb einer Explosionsprüfkammer],MATCH($B11,tab_MinKomp[[Stanowisko / Position ]:[Stanowisko / Position ]],0)))</f>
        <v>n/a</v>
      </c>
      <c r="DP12" s="315" t="str">
        <f>IF(INDEX(tab_MinKomp[Wykonywanie testów wybuchowych części / Durchführung von Explosionstests an Teilen],MATCH($B11,tab_MinKomp[[Stanowisko / Position ]:[Stanowisko / Position ]],0))="n/a","n/a",DP11-INDEX(tab_MinKomp[Wykonywanie testów wybuchowych części / Durchführung von Explosionstests an Teilen],MATCH($B11,tab_MinKomp[[Stanowisko / Position ]:[Stanowisko / Position ]],0)))</f>
        <v>n/a</v>
      </c>
      <c r="DQ12" s="315" t="str">
        <f>IF(INDEX(tab_MinKomp[Obsługa urządzeń do mierzenia siły trzymania i/lub rozciągania / Betrieb von Geräten zur Messung der Halte- und/oder Dehnkraft],MATCH($B11,tab_MinKomp[[Stanowisko / Position ]:[Stanowisko / Position ]],0))="n/a","n/a",DQ11-INDEX(tab_MinKomp[Obsługa urządzeń do mierzenia siły trzymania i/lub rozciągania / Betrieb von Geräten zur Messung der Halte- und/oder Dehnkraft],MATCH($B11,tab_MinKomp[[Stanowisko / Position ]:[Stanowisko / Position ]],0)))</f>
        <v>n/a</v>
      </c>
      <c r="DR12" s="315" t="str">
        <f>IF(INDEX(tab_MinKomp[Wykonywanie testów mierzenia siły trzymania i/lub rozciągania / Durchführung von Tests zur Messung der Halte- und/oder Streckkraft],MATCH($B11,tab_MinKomp[[Stanowisko / Position ]:[Stanowisko / Position ]],0))="n/a","n/a",DR11-INDEX(tab_MinKomp[Wykonywanie testów mierzenia siły trzymania i/lub rozciągania / Durchführung von Tests zur Messung der Halte- und/oder Streckkraft],MATCH($B11,tab_MinKomp[[Stanowisko / Position ]:[Stanowisko / Position ]],0)))</f>
        <v>n/a</v>
      </c>
      <c r="DS12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Luftstrom)],MATCH($B11,tab_MinKomp[[Stanowisko / Position ]:[Stanowisko / Position ]],0))="n/a","n/a",DS11-INDEX(tab_MinKomp[Obsługa multimetru do pomiarów środowiskowych (temperatura, wilgotność, hałas, oświetlenie, przepływ powietrza) / Betrieb eines Multimeters für Umweltmessungen (Temperatur, Luftfeuchtigkeit, Lärm, Beleuchtung, Luftstrom)],MATCH($B11,tab_MinKomp[[Stanowisko / Position ]:[Stanowisko / Position ]],0)))</f>
        <v>n/a</v>
      </c>
      <c r="DT12" s="315" t="str">
        <f>IF(INDEX(tab_MinKomp[Kontrola warunków środowiskowych pracy (temperatura, wilgotność, hałas, oświetlenie, przepływ powietrza) / Kontrolle der Arbeitsumgebungsbedingungen (Temperatur, Luftfeuchtigkeit, Lärm, Beleuchtung, Luftstrom)],MATCH($B11,tab_MinKomp[[Stanowisko / Position ]:[Stanowisko / Position ]],0))="n/a","n/a",DT11-INDEX(tab_MinKomp[Kontrola warunków środowiskowych pracy (temperatura, wilgotność, hałas, oświetlenie, przepływ powietrza) / Kontrolle der Arbeitsumgebungsbedingungen (Temperatur, Luftfeuchtigkeit, Lärm, Beleuchtung, Luftstrom)],MATCH($B11,tab_MinKomp[[Stanowisko / Position ]:[Stanowisko / Position ]],0)))</f>
        <v>n/a</v>
      </c>
      <c r="DU12" s="315" t="str">
        <f>IF(INDEX(tab_MinKomp[MSA i SPC],MATCH($B11,tab_MinKomp[[Stanowisko / Position ]:[Stanowisko / Position ]],0))="n/a","n/a",DU11-INDEX(tab_MinKomp[MSA i SPC],MATCH($B11,tab_MinKomp[[Stanowisko / Position ]:[Stanowisko / Position ]],0)))</f>
        <v>n/a</v>
      </c>
      <c r="DV12" s="315" t="str">
        <f>IF(INDEX(tab_MinKomp[Kontrola wejściowa komponentów/ Eingangskontrolle],MATCH($B11,tab_MinKomp[[Stanowisko / Position ]:[Stanowisko / Position ]],0))="n/a","n/a",DV11-INDEX(tab_MinKomp[Kontrola wejściowa komponentów/ Eingangskontrolle],MATCH($B11,tab_MinKomp[[Stanowisko / Position ]:[Stanowisko / Position ]],0)))</f>
        <v>n/a</v>
      </c>
      <c r="DW12" s="315" t="str">
        <f>IF(INDEX(tab_MinKomp[Kontrola wyjściowa produktu / Ausgangskontrolle],MATCH($B11,tab_MinKomp[[Stanowisko / Position ]:[Stanowisko / Position ]],0))="n/a","n/a",DW11-INDEX(tab_MinKomp[Kontrola wyjściowa produktu / Ausgangskontrolle],MATCH($B11,tab_MinKomp[[Stanowisko / Position ]:[Stanowisko / Position ]],0)))</f>
        <v>n/a</v>
      </c>
      <c r="DX12" s="315" t="str">
        <f>IF(INDEX(tab_MinKomp[Kontrola codzienna produkcji / Tägliche Produktionskontrolle],MATCH($B11,tab_MinKomp[[Stanowisko / Position ]:[Stanowisko / Position ]],0))="n/a","n/a",DX11-INDEX(tab_MinKomp[Kontrola codzienna produkcji / Tägliche Produktionskontrolle],MATCH($B11,tab_MinKomp[[Stanowisko / Position ]:[Stanowisko / Position ]],0)))</f>
        <v>n/a</v>
      </c>
      <c r="DY12" s="315" t="str">
        <f>IF(INDEX(tab_MinKomp[Konserwacja Rep],MATCH($B11,tab_MinKomp[[Stanowisko / Position ]:[Stanowisko / Position ]],0))="n/a","n/a",DY11-INDEX(tab_MinKomp[Konserwacja Rep],MATCH($B11,tab_MinKomp[[Stanowisko / Position ]:[Stanowisko / Position ]],0)))</f>
        <v>n/a</v>
      </c>
      <c r="DZ12" s="315" t="str">
        <f>IF(INDEX(tab_MinKomp[[Konserwacja Engel ]],MATCH($B11,tab_MinKomp[[Stanowisko / Position ]:[Stanowisko / Position ]],0))="n/a","n/a",DZ11-INDEX(tab_MinKomp[[Konserwacja Engel ]],MATCH($B11,tab_MinKomp[[Stanowisko / Position ]:[Stanowisko / Position ]],0)))</f>
        <v>n/a</v>
      </c>
      <c r="EA12" s="315" t="str">
        <f>IF(INDEX(tab_MinKomp[Konserwacja B 50],MATCH($B11,tab_MinKomp[[Stanowisko / Position ]:[Stanowisko / Position ]],0))="n/a","n/a",EA11-INDEX(tab_MinKomp[Konserwacja B 50],MATCH($B11,tab_MinKomp[[Stanowisko / Position ]:[Stanowisko / Position ]],0)))</f>
        <v>n/a</v>
      </c>
      <c r="EB12" s="315" t="str">
        <f>IF(INDEX(tab_MinKomp[[Konserwacja EOL ]],MATCH($B11,tab_MinKomp[[Stanowisko / Position ]:[Stanowisko / Position ]],0))="n/a","n/a",EB11-INDEX(tab_MinKomp[[Konserwacja EOL ]],MATCH($B11,tab_MinKomp[[Stanowisko / Position ]:[Stanowisko / Position ]],0)))</f>
        <v>n/a</v>
      </c>
      <c r="EC12" s="315" t="str">
        <f>IF(INDEX(tab_MinKomp[Konserwacja Branson],MATCH($B11,tab_MinKomp[[Stanowisko / Position ]:[Stanowisko / Position ]],0))="n/a","n/a",EC11-INDEX(tab_MinKomp[Konserwacja Branson],MATCH($B11,tab_MinKomp[[Stanowisko / Position ]:[Stanowisko / Position ]],0)))</f>
        <v>n/a</v>
      </c>
      <c r="ED12" s="315" t="str">
        <f>IF(INDEX(tab_MinKomp[Konserwacja coolery],MATCH($B11,tab_MinKomp[[Stanowisko / Position ]:[Stanowisko / Position ]],0))="n/a","n/a",ED11-INDEX(tab_MinKomp[Konserwacja coolery],MATCH($B11,tab_MinKomp[[Stanowisko / Position ]:[Stanowisko / Position ]],0)))</f>
        <v>n/a</v>
      </c>
      <c r="EE12" s="315" t="str">
        <f>IF(INDEX(tab_MinKomp[Konserwacja piecy],MATCH($B11,tab_MinKomp[[Stanowisko / Position ]:[Stanowisko / Position ]],0))="n/a","n/a",EE11-INDEX(tab_MinKomp[Konserwacja piecy],MATCH($B11,tab_MinKomp[[Stanowisko / Position ]:[Stanowisko / Position ]],0)))</f>
        <v>n/a</v>
      </c>
      <c r="EF12" s="315" t="str">
        <f>IF(INDEX(tab_MinKomp[Rysunek techniczny- czytanie],MATCH($B11,tab_MinKomp[[Stanowisko / Position ]:[Stanowisko / Position ]],0))="n/a","n/a",EF11-INDEX(tab_MinKomp[Rysunek techniczny- czytanie],MATCH($B11,tab_MinKomp[[Stanowisko / Position ]:[Stanowisko / Position ]],0)))</f>
        <v>n/a</v>
      </c>
      <c r="EG12" s="315" t="str">
        <f>IF(INDEX(tab_MinKomp[Elektryka],MATCH($B11,tab_MinKomp[[Stanowisko / Position ]:[Stanowisko / Position ]],0))="n/a","n/a",EG11-INDEX(tab_MinKomp[Elektryka],MATCH($B11,tab_MinKomp[[Stanowisko / Position ]:[Stanowisko / Position ]],0)))</f>
        <v>n/a</v>
      </c>
      <c r="EH12" s="315" t="str">
        <f>IF(INDEX(tab_MinKomp[Pneumatyka],MATCH($B11,tab_MinKomp[[Stanowisko / Position ]:[Stanowisko / Position ]],0))="n/a","n/a",EH11-INDEX(tab_MinKomp[Pneumatyka],MATCH($B11,tab_MinKomp[[Stanowisko / Position ]:[Stanowisko / Position ]],0)))</f>
        <v>n/a</v>
      </c>
      <c r="EI12" s="315" t="str">
        <f>IF(INDEX(tab_MinKomp[[Hydraulika ]],MATCH($B11,tab_MinKomp[[Stanowisko / Position ]:[Stanowisko / Position ]],0))="n/a","n/a",EI11-INDEX(tab_MinKomp[[Hydraulika ]],MATCH($B11,tab_MinKomp[[Stanowisko / Position ]:[Stanowisko / Position ]],0)))</f>
        <v>n/a</v>
      </c>
      <c r="EJ12" s="315" t="str">
        <f>IF(INDEX(tab_MinKomp[Podciśnienie],MATCH($B11,tab_MinKomp[[Stanowisko / Position ]:[Stanowisko / Position ]],0))="n/a","n/a",EJ11-INDEX(tab_MinKomp[Podciśnienie],MATCH($B11,tab_MinKomp[[Stanowisko / Position ]:[Stanowisko / Position ]],0)))</f>
        <v>n/a</v>
      </c>
      <c r="EK12" s="315" t="str">
        <f>IF(INDEX(tab_MinKomp[Usuwanie awarii],MATCH($B11,tab_MinKomp[[Stanowisko / Position ]:[Stanowisko / Position ]],0))="n/a","n/a",EK11-INDEX(tab_MinKomp[Usuwanie awarii],MATCH($B11,tab_MinKomp[[Stanowisko / Position ]:[Stanowisko / Position ]],0)))</f>
        <v>n/a</v>
      </c>
      <c r="EL12" s="315" t="str">
        <f>IF(INDEX(tab_MinKomp[Obsługa robotów],MATCH($B11,tab_MinKomp[[Stanowisko / Position ]:[Stanowisko / Position ]],0))="n/a","n/a",EL11-INDEX(tab_MinKomp[Obsługa robotów],MATCH($B11,tab_MinKomp[[Stanowisko / Position ]:[Stanowisko / Position ]],0)))</f>
        <v>n/a</v>
      </c>
      <c r="EM12" s="315" t="str">
        <f>IF(INDEX(tab_MinKomp[Obsługa sterowania maszyny],MATCH($B11,tab_MinKomp[[Stanowisko / Position ]:[Stanowisko / Position ]],0))="n/a","n/a",EM11-INDEX(tab_MinKomp[Obsługa sterowania maszyny],MATCH($B11,tab_MinKomp[[Stanowisko / Position ]:[Stanowisko / Position ]],0)))</f>
        <v>n/a</v>
      </c>
      <c r="EN12" s="315" t="str">
        <f>IF(INDEX(tab_MinKomp[Usuwanie przyczyn żródłowych],MATCH($B11,tab_MinKomp[[Stanowisko / Position ]:[Stanowisko / Position ]],0))="n/a","n/a",EN11-INDEX(tab_MinKomp[Usuwanie przyczyn żródłowych],MATCH($B11,tab_MinKomp[[Stanowisko / Position ]:[Stanowisko / Position ]],0)))</f>
        <v>n/a</v>
      </c>
      <c r="EO12" s="315" t="str">
        <f>IF(INDEX(tab_MinKomp[Cmms stosowanie],MATCH($B11,tab_MinKomp[[Stanowisko / Position ]:[Stanowisko / Position ]],0))="n/a","n/a",EO11-INDEX(tab_MinKomp[Cmms stosowanie],MATCH($B11,tab_MinKomp[[Stanowisko / Position ]:[Stanowisko / Position ]],0)))</f>
        <v>n/a</v>
      </c>
      <c r="EP12" s="315" t="str">
        <f>IF(INDEX(tab_MinKomp[[Czyszczenie form gumowych ]],MATCH($B11,tab_MinKomp[[Stanowisko / Position ]:[Stanowisko / Position ]],0))="n/a","n/a",EP11-INDEX(tab_MinKomp[[Czyszczenie form gumowych ]],MATCH($B11,tab_MinKomp[[Stanowisko / Position ]:[Stanowisko / Position ]],0)))</f>
        <v>n/a</v>
      </c>
      <c r="EQ12" s="315" t="str">
        <f>IF(INDEX(tab_MinKomp[Czyszczenie form plastikowych],MATCH($B11,tab_MinKomp[[Stanowisko / Position ]:[Stanowisko / Position ]],0))="n/a","n/a",EQ11-INDEX(tab_MinKomp[Czyszczenie form plastikowych],MATCH($B11,tab_MinKomp[[Stanowisko / Position ]:[Stanowisko / Position ]],0)))</f>
        <v>n/a</v>
      </c>
      <c r="ER12" s="315" t="str">
        <f>IF(INDEX(tab_MinKomp[Wymiana form plastik],MATCH($B11,tab_MinKomp[[Stanowisko / Position ]:[Stanowisko / Position ]],0))="n/a","n/a",ER11-INDEX(tab_MinKomp[Wymiana form plastik],MATCH($B11,tab_MinKomp[[Stanowisko / Position ]:[Stanowisko / Position ]],0)))</f>
        <v>n/a</v>
      </c>
      <c r="ES12" s="315" t="str">
        <f>IF(INDEX(tab_MinKomp[Wymiana form guma],MATCH($B11,tab_MinKomp[[Stanowisko / Position ]:[Stanowisko / Position ]],0))="n/a","n/a",ES11-INDEX(tab_MinKomp[Wymiana form guma],MATCH($B11,tab_MinKomp[[Stanowisko / Position ]:[Stanowisko / Position ]],0)))</f>
        <v>n/a</v>
      </c>
      <c r="ET12" s="315" t="str">
        <f>IF(INDEX(tab_MinKomp[Konserwacja KK],MATCH($B11,tab_MinKomp[[Stanowisko / Position ]:[Stanowisko / Position ]],0))="n/a","n/a",ET11-INDEX(tab_MinKomp[Konserwacja KK],MATCH($B11,tab_MinKomp[[Stanowisko / Position ]:[Stanowisko / Position ]],0)))</f>
        <v>n/a</v>
      </c>
      <c r="EU12" s="315" t="str">
        <f>IF(INDEX(tab_MinKomp[Konserwacja form guma],MATCH($B11,tab_MinKomp[[Stanowisko / Position ]:[Stanowisko / Position ]],0))="n/a","n/a",EU11-INDEX(tab_MinKomp[Konserwacja form guma],MATCH($B11,tab_MinKomp[[Stanowisko / Position ]:[Stanowisko / Position ]],0)))</f>
        <v>n/a</v>
      </c>
      <c r="EV12" s="315" t="str">
        <f>IF(INDEX(tab_MinKomp[Konserwacja form plastiki],MATCH($B11,tab_MinKomp[[Stanowisko / Position ]:[Stanowisko / Position ]],0))="n/a","n/a",EV11-INDEX(tab_MinKomp[Konserwacja form plastiki],MATCH($B11,tab_MinKomp[[Stanowisko / Position ]:[Stanowisko / Position ]],0)))</f>
        <v>n/a</v>
      </c>
      <c r="EW12" s="330" t="str">
        <f>IF(INDEX(tab_MinKomp[Konserwacja form plastiki],MATCH($B11,tab_MinKomp[[Stanowisko / Position ]:[Stanowisko / Position ]],0))="n/a","n/a",EW11-INDEX(tab_MinKomp[Konserwacja form plastiki],MATCH($B11,tab_MinKomp[[Stanowisko / Position ]:[Stanowisko / Position ]],0)))</f>
        <v>n/a</v>
      </c>
      <c r="EX12" s="315" t="str">
        <f>IF(INDEX(tab_MinKomp[Konserwacja Gorącego Kanału],MATCH($B11,tab_MinKomp[[Stanowisko / Position ]:[Stanowisko / Position ]],0))="n/a","n/a",EX11-INDEX(tab_MinKomp[Konserwacja Gorącego Kanału],MATCH($B11,tab_MinKomp[[Stanowisko / Position ]:[Stanowisko / Position ]],0)))</f>
        <v>n/a</v>
      </c>
      <c r="EY12" s="315">
        <f>IF(INDEX(tab_MinKomp[MS Office (Excel)],MATCH($B11,tab_MinKomp[[Stanowisko / Position ]:[Stanowisko / Position ]],0))="n/a","n/a",EY11-INDEX(tab_MinKomp[MS Office (Excel)],MATCH($B11,tab_MinKomp[[Stanowisko / Position ]:[Stanowisko / Position ]],0)))</f>
        <v>1</v>
      </c>
      <c r="EZ12" s="315">
        <f>IF(INDEX(tab_MinKomp[MS Office (Word)],MATCH($B11,tab_MinKomp[[Stanowisko / Position ]:[Stanowisko / Position ]],0))="n/a","n/a",EZ11-INDEX(tab_MinKomp[MS Office (Word)],MATCH($B11,tab_MinKomp[[Stanowisko / Position ]:[Stanowisko / Position ]],0)))</f>
        <v>1</v>
      </c>
      <c r="FA12" s="315">
        <f>IF(INDEX(tab_MinKomp[MS Office (Power Point)],MATCH($B11,tab_MinKomp[[Stanowisko / Position ]:[Stanowisko / Position ]],0))="n/a","n/a",FA11-INDEX(tab_MinKomp[MS Office (Power Point)],MATCH($B11,tab_MinKomp[[Stanowisko / Position ]:[Stanowisko / Position ]],0)))</f>
        <v>1</v>
      </c>
      <c r="FB12" s="315">
        <f>IF(INDEX(tab_MinKomp[Język angielski / Englisch],MATCH($B11,tab_MinKomp[[Stanowisko / Position ]:[Stanowisko / Position ]],0))="n/a","n/a",FB11-INDEX(tab_MinKomp[Język angielski / Englisch],MATCH($B11,tab_MinKomp[[Stanowisko / Position ]:[Stanowisko / Position ]],0)))</f>
        <v>0</v>
      </c>
      <c r="FC12" s="315" t="str">
        <f>IF(INDEX(tab_MinKomp[Język niemiecki / Deutsch],MATCH($B11,tab_MinKomp[[Stanowisko / Position ]:[Stanowisko / Position ]],0))="n/a","n/a",FC11-INDEX(tab_MinKomp[Język niemiecki / Deutsch],MATCH($B11,tab_MinKomp[[Stanowisko / Position ]:[Stanowisko / Position ]],0)))</f>
        <v>n/a</v>
      </c>
      <c r="FD12" s="315">
        <f>IF(INDEX(tab_MinKomp[Zarządzanie dokumentacją procesową / Process dokumentation management],MATCH($B11,tab_MinKomp[[Stanowisko / Position ]:[Stanowisko / Position ]],0))="n/a","n/a",FD11-INDEX(tab_MinKomp[Zarządzanie dokumentacją procesową / Process dokumentation management],MATCH($B11,tab_MinKomp[[Stanowisko / Position ]:[Stanowisko / Position ]],0)))</f>
        <v>0</v>
      </c>
      <c r="FE12" s="315">
        <f>IF(INDEX(tab_MinKomp[Znajomość procesów z obszaru / Kenntiss der prozesse in dem Bereich],MATCH($B11,tab_MinKomp[[Stanowisko / Position ]:[Stanowisko / Position ]],0))="n/a","n/a",FE11-INDEX(tab_MinKomp[Znajomość procesów z obszaru / Kenntiss der prozesse in dem Bereich],MATCH($B11,tab_MinKomp[[Stanowisko / Position ]:[Stanowisko / Position ]],0)))</f>
        <v>0</v>
      </c>
      <c r="FF12" s="315">
        <f>IF(INDEX(tab_MinKomp[optymalizacja procesów / Prozessoptymalisierung],MATCH($B11,tab_MinKomp[[Stanowisko / Position ]:[Stanowisko / Position ]],0))="n/a","n/a",FF11-INDEX(tab_MinKomp[optymalizacja procesów / Prozessoptymalisierung],MATCH($B11,tab_MinKomp[[Stanowisko / Position ]:[Stanowisko / Position ]],0)))</f>
        <v>0</v>
      </c>
      <c r="FG12" s="315">
        <f>IF(INDEX(tab_MinKomp[Umiejętności szkoleniowe / Trainingsfähigkeiten],MATCH($B11,tab_MinKomp[[Stanowisko / Position ]:[Stanowisko / Position ]],0))="n/a","n/a",FG11-INDEX(tab_MinKomp[Umiejętności szkoleniowe / Trainingsfähigkeiten],MATCH($B11,tab_MinKomp[[Stanowisko / Position ]:[Stanowisko / Position ]],0)))</f>
        <v>0</v>
      </c>
      <c r="FH12" s="315">
        <f>IF(INDEX(tab_MinKomp[Analityczne myślenie, podejście / Analitysches Denken, Einstellung],MATCH($B11,tab_MinKomp[[Stanowisko / Position ]:[Stanowisko / Position ]],0))="n/a","n/a",FH11-INDEX(tab_MinKomp[Analityczne myślenie, podejście / Analitysches Denken, Einstellung],MATCH($B11,tab_MinKomp[[Stanowisko / Position ]:[Stanowisko / Position ]],0)))</f>
        <v>0</v>
      </c>
      <c r="FI12" s="315">
        <f>IF(INDEX(tab_MinKomp[Dokładność, precyzja w dzialaniu / Genauigkeit, Präzision in die Arbeit],MATCH($B11,tab_MinKomp[[Stanowisko / Position ]:[Stanowisko / Position ]],0))="n/a","n/a",FI11-INDEX(tab_MinKomp[Dokładność, precyzja w dzialaniu / Genauigkeit, Präzision in die Arbeit],MATCH($B11,tab_MinKomp[[Stanowisko / Position ]:[Stanowisko / Position ]],0)))</f>
        <v>0</v>
      </c>
      <c r="FJ12" s="315">
        <f>IF(INDEX(tab_MinKomp[Dyspozycyjność / Verfügbarkeit],MATCH($B11,tab_MinKomp[[Stanowisko / Position ]:[Stanowisko / Position ]],0))="n/a","n/a",FJ11-INDEX(tab_MinKomp[Dyspozycyjność / Verfügbarkeit],MATCH($B11,tab_MinKomp[[Stanowisko / Position ]:[Stanowisko / Position ]],0)))</f>
        <v>1</v>
      </c>
      <c r="FK12" s="315">
        <f>IF(INDEX(tab_MinKomp[Zaangażowanie / 
Engagement],MATCH($B11,tab_MinKomp[[Stanowisko / Position ]:[Stanowisko / Position ]],0))="n/a","n/a",FK11-INDEX(tab_MinKomp[Zaangażowanie / 
Engagement],MATCH($B11,tab_MinKomp[[Stanowisko / Position ]:[Stanowisko / Position ]],0)))</f>
        <v>0</v>
      </c>
      <c r="FL12" s="315">
        <f>IF(INDEX(tab_MinKomp[Planowanie strategiczne / Strategische Planung],MATCH($B11,tab_MinKomp[[Stanowisko / Position ]:[Stanowisko / Position ]],0))="n/a","n/a",FL11-INDEX(tab_MinKomp[Planowanie strategiczne / Strategische Planung],MATCH($B11,tab_MinKomp[[Stanowisko / Position ]:[Stanowisko / Position ]],0)))</f>
        <v>0</v>
      </c>
      <c r="FM12" s="315">
        <f>IF(INDEX(tab_MinKomp[Konsekwentne i dynamiczne działanie],MATCH($B11,tab_MinKomp[[Stanowisko / Position ]:[Stanowisko / Position ]],0))="n/a","n/a",FM11-INDEX(tab_MinKomp[Konsekwentne i dynamiczne działanie],MATCH($B11,tab_MinKomp[[Stanowisko / Position ]:[Stanowisko / Position ]],0)))</f>
        <v>0</v>
      </c>
      <c r="FN12" s="315">
        <f>IF(INDEX(tab_MinKomp[Elastyczność w działaniu],MATCH($B11,tab_MinKomp[[Stanowisko / Position ]:[Stanowisko / Position ]],0))="n/a","n/a",FN11-INDEX(tab_MinKomp[Elastyczność w działaniu],MATCH($B11,tab_MinKomp[[Stanowisko / Position ]:[Stanowisko / Position ]],0)))</f>
        <v>0</v>
      </c>
      <c r="FO12" s="315">
        <f>IF(INDEX(tab_MinKomp[Komunikatywność],MATCH($B11,tab_MinKomp[[Stanowisko / Position ]:[Stanowisko / Position ]],0))="n/a","n/a",FO11-INDEX(tab_MinKomp[Komunikatywność],MATCH($B11,tab_MinKomp[[Stanowisko / Position ]:[Stanowisko / Position ]],0)))</f>
        <v>0</v>
      </c>
      <c r="FP12" s="315">
        <f>IF(INDEX(tab_MinKomp[Motywowanie i budowanie zaangażowania zespołu],MATCH($B11,tab_MinKomp[[Stanowisko / Position ]:[Stanowisko / Position ]],0))="n/a","n/a",FP11-INDEX(tab_MinKomp[Motywowanie i budowanie zaangażowania zespołu],MATCH($B11,tab_MinKomp[[Stanowisko / Position ]:[Stanowisko / Position ]],0)))</f>
        <v>0</v>
      </c>
      <c r="FQ12" s="318" t="s">
        <v>176</v>
      </c>
      <c r="FR12" s="315" t="s">
        <v>160</v>
      </c>
      <c r="FS12" s="315" t="s">
        <v>176</v>
      </c>
      <c r="FT12" s="315" t="s">
        <v>176</v>
      </c>
      <c r="FU12" s="315" t="s">
        <v>176</v>
      </c>
      <c r="FV12" s="319" t="s">
        <v>176</v>
      </c>
      <c r="FW12" s="318" t="s">
        <v>176</v>
      </c>
      <c r="FX12" s="315" t="s">
        <v>160</v>
      </c>
      <c r="FY12" s="315" t="s">
        <v>176</v>
      </c>
      <c r="FZ12" s="315" t="s">
        <v>176</v>
      </c>
      <c r="GA12" s="315" t="s">
        <v>176</v>
      </c>
      <c r="GB12" s="319" t="s">
        <v>176</v>
      </c>
      <c r="GC12" s="318" t="str">
        <f>IF(INDEX(tab_MinKomp[PIERWSZA POMOC / Erste Hilfe],MATCH($B11,tab_MinKomp[[Stanowisko / Position ]:[Stanowisko / Position ]],0))="n/a","n/a",INDEX(tab_MinKomp[PIERWSZA POMOC / Erste Hilfe],MATCH($B11,tab_MinKomp[[Stanowisko / Position ]:[Stanowisko / Position ]],0)))</f>
        <v>n/a</v>
      </c>
      <c r="GD12" s="315" t="str">
        <f>IF(INDEX(tab_MinKomp[Specjalista BHP / BHP Spezialist],MATCH($B11,tab_MinKomp[[Stanowisko / Position ]:[Stanowisko / Position ]],0))="n/a","n/a",INDEX(tab_MinKomp[Specjalista BHP / BHP Spezialist],MATCH($B11,tab_MinKomp[[Stanowisko / Position ]:[Stanowisko / Position ]],0)))</f>
        <v>n/a</v>
      </c>
      <c r="GE12" s="315" t="str">
        <f>IF(INDEX(tab_MinKomp[Inspektor ochrony PPOŻ / Brandschutzinspektor],MATCH($B11,tab_MinKomp[[Stanowisko / Position ]:[Stanowisko / Position ]],0))="n/a","n/a",INDEX(tab_MinKomp[Inspektor ochrony PPOŻ / Brandschutzinspektor],MATCH($B11,tab_MinKomp[[Stanowisko / Position ]:[Stanowisko / Position ]],0)))</f>
        <v>n/a</v>
      </c>
      <c r="GF12" s="315" t="str">
        <f>IF(INDEX(tab_MinKomp[WÓZKI JEZDNIOWE / Gebelstapler],MATCH($B11,tab_MinKomp[[Stanowisko / Position ]:[Stanowisko / Position ]],0))="n/a","n/a",INDEX(tab_MinKomp[WÓZKI JEZDNIOWE / Gebelstapler],MATCH($B11,tab_MinKomp[[Stanowisko / Position ]:[Stanowisko / Position ]],0)))</f>
        <v>n/a</v>
      </c>
      <c r="GG12" s="315" t="str">
        <f>IF(INDEX(tab_MinKomp[SEP],MATCH($B11,tab_MinKomp[[Stanowisko / Position ]:[Stanowisko / Position ]],0))="n/a","n/a",INDEX(tab_MinKomp[SEP],MATCH($B11,tab_MinKomp[[Stanowisko / Position ]:[Stanowisko / Position ]],0)))</f>
        <v>n/a</v>
      </c>
      <c r="GH12" s="315" t="str">
        <f>IF(INDEX(tab_MinKomp[SEP  DOZÓR / SEP Aufsicht],MATCH($B11,tab_MinKomp[[Stanowisko / Position ]:[Stanowisko / Position ]],0))="n/a","n/a",INDEX(tab_MinKomp[SEP  DOZÓR / SEP Aufsicht],MATCH($B11,tab_MinKomp[[Stanowisko / Position ]:[Stanowisko / Position ]],0)))</f>
        <v>n/a</v>
      </c>
      <c r="GI12" s="315" t="str">
        <f>IF(INDEX(tab_MinKomp[PODNOŚNIKI / Hebevorrichtung],MATCH($B11,tab_MinKomp[[Stanowisko / Position ]:[Stanowisko / Position ]],0))="n/a","n/a",INDEX(tab_MinKomp[PODNOŚNIKI / Hebevorrichtung],MATCH($B11,tab_MinKomp[[Stanowisko / Position ]:[Stanowisko / Position ]],0)))</f>
        <v>n/a</v>
      </c>
      <c r="GJ12" s="315" t="str">
        <f>IF(INDEX(tab_MinKomp[SUWNICE / Laufkran],MATCH($B11,tab_MinKomp[[Stanowisko / Position ]:[Stanowisko / Position ]],0))="n/a","n/a",INDEX(tab_MinKomp[SUWNICE / Laufkran],MATCH($B11,tab_MinKomp[[Stanowisko / Position ]:[Stanowisko / Position ]],0)))</f>
        <v>n/a</v>
      </c>
      <c r="GK12" s="319" t="str">
        <f>IF(INDEX(tab_MinKomp[WYSOKOŚCIOWE / Höhenberechtigungen],MATCH($B11,tab_MinKomp[[Stanowisko / Position ]:[Stanowisko / Position ]],0))="n/a","n/a",INDEX(tab_MinKomp[WYSOKOŚCIOWE / Höhenberechtigungen],MATCH($B11,tab_MinKomp[[Stanowisko / Position ]:[Stanowisko / Position ]],0)))</f>
        <v>n/a</v>
      </c>
      <c r="GL12" s="320">
        <f>SUM(G12:FP12)/(GL11-(SUM(G12:FP12)))</f>
        <v>0.11392405063291139</v>
      </c>
      <c r="GM12" s="132"/>
    </row>
    <row r="13" spans="1:195" ht="28.35" customHeight="1" x14ac:dyDescent="0.25">
      <c r="A13" s="135" t="s">
        <v>260</v>
      </c>
      <c r="B13" s="135" t="s">
        <v>193</v>
      </c>
      <c r="C13" s="135" t="s">
        <v>750</v>
      </c>
      <c r="D13" s="135">
        <v>46</v>
      </c>
      <c r="E13" s="565" t="s">
        <v>266</v>
      </c>
      <c r="F13" s="307" t="s">
        <v>165</v>
      </c>
      <c r="G13" s="308">
        <v>2</v>
      </c>
      <c r="H13" s="308">
        <v>2</v>
      </c>
      <c r="I13" s="308">
        <v>2</v>
      </c>
      <c r="J13" s="308">
        <v>1</v>
      </c>
      <c r="K13" s="308">
        <v>2</v>
      </c>
      <c r="L13" s="308">
        <v>1</v>
      </c>
      <c r="M13" s="308" t="s">
        <v>176</v>
      </c>
      <c r="N13" s="308" t="s">
        <v>176</v>
      </c>
      <c r="O13" s="308">
        <v>1</v>
      </c>
      <c r="P13" s="308">
        <v>1</v>
      </c>
      <c r="Q13" s="308" t="s">
        <v>176</v>
      </c>
      <c r="R13" s="308" t="s">
        <v>176</v>
      </c>
      <c r="S13" s="308" t="s">
        <v>176</v>
      </c>
      <c r="T13" s="308" t="s">
        <v>176</v>
      </c>
      <c r="U13" s="308" t="s">
        <v>176</v>
      </c>
      <c r="V13" s="308" t="s">
        <v>176</v>
      </c>
      <c r="W13" s="308" t="s">
        <v>176</v>
      </c>
      <c r="X13" s="308" t="s">
        <v>176</v>
      </c>
      <c r="Y13" s="308" t="s">
        <v>176</v>
      </c>
      <c r="Z13" s="308" t="s">
        <v>176</v>
      </c>
      <c r="AA13" s="308" t="s">
        <v>176</v>
      </c>
      <c r="AB13" s="308" t="s">
        <v>176</v>
      </c>
      <c r="AC13" s="308">
        <v>1</v>
      </c>
      <c r="AD13" s="308">
        <v>1</v>
      </c>
      <c r="AE13" s="308">
        <v>1</v>
      </c>
      <c r="AF13" s="308">
        <v>1</v>
      </c>
      <c r="AG13" s="308">
        <v>1</v>
      </c>
      <c r="AH13" s="308">
        <v>1</v>
      </c>
      <c r="AI13" s="308" t="s">
        <v>176</v>
      </c>
      <c r="AJ13" s="308" t="s">
        <v>176</v>
      </c>
      <c r="AK13" s="308" t="s">
        <v>176</v>
      </c>
      <c r="AL13" s="308">
        <v>1</v>
      </c>
      <c r="AM13" s="308" t="s">
        <v>176</v>
      </c>
      <c r="AN13" s="308" t="s">
        <v>176</v>
      </c>
      <c r="AO13" s="308">
        <v>1</v>
      </c>
      <c r="AP13" s="308">
        <v>1</v>
      </c>
      <c r="AQ13" s="308">
        <v>1</v>
      </c>
      <c r="AR13" s="308" t="s">
        <v>176</v>
      </c>
      <c r="AS13" s="308">
        <v>1</v>
      </c>
      <c r="AT13" s="308">
        <v>1</v>
      </c>
      <c r="AU13" s="308">
        <v>1</v>
      </c>
      <c r="AV13" s="308">
        <v>2</v>
      </c>
      <c r="AW13" s="308">
        <v>1</v>
      </c>
      <c r="AX13" s="308">
        <v>1</v>
      </c>
      <c r="AY13" s="308" t="s">
        <v>176</v>
      </c>
      <c r="AZ13" s="308" t="s">
        <v>176</v>
      </c>
      <c r="BA13" s="308" t="s">
        <v>176</v>
      </c>
      <c r="BB13" s="308" t="s">
        <v>176</v>
      </c>
      <c r="BC13" s="308" t="s">
        <v>176</v>
      </c>
      <c r="BD13" s="308" t="s">
        <v>176</v>
      </c>
      <c r="BE13" s="308" t="s">
        <v>176</v>
      </c>
      <c r="BF13" s="308" t="s">
        <v>176</v>
      </c>
      <c r="BG13" s="308" t="s">
        <v>176</v>
      </c>
      <c r="BH13" s="308" t="s">
        <v>176</v>
      </c>
      <c r="BI13" s="308" t="s">
        <v>176</v>
      </c>
      <c r="BJ13" s="308" t="s">
        <v>176</v>
      </c>
      <c r="BK13" s="308" t="s">
        <v>176</v>
      </c>
      <c r="BL13" s="308" t="s">
        <v>176</v>
      </c>
      <c r="BM13" s="308" t="s">
        <v>176</v>
      </c>
      <c r="BN13" s="308" t="s">
        <v>176</v>
      </c>
      <c r="BO13" s="308" t="s">
        <v>176</v>
      </c>
      <c r="BP13" s="308" t="s">
        <v>176</v>
      </c>
      <c r="BQ13" s="308" t="s">
        <v>176</v>
      </c>
      <c r="BR13" s="308" t="s">
        <v>176</v>
      </c>
      <c r="BS13" s="308" t="s">
        <v>176</v>
      </c>
      <c r="BT13" s="308" t="s">
        <v>176</v>
      </c>
      <c r="BU13" s="308" t="s">
        <v>176</v>
      </c>
      <c r="BV13" s="308" t="s">
        <v>176</v>
      </c>
      <c r="BW13" s="308" t="s">
        <v>176</v>
      </c>
      <c r="BX13" s="308" t="s">
        <v>176</v>
      </c>
      <c r="BY13" s="308" t="s">
        <v>176</v>
      </c>
      <c r="BZ13" s="308" t="s">
        <v>176</v>
      </c>
      <c r="CA13" s="308" t="s">
        <v>176</v>
      </c>
      <c r="CB13" s="308" t="s">
        <v>176</v>
      </c>
      <c r="CC13" s="308" t="s">
        <v>176</v>
      </c>
      <c r="CD13" s="308" t="s">
        <v>176</v>
      </c>
      <c r="CE13" s="308" t="s">
        <v>176</v>
      </c>
      <c r="CF13" s="308" t="s">
        <v>176</v>
      </c>
      <c r="CG13" s="308" t="s">
        <v>176</v>
      </c>
      <c r="CH13" s="308" t="s">
        <v>176</v>
      </c>
      <c r="CI13" s="308">
        <v>1</v>
      </c>
      <c r="CJ13" s="308" t="s">
        <v>176</v>
      </c>
      <c r="CK13" s="308" t="s">
        <v>176</v>
      </c>
      <c r="CL13" s="308" t="s">
        <v>176</v>
      </c>
      <c r="CM13" s="308" t="s">
        <v>176</v>
      </c>
      <c r="CN13" s="308">
        <v>1</v>
      </c>
      <c r="CO13" s="308" t="s">
        <v>176</v>
      </c>
      <c r="CP13" s="308" t="s">
        <v>176</v>
      </c>
      <c r="CQ13" s="308" t="s">
        <v>176</v>
      </c>
      <c r="CR13" s="308" t="s">
        <v>176</v>
      </c>
      <c r="CS13" s="308" t="s">
        <v>176</v>
      </c>
      <c r="CT13" s="308">
        <v>2</v>
      </c>
      <c r="CU13" s="308">
        <v>2</v>
      </c>
      <c r="CV13" s="308">
        <v>2</v>
      </c>
      <c r="CW13" s="308">
        <v>1</v>
      </c>
      <c r="CX13" s="308">
        <v>2</v>
      </c>
      <c r="CY13" s="308">
        <v>2</v>
      </c>
      <c r="CZ13" s="308">
        <v>2</v>
      </c>
      <c r="DA13" s="308">
        <v>2</v>
      </c>
      <c r="DB13" s="308">
        <v>1</v>
      </c>
      <c r="DC13" s="308">
        <v>1</v>
      </c>
      <c r="DD13" s="308" t="s">
        <v>176</v>
      </c>
      <c r="DE13" s="308">
        <v>3</v>
      </c>
      <c r="DF13" s="308">
        <v>3</v>
      </c>
      <c r="DG13" s="308">
        <v>2</v>
      </c>
      <c r="DH13" s="308">
        <v>2</v>
      </c>
      <c r="DI13" s="308">
        <v>3</v>
      </c>
      <c r="DJ13" s="308">
        <v>3</v>
      </c>
      <c r="DK13" s="308">
        <v>2</v>
      </c>
      <c r="DL13" s="308">
        <v>2</v>
      </c>
      <c r="DM13" s="308">
        <v>2</v>
      </c>
      <c r="DN13" s="308">
        <v>2</v>
      </c>
      <c r="DO13" s="308">
        <v>2</v>
      </c>
      <c r="DP13" s="308">
        <v>2</v>
      </c>
      <c r="DQ13" s="308">
        <v>2</v>
      </c>
      <c r="DR13" s="308">
        <v>2</v>
      </c>
      <c r="DS13" s="308">
        <v>1</v>
      </c>
      <c r="DT13" s="308">
        <v>1</v>
      </c>
      <c r="DU13" s="308">
        <v>2</v>
      </c>
      <c r="DV13" s="308">
        <v>3</v>
      </c>
      <c r="DW13" s="308">
        <v>3</v>
      </c>
      <c r="DX13" s="308">
        <v>3</v>
      </c>
      <c r="DY13" s="308" t="s">
        <v>176</v>
      </c>
      <c r="DZ13" s="308" t="s">
        <v>176</v>
      </c>
      <c r="EA13" s="308" t="s">
        <v>176</v>
      </c>
      <c r="EB13" s="308" t="s">
        <v>176</v>
      </c>
      <c r="EC13" s="308" t="s">
        <v>176</v>
      </c>
      <c r="ED13" s="308" t="s">
        <v>176</v>
      </c>
      <c r="EE13" s="308" t="s">
        <v>176</v>
      </c>
      <c r="EF13" s="308" t="s">
        <v>176</v>
      </c>
      <c r="EG13" s="308" t="s">
        <v>176</v>
      </c>
      <c r="EH13" s="308" t="s">
        <v>176</v>
      </c>
      <c r="EI13" s="308" t="s">
        <v>176</v>
      </c>
      <c r="EJ13" s="308" t="s">
        <v>176</v>
      </c>
      <c r="EK13" s="308" t="s">
        <v>176</v>
      </c>
      <c r="EL13" s="308" t="s">
        <v>176</v>
      </c>
      <c r="EM13" s="308" t="s">
        <v>176</v>
      </c>
      <c r="EN13" s="308" t="s">
        <v>176</v>
      </c>
      <c r="EO13" s="308">
        <v>1</v>
      </c>
      <c r="EP13" s="308" t="s">
        <v>176</v>
      </c>
      <c r="EQ13" s="308" t="s">
        <v>176</v>
      </c>
      <c r="ER13" s="308" t="s">
        <v>176</v>
      </c>
      <c r="ES13" s="308" t="s">
        <v>176</v>
      </c>
      <c r="ET13" s="308" t="s">
        <v>176</v>
      </c>
      <c r="EU13" s="308" t="s">
        <v>176</v>
      </c>
      <c r="EV13" s="308" t="s">
        <v>176</v>
      </c>
      <c r="EW13" s="308" t="s">
        <v>176</v>
      </c>
      <c r="EX13" s="308" t="s">
        <v>176</v>
      </c>
      <c r="EY13" s="308">
        <v>2</v>
      </c>
      <c r="EZ13" s="308">
        <v>2</v>
      </c>
      <c r="FA13" s="308">
        <v>1</v>
      </c>
      <c r="FB13" s="308" t="s">
        <v>176</v>
      </c>
      <c r="FC13" s="308" t="s">
        <v>176</v>
      </c>
      <c r="FD13" s="308">
        <v>2</v>
      </c>
      <c r="FE13" s="308">
        <v>2</v>
      </c>
      <c r="FF13" s="308">
        <v>2</v>
      </c>
      <c r="FG13" s="308">
        <v>2</v>
      </c>
      <c r="FH13" s="308">
        <v>2</v>
      </c>
      <c r="FI13" s="308">
        <v>3</v>
      </c>
      <c r="FJ13" s="308">
        <v>3</v>
      </c>
      <c r="FK13" s="308">
        <v>3</v>
      </c>
      <c r="FL13" s="308">
        <v>1</v>
      </c>
      <c r="FM13" s="308">
        <v>2</v>
      </c>
      <c r="FN13" s="308">
        <v>2</v>
      </c>
      <c r="FO13" s="308">
        <v>2</v>
      </c>
      <c r="FP13" s="308" t="s">
        <v>176</v>
      </c>
      <c r="FQ13" s="308" t="s">
        <v>176</v>
      </c>
      <c r="FR13" s="308"/>
      <c r="FS13" s="308" t="s">
        <v>176</v>
      </c>
      <c r="FT13" s="308" t="s">
        <v>176</v>
      </c>
      <c r="FU13" s="308" t="s">
        <v>176</v>
      </c>
      <c r="FV13" s="308" t="s">
        <v>176</v>
      </c>
      <c r="FW13" s="308" t="s">
        <v>176</v>
      </c>
      <c r="FX13" s="308" t="s">
        <v>176</v>
      </c>
      <c r="FY13" s="308" t="s">
        <v>176</v>
      </c>
      <c r="FZ13" s="308" t="s">
        <v>160</v>
      </c>
      <c r="GA13" s="308" t="s">
        <v>176</v>
      </c>
      <c r="GB13" s="308" t="s">
        <v>176</v>
      </c>
      <c r="GC13" s="308" t="s">
        <v>176</v>
      </c>
      <c r="GD13" s="308" t="s">
        <v>176</v>
      </c>
      <c r="GE13" s="308" t="s">
        <v>176</v>
      </c>
      <c r="GF13" s="308" t="s">
        <v>176</v>
      </c>
      <c r="GG13" s="308" t="s">
        <v>176</v>
      </c>
      <c r="GH13" s="308" t="s">
        <v>176</v>
      </c>
      <c r="GI13" s="308" t="s">
        <v>176</v>
      </c>
      <c r="GJ13" s="308" t="s">
        <v>176</v>
      </c>
      <c r="GK13" s="321" t="s">
        <v>176</v>
      </c>
      <c r="GL13" s="311">
        <f>SUM(G13:FP13)</f>
        <v>125</v>
      </c>
    </row>
    <row r="14" spans="1:195" ht="28.35" customHeight="1" thickBot="1" x14ac:dyDescent="0.3">
      <c r="A14" s="138" t="str">
        <f>A13</f>
        <v>Jakość-Quality Labor</v>
      </c>
      <c r="B14" s="138" t="str">
        <f>B13</f>
        <v>Inspektor jakości</v>
      </c>
      <c r="C14" s="135" t="s">
        <v>750</v>
      </c>
      <c r="D14" s="138">
        <f>D13</f>
        <v>46</v>
      </c>
      <c r="E14" s="566" t="str">
        <f>E13</f>
        <v>Babynko Ewa</v>
      </c>
      <c r="F14" s="312" t="s">
        <v>166</v>
      </c>
      <c r="G14" s="313">
        <f>IF(INDEX(tab_MinKomp[Przepisy BHP / BHP Vorschriften],MATCH($B13,tab_MinKomp[[Stanowisko / Position ]:[Stanowisko / Position ]],0))="n/a","n/a",G13-INDEX(tab_MinKomp[Przepisy BHP / BHP Vorschriften],MATCH($B13,tab_MinKomp[[Stanowisko / Position ]:[Stanowisko / Position ]],0)))</f>
        <v>0</v>
      </c>
      <c r="H14" s="314">
        <f>IF(INDEX(tab_MinKomp[Przepisy PPOŻ / Brandschutzbestimmungen],MATCH($B13,tab_MinKomp[[Stanowisko / Position ]:[Stanowisko / Position ]],0))="n/a","n/a",H13-INDEX(tab_MinKomp[Przepisy PPOŻ / Brandschutzbestimmungen],MATCH($B13,tab_MinKomp[[Stanowisko / Position ]:[Stanowisko / Position ]],0)))</f>
        <v>0</v>
      </c>
      <c r="I14" s="314">
        <f>IF(INDEX(tab_MinKomp[Przepisy PPOŻ / Brandschutzbestimmungen],MATCH($B13,tab_MinKomp[[Stanowisko / Position ]:[Stanowisko / Position ]],0))="n/a","n/a",I13-INDEX(tab_MinKomp[Przepisy PPOŻ / Brandschutzbestimmungen],MATCH($B13,tab_MinKomp[[Stanowisko / Position ]:[Stanowisko / Position ]],0)))</f>
        <v>0</v>
      </c>
      <c r="J14" s="314">
        <f>IF(INDEX(tab_MinKomp[Gospodarka substancjami niebezpiecznymi / Gefahrstoffmanagement],MATCH($B13,tab_MinKomp[[Stanowisko / Position ]:[Stanowisko / Position ]],0))="n/a","n/a",J13-INDEX(tab_MinKomp[Gospodarka substancjami niebezpiecznymi / Gefahrstoffmanagement],MATCH($B13,tab_MinKomp[[Stanowisko / Position ]:[Stanowisko / Position ]],0)))</f>
        <v>0</v>
      </c>
      <c r="K14" s="314">
        <f>IF(INDEX(tab_MinKomp[Gospodarka odpadami / Abfallwirtschaft],MATCH($B13,tab_MinKomp[[Stanowisko / Position ]:[Stanowisko / Position ]],0))="n/a","n/a",K13-INDEX(tab_MinKomp[Gospodarka odpadami / Abfallwirtschaft],MATCH($B13,tab_MinKomp[[Stanowisko / Position ]:[Stanowisko / Position ]],0)))</f>
        <v>0</v>
      </c>
      <c r="L14" s="315">
        <f>IF(INDEX(tab_MinKomp[Przepisy kodeksu pracy / Bestimmungen des Arbeitsgesetzes],MATCH($B13,tab_MinKomp[[Stanowisko / Position ]:[Stanowisko / Position ]],0))="n/a","n/a",L13-INDEX(tab_MinKomp[Przepisy kodeksu pracy / Bestimmungen des Arbeitsgesetzes],MATCH($B13,tab_MinKomp[[Stanowisko / Position ]:[Stanowisko / Position ]],0)))</f>
        <v>0</v>
      </c>
      <c r="M14" s="316" t="str">
        <f>IF(INDEX(tab_MinKomp[Przepisy o ub.społ. ZUS  / Sozialversicherungsvorschriften],MATCH($B13,tab_MinKomp[[Stanowisko / Position ]:[Stanowisko / Position ]],0))="n/a","n/a",M13-INDEX(tab_MinKomp[Przepisy o ub.społ. ZUS  / Sozialversicherungsvorschriften],MATCH($B13,tab_MinKomp[[Stanowisko / Position ]:[Stanowisko / Position ]],0)))</f>
        <v>n/a</v>
      </c>
      <c r="N14" s="315" t="str">
        <f>IF(INDEX(tab_MinKomp[PRZEPISY O PDOF /persönlich Einkommensteuergesetz ],MATCH($B13,tab_MinKomp[[Stanowisko / Position ]:[Stanowisko / Position ]],0))="n/a","n/a",N13-INDEX(tab_MinKomp[PRZEPISY O PDOF /persönlich Einkommensteuergesetz ],MATCH($B13,tab_MinKomp[[Stanowisko / Position ]:[Stanowisko / Position ]],0)))</f>
        <v>n/a</v>
      </c>
      <c r="O14" s="315">
        <f>IF(INDEX(tab_MinKomp[Regulamin pracy / Arbeitsordnung],MATCH($B13,tab_MinKomp[[Stanowisko / Position ]:[Stanowisko / Position ]],0))="n/a","n/a",O13-INDEX(tab_MinKomp[Regulamin pracy / Arbeitsordnung],MATCH($B13,tab_MinKomp[[Stanowisko / Position ]:[Stanowisko / Position ]],0)))</f>
        <v>0</v>
      </c>
      <c r="P14" s="315">
        <f>IF(INDEX(tab_MinKomp[Regulamin wynagradzania / Vergütungsordnung],MATCH($B13,tab_MinKomp[[Stanowisko / Position ]:[Stanowisko / Position ]],0))="n/a","n/a",P13-INDEX(tab_MinKomp[Regulamin wynagradzania / Vergütungsordnung],MATCH($B13,tab_MinKomp[[Stanowisko / Position ]:[Stanowisko / Position ]],0)))</f>
        <v>0</v>
      </c>
      <c r="Q14" s="315" t="str">
        <f>IF(INDEX(tab_MinKomp[System R2PŁATNIK PRO: Płace / Lohnabrechnung],MATCH($B13,tab_MinKomp[[Stanowisko / Position ]:[Stanowisko / Position ]],0))="n/a","n/a",Q13-INDEX(tab_MinKomp[System R2PŁATNIK PRO: Płace / Lohnabrechnung],MATCH($B13,tab_MinKomp[[Stanowisko / Position ]:[Stanowisko / Position ]],0)))</f>
        <v>n/a</v>
      </c>
      <c r="R14" s="315" t="str">
        <f>IF(INDEX(tab_MinKomp[SystemR2PŁATNIK PRO: KADRY / Personaldaten],MATCH($B13,tab_MinKomp[[Stanowisko / Position ]:[Stanowisko / Position ]],0))="n/a","n/a",R13-INDEX(tab_MinKomp[SystemR2PŁATNIK PRO: KADRY / Personaldaten],MATCH($B13,tab_MinKomp[[Stanowisko / Position ]:[Stanowisko / Position ]],0)))</f>
        <v>n/a</v>
      </c>
      <c r="S14" s="315" t="str">
        <f>IF(INDEX(tab_MinKomp[SYSTEM R2PŁATNIK PRO: zarządzanie pracownikami / Arbeitsverwaltung],MATCH($B13,tab_MinKomp[[Stanowisko / Position ]:[Stanowisko / Position ]],0))="n/a","n/a",S13-INDEX(tab_MinKomp[SYSTEM R2PŁATNIK PRO: zarządzanie pracownikami / Arbeitsverwaltung],MATCH($B13,tab_MinKomp[[Stanowisko / Position ]:[Stanowisko / Position ]],0)))</f>
        <v>n/a</v>
      </c>
      <c r="T14" s="315" t="str">
        <f>IF(INDEX(tab_MinKomp[Doradztwo, wsparcie personalne / Personalberatung und Unterstützung],MATCH($B13,tab_MinKomp[[Stanowisko / Position ]:[Stanowisko / Position ]],0))="n/a","n/a",T13-INDEX(tab_MinKomp[Doradztwo, wsparcie personalne / Personalberatung und Unterstützung],MATCH($B13,tab_MinKomp[[Stanowisko / Position ]:[Stanowisko / Position ]],0)))</f>
        <v>n/a</v>
      </c>
      <c r="U14" s="315" t="str">
        <f>IF(INDEX(tab_MinKomp[Przepisy o podatku VAT / MwSt.- Gesetz],MATCH($B13,tab_MinKomp[[Stanowisko / Position ]:[Stanowisko / Position ]],0))="n/a","n/a",U13-INDEX(tab_MinKomp[Przepisy o podatku VAT / MwSt.- Gesetz],MATCH($B13,tab_MinKomp[[Stanowisko / Position ]:[Stanowisko / Position ]],0)))</f>
        <v>n/a</v>
      </c>
      <c r="V14" s="315" t="str">
        <f>IF(INDEX(tab_MinKomp[PrzepisyPDOP / geschäftlich Einkommensteuergesetz],MATCH($B13,tab_MinKomp[[Stanowisko / Position ]:[Stanowisko / Position ]],0))="n/a","n/a",V13-INDEX(tab_MinKomp[PrzepisyPDOP / geschäftlich Einkommensteuergesetz],MATCH($B13,tab_MinKomp[[Stanowisko / Position ]:[Stanowisko / Position ]],0)))</f>
        <v>n/a</v>
      </c>
      <c r="W14" s="315" t="str">
        <f>IF(INDEX(tab_MinKomp[System BAAN / FINANSE (FIBU)],MATCH($B13,tab_MinKomp[[Stanowisko / Position ]:[Stanowisko / Position ]],0))="n/a","n/a",W13-INDEX(tab_MinKomp[System BAAN / FINANSE (FIBU)],MATCH($B13,tab_MinKomp[[Stanowisko / Position ]:[Stanowisko / Position ]],0)))</f>
        <v>n/a</v>
      </c>
      <c r="X14" s="315" t="str">
        <f>IF(INDEX(tab_MinKomp[Systemy pomocnicze / Hilfssysteme(STOCKPROGRAM, KALK2000 etc.)],MATCH($B13,tab_MinKomp[[Stanowisko / Position ]:[Stanowisko / Position ]],0))="n/a","n/a",X13-INDEX(tab_MinKomp[Systemy pomocnicze / Hilfssysteme(STOCKPROGRAM, KALK2000 etc.)],MATCH($B13,tab_MinKomp[[Stanowisko / Position ]:[Stanowisko / Position ]],0)))</f>
        <v>n/a</v>
      </c>
      <c r="Y14" s="315" t="str">
        <f>IF(INDEX(tab_MinKomp[Polityka rachunkowości / Buchführungspolitik],MATCH($B13,tab_MinKomp[[Stanowisko / Position ]:[Stanowisko / Position ]],0))="n/a","n/a",Y13-INDEX(tab_MinKomp[Polityka rachunkowości / Buchführungspolitik],MATCH($B13,tab_MinKomp[[Stanowisko / Position ]:[Stanowisko / Position ]],0)))</f>
        <v>n/a</v>
      </c>
      <c r="Z14" s="315" t="str">
        <f>IF(INDEX(tab_MinKomp[Ustawa o rachunkowości / Rechnungslegungsgesetz],MATCH($B13,tab_MinKomp[[Stanowisko / Position ]:[Stanowisko / Position ]],0))="n/a","n/a",Z13-INDEX(tab_MinKomp[Ustawa o rachunkowości / Rechnungslegungsgesetz],MATCH($B13,tab_MinKomp[[Stanowisko / Position ]:[Stanowisko / Position ]],0)))</f>
        <v>n/a</v>
      </c>
      <c r="AA14" s="315" t="str">
        <f>IF(INDEX(tab_MinKomp[WORKFLOW - TS-100],MATCH($B13,tab_MinKomp[[Stanowisko / Position ]:[Stanowisko / Position ]],0))="n/a","n/a",AA13-INDEX(tab_MinKomp[WORKFLOW - TS-100],MATCH($B13,tab_MinKomp[[Stanowisko / Position ]:[Stanowisko / Position ]],0)))</f>
        <v>n/a</v>
      </c>
      <c r="AB14" s="315" t="str">
        <f>IF(INDEX(tab_MinKomp[WORKFLOW - SFMS],MATCH($B13,tab_MinKomp[[Stanowisko / Position ]:[Stanowisko / Position ]],0))="n/a","n/a",AB13-INDEX(tab_MinKomp[WORKFLOW - SFMS],MATCH($B13,tab_MinKomp[[Stanowisko / Position ]:[Stanowisko / Position ]],0)))</f>
        <v>n/a</v>
      </c>
      <c r="AC14" s="315">
        <f>IF(INDEX(tab_MinKomp[System ISO 9001:2015],MATCH($B13,tab_MinKomp[[Stanowisko / Position ]:[Stanowisko / Position ]],0))="n/a","n/a",AC13-INDEX(tab_MinKomp[System ISO 9001:2015],MATCH($B13,tab_MinKomp[[Stanowisko / Position ]:[Stanowisko / Position ]],0)))</f>
        <v>0</v>
      </c>
      <c r="AD14" s="315">
        <f>IF(INDEX(tab_MinKomp[System IATF 16949:2016],MATCH($B13,tab_MinKomp[[Stanowisko / Position ]:[Stanowisko / Position ]],0))="n/a","n/a",AD13-INDEX(tab_MinKomp[System IATF 16949:2016],MATCH($B13,tab_MinKomp[[Stanowisko / Position ]:[Stanowisko / Position ]],0)))</f>
        <v>0</v>
      </c>
      <c r="AE14" s="315">
        <f>IF(INDEX(tab_MinKomp[System ISO 14001:2015],MATCH($B13,tab_MinKomp[[Stanowisko / Position ]:[Stanowisko / Position ]],0))="n/a","n/a",AE13-INDEX(tab_MinKomp[System ISO 14001:2015],MATCH($B13,tab_MinKomp[[Stanowisko / Position ]:[Stanowisko / Position ]],0)))</f>
        <v>0</v>
      </c>
      <c r="AF14" s="315">
        <f>IF(INDEX(tab_MinKomp[System PN-N 18001:2004 / ISO 45001:2018],MATCH($B13,tab_MinKomp[[Stanowisko / Position ]:[Stanowisko / Position ]],0))="n/a","n/a",AF13-INDEX(tab_MinKomp[System PN-N 18001:2004 / ISO 45001:2018],MATCH($B13,tab_MinKomp[[Stanowisko / Position ]:[Stanowisko / Position ]],0)))</f>
        <v>0</v>
      </c>
      <c r="AG14" s="315">
        <f>IF(INDEX(tab_MinKomp[Wymagania VDA 6.3 Process / Forderungen],MATCH($B13,tab_MinKomp[[Stanowisko / Position ]:[Stanowisko / Position ]],0))="n/a","n/a",AG13-INDEX(tab_MinKomp[Wymagania VDA 6.3 Process / Forderungen],MATCH($B13,tab_MinKomp[[Stanowisko / Position ]:[Stanowisko / Position ]],0)))</f>
        <v>0</v>
      </c>
      <c r="AH14" s="315">
        <f>IF(INDEX(tab_MinKomp[Wymagania VDA 6.5 Product / Forderungen],MATCH($B13,tab_MinKomp[[Stanowisko / Position ]:[Stanowisko / Position ]],0))="n/a","n/a",AH13-INDEX(tab_MinKomp[Wymagania VDA 6.5 Product / Forderungen],MATCH($B13,tab_MinKomp[[Stanowisko / Position ]:[Stanowisko / Position ]],0)))</f>
        <v>0</v>
      </c>
      <c r="AI14" s="315" t="str">
        <f>IF(INDEX(tab_MinKomp[PSCR (VW Product Safety &amp; Conformity Representative)],MATCH($B13,tab_MinKomp[[Stanowisko / Position ]:[Stanowisko / Position ]],0))="n/a","n/a",AI13-INDEX(tab_MinKomp[PSCR (VW Product Safety &amp; Conformity Representative)],MATCH($B13,tab_MinKomp[[Stanowisko / Position ]:[Stanowisko / Position ]],0)))</f>
        <v>n/a</v>
      </c>
      <c r="AJ14" s="315" t="str">
        <f>IF(INDEX(tab_MinKomp[Auditor systemu ISO 17025:2018],MATCH($B13,tab_MinKomp[[Stanowisko / Position ]:[Stanowisko / Position ]],0))="n/a","n/a",AJ13-INDEX(tab_MinKomp[Auditor systemu ISO 17025:2018],MATCH($B13,tab_MinKomp[[Stanowisko / Position ]:[Stanowisko / Position ]],0)))</f>
        <v>n/a</v>
      </c>
      <c r="AK14" s="315" t="str">
        <f>IF(INDEX(tab_MinKomp[Pełnomocnik systemu / Systemvertreter],MATCH($B13,tab_MinKomp[[Stanowisko / Position ]:[Stanowisko / Position ]],0))="n/a","n/a",AK13-INDEX(tab_MinKomp[Pełnomocnik systemu / Systemvertreter],MATCH($B13,tab_MinKomp[[Stanowisko / Position ]:[Stanowisko / Position ]],0)))</f>
        <v>n/a</v>
      </c>
      <c r="AL14" s="315">
        <v>1</v>
      </c>
      <c r="AM14" s="315" t="str">
        <f>IF(INDEX(tab_MinKomp[WDRAŻANIE NOWYCH PROJEKTÓW/ PROCEDURA CTM],MATCH($B13,tab_MinKomp[[Stanowisko / Position ]:[Stanowisko / Position ]],0))="n/a","n/a",AM13-INDEX(tab_MinKomp[WDRAŻANIE NOWYCH PROJEKTÓW/ PROCEDURA CTM],MATCH($B13,tab_MinKomp[[Stanowisko / Position ]:[Stanowisko / Position ]],0)))</f>
        <v>n/a</v>
      </c>
      <c r="AN14" s="315" t="str">
        <f>IF(INDEX(tab_MinKomp[KAMIENIE MILOWE MSL/PIFF],MATCH($B13,tab_MinKomp[[Stanowisko / Position ]:[Stanowisko / Position ]],0))="n/a","n/a",AN13-INDEX(tab_MinKomp[KAMIENIE MILOWE MSL/PIFF],MATCH($B13,tab_MinKomp[[Stanowisko / Position ]:[Stanowisko / Position ]],0)))</f>
        <v>n/a</v>
      </c>
      <c r="AO14" s="315">
        <v>1</v>
      </c>
      <c r="AP14" s="315">
        <v>1</v>
      </c>
      <c r="AQ14" s="315">
        <v>1</v>
      </c>
      <c r="AR14" s="315" t="str">
        <f>IF(INDEX(tab_MinKomp[APQP],MATCH($B13,tab_MinKomp[[Stanowisko / Position ]:[Stanowisko / Position ]],0))="n/a","n/a",AR13-INDEX(tab_MinKomp[APQP],MATCH($B13,tab_MinKomp[[Stanowisko / Position ]:[Stanowisko / Position ]],0)))</f>
        <v>n/a</v>
      </c>
      <c r="AS14" s="315">
        <v>1</v>
      </c>
      <c r="AT14" s="315">
        <v>1</v>
      </c>
      <c r="AU14" s="315">
        <v>1</v>
      </c>
      <c r="AV14" s="315">
        <v>1</v>
      </c>
      <c r="AW14" s="315">
        <v>1</v>
      </c>
      <c r="AX14" s="315">
        <v>1</v>
      </c>
      <c r="AY14" s="315" t="str">
        <f>IF(INDEX(tab_MinKomp[Six Sigma],MATCH($B13,tab_MinKomp[[Stanowisko / Position ]:[Stanowisko / Position ]],0))="n/a","n/a",AY13-INDEX(tab_MinKomp[Six Sigma],MATCH($B13,tab_MinKomp[[Stanowisko / Position ]:[Stanowisko / Position ]],0)))</f>
        <v>n/a</v>
      </c>
      <c r="AZ14" s="315" t="str">
        <f>IF(INDEX(tab_MinKomp[System BAAN / Distribution &amp; Supply Chain],MATCH($B13,tab_MinKomp[[Stanowisko / Position ]:[Stanowisko / Position ]],0))="n/a","n/a",AZ13-INDEX(tab_MinKomp[System BAAN / Distribution &amp; Supply Chain],MATCH($B13,tab_MinKomp[[Stanowisko / Position ]:[Stanowisko / Position ]],0)))</f>
        <v>n/a</v>
      </c>
      <c r="BA14" s="315" t="str">
        <f>IF(INDEX(tab_MinKomp[Gospodarka magazynowa / Lagerverwaltung],MATCH($B13,tab_MinKomp[[Stanowisko / Position ]:[Stanowisko / Position ]],0))="n/a","n/a",BA13-INDEX(tab_MinKomp[Gospodarka magazynowa / Lagerverwaltung],MATCH($B13,tab_MinKomp[[Stanowisko / Position ]:[Stanowisko / Position ]],0)))</f>
        <v>n/a</v>
      </c>
      <c r="BB14" s="315" t="str">
        <f>IF(INDEX(tab_MinKomp[Inwentaryzacja - organizacja i przebieg / Inventurprozess],MATCH($B13,tab_MinKomp[[Stanowisko / Position ]:[Stanowisko / Position ]],0))="n/a","n/a",BB13-INDEX(tab_MinKomp[Inwentaryzacja - organizacja i przebieg / Inventurprozess],MATCH($B13,tab_MinKomp[[Stanowisko / Position ]:[Stanowisko / Position ]],0)))</f>
        <v>n/a</v>
      </c>
      <c r="BC14" s="315" t="str">
        <f>IF(INDEX(tab_MinKomp[Organizacja dostaw / Versorgungsorganisation],MATCH($B13,tab_MinKomp[[Stanowisko / Position ]:[Stanowisko / Position ]],0))="n/a","n/a",BC13-INDEX(tab_MinKomp[Organizacja dostaw / Versorgungsorganisation],MATCH($B13,tab_MinKomp[[Stanowisko / Position ]:[Stanowisko / Position ]],0)))</f>
        <v>n/a</v>
      </c>
      <c r="BD14" s="315" t="str">
        <f>IF(INDEX(tab_MinKomp[Organizacja wysyłek / Organisation von Lieferungen],MATCH($B13,tab_MinKomp[[Stanowisko / Position ]:[Stanowisko / Position ]],0))="n/a","n/a",BD13-INDEX(tab_MinKomp[Organizacja wysyłek / Organisation von Lieferungen],MATCH($B13,tab_MinKomp[[Stanowisko / Position ]:[Stanowisko / Position ]],0)))</f>
        <v>n/a</v>
      </c>
      <c r="BE14" s="315" t="str">
        <f>IF(INDEX(tab_MinKomp[Analiza magazynowa - Program Polen.mdb / Inventuranalyse],MATCH($B13,tab_MinKomp[[Stanowisko / Position ]:[Stanowisko / Position ]],0))="n/a","n/a",BE13-INDEX(tab_MinKomp[Analiza magazynowa - Program Polen.mdb / Inventuranalyse],MATCH($B13,tab_MinKomp[[Stanowisko / Position ]:[Stanowisko / Position ]],0)))</f>
        <v>n/a</v>
      </c>
      <c r="BF14" s="315" t="str">
        <f>IF(INDEX(tab_MinKomp[MMOG (Materials Management Operations Guidelines)],MATCH($B13,tab_MinKomp[[Stanowisko / Position ]:[Stanowisko / Position ]],0))="n/a","n/a",BF13-INDEX(tab_MinKomp[MMOG (Materials Management Operations Guidelines)],MATCH($B13,tab_MinKomp[[Stanowisko / Position ]:[Stanowisko / Position ]],0)))</f>
        <v>n/a</v>
      </c>
      <c r="BG14" s="315" t="str">
        <f>IF(INDEX(tab_MinKomp[GPP],MATCH($B13,tab_MinKomp[[Stanowisko / Position ]:[Stanowisko / Position ]],0))="n/a","n/a",BG13-INDEX(tab_MinKomp[GPP],MATCH($B13,tab_MinKomp[[Stanowisko / Position ]:[Stanowisko / Position ]],0)))</f>
        <v>n/a</v>
      </c>
      <c r="BH14" s="315" t="str">
        <f>IF(INDEX(tab_MinKomp[AIAG (Automotive Industry Action Group)],MATCH($B13,tab_MinKomp[[Stanowisko / Position ]:[Stanowisko / Position ]],0))="n/a","n/a",BH13-INDEX(tab_MinKomp[AIAG (Automotive Industry Action Group)],MATCH($B13,tab_MinKomp[[Stanowisko / Position ]:[Stanowisko / Position ]],0)))</f>
        <v>n/a</v>
      </c>
      <c r="BI14" s="315" t="str">
        <f>IF(INDEX(tab_MinKomp[Super-G disputes],MATCH($B13,tab_MinKomp[[Stanowisko / Position ]:[Stanowisko / Position ]],0))="n/a","n/a",BI13-INDEX(tab_MinKomp[Super-G disputes],MATCH($B13,tab_MinKomp[[Stanowisko / Position ]:[Stanowisko / Position ]],0)))</f>
        <v>n/a</v>
      </c>
      <c r="BJ14" s="315" t="str">
        <f>IF(INDEX(tab_MinKomp[CMMS3/eDDL (Direct Data Link)],MATCH($B13,tab_MinKomp[[Stanowisko / Position ]:[Stanowisko / Position ]],0))="n/a","n/a",BJ13-INDEX(tab_MinKomp[CMMS3/eDDL (Direct Data Link)],MATCH($B13,tab_MinKomp[[Stanowisko / Position ]:[Stanowisko / Position ]],0)))</f>
        <v>n/a</v>
      </c>
      <c r="BK14" s="315" t="str">
        <f>IF(INDEX(tab_MinKomp[MP&amp;L (Material Planning and Logistics)],MATCH($B13,tab_MinKomp[[Stanowisko / Position ]:[Stanowisko / Position ]],0))="n/a","n/a",BK13-INDEX(tab_MinKomp[MP&amp;L (Material Planning and Logistics)],MATCH($B13,tab_MinKomp[[Stanowisko / Position ]:[Stanowisko / Position ]],0)))</f>
        <v>n/a</v>
      </c>
      <c r="BL14" s="315" t="str">
        <f>IF(INDEX(tab_MinKomp[Supplier delivery rating],MATCH($B13,tab_MinKomp[[Stanowisko / Position ]:[Stanowisko / Position ]],0))="n/a","n/a",BL13-INDEX(tab_MinKomp[Supplier delivery rating],MATCH($B13,tab_MinKomp[[Stanowisko / Position ]:[Stanowisko / Position ]],0)))</f>
        <v>n/a</v>
      </c>
      <c r="BM14" s="315" t="str">
        <f>IF(INDEX(tab_MinKomp[Planowanie produkcji / Produktionsplanung],MATCH($B13,tab_MinKomp[[Stanowisko / Position ]:[Stanowisko / Position ]],0))="n/a","n/a",BM13-INDEX(tab_MinKomp[Planowanie produkcji / Produktionsplanung],MATCH($B13,tab_MinKomp[[Stanowisko / Position ]:[Stanowisko / Position ]],0)))</f>
        <v>n/a</v>
      </c>
      <c r="BN14" s="315" t="str">
        <f>IF(INDEX(tab_MinKomp[Obsługa maszyn Engel / Engel Maschinenbedienung],MATCH($B13,tab_MinKomp[[Stanowisko / Position ]:[Stanowisko / Position ]],0))="n/a","n/a",BN13-INDEX(tab_MinKomp[Obsługa maszyn Engel / Engel Maschinenbedienung],MATCH($B13,tab_MinKomp[[Stanowisko / Position ]:[Stanowisko / Position ]],0)))</f>
        <v>n/a</v>
      </c>
      <c r="BO14" s="315" t="str">
        <f>IF(INDEX(tab_MinKomp[Obsługa maszyn Novapax / Novapax Maschinenbedienung],MATCH($B13,tab_MinKomp[[Stanowisko / Position ]:[Stanowisko / Position ]],0))="n/a","n/a",BO13-INDEX(tab_MinKomp[Obsługa maszyn Novapax / Novapax Maschinenbedienung],MATCH($B13,tab_MinKomp[[Stanowisko / Position ]:[Stanowisko / Position ]],0)))</f>
        <v>n/a</v>
      </c>
      <c r="BP14" s="315" t="str">
        <f>IF(INDEX(tab_MinKomp[Obsługa maszyn KVT / KVT Maschinenbedienung],MATCH($B13,tab_MinKomp[[Stanowisko / Position ]:[Stanowisko / Position ]],0))="n/a","n/a",BP13-INDEX(tab_MinKomp[Obsługa maszyn KVT / KVT Maschinenbedienung],MATCH($B13,tab_MinKomp[[Stanowisko / Position ]:[Stanowisko / Position ]],0)))</f>
        <v>n/a</v>
      </c>
      <c r="BQ14" s="315" t="str">
        <f>IF(INDEX(tab_MinKomp[Obsługa maszyn ASL / ASL Maschinenbedienung],MATCH($B13,tab_MinKomp[[Stanowisko / Position ]:[Stanowisko / Position ]],0))="n/a","n/a",BQ13-INDEX(tab_MinKomp[Obsługa maszyn ASL / ASL Maschinenbedienung],MATCH($B13,tab_MinKomp[[Stanowisko / Position ]:[Stanowisko / Position ]],0)))</f>
        <v>n/a</v>
      </c>
      <c r="BR14" s="315" t="str">
        <f>IF(INDEX(tab_MinKomp[Obsługa maszyn Branson / Branson Maschinenbedienung],MATCH($B13,tab_MinKomp[[Stanowisko / Position ]:[Stanowisko / Position ]],0))="n/a","n/a",BR13-INDEX(tab_MinKomp[Obsługa maszyn Branson / Branson Maschinenbedienung],MATCH($B13,tab_MinKomp[[Stanowisko / Position ]:[Stanowisko / Position ]],0)))</f>
        <v>n/a</v>
      </c>
      <c r="BS14" s="315" t="str">
        <f>IF(INDEX(tab_MinKomp[Obsługa maszyn Kamtec / Kamtec Maschinenbedienung],MATCH($B13,tab_MinKomp[[Stanowisko / Position ]:[Stanowisko / Position ]],0))="n/a","n/a",BS13-INDEX(tab_MinKomp[Obsługa maszyn Kamtec / Kamtec Maschinenbedienung],MATCH($B13,tab_MinKomp[[Stanowisko / Position ]:[Stanowisko / Position ]],0)))</f>
        <v>n/a</v>
      </c>
      <c r="BT14" s="315" t="str">
        <f>IF(INDEX(tab_MinKomp[Obsługa maszyn Piovan / Piovan Maschinenbedienung],MATCH($B13,tab_MinKomp[[Stanowisko / Position ]:[Stanowisko / Position ]],0))="n/a","n/a",BT13-INDEX(tab_MinKomp[Obsługa maszyn Piovan / Piovan Maschinenbedienung],MATCH($B13,tab_MinKomp[[Stanowisko / Position ]:[Stanowisko / Position ]],0)))</f>
        <v>n/a</v>
      </c>
      <c r="BU14" s="315" t="str">
        <f>IF(INDEX(tab_MinKomp[Obsługa maszyn REP / REP Maschinenbedienung],MATCH($B13,tab_MinKomp[[Stanowisko / Position ]:[Stanowisko / Position ]],0))="n/a","n/a",BU13-INDEX(tab_MinKomp[Obsługa maszyn REP / REP Maschinenbedienung],MATCH($B13,tab_MinKomp[[Stanowisko / Position ]:[Stanowisko / Position ]],0)))</f>
        <v>n/a</v>
      </c>
      <c r="BV14" s="315" t="str">
        <f>IF(INDEX(tab_MinKomp[Eliminacja awarii / Beseitigung von Ausfällen],MATCH($B13,tab_MinKomp[[Stanowisko / Position ]:[Stanowisko / Position ]],0))="n/a","n/a",BV13-INDEX(tab_MinKomp[Eliminacja awarii / Beseitigung von Ausfällen],MATCH($B13,tab_MinKomp[[Stanowisko / Position ]:[Stanowisko / Position ]],0)))</f>
        <v>n/a</v>
      </c>
      <c r="BW14" s="315" t="str">
        <f>IF(INDEX(tab_MinKomp[Informatyka ogólna (techniczne i systemowe) / Allgemeine IT (Technik und System)],MATCH($B13,tab_MinKomp[[Stanowisko / Position ]:[Stanowisko / Position ]],0))="n/a","n/a",BW13-INDEX(tab_MinKomp[Informatyka ogólna (techniczne i systemowe) / Allgemeine IT (Technik und System)],MATCH($B13,tab_MinKomp[[Stanowisko / Position ]:[Stanowisko / Position ]],0)))</f>
        <v>n/a</v>
      </c>
      <c r="BX14" s="315" t="str">
        <f>IF(INDEX(tab_MinKomp[Sieci komputerowe / Computernetzwerke],MATCH($B13,tab_MinKomp[[Stanowisko / Position ]:[Stanowisko / Position ]],0))="n/a","n/a",BX13-INDEX(tab_MinKomp[Sieci komputerowe / Computernetzwerke],MATCH($B13,tab_MinKomp[[Stanowisko / Position ]:[Stanowisko / Position ]],0)))</f>
        <v>n/a</v>
      </c>
      <c r="BY14" s="315" t="str">
        <f>IF(INDEX(tab_MinKomp[Hardware (komputery PC, drukarki biurowe i etykietowe, telefonia stacjonarna i mobilna) (PC, Drucker, Telefpne, Handys)],MATCH($B13,tab_MinKomp[[Stanowisko / Position ]:[Stanowisko / Position ]],0))="n/a","n/a",BY13-INDEX(tab_MinKomp[Hardware (komputery PC, drukarki biurowe i etykietowe, telefonia stacjonarna i mobilna) (PC, Drucker, Telefpne, Handys)],MATCH($B13,tab_MinKomp[[Stanowisko / Position ]:[Stanowisko / Position ]],0)))</f>
        <v>n/a</v>
      </c>
      <c r="BZ14" s="315" t="str">
        <f>IF(INDEX(tab_MinKomp[Software &amp; Systems (MS Office, MS Remote Desktop)],MATCH($B13,tab_MinKomp[[Stanowisko / Position ]:[Stanowisko / Position ]],0))="n/a","n/a",BZ13-INDEX(tab_MinKomp[Software &amp; Systems (MS Office, MS Remote Desktop)],MATCH($B13,tab_MinKomp[[Stanowisko / Position ]:[Stanowisko / Position ]],0)))</f>
        <v>n/a</v>
      </c>
      <c r="CA14" s="315" t="str">
        <f>IF(INDEX(tab_MinKomp[Programowanie obiektowe (PHP) / Objektprogrammierung],MATCH($B13,tab_MinKomp[[Stanowisko / Position ]:[Stanowisko / Position ]],0))="n/a","n/a",CA13-INDEX(tab_MinKomp[Programowanie obiektowe (PHP) / Objektprogrammierung],MATCH($B13,tab_MinKomp[[Stanowisko / Position ]:[Stanowisko / Position ]],0)))</f>
        <v>n/a</v>
      </c>
      <c r="CB14" s="315" t="str">
        <f>IF(INDEX(tab_MinKomp[Scrum],MATCH($B13,tab_MinKomp[[Stanowisko / Position ]:[Stanowisko / Position ]],0))="n/a","n/a",CB13-INDEX(tab_MinKomp[Scrum],MATCH($B13,tab_MinKomp[[Stanowisko / Position ]:[Stanowisko / Position ]],0)))</f>
        <v>n/a</v>
      </c>
      <c r="CC14" s="315" t="str">
        <f>IF(INDEX(tab_MinKomp[SQL (MySQL)],MATCH($B13,tab_MinKomp[[Stanowisko / Position ]:[Stanowisko / Position ]],0))="n/a","n/a",CC13-INDEX(tab_MinKomp[SQL (MySQL)],MATCH($B13,tab_MinKomp[[Stanowisko / Position ]:[Stanowisko / Position ]],0)))</f>
        <v>n/a</v>
      </c>
      <c r="CD14" s="315" t="str">
        <f>IF(INDEX(tab_MinKomp[Javascript],MATCH($B13,tab_MinKomp[[Stanowisko / Position ]:[Stanowisko / Position ]],0))="n/a","n/a",CD13-INDEX(tab_MinKomp[Javascript],MATCH($B13,tab_MinKomp[[Stanowisko / Position ]:[Stanowisko / Position ]],0)))</f>
        <v>n/a</v>
      </c>
      <c r="CE14" s="315" t="str">
        <f>IF(INDEX(tab_MinKomp[Joomla],MATCH($B13,tab_MinKomp[[Stanowisko / Position ]:[Stanowisko / Position ]],0))="n/a","n/a",CE13-INDEX(tab_MinKomp[Joomla],MATCH($B13,tab_MinKomp[[Stanowisko / Position ]:[Stanowisko / Position ]],0)))</f>
        <v>n/a</v>
      </c>
      <c r="CF14" s="315" t="str">
        <f>IF(INDEX(tab_MinKomp[Bash],MATCH($B13,tab_MinKomp[[Stanowisko / Position ]:[Stanowisko / Position ]],0))="n/a","n/a",CF13-INDEX(tab_MinKomp[Bash],MATCH($B13,tab_MinKomp[[Stanowisko / Position ]:[Stanowisko / Position ]],0)))</f>
        <v>n/a</v>
      </c>
      <c r="CG14" s="315" t="str">
        <f>IF(INDEX(tab_MinKomp[Systemy MES (HYDRA / SFMS)],MATCH($B13,tab_MinKomp[[Stanowisko / Position ]:[Stanowisko / Position ]],0))="n/a","n/a",CG13-INDEX(tab_MinKomp[Systemy MES (HYDRA / SFMS)],MATCH($B13,tab_MinKomp[[Stanowisko / Position ]:[Stanowisko / Position ]],0)))</f>
        <v>n/a</v>
      </c>
      <c r="CH14" s="315" t="str">
        <f>IF(INDEX(tab_MinKomp[HTML / CSS],MATCH($B13,tab_MinKomp[[Stanowisko / Position ]:[Stanowisko / Position ]],0))="n/a","n/a",CH13-INDEX(tab_MinKomp[HTML / CSS],MATCH($B13,tab_MinKomp[[Stanowisko / Position ]:[Stanowisko / Position ]],0)))</f>
        <v>n/a</v>
      </c>
      <c r="CI14" s="315" t="str">
        <f>IF(INDEX(tab_MinKomp[SYSTEM PR],MATCH($B13,tab_MinKomp[[Stanowisko / Position ]:[Stanowisko / Position ]],0))="n/a","n/a",CI13-INDEX(tab_MinKomp[SYSTEM PR],MATCH($B13,tab_MinKomp[[Stanowisko / Position ]:[Stanowisko / Position ]],0)))</f>
        <v>n/a</v>
      </c>
      <c r="CJ14" s="315" t="str">
        <f>IF(INDEX(tab_MinKomp[System Einkauf XP / EBA],MATCH($B13,tab_MinKomp[[Stanowisko / Position ]:[Stanowisko / Position ]],0))="n/a","n/a",CJ13-INDEX(tab_MinKomp[System Einkauf XP / EBA],MATCH($B13,tab_MinKomp[[Stanowisko / Position ]:[Stanowisko / Position ]],0)))</f>
        <v>n/a</v>
      </c>
      <c r="CK14" s="315" t="str">
        <f>IF(INDEX(tab_MinKomp[Techniki negocjacyjne / Verhandlungstechniken],MATCH($B13,tab_MinKomp[[Stanowisko / Position ]:[Stanowisko / Position ]],0))="n/a","n/a",CK13-INDEX(tab_MinKomp[Techniki negocjacyjne / Verhandlungstechniken],MATCH($B13,tab_MinKomp[[Stanowisko / Position ]:[Stanowisko / Position ]],0)))</f>
        <v>n/a</v>
      </c>
      <c r="CL14" s="315" t="str">
        <f>IF(INDEX(tab_MinKomp[Znajomość rynku branżowego / Kenntnis des Industrie Marktes],MATCH($B13,tab_MinKomp[[Stanowisko / Position ]:[Stanowisko / Position ]],0))="n/a","n/a",CL13-INDEX(tab_MinKomp[Znajomość rynku branżowego / Kenntnis des Industrie Marktes],MATCH($B13,tab_MinKomp[[Stanowisko / Position ]:[Stanowisko / Position ]],0)))</f>
        <v>n/a</v>
      </c>
      <c r="CM14" s="315" t="str">
        <f>IF(INDEX(tab_MinKomp[SUPPLIER MANAGEMENT],MATCH($B13,tab_MinKomp[[Stanowisko / Position ]:[Stanowisko / Position ]],0))="n/a","n/a",CM13-INDEX(tab_MinKomp[SUPPLIER MANAGEMENT],MATCH($B13,tab_MinKomp[[Stanowisko / Position ]:[Stanowisko / Position ]],0)))</f>
        <v>n/a</v>
      </c>
      <c r="CN14" s="315">
        <f>IF(INDEX(tab_MinKomp[NARZĘDZIA JAKOŚCIOWE (5WHY, Ishikawa, etc) / QS-Werkzeuge],MATCH($B13,tab_MinKomp[[Stanowisko / Position ]:[Stanowisko / Position ]],0))="n/a","n/a",CN13-INDEX(tab_MinKomp[NARZĘDZIA JAKOŚCIOWE (5WHY, Ishikawa, etc) / QS-Werkzeuge],MATCH($B13,tab_MinKomp[[Stanowisko / Position ]:[Stanowisko / Position ]],0)))</f>
        <v>0</v>
      </c>
      <c r="CO14" s="315" t="str">
        <f>IF(INDEX(tab_MinKomp[SUPPLIER MANAGEMENT],MATCH($B13,tab_MinKomp[[Stanowisko / Position ]:[Stanowisko / Position ]],0))="n/a","n/a",CO13-INDEX(tab_MinKomp[SUPPLIER MANAGEMENT],MATCH($B13,tab_MinKomp[[Stanowisko / Position ]:[Stanowisko / Position ]],0)))</f>
        <v>n/a</v>
      </c>
      <c r="CP14" s="315" t="str">
        <f>IF(INDEX(tab_MinKomp[SUPPLIER MANAGEMENT],MATCH($B13,tab_MinKomp[[Stanowisko / Position ]:[Stanowisko / Position ]],0))="n/a","n/a",CP13-INDEX(tab_MinKomp[SUPPLIER MANAGEMENT],MATCH($B13,tab_MinKomp[[Stanowisko / Position ]:[Stanowisko / Position ]],0)))</f>
        <v>n/a</v>
      </c>
      <c r="CQ14" s="315" t="str">
        <f>IF(INDEX(tab_MinKomp[SUPPLIER MANAGEMENT],MATCH($B13,tab_MinKomp[[Stanowisko / Position ]:[Stanowisko / Position ]],0))="n/a","n/a",CQ13-INDEX(tab_MinKomp[SUPPLIER MANAGEMENT],MATCH($B13,tab_MinKomp[[Stanowisko / Position ]:[Stanowisko / Position ]],0)))</f>
        <v>n/a</v>
      </c>
      <c r="CR14" s="315" t="str">
        <f>IF(INDEX(tab_MinKomp[SUPPLIER MANAGEMENT],MATCH($B13,tab_MinKomp[[Stanowisko / Position ]:[Stanowisko / Position ]],0))="n/a","n/a",CR13-INDEX(tab_MinKomp[SUPPLIER MANAGEMENT],MATCH($B13,tab_MinKomp[[Stanowisko / Position ]:[Stanowisko / Position ]],0)))</f>
        <v>n/a</v>
      </c>
      <c r="CS14" s="315" t="str">
        <f>IF(INDEX(tab_MinKomp[OBSŁUGA PORTALI KLIENTA / Kundenportale],MATCH($B13,tab_MinKomp[[Stanowisko / Position ]:[Stanowisko / Position ]],0))="n/a","n/a",CS13-INDEX(tab_MinKomp[OBSŁUGA PORTALI KLIENTA / Kundenportale],MATCH($B13,tab_MinKomp[[Stanowisko / Position ]:[Stanowisko / Position ]],0)))</f>
        <v>n/a</v>
      </c>
      <c r="CT14" s="315">
        <f>IF(INDEX(tab_MinKomp[Obsługa systemu BABTECQ / BABTECQ System],MATCH($B13,tab_MinKomp[[Stanowisko / Position ]:[Stanowisko / Position ]],0))="n/a","n/a",CT13-INDEX(tab_MinKomp[Obsługa systemu BABTECQ / BABTECQ System],MATCH($B13,tab_MinKomp[[Stanowisko / Position ]:[Stanowisko / Position ]],0)))</f>
        <v>1</v>
      </c>
      <c r="CU14" s="315">
        <f>IF(INDEX(tab_MinKomp[Rysunek techniczny / technische Zeichnung],MATCH($B13,tab_MinKomp[[Stanowisko / Position ]:[Stanowisko / Position ]],0))="n/a","n/a",CU13-INDEX(tab_MinKomp[Rysunek techniczny / technische Zeichnung],MATCH($B13,tab_MinKomp[[Stanowisko / Position ]:[Stanowisko / Position ]],0)))</f>
        <v>0</v>
      </c>
      <c r="CV14" s="315">
        <f>IF(INDEX(tab_MinKomp[Obsługa systemu BABTECQ / BABTECQ System],MATCH($B13,tab_MinKomp[[Stanowisko / Position ]:[Stanowisko / Position ]],0))="n/a","n/a",CV13-INDEX(tab_MinKomp[Obsługa systemu BABTECQ / BABTECQ System],MATCH($B13,tab_MinKomp[[Stanowisko / Position ]:[Stanowisko / Position ]],0)))</f>
        <v>1</v>
      </c>
      <c r="CW14" s="315">
        <f>IF(INDEX(tab_MinKomp[Obsługa systemu BABTECQ / BABTECQ System],MATCH($B13,tab_MinKomp[[Stanowisko / Position ]:[Stanowisko / Position ]],0))="n/a","n/a",CW13-INDEX(tab_MinKomp[Obsługa systemu BABTECQ / BABTECQ System],MATCH($B13,tab_MinKomp[[Stanowisko / Position ]:[Stanowisko / Position ]],0)))</f>
        <v>0</v>
      </c>
      <c r="CX14" s="315">
        <f>IF(INDEX(tab_MinKomp[Rysunek techniczny / technische Zeichnung],MATCH($B13,tab_MinKomp[[Stanowisko / Position ]:[Stanowisko / Position ]],0))="n/a","n/a",CX13-INDEX(tab_MinKomp[Rysunek techniczny / technische Zeichnung],MATCH($B13,tab_MinKomp[[Stanowisko / Position ]:[Stanowisko / Position ]],0)))</f>
        <v>0</v>
      </c>
      <c r="CY14" s="315">
        <f>IF(INDEX(tab_MinKomp[Rysunek techniczny / technische Zeichnung],MATCH($B13,tab_MinKomp[[Stanowisko / Position ]:[Stanowisko / Position ]],0))="n/a","n/a",CY13-INDEX(tab_MinKomp[Rysunek techniczny / technische Zeichnung],MATCH($B13,tab_MinKomp[[Stanowisko / Position ]:[Stanowisko / Position ]],0)))</f>
        <v>0</v>
      </c>
      <c r="CZ14" s="315">
        <f>IF(INDEX(tab_MinKomp[Rysunek techniczny / technische Zeichnung],MATCH($B13,tab_MinKomp[[Stanowisko / Position ]:[Stanowisko / Position ]],0))="n/a","n/a",CZ13-INDEX(tab_MinKomp[Rysunek techniczny / technische Zeichnung],MATCH($B13,tab_MinKomp[[Stanowisko / Position ]:[Stanowisko / Position ]],0)))</f>
        <v>0</v>
      </c>
      <c r="DA14" s="315">
        <f>IF(INDEX(tab_MinKomp[Rysunek techniczny / technische Zeichnung],MATCH($B13,tab_MinKomp[[Stanowisko / Position ]:[Stanowisko / Position ]],0))="n/a","n/a",DA13-INDEX(tab_MinKomp[Rysunek techniczny / technische Zeichnung],MATCH($B13,tab_MinKomp[[Stanowisko / Position ]:[Stanowisko / Position ]],0)))</f>
        <v>0</v>
      </c>
      <c r="DB14" s="315">
        <f>IF(INDEX(tab_MinKomp[Obsługa systemu BABTECQ / BABTECQ System],MATCH($B13,tab_MinKomp[[Stanowisko / Position ]:[Stanowisko / Position ]],0))="n/a","n/a",DB13-INDEX(tab_MinKomp[Obsługa systemu BABTECQ / BABTECQ System],MATCH($B13,tab_MinKomp[[Stanowisko / Position ]:[Stanowisko / Position ]],0)))</f>
        <v>0</v>
      </c>
      <c r="DC14" s="315">
        <f>IF(INDEX(tab_MinKomp[Obsługa systemu BABTECQ / BABTECQ System],MATCH($B13,tab_MinKomp[[Stanowisko / Position ]:[Stanowisko / Position ]],0))="n/a","n/a",DC13-INDEX(tab_MinKomp[Obsługa systemu BABTECQ / BABTECQ System],MATCH($B13,tab_MinKomp[[Stanowisko / Position ]:[Stanowisko / Position ]],0)))</f>
        <v>0</v>
      </c>
      <c r="DD14" s="315" t="str">
        <f>IF(INDEX(tab_MinKomp[Pisanie programów / Programme schreiben],MATCH($B13,tab_MinKomp[[Stanowisko / Position ]:[Stanowisko / Position ]],0))="n/a","n/a",DD13-INDEX(tab_MinKomp[Pisanie programów / Programme schreiben],MATCH($B13,tab_MinKomp[[Stanowisko / Position ]:[Stanowisko / Position ]],0)))</f>
        <v>n/a</v>
      </c>
      <c r="DE14" s="315">
        <f>IF(INDEX(tab_MinKomp[Rysunek techniczny / technische Zeichnung],MATCH($B13,tab_MinKomp[[Stanowisko / Position ]:[Stanowisko / Position ]],0))="n/a","n/a",DE13-INDEX(tab_MinKomp[Rysunek techniczny / technische Zeichnung],MATCH($B13,tab_MinKomp[[Stanowisko / Position ]:[Stanowisko / Position ]],0)))</f>
        <v>1</v>
      </c>
      <c r="DF14" s="315">
        <f>IF(INDEX(tab_MinKomp[Rysunek techniczny / technische Zeichnung],MATCH($B13,tab_MinKomp[[Stanowisko / Position ]:[Stanowisko / Position ]],0))="n/a","n/a",DF13-INDEX(tab_MinKomp[Rysunek techniczny / technische Zeichnung],MATCH($B13,tab_MinKomp[[Stanowisko / Position ]:[Stanowisko / Position ]],0)))</f>
        <v>1</v>
      </c>
      <c r="DG14" s="315">
        <f>IF(INDEX(tab_MinKomp[Rysunek techniczny / technische Zeichnung],MATCH($B13,tab_MinKomp[[Stanowisko / Position ]:[Stanowisko / Position ]],0))="n/a","n/a",DG13-INDEX(tab_MinKomp[Rysunek techniczny / technische Zeichnung],MATCH($B13,tab_MinKomp[[Stanowisko / Position ]:[Stanowisko / Position ]],0)))</f>
        <v>0</v>
      </c>
      <c r="DH14" s="315">
        <f>IF(INDEX(tab_MinKomp[Rysunek techniczny / technische Zeichnung],MATCH($B13,tab_MinKomp[[Stanowisko / Position ]:[Stanowisko / Position ]],0))="n/a","n/a",DH13-INDEX(tab_MinKomp[Rysunek techniczny / technische Zeichnung],MATCH($B13,tab_MinKomp[[Stanowisko / Position ]:[Stanowisko / Position ]],0)))</f>
        <v>0</v>
      </c>
      <c r="DI14" s="315">
        <f>IF(INDEX(tab_MinKomp[Rysunek techniczny / technische Zeichnung],MATCH($B13,tab_MinKomp[[Stanowisko / Position ]:[Stanowisko / Position ]],0))="n/a","n/a",DI13-INDEX(tab_MinKomp[Rysunek techniczny / technische Zeichnung],MATCH($B13,tab_MinKomp[[Stanowisko / Position ]:[Stanowisko / Position ]],0)))</f>
        <v>1</v>
      </c>
      <c r="DJ14" s="315">
        <f>IF(INDEX(tab_MinKomp[Rysunek techniczny / technische Zeichnung],MATCH($B13,tab_MinKomp[[Stanowisko / Position ]:[Stanowisko / Position ]],0))="n/a","n/a",DJ13-INDEX(tab_MinKomp[Rysunek techniczny / technische Zeichnung],MATCH($B13,tab_MinKomp[[Stanowisko / Position ]:[Stanowisko / Position ]],0)))</f>
        <v>1</v>
      </c>
      <c r="DK14" s="315">
        <f>IF(INDEX(tab_MinKomp[Rysunek techniczny / technische Zeichnung],MATCH($B13,tab_MinKomp[[Stanowisko / Position ]:[Stanowisko / Position ]],0))="n/a","n/a",DK13-INDEX(tab_MinKomp[Rysunek techniczny / technische Zeichnung],MATCH($B13,tab_MinKomp[[Stanowisko / Position ]:[Stanowisko / Position ]],0)))</f>
        <v>0</v>
      </c>
      <c r="DL14" s="315">
        <f>IF(INDEX(tab_MinKomp[Rysunek techniczny / technische Zeichnung],MATCH($B13,tab_MinKomp[[Stanowisko / Position ]:[Stanowisko / Position ]],0))="n/a","n/a",DL13-INDEX(tab_MinKomp[Rysunek techniczny / technische Zeichnung],MATCH($B13,tab_MinKomp[[Stanowisko / Position ]:[Stanowisko / Position ]],0)))</f>
        <v>0</v>
      </c>
      <c r="DM14" s="315">
        <f>IF(INDEX(tab_MinKomp[Rysunek techniczny / technische Zeichnung],MATCH($B13,tab_MinKomp[[Stanowisko / Position ]:[Stanowisko / Position ]],0))="n/a","n/a",DM13-INDEX(tab_MinKomp[Rysunek techniczny / technische Zeichnung],MATCH($B13,tab_MinKomp[[Stanowisko / Position ]:[Stanowisko / Position ]],0)))</f>
        <v>0</v>
      </c>
      <c r="DN14" s="315">
        <f>IF(INDEX(tab_MinKomp[Rysunek techniczny / technische Zeichnung],MATCH($B13,tab_MinKomp[[Stanowisko / Position ]:[Stanowisko / Position ]],0))="n/a","n/a",DN13-INDEX(tab_MinKomp[Rysunek techniczny / technische Zeichnung],MATCH($B13,tab_MinKomp[[Stanowisko / Position ]:[Stanowisko / Position ]],0)))</f>
        <v>0</v>
      </c>
      <c r="DO14" s="315">
        <f>IF(INDEX(tab_MinKomp[Rysunek techniczny / technische Zeichnung],MATCH($B13,tab_MinKomp[[Stanowisko / Position ]:[Stanowisko / Position ]],0))="n/a","n/a",DO13-INDEX(tab_MinKomp[Rysunek techniczny / technische Zeichnung],MATCH($B13,tab_MinKomp[[Stanowisko / Position ]:[Stanowisko / Position ]],0)))</f>
        <v>0</v>
      </c>
      <c r="DP14" s="315">
        <f>IF(INDEX(tab_MinKomp[Rysunek techniczny / technische Zeichnung],MATCH($B13,tab_MinKomp[[Stanowisko / Position ]:[Stanowisko / Position ]],0))="n/a","n/a",DP13-INDEX(tab_MinKomp[Rysunek techniczny / technische Zeichnung],MATCH($B13,tab_MinKomp[[Stanowisko / Position ]:[Stanowisko / Position ]],0)))</f>
        <v>0</v>
      </c>
      <c r="DQ14" s="315">
        <f>IF(INDEX(tab_MinKomp[Rysunek techniczny / technische Zeichnung],MATCH($B13,tab_MinKomp[[Stanowisko / Position ]:[Stanowisko / Position ]],0))="n/a","n/a",DQ13-INDEX(tab_MinKomp[Rysunek techniczny / technische Zeichnung],MATCH($B13,tab_MinKomp[[Stanowisko / Position ]:[Stanowisko / Position ]],0)))</f>
        <v>0</v>
      </c>
      <c r="DR14" s="315">
        <f>IF(INDEX(tab_MinKomp[Rysunek techniczny / technische Zeichnung],MATCH($B13,tab_MinKomp[[Stanowisko / Position ]:[Stanowisko / Position ]],0))="n/a","n/a",DR13-INDEX(tab_MinKomp[Rysunek techniczny / technische Zeichnung],MATCH($B13,tab_MinKomp[[Stanowisko / Position ]:[Stanowisko / Position ]],0)))</f>
        <v>0</v>
      </c>
      <c r="DS14" s="315">
        <f>IF(INDEX(tab_MinKomp[Obsługa systemu BABTECQ / BABTECQ System],MATCH($B13,tab_MinKomp[[Stanowisko / Position ]:[Stanowisko / Position ]],0))="n/a","n/a",DS13-INDEX(tab_MinKomp[Obsługa systemu BABTECQ / BABTECQ System],MATCH($B13,tab_MinKomp[[Stanowisko / Position ]:[Stanowisko / Position ]],0)))</f>
        <v>0</v>
      </c>
      <c r="DT14" s="315">
        <f>IF(INDEX(tab_MinKomp[Obsługa systemu BABTECQ / BABTECQ System],MATCH($B13,tab_MinKomp[[Stanowisko / Position ]:[Stanowisko / Position ]],0))="n/a","n/a",DT13-INDEX(tab_MinKomp[Obsługa systemu BABTECQ / BABTECQ System],MATCH($B13,tab_MinKomp[[Stanowisko / Position ]:[Stanowisko / Position ]],0)))</f>
        <v>0</v>
      </c>
      <c r="DU14" s="315">
        <f>IF(INDEX(tab_MinKomp[Obsługa systemu BABTECQ / BABTECQ System],MATCH($B13,tab_MinKomp[[Stanowisko / Position ]:[Stanowisko / Position ]],0))="n/a","n/a",DU13-INDEX(tab_MinKomp[Obsługa systemu BABTECQ / BABTECQ System],MATCH($B13,tab_MinKomp[[Stanowisko / Position ]:[Stanowisko / Position ]],0)))</f>
        <v>1</v>
      </c>
      <c r="DV14" s="315">
        <f>IF(INDEX(tab_MinKomp[Rysunek techniczny / technische Zeichnung],MATCH($B13,tab_MinKomp[[Stanowisko / Position ]:[Stanowisko / Position ]],0))="n/a","n/a",DV13-INDEX(tab_MinKomp[Rysunek techniczny / technische Zeichnung],MATCH($B13,tab_MinKomp[[Stanowisko / Position ]:[Stanowisko / Position ]],0)))</f>
        <v>1</v>
      </c>
      <c r="DW14" s="315">
        <f>IF(INDEX(tab_MinKomp[Rysunek techniczny / technische Zeichnung],MATCH($B13,tab_MinKomp[[Stanowisko / Position ]:[Stanowisko / Position ]],0))="n/a","n/a",DW13-INDEX(tab_MinKomp[Rysunek techniczny / technische Zeichnung],MATCH($B13,tab_MinKomp[[Stanowisko / Position ]:[Stanowisko / Position ]],0)))</f>
        <v>1</v>
      </c>
      <c r="DX14" s="315">
        <f>IF(INDEX(tab_MinKomp[Rysunek techniczny / technische Zeichnung],MATCH($B13,tab_MinKomp[[Stanowisko / Position ]:[Stanowisko / Position ]],0))="n/a","n/a",DX13-INDEX(tab_MinKomp[Rysunek techniczny / technische Zeichnung],MATCH($B13,tab_MinKomp[[Stanowisko / Position ]:[Stanowisko / Position ]],0)))</f>
        <v>1</v>
      </c>
      <c r="DY14" s="315" t="str">
        <f>IF(INDEX(tab_MinKomp[Konserwacja Rep],MATCH($B13,tab_MinKomp[[Stanowisko / Position ]:[Stanowisko / Position ]],0))="n/a","n/a",DY13-INDEX(tab_MinKomp[Konserwacja Rep],MATCH($B13,tab_MinKomp[[Stanowisko / Position ]:[Stanowisko / Position ]],0)))</f>
        <v>n/a</v>
      </c>
      <c r="DZ14" s="315" t="str">
        <f>IF(INDEX(tab_MinKomp[[Konserwacja Engel ]],MATCH($B13,tab_MinKomp[[Stanowisko / Position ]:[Stanowisko / Position ]],0))="n/a","n/a",DZ13-INDEX(tab_MinKomp[[Konserwacja Engel ]],MATCH($B13,tab_MinKomp[[Stanowisko / Position ]:[Stanowisko / Position ]],0)))</f>
        <v>n/a</v>
      </c>
      <c r="EA14" s="315" t="str">
        <f>IF(INDEX(tab_MinKomp[Konserwacja B 50],MATCH($B13,tab_MinKomp[[Stanowisko / Position ]:[Stanowisko / Position ]],0))="n/a","n/a",EA13-INDEX(tab_MinKomp[Konserwacja B 50],MATCH($B13,tab_MinKomp[[Stanowisko / Position ]:[Stanowisko / Position ]],0)))</f>
        <v>n/a</v>
      </c>
      <c r="EB14" s="315" t="str">
        <f>IF(INDEX(tab_MinKomp[[Konserwacja EOL ]],MATCH($B13,tab_MinKomp[[Stanowisko / Position ]:[Stanowisko / Position ]],0))="n/a","n/a",EB13-INDEX(tab_MinKomp[[Konserwacja EOL ]],MATCH($B13,tab_MinKomp[[Stanowisko / Position ]:[Stanowisko / Position ]],0)))</f>
        <v>n/a</v>
      </c>
      <c r="EC14" s="315" t="str">
        <f>IF(INDEX(tab_MinKomp[Konserwacja Branson],MATCH($B13,tab_MinKomp[[Stanowisko / Position ]:[Stanowisko / Position ]],0))="n/a","n/a",EC13-INDEX(tab_MinKomp[Konserwacja Branson],MATCH($B13,tab_MinKomp[[Stanowisko / Position ]:[Stanowisko / Position ]],0)))</f>
        <v>n/a</v>
      </c>
      <c r="ED14" s="315" t="str">
        <f>IF(INDEX(tab_MinKomp[Konserwacja coolery],MATCH($B13,tab_MinKomp[[Stanowisko / Position ]:[Stanowisko / Position ]],0))="n/a","n/a",ED13-INDEX(tab_MinKomp[Konserwacja coolery],MATCH($B13,tab_MinKomp[[Stanowisko / Position ]:[Stanowisko / Position ]],0)))</f>
        <v>n/a</v>
      </c>
      <c r="EE14" s="315" t="str">
        <f>IF(INDEX(tab_MinKomp[Konserwacja piecy],MATCH($B13,tab_MinKomp[[Stanowisko / Position ]:[Stanowisko / Position ]],0))="n/a","n/a",EE13-INDEX(tab_MinKomp[Konserwacja piecy],MATCH($B13,tab_MinKomp[[Stanowisko / Position ]:[Stanowisko / Position ]],0)))</f>
        <v>n/a</v>
      </c>
      <c r="EF14" s="315" t="str">
        <f>IF(INDEX(tab_MinKomp[Rysunek techniczny- czytanie],MATCH($B13,tab_MinKomp[[Stanowisko / Position ]:[Stanowisko / Position ]],0))="n/a","n/a",EF13-INDEX(tab_MinKomp[Rysunek techniczny- czytanie],MATCH($B13,tab_MinKomp[[Stanowisko / Position ]:[Stanowisko / Position ]],0)))</f>
        <v>n/a</v>
      </c>
      <c r="EG14" s="315" t="str">
        <f>IF(INDEX(tab_MinKomp[Elektryka],MATCH($B13,tab_MinKomp[[Stanowisko / Position ]:[Stanowisko / Position ]],0))="n/a","n/a",EG13-INDEX(tab_MinKomp[Elektryka],MATCH($B13,tab_MinKomp[[Stanowisko / Position ]:[Stanowisko / Position ]],0)))</f>
        <v>n/a</v>
      </c>
      <c r="EH14" s="315" t="str">
        <f>IF(INDEX(tab_MinKomp[Pneumatyka],MATCH($B13,tab_MinKomp[[Stanowisko / Position ]:[Stanowisko / Position ]],0))="n/a","n/a",EH13-INDEX(tab_MinKomp[Pneumatyka],MATCH($B13,tab_MinKomp[[Stanowisko / Position ]:[Stanowisko / Position ]],0)))</f>
        <v>n/a</v>
      </c>
      <c r="EI14" s="315" t="str">
        <f>IF(INDEX(tab_MinKomp[[Hydraulika ]],MATCH($B13,tab_MinKomp[[Stanowisko / Position ]:[Stanowisko / Position ]],0))="n/a","n/a",EI13-INDEX(tab_MinKomp[[Hydraulika ]],MATCH($B13,tab_MinKomp[[Stanowisko / Position ]:[Stanowisko / Position ]],0)))</f>
        <v>n/a</v>
      </c>
      <c r="EJ14" s="315" t="str">
        <f>IF(INDEX(tab_MinKomp[Podciśnienie],MATCH($B13,tab_MinKomp[[Stanowisko / Position ]:[Stanowisko / Position ]],0))="n/a","n/a",EJ13-INDEX(tab_MinKomp[Podciśnienie],MATCH($B13,tab_MinKomp[[Stanowisko / Position ]:[Stanowisko / Position ]],0)))</f>
        <v>n/a</v>
      </c>
      <c r="EK14" s="315" t="str">
        <f>IF(INDEX(tab_MinKomp[Usuwanie awarii],MATCH($B13,tab_MinKomp[[Stanowisko / Position ]:[Stanowisko / Position ]],0))="n/a","n/a",EK13-INDEX(tab_MinKomp[Usuwanie awarii],MATCH($B13,tab_MinKomp[[Stanowisko / Position ]:[Stanowisko / Position ]],0)))</f>
        <v>n/a</v>
      </c>
      <c r="EL14" s="315" t="str">
        <f>IF(INDEX(tab_MinKomp[Obsługa robotów],MATCH($B13,tab_MinKomp[[Stanowisko / Position ]:[Stanowisko / Position ]],0))="n/a","n/a",EL13-INDEX(tab_MinKomp[Obsługa robotów],MATCH($B13,tab_MinKomp[[Stanowisko / Position ]:[Stanowisko / Position ]],0)))</f>
        <v>n/a</v>
      </c>
      <c r="EM14" s="315" t="str">
        <f>IF(INDEX(tab_MinKomp[Obsługa sterowania maszyny],MATCH($B13,tab_MinKomp[[Stanowisko / Position ]:[Stanowisko / Position ]],0))="n/a","n/a",EM13-INDEX(tab_MinKomp[Obsługa sterowania maszyny],MATCH($B13,tab_MinKomp[[Stanowisko / Position ]:[Stanowisko / Position ]],0)))</f>
        <v>n/a</v>
      </c>
      <c r="EN14" s="315" t="str">
        <f>IF(INDEX(tab_MinKomp[Usuwanie przyczyn żródłowych],MATCH($B13,tab_MinKomp[[Stanowisko / Position ]:[Stanowisko / Position ]],0))="n/a","n/a",EN13-INDEX(tab_MinKomp[Usuwanie przyczyn żródłowych],MATCH($B13,tab_MinKomp[[Stanowisko / Position ]:[Stanowisko / Position ]],0)))</f>
        <v>n/a</v>
      </c>
      <c r="EO14" s="315" t="str">
        <f>IF(INDEX(tab_MinKomp[Cmms stosowanie],MATCH($B13,tab_MinKomp[[Stanowisko / Position ]:[Stanowisko / Position ]],0))="n/a","n/a",EO13-INDEX(tab_MinKomp[Cmms stosowanie],MATCH($B13,tab_MinKomp[[Stanowisko / Position ]:[Stanowisko / Position ]],0)))</f>
        <v>n/a</v>
      </c>
      <c r="EP14" s="315" t="str">
        <f>IF(INDEX(tab_MinKomp[[Czyszczenie form gumowych ]],MATCH($B13,tab_MinKomp[[Stanowisko / Position ]:[Stanowisko / Position ]],0))="n/a","n/a",EP13-INDEX(tab_MinKomp[[Czyszczenie form gumowych ]],MATCH($B13,tab_MinKomp[[Stanowisko / Position ]:[Stanowisko / Position ]],0)))</f>
        <v>n/a</v>
      </c>
      <c r="EQ14" s="315" t="str">
        <f>IF(INDEX(tab_MinKomp[Czyszczenie form plastikowych],MATCH($B13,tab_MinKomp[[Stanowisko / Position ]:[Stanowisko / Position ]],0))="n/a","n/a",EQ13-INDEX(tab_MinKomp[Czyszczenie form plastikowych],MATCH($B13,tab_MinKomp[[Stanowisko / Position ]:[Stanowisko / Position ]],0)))</f>
        <v>n/a</v>
      </c>
      <c r="ER14" s="315" t="str">
        <f>IF(INDEX(tab_MinKomp[Wymiana form plastik],MATCH($B13,tab_MinKomp[[Stanowisko / Position ]:[Stanowisko / Position ]],0))="n/a","n/a",ER13-INDEX(tab_MinKomp[Wymiana form plastik],MATCH($B13,tab_MinKomp[[Stanowisko / Position ]:[Stanowisko / Position ]],0)))</f>
        <v>n/a</v>
      </c>
      <c r="ES14" s="315" t="str">
        <f>IF(INDEX(tab_MinKomp[Wymiana form guma],MATCH($B13,tab_MinKomp[[Stanowisko / Position ]:[Stanowisko / Position ]],0))="n/a","n/a",ES13-INDEX(tab_MinKomp[Wymiana form guma],MATCH($B13,tab_MinKomp[[Stanowisko / Position ]:[Stanowisko / Position ]],0)))</f>
        <v>n/a</v>
      </c>
      <c r="ET14" s="315" t="str">
        <f>IF(INDEX(tab_MinKomp[Konserwacja KK],MATCH($B13,tab_MinKomp[[Stanowisko / Position ]:[Stanowisko / Position ]],0))="n/a","n/a",ET13-INDEX(tab_MinKomp[Konserwacja KK],MATCH($B13,tab_MinKomp[[Stanowisko / Position ]:[Stanowisko / Position ]],0)))</f>
        <v>n/a</v>
      </c>
      <c r="EU14" s="315" t="str">
        <f>IF(INDEX(tab_MinKomp[Konserwacja form guma],MATCH($B13,tab_MinKomp[[Stanowisko / Position ]:[Stanowisko / Position ]],0))="n/a","n/a",EU13-INDEX(tab_MinKomp[Konserwacja form guma],MATCH($B13,tab_MinKomp[[Stanowisko / Position ]:[Stanowisko / Position ]],0)))</f>
        <v>n/a</v>
      </c>
      <c r="EV14" s="315" t="str">
        <f>IF(INDEX(tab_MinKomp[Konserwacja form plastiki],MATCH($B13,tab_MinKomp[[Stanowisko / Position ]:[Stanowisko / Position ]],0))="n/a","n/a",EV13-INDEX(tab_MinKomp[Konserwacja form plastiki],MATCH($B13,tab_MinKomp[[Stanowisko / Position ]:[Stanowisko / Position ]],0)))</f>
        <v>n/a</v>
      </c>
      <c r="EW14" s="330" t="str">
        <f>IF(INDEX(tab_MinKomp[Konserwacja form plastiki],MATCH($B13,tab_MinKomp[[Stanowisko / Position ]:[Stanowisko / Position ]],0))="n/a","n/a",EW13-INDEX(tab_MinKomp[Konserwacja form plastiki],MATCH($B13,tab_MinKomp[[Stanowisko / Position ]:[Stanowisko / Position ]],0)))</f>
        <v>n/a</v>
      </c>
      <c r="EX14" s="315" t="str">
        <f>IF(INDEX(tab_MinKomp[Konserwacja Gorącego Kanału],MATCH($B13,tab_MinKomp[[Stanowisko / Position ]:[Stanowisko / Position ]],0))="n/a","n/a",EX13-INDEX(tab_MinKomp[Konserwacja Gorącego Kanału],MATCH($B13,tab_MinKomp[[Stanowisko / Position ]:[Stanowisko / Position ]],0)))</f>
        <v>n/a</v>
      </c>
      <c r="EY14" s="315">
        <f>IF(INDEX(tab_MinKomp[MS Office (Excel)],MATCH($B13,tab_MinKomp[[Stanowisko / Position ]:[Stanowisko / Position ]],0))="n/a","n/a",EY13-INDEX(tab_MinKomp[MS Office (Excel)],MATCH($B13,tab_MinKomp[[Stanowisko / Position ]:[Stanowisko / Position ]],0)))</f>
        <v>0</v>
      </c>
      <c r="EZ14" s="315">
        <f>IF(INDEX(tab_MinKomp[MS Office (Word)],MATCH($B13,tab_MinKomp[[Stanowisko / Position ]:[Stanowisko / Position ]],0))="n/a","n/a",EZ13-INDEX(tab_MinKomp[MS Office (Word)],MATCH($B13,tab_MinKomp[[Stanowisko / Position ]:[Stanowisko / Position ]],0)))</f>
        <v>0</v>
      </c>
      <c r="FA14" s="315">
        <f>IF(INDEX(tab_MinKomp[MS Office (Power Point)],MATCH($B13,tab_MinKomp[[Stanowisko / Position ]:[Stanowisko / Position ]],0))="n/a","n/a",FA13-INDEX(tab_MinKomp[MS Office (Power Point)],MATCH($B13,tab_MinKomp[[Stanowisko / Position ]:[Stanowisko / Position ]],0)))</f>
        <v>0</v>
      </c>
      <c r="FB14" s="315" t="str">
        <f>IF(INDEX(tab_MinKomp[Język angielski / Englisch],MATCH($B13,tab_MinKomp[[Stanowisko / Position ]:[Stanowisko / Position ]],0))="n/a","n/a",FB13-INDEX(tab_MinKomp[Język angielski / Englisch],MATCH($B13,tab_MinKomp[[Stanowisko / Position ]:[Stanowisko / Position ]],0)))</f>
        <v>n/a</v>
      </c>
      <c r="FC14" s="315" t="str">
        <f>IF(INDEX(tab_MinKomp[Język niemiecki / Deutsch],MATCH($B13,tab_MinKomp[[Stanowisko / Position ]:[Stanowisko / Position ]],0))="n/a","n/a",FC13-INDEX(tab_MinKomp[Język niemiecki / Deutsch],MATCH($B13,tab_MinKomp[[Stanowisko / Position ]:[Stanowisko / Position ]],0)))</f>
        <v>n/a</v>
      </c>
      <c r="FD14" s="315">
        <f>IF(INDEX(tab_MinKomp[Zarządzanie dokumentacją procesową / Process dokumentation management],MATCH($B13,tab_MinKomp[[Stanowisko / Position ]:[Stanowisko / Position ]],0))="n/a","n/a",FD13-INDEX(tab_MinKomp[Zarządzanie dokumentacją procesową / Process dokumentation management],MATCH($B13,tab_MinKomp[[Stanowisko / Position ]:[Stanowisko / Position ]],0)))</f>
        <v>0</v>
      </c>
      <c r="FE14" s="315">
        <f>IF(INDEX(tab_MinKomp[Znajomość procesów z obszaru / Kenntiss der prozesse in dem Bereich],MATCH($B13,tab_MinKomp[[Stanowisko / Position ]:[Stanowisko / Position ]],0))="n/a","n/a",FE13-INDEX(tab_MinKomp[Znajomość procesów z obszaru / Kenntiss der prozesse in dem Bereich],MATCH($B13,tab_MinKomp[[Stanowisko / Position ]:[Stanowisko / Position ]],0)))</f>
        <v>0</v>
      </c>
      <c r="FF14" s="315" t="str">
        <f>IF(INDEX(tab_MinKomp[optymalizacja procesów / Prozessoptymalisierung],MATCH($B13,tab_MinKomp[[Stanowisko / Position ]:[Stanowisko / Position ]],0))="n/a","n/a",FF13-INDEX(tab_MinKomp[optymalizacja procesów / Prozessoptymalisierung],MATCH($B13,tab_MinKomp[[Stanowisko / Position ]:[Stanowisko / Position ]],0)))</f>
        <v>n/a</v>
      </c>
      <c r="FG14" s="315">
        <f>IF(INDEX(tab_MinKomp[Umiejętności szkoleniowe / Trainingsfähigkeiten],MATCH($B13,tab_MinKomp[[Stanowisko / Position ]:[Stanowisko / Position ]],0))="n/a","n/a",FG13-INDEX(tab_MinKomp[Umiejętności szkoleniowe / Trainingsfähigkeiten],MATCH($B13,tab_MinKomp[[Stanowisko / Position ]:[Stanowisko / Position ]],0)))</f>
        <v>0</v>
      </c>
      <c r="FH14" s="315">
        <f>IF(INDEX(tab_MinKomp[Analityczne myślenie, podejście / Analitysches Denken, Einstellung],MATCH($B13,tab_MinKomp[[Stanowisko / Position ]:[Stanowisko / Position ]],0))="n/a","n/a",FH13-INDEX(tab_MinKomp[Analityczne myślenie, podejście / Analitysches Denken, Einstellung],MATCH($B13,tab_MinKomp[[Stanowisko / Position ]:[Stanowisko / Position ]],0)))</f>
        <v>0</v>
      </c>
      <c r="FI14" s="315">
        <f>IF(INDEX(tab_MinKomp[Dokładność, precyzja w dzialaniu / Genauigkeit, Präzision in die Arbeit],MATCH($B13,tab_MinKomp[[Stanowisko / Position ]:[Stanowisko / Position ]],0))="n/a","n/a",FI13-INDEX(tab_MinKomp[Dokładność, precyzja w dzialaniu / Genauigkeit, Präzision in die Arbeit],MATCH($B13,tab_MinKomp[[Stanowisko / Position ]:[Stanowisko / Position ]],0)))</f>
        <v>1</v>
      </c>
      <c r="FJ14" s="315">
        <f>IF(INDEX(tab_MinKomp[Dyspozycyjność / Verfügbarkeit],MATCH($B13,tab_MinKomp[[Stanowisko / Position ]:[Stanowisko / Position ]],0))="n/a","n/a",FJ13-INDEX(tab_MinKomp[Dyspozycyjność / Verfügbarkeit],MATCH($B13,tab_MinKomp[[Stanowisko / Position ]:[Stanowisko / Position ]],0)))</f>
        <v>1</v>
      </c>
      <c r="FK14" s="315">
        <f>IF(INDEX(tab_MinKomp[Zaangażowanie / 
Engagement],MATCH($B13,tab_MinKomp[[Stanowisko / Position ]:[Stanowisko / Position ]],0))="n/a","n/a",FK13-INDEX(tab_MinKomp[Zaangażowanie / 
Engagement],MATCH($B13,tab_MinKomp[[Stanowisko / Position ]:[Stanowisko / Position ]],0)))</f>
        <v>1</v>
      </c>
      <c r="FL14" s="315" t="str">
        <f>IF(INDEX(tab_MinKomp[Planowanie strategiczne / Strategische Planung],MATCH($B13,tab_MinKomp[[Stanowisko / Position ]:[Stanowisko / Position ]],0))="n/a","n/a",FL13-INDEX(tab_MinKomp[Planowanie strategiczne / Strategische Planung],MATCH($B13,tab_MinKomp[[Stanowisko / Position ]:[Stanowisko / Position ]],0)))</f>
        <v>n/a</v>
      </c>
      <c r="FM14" s="315" t="str">
        <f>IF(INDEX(tab_MinKomp[Konsekwentne i dynamiczne działanie],MATCH($B13,tab_MinKomp[[Stanowisko / Position ]:[Stanowisko / Position ]],0))="n/a","n/a",FM13-INDEX(tab_MinKomp[Konsekwentne i dynamiczne działanie],MATCH($B13,tab_MinKomp[[Stanowisko / Position ]:[Stanowisko / Position ]],0)))</f>
        <v>n/a</v>
      </c>
      <c r="FN14" s="315" t="str">
        <f>IF(INDEX(tab_MinKomp[Elastyczność w działaniu],MATCH($B13,tab_MinKomp[[Stanowisko / Position ]:[Stanowisko / Position ]],0))="n/a","n/a",FN13-INDEX(tab_MinKomp[Elastyczność w działaniu],MATCH($B13,tab_MinKomp[[Stanowisko / Position ]:[Stanowisko / Position ]],0)))</f>
        <v>n/a</v>
      </c>
      <c r="FO14" s="315">
        <f>IF(INDEX(tab_MinKomp[Komunikatywność],MATCH($B13,tab_MinKomp[[Stanowisko / Position ]:[Stanowisko / Position ]],0))="n/a","n/a",FO13-INDEX(tab_MinKomp[Komunikatywność],MATCH($B13,tab_MinKomp[[Stanowisko / Position ]:[Stanowisko / Position ]],0)))</f>
        <v>0</v>
      </c>
      <c r="FP14" s="314" t="str">
        <f>IF(INDEX(tab_MinKomp[Motywowanie i budowanie zaangażowania zespołu],MATCH($B13,tab_MinKomp[[Stanowisko / Position ]:[Stanowisko / Position ]],0))="n/a","n/a",FP13-INDEX(tab_MinKomp[Motywowanie i budowanie zaangażowania zespołu],MATCH($B13,tab_MinKomp[[Stanowisko / Position ]:[Stanowisko / Position ]],0)))</f>
        <v>n/a</v>
      </c>
      <c r="FQ14" s="318" t="str">
        <f>IFERROR(IF(INDEX(tab_MinKomp[BRAK / Keine],MATCH($B13,tab_MinKomp[[Stanowisko / Position ]:[Stanowisko / Position ]],0))="n/a","n/a",INDEX(tab_MinKomp[BRAK / Keine],MATCH($B13,tab_MinKomp[[Stanowisko / Position ]:[Stanowisko / Position ]],0))-FQ13),"")</f>
        <v>n/a</v>
      </c>
      <c r="FR14" s="315" t="s">
        <v>160</v>
      </c>
      <c r="FS14" s="315" t="s">
        <v>176</v>
      </c>
      <c r="FT14" s="315" t="s">
        <v>176</v>
      </c>
      <c r="FU14" s="319" t="s">
        <v>176</v>
      </c>
      <c r="FV14" s="319" t="str">
        <f>IF(INDEX(tab_MinKomp[MINIMUM 5 LAT / min. 5 Jahre],MATCH($B13,tab_MinKomp[[Stanowisko / Position ]:[Stanowisko / Position ]],0))="n/a","n/a",INDEX(tab_MinKomp[MINIMUM 5 LAT / min. 5 Jahre],MATCH($B13,tab_MinKomp[[Stanowisko / Position ]:[Stanowisko / Position ]],0)))</f>
        <v>n/a</v>
      </c>
      <c r="FW14" s="318" t="str">
        <f>IF(INDEX(tab_MinKomp[BRAK / Keine9],MATCH($B13,tab_MinKomp[[Stanowisko / Position ]:[Stanowisko / Position ]],0))="n/a","n/a",INDEX(tab_MinKomp[BRAK / Keine9],MATCH($B13,tab_MinKomp[[Stanowisko / Position ]:[Stanowisko / Position ]],0)))</f>
        <v>n/a</v>
      </c>
      <c r="FX14" s="315" t="str">
        <f>IF(INDEX(tab_MinKomp[ŚREDNIE OGÓLNE / Abitur allgemeine],MATCH($B21,tab_MinKomp[[Stanowisko / Position ]:[Stanowisko / Position ]],0))="n/a","n/a",INDEX(tab_MinKomp[ŚREDNIE OGÓLNE / Abitur allgemeine],MATCH($B21,tab_MinKomp[[Stanowisko / Position ]:[Stanowisko / Position ]],0)))</f>
        <v>n/a</v>
      </c>
      <c r="FY14" s="315" t="str">
        <f>IF(INDEX(tab_MinKomp[ŚREDNIE OGÓLNE / Abitur allgemeine],MATCH($B13,tab_MinKomp[[Stanowisko / Position ]:[Stanowisko / Position ]],0))="n/a","n/a",INDEX(tab_MinKomp[ŚREDNIE OGÓLNE / Abitur allgemeine],MATCH($B13,tab_MinKomp[[Stanowisko / Position ]:[Stanowisko / Position ]],0)))</f>
        <v>n/a</v>
      </c>
      <c r="FZ14" s="315" t="s">
        <v>160</v>
      </c>
      <c r="GA14" s="315" t="str">
        <f>IF(INDEX(tab_MinKomp[WYŻSZE OGÓLNE / Hochschule allgemeine],MATCH($B13,tab_MinKomp[[Stanowisko / Position ]:[Stanowisko / Position ]],0))="n/a","n/a",INDEX(tab_MinKomp[WYŻSZE OGÓLNE / Hochschule allgemeine],MATCH($B13,tab_MinKomp[[Stanowisko / Position ]:[Stanowisko / Position ]],0)))</f>
        <v>n/a</v>
      </c>
      <c r="GB14" s="319" t="str">
        <f>IF(INDEX(tab_MinKomp[WYŻSZE KIERUNKOWE / Hochschule berufliche],MATCH($B13,tab_MinKomp[[Stanowisko / Position ]:[Stanowisko / Position ]],0))="n/a","n/a",INDEX(tab_MinKomp[WYŻSZE KIERUNKOWE / Hochschule berufliche],MATCH($B13,tab_MinKomp[[Stanowisko / Position ]:[Stanowisko / Position ]],0)))</f>
        <v>n/a</v>
      </c>
      <c r="GC14" s="318" t="str">
        <f>IF(INDEX(tab_MinKomp[PIERWSZA POMOC / Erste Hilfe],MATCH($B13,tab_MinKomp[[Stanowisko / Position ]:[Stanowisko / Position ]],0))="n/a","n/a",INDEX(tab_MinKomp[PIERWSZA POMOC / Erste Hilfe],MATCH($B13,tab_MinKomp[[Stanowisko / Position ]:[Stanowisko / Position ]],0)))</f>
        <v>n/a</v>
      </c>
      <c r="GD14" s="315" t="str">
        <f>IF(INDEX(tab_MinKomp[Specjalista BHP / BHP Spezialist],MATCH($B13,tab_MinKomp[[Stanowisko / Position ]:[Stanowisko / Position ]],0))="n/a","n/a",INDEX(tab_MinKomp[Specjalista BHP / BHP Spezialist],MATCH($B13,tab_MinKomp[[Stanowisko / Position ]:[Stanowisko / Position ]],0)))</f>
        <v>n/a</v>
      </c>
      <c r="GE14" s="315" t="str">
        <f>IF(INDEX(tab_MinKomp[Inspektor ochrony PPOŻ / Brandschutzinspektor],MATCH($B13,tab_MinKomp[[Stanowisko / Position ]:[Stanowisko / Position ]],0))="n/a","n/a",INDEX(tab_MinKomp[Inspektor ochrony PPOŻ / Brandschutzinspektor],MATCH($B13,tab_MinKomp[[Stanowisko / Position ]:[Stanowisko / Position ]],0)))</f>
        <v>n/a</v>
      </c>
      <c r="GF14" s="315" t="str">
        <f>IF(INDEX(tab_MinKomp[WÓZKI JEZDNIOWE / Gebelstapler],MATCH($B13,tab_MinKomp[[Stanowisko / Position ]:[Stanowisko / Position ]],0))="n/a","n/a",INDEX(tab_MinKomp[WÓZKI JEZDNIOWE / Gebelstapler],MATCH($B13,tab_MinKomp[[Stanowisko / Position ]:[Stanowisko / Position ]],0)))</f>
        <v>n/a</v>
      </c>
      <c r="GG14" s="315" t="str">
        <f>IF(INDEX(tab_MinKomp[SEP],MATCH($B13,tab_MinKomp[[Stanowisko / Position ]:[Stanowisko / Position ]],0))="n/a","n/a",INDEX(tab_MinKomp[SEP],MATCH($B13,tab_MinKomp[[Stanowisko / Position ]:[Stanowisko / Position ]],0)))</f>
        <v>n/a</v>
      </c>
      <c r="GH14" s="315" t="str">
        <f>IF(INDEX(tab_MinKomp[SEP  DOZÓR / SEP Aufsicht],MATCH($B13,tab_MinKomp[[Stanowisko / Position ]:[Stanowisko / Position ]],0))="n/a","n/a",INDEX(tab_MinKomp[SEP  DOZÓR / SEP Aufsicht],MATCH($B13,tab_MinKomp[[Stanowisko / Position ]:[Stanowisko / Position ]],0)))</f>
        <v>n/a</v>
      </c>
      <c r="GI14" s="315" t="str">
        <f>IF(INDEX(tab_MinKomp[PODNOŚNIKI / Hebevorrichtung],MATCH($B13,tab_MinKomp[[Stanowisko / Position ]:[Stanowisko / Position ]],0))="n/a","n/a",INDEX(tab_MinKomp[PODNOŚNIKI / Hebevorrichtung],MATCH($B13,tab_MinKomp[[Stanowisko / Position ]:[Stanowisko / Position ]],0)))</f>
        <v>n/a</v>
      </c>
      <c r="GJ14" s="315" t="str">
        <f>IF(INDEX(tab_MinKomp[SUWNICE / Laufkran],MATCH($B13,tab_MinKomp[[Stanowisko / Position ]:[Stanowisko / Position ]],0))="n/a","n/a",INDEX(tab_MinKomp[SUWNICE / Laufkran],MATCH($B13,tab_MinKomp[[Stanowisko / Position ]:[Stanowisko / Position ]],0)))</f>
        <v>n/a</v>
      </c>
      <c r="GK14" s="319" t="str">
        <f>IF(INDEX(tab_MinKomp[WYSOKOŚCIOWE / Höhenberechtigungen],MATCH($B13,tab_MinKomp[[Stanowisko / Position ]:[Stanowisko / Position ]],0))="n/a","n/a",INDEX(tab_MinKomp[WYSOKOŚCIOWE / Höhenberechtigungen],MATCH($B13,tab_MinKomp[[Stanowisko / Position ]:[Stanowisko / Position ]],0)))</f>
        <v>n/a</v>
      </c>
      <c r="GL14" s="320">
        <f>SUM(G14:FP14)/(GL13-(SUM(G14:FP14)))</f>
        <v>0.22549019607843138</v>
      </c>
    </row>
    <row r="15" spans="1:195" ht="28.35" customHeight="1" x14ac:dyDescent="0.25">
      <c r="A15" s="138" t="s">
        <v>267</v>
      </c>
      <c r="B15" s="138" t="str">
        <f>B14</f>
        <v>Inspektor jakości</v>
      </c>
      <c r="C15" s="135" t="s">
        <v>750</v>
      </c>
      <c r="D15" s="138">
        <v>1459</v>
      </c>
      <c r="E15" s="563" t="s">
        <v>704</v>
      </c>
      <c r="F15" s="307" t="s">
        <v>165</v>
      </c>
      <c r="G15" s="308">
        <v>2</v>
      </c>
      <c r="H15" s="308">
        <v>2</v>
      </c>
      <c r="I15" s="308">
        <v>2</v>
      </c>
      <c r="J15" s="308">
        <v>1</v>
      </c>
      <c r="K15" s="308">
        <v>2</v>
      </c>
      <c r="L15" s="308">
        <v>1</v>
      </c>
      <c r="M15" s="308" t="s">
        <v>176</v>
      </c>
      <c r="N15" s="308" t="s">
        <v>176</v>
      </c>
      <c r="O15" s="308">
        <v>1</v>
      </c>
      <c r="P15" s="308">
        <v>1</v>
      </c>
      <c r="Q15" s="308" t="s">
        <v>176</v>
      </c>
      <c r="R15" s="308" t="s">
        <v>176</v>
      </c>
      <c r="S15" s="308" t="s">
        <v>176</v>
      </c>
      <c r="T15" s="308" t="s">
        <v>176</v>
      </c>
      <c r="U15" s="308" t="s">
        <v>176</v>
      </c>
      <c r="V15" s="308" t="s">
        <v>176</v>
      </c>
      <c r="W15" s="308" t="s">
        <v>176</v>
      </c>
      <c r="X15" s="308" t="s">
        <v>176</v>
      </c>
      <c r="Y15" s="308" t="s">
        <v>176</v>
      </c>
      <c r="Z15" s="308" t="s">
        <v>176</v>
      </c>
      <c r="AA15" s="308" t="s">
        <v>176</v>
      </c>
      <c r="AB15" s="308" t="s">
        <v>176</v>
      </c>
      <c r="AC15" s="308">
        <v>1</v>
      </c>
      <c r="AD15" s="308">
        <v>1</v>
      </c>
      <c r="AE15" s="308">
        <v>1</v>
      </c>
      <c r="AF15" s="308">
        <v>1</v>
      </c>
      <c r="AG15" s="308">
        <v>1</v>
      </c>
      <c r="AH15" s="308">
        <v>1</v>
      </c>
      <c r="AI15" s="308" t="s">
        <v>176</v>
      </c>
      <c r="AJ15" s="308" t="s">
        <v>176</v>
      </c>
      <c r="AK15" s="308" t="s">
        <v>176</v>
      </c>
      <c r="AL15" s="308">
        <v>1</v>
      </c>
      <c r="AM15" s="308" t="s">
        <v>176</v>
      </c>
      <c r="AN15" s="308" t="s">
        <v>176</v>
      </c>
      <c r="AO15" s="308">
        <v>1</v>
      </c>
      <c r="AP15" s="308">
        <v>1</v>
      </c>
      <c r="AQ15" s="308">
        <v>1</v>
      </c>
      <c r="AR15" s="308" t="s">
        <v>176</v>
      </c>
      <c r="AS15" s="308">
        <v>1</v>
      </c>
      <c r="AT15" s="308">
        <v>1</v>
      </c>
      <c r="AU15" s="308">
        <v>1</v>
      </c>
      <c r="AV15" s="308">
        <v>2</v>
      </c>
      <c r="AW15" s="308">
        <v>1</v>
      </c>
      <c r="AX15" s="308">
        <v>1</v>
      </c>
      <c r="AY15" s="308" t="s">
        <v>176</v>
      </c>
      <c r="AZ15" s="308" t="s">
        <v>176</v>
      </c>
      <c r="BA15" s="308" t="s">
        <v>176</v>
      </c>
      <c r="BB15" s="308" t="s">
        <v>176</v>
      </c>
      <c r="BC15" s="308" t="s">
        <v>176</v>
      </c>
      <c r="BD15" s="308" t="s">
        <v>176</v>
      </c>
      <c r="BE15" s="308" t="s">
        <v>176</v>
      </c>
      <c r="BF15" s="308" t="s">
        <v>176</v>
      </c>
      <c r="BG15" s="308" t="s">
        <v>176</v>
      </c>
      <c r="BH15" s="308" t="s">
        <v>176</v>
      </c>
      <c r="BI15" s="308" t="s">
        <v>176</v>
      </c>
      <c r="BJ15" s="308" t="s">
        <v>176</v>
      </c>
      <c r="BK15" s="308" t="s">
        <v>176</v>
      </c>
      <c r="BL15" s="308" t="s">
        <v>176</v>
      </c>
      <c r="BM15" s="308" t="s">
        <v>176</v>
      </c>
      <c r="BN15" s="308" t="s">
        <v>176</v>
      </c>
      <c r="BO15" s="308" t="s">
        <v>176</v>
      </c>
      <c r="BP15" s="308" t="s">
        <v>176</v>
      </c>
      <c r="BQ15" s="308" t="s">
        <v>176</v>
      </c>
      <c r="BR15" s="308" t="s">
        <v>176</v>
      </c>
      <c r="BS15" s="308" t="s">
        <v>176</v>
      </c>
      <c r="BT15" s="308" t="s">
        <v>176</v>
      </c>
      <c r="BU15" s="308" t="s">
        <v>176</v>
      </c>
      <c r="BV15" s="308" t="s">
        <v>176</v>
      </c>
      <c r="BW15" s="308" t="s">
        <v>176</v>
      </c>
      <c r="BX15" s="308" t="s">
        <v>176</v>
      </c>
      <c r="BY15" s="308" t="s">
        <v>176</v>
      </c>
      <c r="BZ15" s="308" t="s">
        <v>176</v>
      </c>
      <c r="CA15" s="308" t="s">
        <v>176</v>
      </c>
      <c r="CB15" s="308" t="s">
        <v>176</v>
      </c>
      <c r="CC15" s="308" t="s">
        <v>176</v>
      </c>
      <c r="CD15" s="308" t="s">
        <v>176</v>
      </c>
      <c r="CE15" s="308" t="s">
        <v>176</v>
      </c>
      <c r="CF15" s="308" t="s">
        <v>176</v>
      </c>
      <c r="CG15" s="308" t="s">
        <v>176</v>
      </c>
      <c r="CH15" s="308" t="s">
        <v>176</v>
      </c>
      <c r="CI15" s="308" t="s">
        <v>176</v>
      </c>
      <c r="CJ15" s="308" t="s">
        <v>176</v>
      </c>
      <c r="CK15" s="308" t="s">
        <v>176</v>
      </c>
      <c r="CL15" s="308" t="s">
        <v>176</v>
      </c>
      <c r="CM15" s="308"/>
      <c r="CN15" s="308">
        <v>1</v>
      </c>
      <c r="CO15" s="308">
        <v>1</v>
      </c>
      <c r="CP15" s="308">
        <v>1</v>
      </c>
      <c r="CQ15" s="308"/>
      <c r="CR15" s="308" t="s">
        <v>176</v>
      </c>
      <c r="CS15" s="308" t="s">
        <v>176</v>
      </c>
      <c r="CT15" s="308"/>
      <c r="CU15" s="308">
        <v>1</v>
      </c>
      <c r="CV15" s="308" t="s">
        <v>176</v>
      </c>
      <c r="CW15" s="308" t="s">
        <v>176</v>
      </c>
      <c r="CX15" s="308"/>
      <c r="CY15" s="308" t="s">
        <v>176</v>
      </c>
      <c r="CZ15" s="308" t="s">
        <v>176</v>
      </c>
      <c r="DA15" s="308" t="s">
        <v>176</v>
      </c>
      <c r="DB15" s="308" t="s">
        <v>176</v>
      </c>
      <c r="DC15" s="308" t="s">
        <v>176</v>
      </c>
      <c r="DD15" s="308" t="s">
        <v>176</v>
      </c>
      <c r="DE15" s="308" t="s">
        <v>176</v>
      </c>
      <c r="DF15" s="308" t="s">
        <v>176</v>
      </c>
      <c r="DG15" s="308"/>
      <c r="DH15" s="308"/>
      <c r="DI15" s="308"/>
      <c r="DJ15" s="308"/>
      <c r="DK15" s="308" t="s">
        <v>176</v>
      </c>
      <c r="DL15" s="308" t="s">
        <v>176</v>
      </c>
      <c r="DM15" s="308" t="s">
        <v>176</v>
      </c>
      <c r="DN15" s="308" t="s">
        <v>176</v>
      </c>
      <c r="DO15" s="308" t="s">
        <v>176</v>
      </c>
      <c r="DP15" s="308" t="s">
        <v>176</v>
      </c>
      <c r="DQ15" s="308" t="s">
        <v>176</v>
      </c>
      <c r="DR15" s="308" t="s">
        <v>176</v>
      </c>
      <c r="DS15" s="308" t="s">
        <v>176</v>
      </c>
      <c r="DT15" s="308" t="s">
        <v>176</v>
      </c>
      <c r="DU15" s="308"/>
      <c r="DV15" s="308" t="s">
        <v>176</v>
      </c>
      <c r="DW15" s="308" t="s">
        <v>176</v>
      </c>
      <c r="DX15" s="308" t="s">
        <v>176</v>
      </c>
      <c r="DY15" s="308" t="s">
        <v>176</v>
      </c>
      <c r="DZ15" s="308" t="s">
        <v>176</v>
      </c>
      <c r="EA15" s="308" t="s">
        <v>176</v>
      </c>
      <c r="EB15" s="308" t="s">
        <v>176</v>
      </c>
      <c r="EC15" s="308" t="s">
        <v>176</v>
      </c>
      <c r="ED15" s="308" t="s">
        <v>176</v>
      </c>
      <c r="EE15" s="308" t="s">
        <v>176</v>
      </c>
      <c r="EF15" s="308" t="s">
        <v>176</v>
      </c>
      <c r="EG15" s="308" t="s">
        <v>176</v>
      </c>
      <c r="EH15" s="308" t="s">
        <v>176</v>
      </c>
      <c r="EI15" s="308" t="s">
        <v>176</v>
      </c>
      <c r="EJ15" s="308" t="s">
        <v>176</v>
      </c>
      <c r="EK15" s="308" t="s">
        <v>176</v>
      </c>
      <c r="EL15" s="308" t="s">
        <v>176</v>
      </c>
      <c r="EM15" s="308" t="s">
        <v>176</v>
      </c>
      <c r="EN15" s="308" t="s">
        <v>176</v>
      </c>
      <c r="EO15" s="308" t="s">
        <v>176</v>
      </c>
      <c r="EP15" s="308" t="s">
        <v>176</v>
      </c>
      <c r="EQ15" s="308" t="s">
        <v>176</v>
      </c>
      <c r="ER15" s="308" t="s">
        <v>176</v>
      </c>
      <c r="ES15" s="308" t="s">
        <v>176</v>
      </c>
      <c r="ET15" s="308" t="s">
        <v>176</v>
      </c>
      <c r="EU15" s="308" t="s">
        <v>176</v>
      </c>
      <c r="EV15" s="308" t="s">
        <v>176</v>
      </c>
      <c r="EW15" s="308" t="s">
        <v>176</v>
      </c>
      <c r="EX15" s="308" t="s">
        <v>176</v>
      </c>
      <c r="EY15" s="308">
        <v>1</v>
      </c>
      <c r="EZ15" s="308">
        <v>1</v>
      </c>
      <c r="FA15" s="308">
        <v>1</v>
      </c>
      <c r="FB15" s="308" t="s">
        <v>176</v>
      </c>
      <c r="FC15" s="308" t="s">
        <v>176</v>
      </c>
      <c r="FD15" s="308">
        <v>1</v>
      </c>
      <c r="FE15" s="308">
        <v>2</v>
      </c>
      <c r="FF15" s="308" t="s">
        <v>176</v>
      </c>
      <c r="FG15" s="308">
        <v>1</v>
      </c>
      <c r="FH15" s="308">
        <v>1</v>
      </c>
      <c r="FI15" s="308">
        <v>2</v>
      </c>
      <c r="FJ15" s="308">
        <v>2</v>
      </c>
      <c r="FK15" s="308">
        <v>2</v>
      </c>
      <c r="FL15" s="308" t="s">
        <v>176</v>
      </c>
      <c r="FM15" s="308" t="s">
        <v>176</v>
      </c>
      <c r="FN15" s="308" t="s">
        <v>176</v>
      </c>
      <c r="FO15" s="308"/>
      <c r="FP15" s="308" t="s">
        <v>176</v>
      </c>
      <c r="FQ15" s="308" t="s">
        <v>176</v>
      </c>
      <c r="FR15" s="308" t="s">
        <v>160</v>
      </c>
      <c r="FS15" s="308" t="s">
        <v>176</v>
      </c>
      <c r="FT15" s="308" t="s">
        <v>176</v>
      </c>
      <c r="FU15" s="308" t="s">
        <v>176</v>
      </c>
      <c r="FV15" s="308" t="s">
        <v>176</v>
      </c>
      <c r="FW15" s="308" t="s">
        <v>176</v>
      </c>
      <c r="FX15" s="308" t="s">
        <v>160</v>
      </c>
      <c r="FY15" s="308" t="s">
        <v>176</v>
      </c>
      <c r="FZ15" s="308" t="s">
        <v>176</v>
      </c>
      <c r="GA15" s="308" t="s">
        <v>176</v>
      </c>
      <c r="GB15" s="308" t="s">
        <v>176</v>
      </c>
      <c r="GC15" s="308" t="s">
        <v>176</v>
      </c>
      <c r="GD15" s="308" t="s">
        <v>176</v>
      </c>
      <c r="GE15" s="308" t="s">
        <v>176</v>
      </c>
      <c r="GF15" s="308" t="s">
        <v>176</v>
      </c>
      <c r="GG15" s="308" t="s">
        <v>176</v>
      </c>
      <c r="GH15" s="308" t="s">
        <v>176</v>
      </c>
      <c r="GI15" s="308" t="s">
        <v>176</v>
      </c>
      <c r="GJ15" s="308" t="s">
        <v>176</v>
      </c>
      <c r="GK15" s="321" t="s">
        <v>176</v>
      </c>
      <c r="GL15" s="311">
        <f>SUM(G15:FP15)</f>
        <v>47</v>
      </c>
    </row>
    <row r="16" spans="1:195" ht="28.35" customHeight="1" thickBot="1" x14ac:dyDescent="0.3">
      <c r="A16" s="138" t="s">
        <v>267</v>
      </c>
      <c r="B16" s="138" t="str">
        <f>B15</f>
        <v>Inspektor jakości</v>
      </c>
      <c r="C16" s="135" t="s">
        <v>750</v>
      </c>
      <c r="D16" s="138">
        <v>1459</v>
      </c>
      <c r="E16" s="564"/>
      <c r="F16" s="312" t="s">
        <v>166</v>
      </c>
      <c r="G16" s="313">
        <f>IF(INDEX(tab_MinKomp[Przepisy BHP / BHP Vorschriften],MATCH($B15,tab_MinKomp[[Stanowisko / Position ]:[Stanowisko / Position ]],0))="n/a","n/a",G15-INDEX(tab_MinKomp[Przepisy BHP / BHP Vorschriften],MATCH($B15,tab_MinKomp[[Stanowisko / Position ]:[Stanowisko / Position ]],0)))</f>
        <v>0</v>
      </c>
      <c r="H16" s="314">
        <f>IF(INDEX(tab_MinKomp[Przepisy PPOŻ / Brandschutzbestimmungen],MATCH($B15,tab_MinKomp[[Stanowisko / Position ]:[Stanowisko / Position ]],0))="n/a","n/a",H15-INDEX(tab_MinKomp[Przepisy PPOŻ / Brandschutzbestimmungen],MATCH($B15,tab_MinKomp[[Stanowisko / Position ]:[Stanowisko / Position ]],0)))</f>
        <v>0</v>
      </c>
      <c r="I16" s="314">
        <f>IF(INDEX(tab_MinKomp[Przepisy PPOŻ / Brandschutzbestimmungen],MATCH($B15,tab_MinKomp[[Stanowisko / Position ]:[Stanowisko / Position ]],0))="n/a","n/a",I15-INDEX(tab_MinKomp[Przepisy PPOŻ / Brandschutzbestimmungen],MATCH($B15,tab_MinKomp[[Stanowisko / Position ]:[Stanowisko / Position ]],0)))</f>
        <v>0</v>
      </c>
      <c r="J16" s="314">
        <f>IF(INDEX(tab_MinKomp[Gospodarka substancjami niebezpiecznymi / Gefahrstoffmanagement],MATCH($B15,tab_MinKomp[[Stanowisko / Position ]:[Stanowisko / Position ]],0))="n/a","n/a",J15-INDEX(tab_MinKomp[Gospodarka substancjami niebezpiecznymi / Gefahrstoffmanagement],MATCH($B15,tab_MinKomp[[Stanowisko / Position ]:[Stanowisko / Position ]],0)))</f>
        <v>0</v>
      </c>
      <c r="K16" s="314">
        <f>IF(INDEX(tab_MinKomp[Gospodarka odpadami / Abfallwirtschaft],MATCH($B15,tab_MinKomp[[Stanowisko / Position ]:[Stanowisko / Position ]],0))="n/a","n/a",K15-INDEX(tab_MinKomp[Gospodarka odpadami / Abfallwirtschaft],MATCH($B15,tab_MinKomp[[Stanowisko / Position ]:[Stanowisko / Position ]],0)))</f>
        <v>0</v>
      </c>
      <c r="L16" s="315">
        <f>IF(INDEX(tab_MinKomp[Przepisy kodeksu pracy / Bestimmungen des Arbeitsgesetzes],MATCH($B15,tab_MinKomp[[Stanowisko / Position ]:[Stanowisko / Position ]],0))="n/a","n/a",L15-INDEX(tab_MinKomp[Przepisy kodeksu pracy / Bestimmungen des Arbeitsgesetzes],MATCH($B15,tab_MinKomp[[Stanowisko / Position ]:[Stanowisko / Position ]],0)))</f>
        <v>0</v>
      </c>
      <c r="M16" s="316" t="str">
        <f>IF(INDEX(tab_MinKomp[Przepisy o ub.społ. ZUS  / Sozialversicherungsvorschriften],MATCH($B15,tab_MinKomp[[Stanowisko / Position ]:[Stanowisko / Position ]],0))="n/a","n/a",M15-INDEX(tab_MinKomp[Przepisy o ub.społ. ZUS  / Sozialversicherungsvorschriften],MATCH($B15,tab_MinKomp[[Stanowisko / Position ]:[Stanowisko / Position ]],0)))</f>
        <v>n/a</v>
      </c>
      <c r="N16" s="315" t="str">
        <f>IF(INDEX(tab_MinKomp[PRZEPISY O PDOF /persönlich Einkommensteuergesetz ],MATCH($B15,tab_MinKomp[[Stanowisko / Position ]:[Stanowisko / Position ]],0))="n/a","n/a",N15-INDEX(tab_MinKomp[PRZEPISY O PDOF /persönlich Einkommensteuergesetz ],MATCH($B15,tab_MinKomp[[Stanowisko / Position ]:[Stanowisko / Position ]],0)))</f>
        <v>n/a</v>
      </c>
      <c r="O16" s="315">
        <f>IF(INDEX(tab_MinKomp[Regulamin pracy / Arbeitsordnung],MATCH($B15,tab_MinKomp[[Stanowisko / Position ]:[Stanowisko / Position ]],0))="n/a","n/a",O15-INDEX(tab_MinKomp[Regulamin pracy / Arbeitsordnung],MATCH($B15,tab_MinKomp[[Stanowisko / Position ]:[Stanowisko / Position ]],0)))</f>
        <v>0</v>
      </c>
      <c r="P16" s="315">
        <f>IF(INDEX(tab_MinKomp[Regulamin wynagradzania / Vergütungsordnung],MATCH($B15,tab_MinKomp[[Stanowisko / Position ]:[Stanowisko / Position ]],0))="n/a","n/a",P15-INDEX(tab_MinKomp[Regulamin wynagradzania / Vergütungsordnung],MATCH($B15,tab_MinKomp[[Stanowisko / Position ]:[Stanowisko / Position ]],0)))</f>
        <v>0</v>
      </c>
      <c r="Q16" s="315" t="str">
        <f>IF(INDEX(tab_MinKomp[System R2PŁATNIK PRO: Płace / Lohnabrechnung],MATCH($B15,tab_MinKomp[[Stanowisko / Position ]:[Stanowisko / Position ]],0))="n/a","n/a",Q15-INDEX(tab_MinKomp[System R2PŁATNIK PRO: Płace / Lohnabrechnung],MATCH($B15,tab_MinKomp[[Stanowisko / Position ]:[Stanowisko / Position ]],0)))</f>
        <v>n/a</v>
      </c>
      <c r="R16" s="315" t="str">
        <f>IF(INDEX(tab_MinKomp[SystemR2PŁATNIK PRO: KADRY / Personaldaten],MATCH($B15,tab_MinKomp[[Stanowisko / Position ]:[Stanowisko / Position ]],0))="n/a","n/a",R15-INDEX(tab_MinKomp[SystemR2PŁATNIK PRO: KADRY / Personaldaten],MATCH($B15,tab_MinKomp[[Stanowisko / Position ]:[Stanowisko / Position ]],0)))</f>
        <v>n/a</v>
      </c>
      <c r="S16" s="315" t="str">
        <f>IF(INDEX(tab_MinKomp[SYSTEM R2PŁATNIK PRO: zarządzanie pracownikami / Arbeitsverwaltung],MATCH($B15,tab_MinKomp[[Stanowisko / Position ]:[Stanowisko / Position ]],0))="n/a","n/a",S15-INDEX(tab_MinKomp[SYSTEM R2PŁATNIK PRO: zarządzanie pracownikami / Arbeitsverwaltung],MATCH($B15,tab_MinKomp[[Stanowisko / Position ]:[Stanowisko / Position ]],0)))</f>
        <v>n/a</v>
      </c>
      <c r="T16" s="315" t="str">
        <f>IF(INDEX(tab_MinKomp[Doradztwo, wsparcie personalne / Personalberatung und Unterstützung],MATCH($B15,tab_MinKomp[[Stanowisko / Position ]:[Stanowisko / Position ]],0))="n/a","n/a",T15-INDEX(tab_MinKomp[Doradztwo, wsparcie personalne / Personalberatung und Unterstützung],MATCH($B15,tab_MinKomp[[Stanowisko / Position ]:[Stanowisko / Position ]],0)))</f>
        <v>n/a</v>
      </c>
      <c r="U16" s="315" t="str">
        <f>IF(INDEX(tab_MinKomp[Przepisy o podatku VAT / MwSt.- Gesetz],MATCH($B15,tab_MinKomp[[Stanowisko / Position ]:[Stanowisko / Position ]],0))="n/a","n/a",U15-INDEX(tab_MinKomp[Przepisy o podatku VAT / MwSt.- Gesetz],MATCH($B15,tab_MinKomp[[Stanowisko / Position ]:[Stanowisko / Position ]],0)))</f>
        <v>n/a</v>
      </c>
      <c r="V16" s="315" t="str">
        <f>IF(INDEX(tab_MinKomp[PrzepisyPDOP / geschäftlich Einkommensteuergesetz],MATCH($B15,tab_MinKomp[[Stanowisko / Position ]:[Stanowisko / Position ]],0))="n/a","n/a",V15-INDEX(tab_MinKomp[PrzepisyPDOP / geschäftlich Einkommensteuergesetz],MATCH($B15,tab_MinKomp[[Stanowisko / Position ]:[Stanowisko / Position ]],0)))</f>
        <v>n/a</v>
      </c>
      <c r="W16" s="315" t="str">
        <f>IF(INDEX(tab_MinKomp[System BAAN / FINANSE (FIBU)],MATCH($B15,tab_MinKomp[[Stanowisko / Position ]:[Stanowisko / Position ]],0))="n/a","n/a",W15-INDEX(tab_MinKomp[System BAAN / FINANSE (FIBU)],MATCH($B15,tab_MinKomp[[Stanowisko / Position ]:[Stanowisko / Position ]],0)))</f>
        <v>n/a</v>
      </c>
      <c r="X16" s="315" t="str">
        <f>IF(INDEX(tab_MinKomp[Systemy pomocnicze / Hilfssysteme(STOCKPROGRAM, KALK2000 etc.)],MATCH($B15,tab_MinKomp[[Stanowisko / Position ]:[Stanowisko / Position ]],0))="n/a","n/a",X15-INDEX(tab_MinKomp[Systemy pomocnicze / Hilfssysteme(STOCKPROGRAM, KALK2000 etc.)],MATCH($B15,tab_MinKomp[[Stanowisko / Position ]:[Stanowisko / Position ]],0)))</f>
        <v>n/a</v>
      </c>
      <c r="Y16" s="313" t="str">
        <f>IF(INDEX(tab_MinKomp[Polityka rachunkowości / Buchführungspolitik],MATCH($B15,tab_MinKomp[[Stanowisko / Position ]:[Stanowisko / Position ]],0))="n/a","n/a",Y15-INDEX(tab_MinKomp[Polityka rachunkowości / Buchführungspolitik],MATCH($B15,tab_MinKomp[[Stanowisko / Position ]:[Stanowisko / Position ]],0)))</f>
        <v>n/a</v>
      </c>
      <c r="Z16" s="314" t="str">
        <f>IF(INDEX(tab_MinKomp[Ustawa o rachunkowości / Rechnungslegungsgesetz],MATCH($B15,tab_MinKomp[[Stanowisko / Position ]:[Stanowisko / Position ]],0))="n/a","n/a",Z15-INDEX(tab_MinKomp[Ustawa o rachunkowości / Rechnungslegungsgesetz],MATCH($B15,tab_MinKomp[[Stanowisko / Position ]:[Stanowisko / Position ]],0)))</f>
        <v>n/a</v>
      </c>
      <c r="AA16" s="314" t="str">
        <f>IF(INDEX(tab_MinKomp[WORKFLOW - TS-100],MATCH($B15,tab_MinKomp[[Stanowisko / Position ]:[Stanowisko / Position ]],0))="n/a","n/a",AA15-INDEX(tab_MinKomp[WORKFLOW - TS-100],MATCH($B15,tab_MinKomp[[Stanowisko / Position ]:[Stanowisko / Position ]],0)))</f>
        <v>n/a</v>
      </c>
      <c r="AB16" s="314" t="str">
        <f>IF(INDEX(tab_MinKomp[WORKFLOW - SFMS],MATCH($B15,tab_MinKomp[[Stanowisko / Position ]:[Stanowisko / Position ]],0))="n/a","n/a",AB15-INDEX(tab_MinKomp[WORKFLOW - SFMS],MATCH($B15,tab_MinKomp[[Stanowisko / Position ]:[Stanowisko / Position ]],0)))</f>
        <v>n/a</v>
      </c>
      <c r="AC16" s="314">
        <f>IF(INDEX(tab_MinKomp[System ISO 9001:2015],MATCH($B15,tab_MinKomp[[Stanowisko / Position ]:[Stanowisko / Position ]],0))="n/a","n/a",AC15-INDEX(tab_MinKomp[System ISO 9001:2015],MATCH($B15,tab_MinKomp[[Stanowisko / Position ]:[Stanowisko / Position ]],0)))</f>
        <v>0</v>
      </c>
      <c r="AD16" s="315">
        <f>IF(INDEX(tab_MinKomp[System IATF 16949:2016],MATCH($B15,tab_MinKomp[[Stanowisko / Position ]:[Stanowisko / Position ]],0))="n/a","n/a",AD15-INDEX(tab_MinKomp[System IATF 16949:2016],MATCH($B15,tab_MinKomp[[Stanowisko / Position ]:[Stanowisko / Position ]],0)))</f>
        <v>0</v>
      </c>
      <c r="AE16" s="316">
        <f>IF(INDEX(tab_MinKomp[System ISO 14001:2015],MATCH($B15,tab_MinKomp[[Stanowisko / Position ]:[Stanowisko / Position ]],0))="n/a","n/a",AE15-INDEX(tab_MinKomp[System ISO 14001:2015],MATCH($B15,tab_MinKomp[[Stanowisko / Position ]:[Stanowisko / Position ]],0)))</f>
        <v>0</v>
      </c>
      <c r="AF16" s="315">
        <f>IF(INDEX(tab_MinKomp[System PN-N 18001:2004 / ISO 45001:2018],MATCH($B15,tab_MinKomp[[Stanowisko / Position ]:[Stanowisko / Position ]],0))="n/a","n/a",AF15-INDEX(tab_MinKomp[System PN-N 18001:2004 / ISO 45001:2018],MATCH($B15,tab_MinKomp[[Stanowisko / Position ]:[Stanowisko / Position ]],0)))</f>
        <v>0</v>
      </c>
      <c r="AG16" s="315">
        <f>IF(INDEX(tab_MinKomp[Wymagania VDA 6.3 Process / Forderungen],MATCH($B15,tab_MinKomp[[Stanowisko / Position ]:[Stanowisko / Position ]],0))="n/a","n/a",AG15-INDEX(tab_MinKomp[Wymagania VDA 6.3 Process / Forderungen],MATCH($B15,tab_MinKomp[[Stanowisko / Position ]:[Stanowisko / Position ]],0)))</f>
        <v>0</v>
      </c>
      <c r="AH16" s="315">
        <f>IF(INDEX(tab_MinKomp[Wymagania VDA 6.5 Product / Forderungen],MATCH($B15,tab_MinKomp[[Stanowisko / Position ]:[Stanowisko / Position ]],0))="n/a","n/a",AH15-INDEX(tab_MinKomp[Wymagania VDA 6.5 Product / Forderungen],MATCH($B15,tab_MinKomp[[Stanowisko / Position ]:[Stanowisko / Position ]],0)))</f>
        <v>0</v>
      </c>
      <c r="AI16" s="315" t="str">
        <f>IF(INDEX(tab_MinKomp[PSCR (VW Product Safety &amp; Conformity Representative)],MATCH($B15,tab_MinKomp[[Stanowisko / Position ]:[Stanowisko / Position ]],0))="n/a","n/a",AI15-INDEX(tab_MinKomp[PSCR (VW Product Safety &amp; Conformity Representative)],MATCH($B15,tab_MinKomp[[Stanowisko / Position ]:[Stanowisko / Position ]],0)))</f>
        <v>n/a</v>
      </c>
      <c r="AJ16" s="315" t="str">
        <f>IF(INDEX(tab_MinKomp[Auditor systemu ISO 17025:2018],MATCH($B15,tab_MinKomp[[Stanowisko / Position ]:[Stanowisko / Position ]],0))="n/a","n/a",AJ15-INDEX(tab_MinKomp[Auditor systemu ISO 17025:2018],MATCH($B15,tab_MinKomp[[Stanowisko / Position ]:[Stanowisko / Position ]],0)))</f>
        <v>n/a</v>
      </c>
      <c r="AK16" s="315" t="str">
        <f>IF(INDEX(tab_MinKomp[Pełnomocnik systemu / Systemvertreter],MATCH($B15,tab_MinKomp[[Stanowisko / Position ]:[Stanowisko / Position ]],0))="n/a","n/a",AK15-INDEX(tab_MinKomp[Pełnomocnik systemu / Systemvertreter],MATCH($B15,tab_MinKomp[[Stanowisko / Position ]:[Stanowisko / Position ]],0)))</f>
        <v>n/a</v>
      </c>
      <c r="AL16" s="315">
        <f>IF(INDEX(tab_MinKomp[System PN-N 18001:2004 / ISO 45001:2018],MATCH($B15,tab_MinKomp[[Stanowisko / Position ]:[Stanowisko / Position ]],0))="n/a","n/a",AL15-INDEX(tab_MinKomp[System PN-N 18001:2004 / ISO 45001:2018],MATCH($B15,tab_MinKomp[[Stanowisko / Position ]:[Stanowisko / Position ]],0)))</f>
        <v>0</v>
      </c>
      <c r="AM16" s="315" t="e">
        <f>IF(INDEX(tab_MinKomp[System IATF 16949:2016],MATCH($B15,tab_MinKomp[[Stanowisko / Position ]:[Stanowisko / Position ]],0))="n/a","n/a",AM15-INDEX(tab_MinKomp[System IATF 16949:2016],MATCH($B15,tab_MinKomp[[Stanowisko / Position ]:[Stanowisko / Position ]],0)))</f>
        <v>#VALUE!</v>
      </c>
      <c r="AN16" s="315" t="e">
        <f>IF(INDEX(tab_MinKomp[System ISO 14001:2015],MATCH($B15,tab_MinKomp[[Stanowisko / Position ]:[Stanowisko / Position ]],0))="n/a","n/a",AN15-INDEX(tab_MinKomp[System ISO 14001:2015],MATCH($B15,tab_MinKomp[[Stanowisko / Position ]:[Stanowisko / Position ]],0)))</f>
        <v>#VALUE!</v>
      </c>
      <c r="AO16" s="315">
        <f>IF(INDEX(tab_MinKomp[System PN-N 18001:2004 / ISO 45001:2018],MATCH($B15,tab_MinKomp[[Stanowisko / Position ]:[Stanowisko / Position ]],0))="n/a","n/a",AO15-INDEX(tab_MinKomp[System PN-N 18001:2004 / ISO 45001:2018],MATCH($B15,tab_MinKomp[[Stanowisko / Position ]:[Stanowisko / Position ]],0)))</f>
        <v>0</v>
      </c>
      <c r="AP16" s="315">
        <f>IF(INDEX(tab_MinKomp[System PN-N 18001:2004 / ISO 45001:2018],MATCH($B15,tab_MinKomp[[Stanowisko / Position ]:[Stanowisko / Position ]],0))="n/a","n/a",AP15-INDEX(tab_MinKomp[System PN-N 18001:2004 / ISO 45001:2018],MATCH($B15,tab_MinKomp[[Stanowisko / Position ]:[Stanowisko / Position ]],0)))</f>
        <v>0</v>
      </c>
      <c r="AQ16" s="315">
        <f>IF(INDEX(tab_MinKomp[System PN-N 18001:2004 / ISO 45001:2018],MATCH($B15,tab_MinKomp[[Stanowisko / Position ]:[Stanowisko / Position ]],0))="n/a","n/a",AQ15-INDEX(tab_MinKomp[System PN-N 18001:2004 / ISO 45001:2018],MATCH($B15,tab_MinKomp[[Stanowisko / Position ]:[Stanowisko / Position ]],0)))</f>
        <v>0</v>
      </c>
      <c r="AR16" s="316" t="str">
        <f>IF(INDEX(tab_MinKomp[APQP],MATCH($B15,tab_MinKomp[[Stanowisko / Position ]:[Stanowisko / Position ]],0))="n/a","n/a",AR15-INDEX(tab_MinKomp[APQP],MATCH($B15,tab_MinKomp[[Stanowisko / Position ]:[Stanowisko / Position ]],0)))</f>
        <v>n/a</v>
      </c>
      <c r="AS16" s="315">
        <f>IF(INDEX(tab_MinKomp[System PN-N 18001:2004 / ISO 45001:2018],MATCH($B15,tab_MinKomp[[Stanowisko / Position ]:[Stanowisko / Position ]],0))="n/a","n/a",AS15-INDEX(tab_MinKomp[System PN-N 18001:2004 / ISO 45001:2018],MATCH($B15,tab_MinKomp[[Stanowisko / Position ]:[Stanowisko / Position ]],0)))</f>
        <v>0</v>
      </c>
      <c r="AT16" s="315">
        <f>IF(INDEX(tab_MinKomp[System PN-N 18001:2004 / ISO 45001:2018],MATCH($B15,tab_MinKomp[[Stanowisko / Position ]:[Stanowisko / Position ]],0))="n/a","n/a",AT15-INDEX(tab_MinKomp[System PN-N 18001:2004 / ISO 45001:2018],MATCH($B15,tab_MinKomp[[Stanowisko / Position ]:[Stanowisko / Position ]],0)))</f>
        <v>0</v>
      </c>
      <c r="AU16" s="315">
        <f>IF(INDEX(tab_MinKomp[System PN-N 18001:2004 / ISO 45001:2018],MATCH($B15,tab_MinKomp[[Stanowisko / Position ]:[Stanowisko / Position ]],0))="n/a","n/a",AU15-INDEX(tab_MinKomp[System PN-N 18001:2004 / ISO 45001:2018],MATCH($B15,tab_MinKomp[[Stanowisko / Position ]:[Stanowisko / Position ]],0)))</f>
        <v>0</v>
      </c>
      <c r="AV16" s="315">
        <f>IF(INDEX(tab_MinKomp[System PN-N 18001:2004 / ISO 45001:2018],MATCH($B15,tab_MinKomp[[Stanowisko / Position ]:[Stanowisko / Position ]],0))="n/a","n/a",AV15-INDEX(tab_MinKomp[System PN-N 18001:2004 / ISO 45001:2018],MATCH($B15,tab_MinKomp[[Stanowisko / Position ]:[Stanowisko / Position ]],0)))</f>
        <v>1</v>
      </c>
      <c r="AW16" s="315">
        <f>IF(INDEX(tab_MinKomp[System PN-N 18001:2004 / ISO 45001:2018],MATCH($B15,tab_MinKomp[[Stanowisko / Position ]:[Stanowisko / Position ]],0))="n/a","n/a",AW15-INDEX(tab_MinKomp[System PN-N 18001:2004 / ISO 45001:2018],MATCH($B15,tab_MinKomp[[Stanowisko / Position ]:[Stanowisko / Position ]],0)))</f>
        <v>0</v>
      </c>
      <c r="AX16" s="315">
        <f>IF(INDEX(tab_MinKomp[System PN-N 18001:2004 / ISO 45001:2018],MATCH($B15,tab_MinKomp[[Stanowisko / Position ]:[Stanowisko / Position ]],0))="n/a","n/a",AX15-INDEX(tab_MinKomp[System PN-N 18001:2004 / ISO 45001:2018],MATCH($B15,tab_MinKomp[[Stanowisko / Position ]:[Stanowisko / Position ]],0)))</f>
        <v>0</v>
      </c>
      <c r="AY16" s="314" t="str">
        <f>IF(INDEX(tab_MinKomp[Six Sigma],MATCH($B15,tab_MinKomp[[Stanowisko / Position ]:[Stanowisko / Position ]],0))="n/a","n/a",AY15-INDEX(tab_MinKomp[Six Sigma],MATCH($B15,tab_MinKomp[[Stanowisko / Position ]:[Stanowisko / Position ]],0)))</f>
        <v>n/a</v>
      </c>
      <c r="AZ16" s="314" t="str">
        <f>IF(INDEX(tab_MinKomp[System BAAN / Distribution &amp; Supply Chain],MATCH($B15,tab_MinKomp[[Stanowisko / Position ]:[Stanowisko / Position ]],0))="n/a","n/a",AZ15-INDEX(tab_MinKomp[System BAAN / Distribution &amp; Supply Chain],MATCH($B15,tab_MinKomp[[Stanowisko / Position ]:[Stanowisko / Position ]],0)))</f>
        <v>n/a</v>
      </c>
      <c r="BA16" s="315" t="str">
        <f>IF(INDEX(tab_MinKomp[Gospodarka magazynowa / Lagerverwaltung],MATCH($B15,tab_MinKomp[[Stanowisko / Position ]:[Stanowisko / Position ]],0))="n/a","n/a",BA15-INDEX(tab_MinKomp[Gospodarka magazynowa / Lagerverwaltung],MATCH($B15,tab_MinKomp[[Stanowisko / Position ]:[Stanowisko / Position ]],0)))</f>
        <v>n/a</v>
      </c>
      <c r="BB16" s="316" t="str">
        <f>IF(INDEX(tab_MinKomp[Inwentaryzacja - organizacja i przebieg / Inventurprozess],MATCH($B15,tab_MinKomp[[Stanowisko / Position ]:[Stanowisko / Position ]],0))="n/a","n/a",BB15-INDEX(tab_MinKomp[Inwentaryzacja - organizacja i przebieg / Inventurprozess],MATCH($B15,tab_MinKomp[[Stanowisko / Position ]:[Stanowisko / Position ]],0)))</f>
        <v>n/a</v>
      </c>
      <c r="BC16" s="315" t="str">
        <f>IF(INDEX(tab_MinKomp[Organizacja dostaw / Versorgungsorganisation],MATCH($B15,tab_MinKomp[[Stanowisko / Position ]:[Stanowisko / Position ]],0))="n/a","n/a",BC15-INDEX(tab_MinKomp[Organizacja dostaw / Versorgungsorganisation],MATCH($B15,tab_MinKomp[[Stanowisko / Position ]:[Stanowisko / Position ]],0)))</f>
        <v>n/a</v>
      </c>
      <c r="BD16" s="315" t="str">
        <f>IF(INDEX(tab_MinKomp[Organizacja wysyłek / Organisation von Lieferungen],MATCH($B15,tab_MinKomp[[Stanowisko / Position ]:[Stanowisko / Position ]],0))="n/a","n/a",BD15-INDEX(tab_MinKomp[Organizacja wysyłek / Organisation von Lieferungen],MATCH($B15,tab_MinKomp[[Stanowisko / Position ]:[Stanowisko / Position ]],0)))</f>
        <v>n/a</v>
      </c>
      <c r="BE16" s="315" t="str">
        <f>IF(INDEX(tab_MinKomp[Analiza magazynowa - Program Polen.mdb / Inventuranalyse],MATCH($B15,tab_MinKomp[[Stanowisko / Position ]:[Stanowisko / Position ]],0))="n/a","n/a",BE15-INDEX(tab_MinKomp[Analiza magazynowa - Program Polen.mdb / Inventuranalyse],MATCH($B15,tab_MinKomp[[Stanowisko / Position ]:[Stanowisko / Position ]],0)))</f>
        <v>n/a</v>
      </c>
      <c r="BF16" s="313" t="str">
        <f>IF(INDEX(tab_MinKomp[MMOG (Materials Management Operations Guidelines)],MATCH($B15,tab_MinKomp[[Stanowisko / Position ]:[Stanowisko / Position ]],0))="n/a","n/a",BF15-INDEX(tab_MinKomp[MMOG (Materials Management Operations Guidelines)],MATCH($B15,tab_MinKomp[[Stanowisko / Position ]:[Stanowisko / Position ]],0)))</f>
        <v>n/a</v>
      </c>
      <c r="BG16" s="314" t="str">
        <f>IF(INDEX(tab_MinKomp[GPP],MATCH($B15,tab_MinKomp[[Stanowisko / Position ]:[Stanowisko / Position ]],0))="n/a","n/a",BG15-INDEX(tab_MinKomp[GPP],MATCH($B15,tab_MinKomp[[Stanowisko / Position ]:[Stanowisko / Position ]],0)))</f>
        <v>n/a</v>
      </c>
      <c r="BH16" s="314" t="str">
        <f>IF(INDEX(tab_MinKomp[AIAG (Automotive Industry Action Group)],MATCH($B15,tab_MinKomp[[Stanowisko / Position ]:[Stanowisko / Position ]],0))="n/a","n/a",BH15-INDEX(tab_MinKomp[AIAG (Automotive Industry Action Group)],MATCH($B15,tab_MinKomp[[Stanowisko / Position ]:[Stanowisko / Position ]],0)))</f>
        <v>n/a</v>
      </c>
      <c r="BI16" s="314" t="str">
        <f>IF(INDEX(tab_MinKomp[Super-G disputes],MATCH($B15,tab_MinKomp[[Stanowisko / Position ]:[Stanowisko / Position ]],0))="n/a","n/a",BI15-INDEX(tab_MinKomp[Super-G disputes],MATCH($B15,tab_MinKomp[[Stanowisko / Position ]:[Stanowisko / Position ]],0)))</f>
        <v>n/a</v>
      </c>
      <c r="BJ16" s="314" t="str">
        <f>IF(INDEX(tab_MinKomp[CMMS3/eDDL (Direct Data Link)],MATCH($B15,tab_MinKomp[[Stanowisko / Position ]:[Stanowisko / Position ]],0))="n/a","n/a",BJ15-INDEX(tab_MinKomp[CMMS3/eDDL (Direct Data Link)],MATCH($B15,tab_MinKomp[[Stanowisko / Position ]:[Stanowisko / Position ]],0)))</f>
        <v>n/a</v>
      </c>
      <c r="BK16" s="315" t="str">
        <f>IF(INDEX(tab_MinKomp[MP&amp;L (Material Planning and Logistics)],MATCH($B15,tab_MinKomp[[Stanowisko / Position ]:[Stanowisko / Position ]],0))="n/a","n/a",BK15-INDEX(tab_MinKomp[MP&amp;L (Material Planning and Logistics)],MATCH($B15,tab_MinKomp[[Stanowisko / Position ]:[Stanowisko / Position ]],0)))</f>
        <v>n/a</v>
      </c>
      <c r="BL16" s="316" t="str">
        <f>IF(INDEX(tab_MinKomp[Supplier delivery rating],MATCH($B15,tab_MinKomp[[Stanowisko / Position ]:[Stanowisko / Position ]],0))="n/a","n/a",BL15-INDEX(tab_MinKomp[Supplier delivery rating],MATCH($B15,tab_MinKomp[[Stanowisko / Position ]:[Stanowisko / Position ]],0)))</f>
        <v>n/a</v>
      </c>
      <c r="BM16" s="315" t="str">
        <f>IF(INDEX(tab_MinKomp[Planowanie produkcji / Produktionsplanung],MATCH($B15,tab_MinKomp[[Stanowisko / Position ]:[Stanowisko / Position ]],0))="n/a","n/a",BM15-INDEX(tab_MinKomp[Planowanie produkcji / Produktionsplanung],MATCH($B15,tab_MinKomp[[Stanowisko / Position ]:[Stanowisko / Position ]],0)))</f>
        <v>n/a</v>
      </c>
      <c r="BN16" s="315" t="str">
        <f>IF(INDEX(tab_MinKomp[Obsługa maszyn Engel / Engel Maschinenbedienung],MATCH($B15,tab_MinKomp[[Stanowisko / Position ]:[Stanowisko / Position ]],0))="n/a","n/a",BN15-INDEX(tab_MinKomp[Obsługa maszyn Engel / Engel Maschinenbedienung],MATCH($B15,tab_MinKomp[[Stanowisko / Position ]:[Stanowisko / Position ]],0)))</f>
        <v>n/a</v>
      </c>
      <c r="BO16" s="315" t="str">
        <f>IF(INDEX(tab_MinKomp[Obsługa maszyn Novapax / Novapax Maschinenbedienung],MATCH($B15,tab_MinKomp[[Stanowisko / Position ]:[Stanowisko / Position ]],0))="n/a","n/a",BO15-INDEX(tab_MinKomp[Obsługa maszyn Novapax / Novapax Maschinenbedienung],MATCH($B15,tab_MinKomp[[Stanowisko / Position ]:[Stanowisko / Position ]],0)))</f>
        <v>n/a</v>
      </c>
      <c r="BP16" s="313" t="str">
        <f>IF(INDEX(tab_MinKomp[Obsługa maszyn KVT / KVT Maschinenbedienung],MATCH($B15,tab_MinKomp[[Stanowisko / Position ]:[Stanowisko / Position ]],0))="n/a","n/a",BP15-INDEX(tab_MinKomp[Obsługa maszyn KVT / KVT Maschinenbedienung],MATCH($B15,tab_MinKomp[[Stanowisko / Position ]:[Stanowisko / Position ]],0)))</f>
        <v>n/a</v>
      </c>
      <c r="BQ16" s="314" t="str">
        <f>IF(INDEX(tab_MinKomp[Obsługa maszyn ASL / ASL Maschinenbedienung],MATCH($B15,tab_MinKomp[[Stanowisko / Position ]:[Stanowisko / Position ]],0))="n/a","n/a",BQ15-INDEX(tab_MinKomp[Obsługa maszyn ASL / ASL Maschinenbedienung],MATCH($B15,tab_MinKomp[[Stanowisko / Position ]:[Stanowisko / Position ]],0)))</f>
        <v>n/a</v>
      </c>
      <c r="BR16" s="314" t="str">
        <f>IF(INDEX(tab_MinKomp[Obsługa maszyn Branson / Branson Maschinenbedienung],MATCH($B15,tab_MinKomp[[Stanowisko / Position ]:[Stanowisko / Position ]],0))="n/a","n/a",BR15-INDEX(tab_MinKomp[Obsługa maszyn Branson / Branson Maschinenbedienung],MATCH($B15,tab_MinKomp[[Stanowisko / Position ]:[Stanowisko / Position ]],0)))</f>
        <v>n/a</v>
      </c>
      <c r="BS16" s="314" t="str">
        <f>IF(INDEX(tab_MinKomp[Obsługa maszyn Kamtec / Kamtec Maschinenbedienung],MATCH($B15,tab_MinKomp[[Stanowisko / Position ]:[Stanowisko / Position ]],0))="n/a","n/a",BS15-INDEX(tab_MinKomp[Obsługa maszyn Kamtec / Kamtec Maschinenbedienung],MATCH($B15,tab_MinKomp[[Stanowisko / Position ]:[Stanowisko / Position ]],0)))</f>
        <v>n/a</v>
      </c>
      <c r="BT16" s="314" t="str">
        <f>IF(INDEX(tab_MinKomp[Obsługa maszyn Piovan / Piovan Maschinenbedienung],MATCH($B15,tab_MinKomp[[Stanowisko / Position ]:[Stanowisko / Position ]],0))="n/a","n/a",BT15-INDEX(tab_MinKomp[Obsługa maszyn Piovan / Piovan Maschinenbedienung],MATCH($B15,tab_MinKomp[[Stanowisko / Position ]:[Stanowisko / Position ]],0)))</f>
        <v>n/a</v>
      </c>
      <c r="BU16" s="315" t="str">
        <f>IF(INDEX(tab_MinKomp[Obsługa maszyn REP / REP Maschinenbedienung],MATCH($B15,tab_MinKomp[[Stanowisko / Position ]:[Stanowisko / Position ]],0))="n/a","n/a",BU15-INDEX(tab_MinKomp[Obsługa maszyn REP / REP Maschinenbedienung],MATCH($B15,tab_MinKomp[[Stanowisko / Position ]:[Stanowisko / Position ]],0)))</f>
        <v>n/a</v>
      </c>
      <c r="BV16" s="316" t="str">
        <f>IF(INDEX(tab_MinKomp[Eliminacja awarii / Beseitigung von Ausfällen],MATCH($B15,tab_MinKomp[[Stanowisko / Position ]:[Stanowisko / Position ]],0))="n/a","n/a",BV15-INDEX(tab_MinKomp[Eliminacja awarii / Beseitigung von Ausfällen],MATCH($B15,tab_MinKomp[[Stanowisko / Position ]:[Stanowisko / Position ]],0)))</f>
        <v>n/a</v>
      </c>
      <c r="BW16" s="315" t="str">
        <f>IF(INDEX(tab_MinKomp[Informatyka ogólna (techniczne i systemowe) / Allgemeine IT (Technik und System)],MATCH($B15,tab_MinKomp[[Stanowisko / Position ]:[Stanowisko / Position ]],0))="n/a","n/a",BW15-INDEX(tab_MinKomp[Informatyka ogólna (techniczne i systemowe) / Allgemeine IT (Technik und System)],MATCH($B15,tab_MinKomp[[Stanowisko / Position ]:[Stanowisko / Position ]],0)))</f>
        <v>n/a</v>
      </c>
      <c r="BX16" s="315" t="str">
        <f>IF(INDEX(tab_MinKomp[Sieci komputerowe / Computernetzwerke],MATCH($B15,tab_MinKomp[[Stanowisko / Position ]:[Stanowisko / Position ]],0))="n/a","n/a",BX15-INDEX(tab_MinKomp[Sieci komputerowe / Computernetzwerke],MATCH($B15,tab_MinKomp[[Stanowisko / Position ]:[Stanowisko / Position ]],0)))</f>
        <v>n/a</v>
      </c>
      <c r="BY16" s="315" t="str">
        <f>IF(INDEX(tab_MinKomp[Hardware (komputery PC, drukarki biurowe i etykietowe, telefonia stacjonarna i mobilna) (PC, Drucker, Telefpne, Handys)],MATCH($B15,tab_MinKomp[[Stanowisko / Position ]:[Stanowisko / Position ]],0))="n/a","n/a",BY15-INDEX(tab_MinKomp[Hardware (komputery PC, drukarki biurowe i etykietowe, telefonia stacjonarna i mobilna) (PC, Drucker, Telefpne, Handys)],MATCH($B15,tab_MinKomp[[Stanowisko / Position ]:[Stanowisko / Position ]],0)))</f>
        <v>n/a</v>
      </c>
      <c r="BZ16" s="313" t="str">
        <f>IF(INDEX(tab_MinKomp[Software &amp; Systems (MS Office, MS Remote Desktop)],MATCH($B15,tab_MinKomp[[Stanowisko / Position ]:[Stanowisko / Position ]],0))="n/a","n/a",BZ15-INDEX(tab_MinKomp[Software &amp; Systems (MS Office, MS Remote Desktop)],MATCH($B15,tab_MinKomp[[Stanowisko / Position ]:[Stanowisko / Position ]],0)))</f>
        <v>n/a</v>
      </c>
      <c r="CA16" s="314" t="str">
        <f>IF(INDEX(tab_MinKomp[Programowanie obiektowe (PHP) / Objektprogrammierung],MATCH($B15,tab_MinKomp[[Stanowisko / Position ]:[Stanowisko / Position ]],0))="n/a","n/a",CA15-INDEX(tab_MinKomp[Programowanie obiektowe (PHP) / Objektprogrammierung],MATCH($B15,tab_MinKomp[[Stanowisko / Position ]:[Stanowisko / Position ]],0)))</f>
        <v>n/a</v>
      </c>
      <c r="CB16" s="314" t="str">
        <f>IF(INDEX(tab_MinKomp[Scrum],MATCH($B15,tab_MinKomp[[Stanowisko / Position ]:[Stanowisko / Position ]],0))="n/a","n/a",CB15-INDEX(tab_MinKomp[Scrum],MATCH($B15,tab_MinKomp[[Stanowisko / Position ]:[Stanowisko / Position ]],0)))</f>
        <v>n/a</v>
      </c>
      <c r="CC16" s="314" t="str">
        <f>IF(INDEX(tab_MinKomp[SQL (MySQL)],MATCH($B15,tab_MinKomp[[Stanowisko / Position ]:[Stanowisko / Position ]],0))="n/a","n/a",CC15-INDEX(tab_MinKomp[SQL (MySQL)],MATCH($B15,tab_MinKomp[[Stanowisko / Position ]:[Stanowisko / Position ]],0)))</f>
        <v>n/a</v>
      </c>
      <c r="CD16" s="314" t="str">
        <f>IF(INDEX(tab_MinKomp[Javascript],MATCH($B15,tab_MinKomp[[Stanowisko / Position ]:[Stanowisko / Position ]],0))="n/a","n/a",CD15-INDEX(tab_MinKomp[Javascript],MATCH($B15,tab_MinKomp[[Stanowisko / Position ]:[Stanowisko / Position ]],0)))</f>
        <v>n/a</v>
      </c>
      <c r="CE16" s="315" t="str">
        <f>IF(INDEX(tab_MinKomp[Joomla],MATCH($B15,tab_MinKomp[[Stanowisko / Position ]:[Stanowisko / Position ]],0))="n/a","n/a",CE15-INDEX(tab_MinKomp[Joomla],MATCH($B15,tab_MinKomp[[Stanowisko / Position ]:[Stanowisko / Position ]],0)))</f>
        <v>n/a</v>
      </c>
      <c r="CF16" s="316" t="str">
        <f>IF(INDEX(tab_MinKomp[Bash],MATCH($B15,tab_MinKomp[[Stanowisko / Position ]:[Stanowisko / Position ]],0))="n/a","n/a",CF15-INDEX(tab_MinKomp[Bash],MATCH($B15,tab_MinKomp[[Stanowisko / Position ]:[Stanowisko / Position ]],0)))</f>
        <v>n/a</v>
      </c>
      <c r="CG16" s="315" t="str">
        <f>IF(INDEX(tab_MinKomp[Systemy MES (HYDRA / SFMS)],MATCH($B15,tab_MinKomp[[Stanowisko / Position ]:[Stanowisko / Position ]],0))="n/a","n/a",CG15-INDEX(tab_MinKomp[Systemy MES (HYDRA / SFMS)],MATCH($B15,tab_MinKomp[[Stanowisko / Position ]:[Stanowisko / Position ]],0)))</f>
        <v>n/a</v>
      </c>
      <c r="CH16" s="315" t="str">
        <f>IF(INDEX(tab_MinKomp[HTML / CSS],MATCH($B15,tab_MinKomp[[Stanowisko / Position ]:[Stanowisko / Position ]],0))="n/a","n/a",CH15-INDEX(tab_MinKomp[HTML / CSS],MATCH($B15,tab_MinKomp[[Stanowisko / Position ]:[Stanowisko / Position ]],0)))</f>
        <v>n/a</v>
      </c>
      <c r="CI16" s="315" t="str">
        <f>IF(INDEX(tab_MinKomp[SYSTEM PR],MATCH($B15,tab_MinKomp[[Stanowisko / Position ]:[Stanowisko / Position ]],0))="n/a","n/a",CI15-INDEX(tab_MinKomp[SYSTEM PR],MATCH($B15,tab_MinKomp[[Stanowisko / Position ]:[Stanowisko / Position ]],0)))</f>
        <v>n/a</v>
      </c>
      <c r="CJ16" s="313" t="str">
        <f>IF(INDEX(tab_MinKomp[System Einkauf XP / EBA],MATCH($B15,tab_MinKomp[[Stanowisko / Position ]:[Stanowisko / Position ]],0))="n/a","n/a",CJ15-INDEX(tab_MinKomp[System Einkauf XP / EBA],MATCH($B15,tab_MinKomp[[Stanowisko / Position ]:[Stanowisko / Position ]],0)))</f>
        <v>n/a</v>
      </c>
      <c r="CK16" s="314" t="str">
        <f>IF(INDEX(tab_MinKomp[Techniki negocjacyjne / Verhandlungstechniken],MATCH($B15,tab_MinKomp[[Stanowisko / Position ]:[Stanowisko / Position ]],0))="n/a","n/a",CK15-INDEX(tab_MinKomp[Techniki negocjacyjne / Verhandlungstechniken],MATCH($B15,tab_MinKomp[[Stanowisko / Position ]:[Stanowisko / Position ]],0)))</f>
        <v>n/a</v>
      </c>
      <c r="CL16" s="314" t="str">
        <f>IF(INDEX(tab_MinKomp[Znajomość rynku branżowego / Kenntnis des Industrie Marktes],MATCH($B15,tab_MinKomp[[Stanowisko / Position ]:[Stanowisko / Position ]],0))="n/a","n/a",CL15-INDEX(tab_MinKomp[Znajomość rynku branżowego / Kenntnis des Industrie Marktes],MATCH($B15,tab_MinKomp[[Stanowisko / Position ]:[Stanowisko / Position ]],0)))</f>
        <v>n/a</v>
      </c>
      <c r="CM16" s="315">
        <f>IF(INDEX(tab_MinKomp[RAPORTY 8D / 8D Berichten],MATCH($B15,tab_MinKomp[[Stanowisko / Position ]:[Stanowisko / Position ]],0))="n/a","n/a",CM15-INDEX(tab_MinKomp[RAPORTY 8D / 8D Berichten],MATCH($B15,tab_MinKomp[[Stanowisko / Position ]:[Stanowisko / Position ]],0)))</f>
        <v>-1</v>
      </c>
      <c r="CN16" s="315">
        <f>IF(INDEX(tab_MinKomp[NARZĘDZIA JAKOŚCIOWE (5WHY, Ishikawa, etc) / QS-Werkzeuge],MATCH($B15,tab_MinKomp[[Stanowisko / Position ]:[Stanowisko / Position ]],0))="n/a","n/a",CN15-INDEX(tab_MinKomp[NARZĘDZIA JAKOŚCIOWE (5WHY, Ishikawa, etc) / QS-Werkzeuge],MATCH($B15,tab_MinKomp[[Stanowisko / Position ]:[Stanowisko / Position ]],0)))</f>
        <v>0</v>
      </c>
      <c r="CO16" s="315">
        <f>IF(INDEX(tab_MinKomp[PDCA],MATCH($B15,tab_MinKomp[[Stanowisko / Position ]:[Stanowisko / Position ]],0))="n/a","n/a",CO15-INDEX(tab_MinKomp[PDCA],MATCH($B15,tab_MinKomp[[Stanowisko / Position ]:[Stanowisko / Position ]],0)))</f>
        <v>0</v>
      </c>
      <c r="CP16" s="315">
        <f>IF(INDEX(tab_MinKomp[Pareto],MATCH($B15,tab_MinKomp[[Stanowisko / Position ]:[Stanowisko / Position ]],0))="n/a","n/a",CP15-INDEX(tab_MinKomp[Pareto],MATCH($B15,tab_MinKomp[[Stanowisko / Position ]:[Stanowisko / Position ]],0)))</f>
        <v>-1</v>
      </c>
      <c r="CQ16" s="315">
        <f>IF(INDEX(tab_MinKomp[PPAP/PSW],MATCH($B15,tab_MinKomp[[Stanowisko / Position ]:[Stanowisko / Position ]],0))="n/a","n/a",CQ15-INDEX(tab_MinKomp[PPAP/PSW],MATCH($B15,tab_MinKomp[[Stanowisko / Position ]:[Stanowisko / Position ]],0)))</f>
        <v>-1</v>
      </c>
      <c r="CR16" s="315" t="str">
        <f>IF(INDEX(tab_MinKomp[SUPPLIER MANAGEMENT],MATCH($B15,tab_MinKomp[[Stanowisko / Position ]:[Stanowisko / Position ]],0))="n/a","n/a",CR15-INDEX(tab_MinKomp[SUPPLIER MANAGEMENT],MATCH($B15,tab_MinKomp[[Stanowisko / Position ]:[Stanowisko / Position ]],0)))</f>
        <v>n/a</v>
      </c>
      <c r="CS16" s="315" t="str">
        <f>IF(INDEX(tab_MinKomp[OBSŁUGA PORTALI KLIENTA / Kundenportale],MATCH($B15,tab_MinKomp[[Stanowisko / Position ]:[Stanowisko / Position ]],0))="n/a","n/a",CS15-INDEX(tab_MinKomp[OBSŁUGA PORTALI KLIENTA / Kundenportale],MATCH($B15,tab_MinKomp[[Stanowisko / Position ]:[Stanowisko / Position ]],0)))</f>
        <v>n/a</v>
      </c>
      <c r="CT16" s="315">
        <f>IF(INDEX(tab_MinKomp[Obsługa systemu BABTECQ / BABTECQ System],MATCH($B15,tab_MinKomp[[Stanowisko / Position ]:[Stanowisko / Position ]],0))="n/a","n/a",CT15-INDEX(tab_MinKomp[Obsługa systemu BABTECQ / BABTECQ System],MATCH($B15,tab_MinKomp[[Stanowisko / Position ]:[Stanowisko / Position ]],0)))</f>
        <v>-1</v>
      </c>
      <c r="CU16" s="315">
        <f>IF(INDEX(tab_MinKomp[Rysunek techniczny / technische Zeichnung],MATCH($B15,tab_MinKomp[[Stanowisko / Position ]:[Stanowisko / Position ]],0))="n/a","n/a",CU15-INDEX(tab_MinKomp[Rysunek techniczny / technische Zeichnung],MATCH($B15,tab_MinKomp[[Stanowisko / Position ]:[Stanowisko / Position ]],0)))</f>
        <v>-1</v>
      </c>
      <c r="CV16" s="315" t="str">
        <f>IF(INDEX(tab_MinKomp[Kalibracja / Kalibrierung],MATCH($B15,tab_MinKomp[[Stanowisko / Position ]:[Stanowisko / Position ]],0))="n/a","n/a",CV15-INDEX(tab_MinKomp[Kalibracja / Kalibrierung],MATCH($B15,tab_MinKomp[[Stanowisko / Position ]:[Stanowisko / Position ]],0)))</f>
        <v>n/a</v>
      </c>
      <c r="CW16" s="315" t="str">
        <f>IF(INDEX(tab_MinKomp[Rekwalifikacja / Requalifizierung],MATCH($B15,tab_MinKomp[[Stanowisko / Position ]:[Stanowisko / Position ]],0))="n/a","n/a",CW15-INDEX(tab_MinKomp[Rekwalifikacja / Requalifizierung],MATCH($B15,tab_MinKomp[[Stanowisko / Position ]:[Stanowisko / Position ]],0)))</f>
        <v>n/a</v>
      </c>
      <c r="CX16" s="315">
        <f>IF(INDEX(tab_MinKomp[Obsługa mikroskopu optycznego / Bedienung eines optischen Mikroskops],MATCH($B15,tab_MinKomp[[Stanowisko / Position ]:[Stanowisko / Position ]],0))="n/a","n/a",CX15-INDEX(tab_MinKomp[Obsługa mikroskopu optycznego / Bedienung eines optischen Mikroskops],MATCH($B15,tab_MinKomp[[Stanowisko / Position ]:[Stanowisko / Position ]],0)))</f>
        <v>-1</v>
      </c>
      <c r="CY16" s="315" t="str">
        <f>IF(INDEX(tab_MinKomp[CMM - Contura Zeiss],MATCH($B15,tab_MinKomp[[Stanowisko / Position ]:[Stanowisko / Position ]],0))="n/a","n/a",CY15-INDEX(tab_MinKomp[CMM - Contura Zeiss],MATCH($B15,tab_MinKomp[[Stanowisko / Position ]:[Stanowisko / Position ]],0)))</f>
        <v>n/a</v>
      </c>
      <c r="CZ16" s="315" t="str">
        <f>IF(INDEX(tab_MinKomp[CMM - Contura Zeiss],MATCH($B15,tab_MinKomp[[Stanowisko / Position ]:[Stanowisko / Position ]],0))="n/a","n/a",CZ15-INDEX(tab_MinKomp[CMM - Contura Zeiss],MATCH($B15,tab_MinKomp[[Stanowisko / Position ]:[Stanowisko / Position ]],0)))</f>
        <v>n/a</v>
      </c>
      <c r="DA16" s="315" t="str">
        <f>IF(INDEX(tab_MinKomp[CMM - Contura Zeiss],MATCH($B15,tab_MinKomp[[Stanowisko / Position ]:[Stanowisko / Position ]],0))="n/a","n/a",DA15-INDEX(tab_MinKomp[CMM - Contura Zeiss],MATCH($B15,tab_MinKomp[[Stanowisko / Position ]:[Stanowisko / Position ]],0)))</f>
        <v>n/a</v>
      </c>
      <c r="DB16" s="315" t="str">
        <f>IF(INDEX(tab_MinKomp[CMM - Contura Zeiss],MATCH($B15,tab_MinKomp[[Stanowisko / Position ]:[Stanowisko / Position ]],0))="n/a","n/a",DB15-INDEX(tab_MinKomp[CMM - Contura Zeiss],MATCH($B15,tab_MinKomp[[Stanowisko / Position ]:[Stanowisko / Position ]],0)))</f>
        <v>n/a</v>
      </c>
      <c r="DC16" s="315" t="str">
        <f>IF(INDEX(tab_MinKomp[CMM - Contura Zeiss],MATCH($B15,tab_MinKomp[[Stanowisko / Position ]:[Stanowisko / Position ]],0))="n/a","n/a",DC15-INDEX(tab_MinKomp[CMM - Contura Zeiss],MATCH($B15,tab_MinKomp[[Stanowisko / Position ]:[Stanowisko / Position ]],0)))</f>
        <v>n/a</v>
      </c>
      <c r="DD16" s="315" t="str">
        <f>IF(INDEX(tab_MinKomp[Pisanie programów / Programme schreiben],MATCH($B15,tab_MinKomp[[Stanowisko / Position ]:[Stanowisko / Position ]],0))="n/a","n/a",DD15-INDEX(tab_MinKomp[Pisanie programów / Programme schreiben],MATCH($B15,tab_MinKomp[[Stanowisko / Position ]:[Stanowisko / Position ]],0)))</f>
        <v>n/a</v>
      </c>
      <c r="DE16" s="315" t="str">
        <f>IF(INDEX(tab_MinKomp[CMM - Contura Zeiss],MATCH($B15,tab_MinKomp[[Stanowisko / Position ]:[Stanowisko / Position ]],0))="n/a","n/a",DE15-INDEX(tab_MinKomp[CMM - Contura Zeiss],MATCH($B15,tab_MinKomp[[Stanowisko / Position ]:[Stanowisko / Position ]],0)))</f>
        <v>n/a</v>
      </c>
      <c r="DF16" s="315" t="str">
        <f>IF(INDEX(tab_MinKomp[CMM - Contura Zeiss],MATCH($B15,tab_MinKomp[[Stanowisko / Position ]:[Stanowisko / Position ]],0))="n/a","n/a",DF15-INDEX(tab_MinKomp[CMM - Contura Zeiss],MATCH($B15,tab_MinKomp[[Stanowisko / Position ]:[Stanowisko / Position ]],0)))</f>
        <v>n/a</v>
      </c>
      <c r="DG16" s="315" t="str">
        <f>IF(INDEX(tab_MinKomp[CMM - Contura Zeiss],MATCH($B15,tab_MinKomp[[Stanowisko / Position ]:[Stanowisko / Position ]],0))="n/a","n/a",DG15-INDEX(tab_MinKomp[CMM - Contura Zeiss],MATCH($B15,tab_MinKomp[[Stanowisko / Position ]:[Stanowisko / Position ]],0)))</f>
        <v>n/a</v>
      </c>
      <c r="DH16" s="315" t="str">
        <f>IF(INDEX(tab_MinKomp[CMM - Contura Zeiss],MATCH($B15,tab_MinKomp[[Stanowisko / Position ]:[Stanowisko / Position ]],0))="n/a","n/a",DH15-INDEX(tab_MinKomp[CMM - Contura Zeiss],MATCH($B15,tab_MinKomp[[Stanowisko / Position ]:[Stanowisko / Position ]],0)))</f>
        <v>n/a</v>
      </c>
      <c r="DI16" s="315" t="str">
        <f>IF(INDEX(tab_MinKomp[CMM - Contura Zeiss],MATCH($B15,tab_MinKomp[[Stanowisko / Position ]:[Stanowisko / Position ]],0))="n/a","n/a",DI15-INDEX(tab_MinKomp[CMM - Contura Zeiss],MATCH($B15,tab_MinKomp[[Stanowisko / Position ]:[Stanowisko / Position ]],0)))</f>
        <v>n/a</v>
      </c>
      <c r="DJ16" s="315" t="str">
        <f>IF(INDEX(tab_MinKomp[CMM - Contura Zeiss],MATCH($B15,tab_MinKomp[[Stanowisko / Position ]:[Stanowisko / Position ]],0))="n/a","n/a",DJ15-INDEX(tab_MinKomp[CMM - Contura Zeiss],MATCH($B15,tab_MinKomp[[Stanowisko / Position ]:[Stanowisko / Position ]],0)))</f>
        <v>n/a</v>
      </c>
      <c r="DK16" s="315" t="str">
        <f>IF(INDEX(tab_MinKomp[Pisanie programów / Programme schreiben],MATCH($B15,tab_MinKomp[[Stanowisko / Position ]:[Stanowisko / Position ]],0))="n/a","n/a",DK15-INDEX(tab_MinKomp[Pisanie programów / Programme schreiben],MATCH($B15,tab_MinKomp[[Stanowisko / Position ]:[Stanowisko / Position ]],0)))</f>
        <v>n/a</v>
      </c>
      <c r="DL16" s="315" t="str">
        <f>IF(INDEX(tab_MinKomp[CMM - Contura Zeiss],MATCH($B15,tab_MinKomp[[Stanowisko / Position ]:[Stanowisko / Position ]],0))="n/a","n/a",DL15-INDEX(tab_MinKomp[CMM - Contura Zeiss],MATCH($B15,tab_MinKomp[[Stanowisko / Position ]:[Stanowisko / Position ]],0)))</f>
        <v>n/a</v>
      </c>
      <c r="DM16" s="315" t="str">
        <f>IF(INDEX(tab_MinKomp[CMM - Contura Zeiss],MATCH($B15,tab_MinKomp[[Stanowisko / Position ]:[Stanowisko / Position ]],0))="n/a","n/a",DM15-INDEX(tab_MinKomp[CMM - Contura Zeiss],MATCH($B15,tab_MinKomp[[Stanowisko / Position ]:[Stanowisko / Position ]],0)))</f>
        <v>n/a</v>
      </c>
      <c r="DN16" s="315" t="str">
        <f>IF(INDEX(tab_MinKomp[CMM - Contura Zeiss],MATCH($B15,tab_MinKomp[[Stanowisko / Position ]:[Stanowisko / Position ]],0))="n/a","n/a",DN15-INDEX(tab_MinKomp[CMM - Contura Zeiss],MATCH($B15,tab_MinKomp[[Stanowisko / Position ]:[Stanowisko / Position ]],0)))</f>
        <v>n/a</v>
      </c>
      <c r="DO16" s="315" t="str">
        <f>IF(INDEX(tab_MinKomp[CMM - Contura Zeiss],MATCH($B15,tab_MinKomp[[Stanowisko / Position ]:[Stanowisko / Position ]],0))="n/a","n/a",DO15-INDEX(tab_MinKomp[CMM - Contura Zeiss],MATCH($B15,tab_MinKomp[[Stanowisko / Position ]:[Stanowisko / Position ]],0)))</f>
        <v>n/a</v>
      </c>
      <c r="DP16" s="315" t="str">
        <f>IF(INDEX(tab_MinKomp[CMM - Contura Zeiss],MATCH($B15,tab_MinKomp[[Stanowisko / Position ]:[Stanowisko / Position ]],0))="n/a","n/a",DP15-INDEX(tab_MinKomp[CMM - Contura Zeiss],MATCH($B15,tab_MinKomp[[Stanowisko / Position ]:[Stanowisko / Position ]],0)))</f>
        <v>n/a</v>
      </c>
      <c r="DQ16" s="315" t="str">
        <f>IF(INDEX(tab_MinKomp[CMM - Contura Zeiss],MATCH($B15,tab_MinKomp[[Stanowisko / Position ]:[Stanowisko / Position ]],0))="n/a","n/a",DQ15-INDEX(tab_MinKomp[CMM - Contura Zeiss],MATCH($B15,tab_MinKomp[[Stanowisko / Position ]:[Stanowisko / Position ]],0)))</f>
        <v>n/a</v>
      </c>
      <c r="DR16" s="315" t="str">
        <f>IF(INDEX(tab_MinKomp[Pisanie programów / Programme schreiben],MATCH($B15,tab_MinKomp[[Stanowisko / Position ]:[Stanowisko / Position ]],0))="n/a","n/a",DR15-INDEX(tab_MinKomp[Pisanie programów / Programme schreiben],MATCH($B15,tab_MinKomp[[Stanowisko / Position ]:[Stanowisko / Position ]],0)))</f>
        <v>n/a</v>
      </c>
      <c r="DS16" s="315" t="str">
        <f>IF(INDEX(tab_MinKomp[CMM - Contura Zeiss],MATCH($B15,tab_MinKomp[[Stanowisko / Position ]:[Stanowisko / Position ]],0))="n/a","n/a",DS15-INDEX(tab_MinKomp[CMM - Contura Zeiss],MATCH($B15,tab_MinKomp[[Stanowisko / Position ]:[Stanowisko / Position ]],0)))</f>
        <v>n/a</v>
      </c>
      <c r="DT16" s="315" t="str">
        <f>IF(INDEX(tab_MinKomp[CMM - Contura Zeiss],MATCH($B15,tab_MinKomp[[Stanowisko / Position ]:[Stanowisko / Position ]],0))="n/a","n/a",DT15-INDEX(tab_MinKomp[CMM - Contura Zeiss],MATCH($B15,tab_MinKomp[[Stanowisko / Position ]:[Stanowisko / Position ]],0)))</f>
        <v>n/a</v>
      </c>
      <c r="DU16" s="315" t="str">
        <f>IF(INDEX(tab_MinKomp[CMM - Contura Zeiss],MATCH($B15,tab_MinKomp[[Stanowisko / Position ]:[Stanowisko / Position ]],0))="n/a","n/a",DU15-INDEX(tab_MinKomp[CMM - Contura Zeiss],MATCH($B15,tab_MinKomp[[Stanowisko / Position ]:[Stanowisko / Position ]],0)))</f>
        <v>n/a</v>
      </c>
      <c r="DV16" s="315" t="str">
        <f>IF(INDEX(tab_MinKomp[CMM - Contura Zeiss],MATCH($B15,tab_MinKomp[[Stanowisko / Position ]:[Stanowisko / Position ]],0))="n/a","n/a",DV15-INDEX(tab_MinKomp[CMM - Contura Zeiss],MATCH($B15,tab_MinKomp[[Stanowisko / Position ]:[Stanowisko / Position ]],0)))</f>
        <v>n/a</v>
      </c>
      <c r="DW16" s="315" t="str">
        <f>IF(INDEX(tab_MinKomp[CMM - Contura Zeiss],MATCH($B15,tab_MinKomp[[Stanowisko / Position ]:[Stanowisko / Position ]],0))="n/a","n/a",DW15-INDEX(tab_MinKomp[CMM - Contura Zeiss],MATCH($B15,tab_MinKomp[[Stanowisko / Position ]:[Stanowisko / Position ]],0)))</f>
        <v>n/a</v>
      </c>
      <c r="DX16" s="315" t="str">
        <f>IF(INDEX(tab_MinKomp[CMM - Contura Zeiss],MATCH($B15,tab_MinKomp[[Stanowisko / Position ]:[Stanowisko / Position ]],0))="n/a","n/a",DX15-INDEX(tab_MinKomp[CMM - Contura Zeiss],MATCH($B15,tab_MinKomp[[Stanowisko / Position ]:[Stanowisko / Position ]],0)))</f>
        <v>n/a</v>
      </c>
      <c r="DY16" s="315" t="str">
        <f>IF(INDEX(tab_MinKomp[Konserwacja Rep],MATCH($B15,tab_MinKomp[[Stanowisko / Position ]:[Stanowisko / Position ]],0))="n/a","n/a",DY15-INDEX(tab_MinKomp[Konserwacja Rep],MATCH($B15,tab_MinKomp[[Stanowisko / Position ]:[Stanowisko / Position ]],0)))</f>
        <v>n/a</v>
      </c>
      <c r="DZ16" s="315" t="str">
        <f>IF(INDEX(tab_MinKomp[[Konserwacja Engel ]],MATCH($B15,tab_MinKomp[[Stanowisko / Position ]:[Stanowisko / Position ]],0))="n/a","n/a",DZ15-INDEX(tab_MinKomp[[Konserwacja Engel ]],MATCH($B15,tab_MinKomp[[Stanowisko / Position ]:[Stanowisko / Position ]],0)))</f>
        <v>n/a</v>
      </c>
      <c r="EA16" s="315" t="str">
        <f>IF(INDEX(tab_MinKomp[Konserwacja B 50],MATCH($B15,tab_MinKomp[[Stanowisko / Position ]:[Stanowisko / Position ]],0))="n/a","n/a",EA15-INDEX(tab_MinKomp[Konserwacja B 50],MATCH($B15,tab_MinKomp[[Stanowisko / Position ]:[Stanowisko / Position ]],0)))</f>
        <v>n/a</v>
      </c>
      <c r="EB16" s="315" t="str">
        <f>IF(INDEX(tab_MinKomp[[Konserwacja EOL ]],MATCH($B15,tab_MinKomp[[Stanowisko / Position ]:[Stanowisko / Position ]],0))="n/a","n/a",EB15-INDEX(tab_MinKomp[[Konserwacja EOL ]],MATCH($B15,tab_MinKomp[[Stanowisko / Position ]:[Stanowisko / Position ]],0)))</f>
        <v>n/a</v>
      </c>
      <c r="EC16" s="315" t="str">
        <f>IF(INDEX(tab_MinKomp[Konserwacja Branson],MATCH($B15,tab_MinKomp[[Stanowisko / Position ]:[Stanowisko / Position ]],0))="n/a","n/a",EC15-INDEX(tab_MinKomp[Konserwacja Branson],MATCH($B15,tab_MinKomp[[Stanowisko / Position ]:[Stanowisko / Position ]],0)))</f>
        <v>n/a</v>
      </c>
      <c r="ED16" s="315" t="str">
        <f>IF(INDEX(tab_MinKomp[Konserwacja coolery],MATCH($B15,tab_MinKomp[[Stanowisko / Position ]:[Stanowisko / Position ]],0))="n/a","n/a",ED15-INDEX(tab_MinKomp[Konserwacja coolery],MATCH($B15,tab_MinKomp[[Stanowisko / Position ]:[Stanowisko / Position ]],0)))</f>
        <v>n/a</v>
      </c>
      <c r="EE16" s="315" t="str">
        <f>IF(INDEX(tab_MinKomp[Konserwacja piecy],MATCH($B15,tab_MinKomp[[Stanowisko / Position ]:[Stanowisko / Position ]],0))="n/a","n/a",EE15-INDEX(tab_MinKomp[Konserwacja piecy],MATCH($B15,tab_MinKomp[[Stanowisko / Position ]:[Stanowisko / Position ]],0)))</f>
        <v>n/a</v>
      </c>
      <c r="EF16" s="315" t="str">
        <f>IF(INDEX(tab_MinKomp[Rysunek techniczny- czytanie],MATCH($B15,tab_MinKomp[[Stanowisko / Position ]:[Stanowisko / Position ]],0))="n/a","n/a",EF15-INDEX(tab_MinKomp[Rysunek techniczny- czytanie],MATCH($B15,tab_MinKomp[[Stanowisko / Position ]:[Stanowisko / Position ]],0)))</f>
        <v>n/a</v>
      </c>
      <c r="EG16" s="315" t="str">
        <f>IF(INDEX(tab_MinKomp[Elektryka],MATCH($B15,tab_MinKomp[[Stanowisko / Position ]:[Stanowisko / Position ]],0))="n/a","n/a",EG15-INDEX(tab_MinKomp[Elektryka],MATCH($B15,tab_MinKomp[[Stanowisko / Position ]:[Stanowisko / Position ]],0)))</f>
        <v>n/a</v>
      </c>
      <c r="EH16" s="315" t="str">
        <f>IF(INDEX(tab_MinKomp[Pneumatyka],MATCH($B15,tab_MinKomp[[Stanowisko / Position ]:[Stanowisko / Position ]],0))="n/a","n/a",EH15-INDEX(tab_MinKomp[Pneumatyka],MATCH($B15,tab_MinKomp[[Stanowisko / Position ]:[Stanowisko / Position ]],0)))</f>
        <v>n/a</v>
      </c>
      <c r="EI16" s="315" t="str">
        <f>IF(INDEX(tab_MinKomp[[Hydraulika ]],MATCH($B15,tab_MinKomp[[Stanowisko / Position ]:[Stanowisko / Position ]],0))="n/a","n/a",EI15-INDEX(tab_MinKomp[[Hydraulika ]],MATCH($B15,tab_MinKomp[[Stanowisko / Position ]:[Stanowisko / Position ]],0)))</f>
        <v>n/a</v>
      </c>
      <c r="EJ16" s="315" t="str">
        <f>IF(INDEX(tab_MinKomp[Podciśnienie],MATCH($B15,tab_MinKomp[[Stanowisko / Position ]:[Stanowisko / Position ]],0))="n/a","n/a",EJ15-INDEX(tab_MinKomp[Podciśnienie],MATCH($B15,tab_MinKomp[[Stanowisko / Position ]:[Stanowisko / Position ]],0)))</f>
        <v>n/a</v>
      </c>
      <c r="EK16" s="315" t="str">
        <f>IF(INDEX(tab_MinKomp[Usuwanie awarii],MATCH($B15,tab_MinKomp[[Stanowisko / Position ]:[Stanowisko / Position ]],0))="n/a","n/a",EK15-INDEX(tab_MinKomp[Usuwanie awarii],MATCH($B15,tab_MinKomp[[Stanowisko / Position ]:[Stanowisko / Position ]],0)))</f>
        <v>n/a</v>
      </c>
      <c r="EL16" s="315" t="str">
        <f>IF(INDEX(tab_MinKomp[Obsługa robotów],MATCH($B15,tab_MinKomp[[Stanowisko / Position ]:[Stanowisko / Position ]],0))="n/a","n/a",EL15-INDEX(tab_MinKomp[Obsługa robotów],MATCH($B15,tab_MinKomp[[Stanowisko / Position ]:[Stanowisko / Position ]],0)))</f>
        <v>n/a</v>
      </c>
      <c r="EM16" s="315" t="str">
        <f>IF(INDEX(tab_MinKomp[Obsługa sterowania maszyny],MATCH($B15,tab_MinKomp[[Stanowisko / Position ]:[Stanowisko / Position ]],0))="n/a","n/a",EM15-INDEX(tab_MinKomp[Obsługa sterowania maszyny],MATCH($B15,tab_MinKomp[[Stanowisko / Position ]:[Stanowisko / Position ]],0)))</f>
        <v>n/a</v>
      </c>
      <c r="EN16" s="315" t="str">
        <f>IF(INDEX(tab_MinKomp[Usuwanie przyczyn żródłowych],MATCH($B15,tab_MinKomp[[Stanowisko / Position ]:[Stanowisko / Position ]],0))="n/a","n/a",EN15-INDEX(tab_MinKomp[Usuwanie przyczyn żródłowych],MATCH($B15,tab_MinKomp[[Stanowisko / Position ]:[Stanowisko / Position ]],0)))</f>
        <v>n/a</v>
      </c>
      <c r="EO16" s="315" t="str">
        <f>IF(INDEX(tab_MinKomp[Cmms stosowanie],MATCH($B15,tab_MinKomp[[Stanowisko / Position ]:[Stanowisko / Position ]],0))="n/a","n/a",EO15-INDEX(tab_MinKomp[Cmms stosowanie],MATCH($B15,tab_MinKomp[[Stanowisko / Position ]:[Stanowisko / Position ]],0)))</f>
        <v>n/a</v>
      </c>
      <c r="EP16" s="315" t="str">
        <f>IF(INDEX(tab_MinKomp[[Czyszczenie form gumowych ]],MATCH($B15,tab_MinKomp[[Stanowisko / Position ]:[Stanowisko / Position ]],0))="n/a","n/a",EP15-INDEX(tab_MinKomp[[Czyszczenie form gumowych ]],MATCH($B15,tab_MinKomp[[Stanowisko / Position ]:[Stanowisko / Position ]],0)))</f>
        <v>n/a</v>
      </c>
      <c r="EQ16" s="315" t="str">
        <f>IF(INDEX(tab_MinKomp[Czyszczenie form plastikowych],MATCH($B15,tab_MinKomp[[Stanowisko / Position ]:[Stanowisko / Position ]],0))="n/a","n/a",EQ15-INDEX(tab_MinKomp[Czyszczenie form plastikowych],MATCH($B15,tab_MinKomp[[Stanowisko / Position ]:[Stanowisko / Position ]],0)))</f>
        <v>n/a</v>
      </c>
      <c r="ER16" s="315" t="str">
        <f>IF(INDEX(tab_MinKomp[Wymiana form plastik],MATCH($B15,tab_MinKomp[[Stanowisko / Position ]:[Stanowisko / Position ]],0))="n/a","n/a",ER15-INDEX(tab_MinKomp[Wymiana form plastik],MATCH($B15,tab_MinKomp[[Stanowisko / Position ]:[Stanowisko / Position ]],0)))</f>
        <v>n/a</v>
      </c>
      <c r="ES16" s="315" t="str">
        <f>IF(INDEX(tab_MinKomp[Wymiana form guma],MATCH($B15,tab_MinKomp[[Stanowisko / Position ]:[Stanowisko / Position ]],0))="n/a","n/a",ES15-INDEX(tab_MinKomp[Wymiana form guma],MATCH($B15,tab_MinKomp[[Stanowisko / Position ]:[Stanowisko / Position ]],0)))</f>
        <v>n/a</v>
      </c>
      <c r="ET16" s="315" t="str">
        <f>IF(INDEX(tab_MinKomp[Konserwacja KK],MATCH($B15,tab_MinKomp[[Stanowisko / Position ]:[Stanowisko / Position ]],0))="n/a","n/a",ET15-INDEX(tab_MinKomp[Konserwacja KK],MATCH($B15,tab_MinKomp[[Stanowisko / Position ]:[Stanowisko / Position ]],0)))</f>
        <v>n/a</v>
      </c>
      <c r="EU16" s="315" t="str">
        <f>IF(INDEX(tab_MinKomp[Konserwacja form guma],MATCH($B15,tab_MinKomp[[Stanowisko / Position ]:[Stanowisko / Position ]],0))="n/a","n/a",EU15-INDEX(tab_MinKomp[Konserwacja form guma],MATCH($B15,tab_MinKomp[[Stanowisko / Position ]:[Stanowisko / Position ]],0)))</f>
        <v>n/a</v>
      </c>
      <c r="EV16" s="315" t="str">
        <f>IF(INDEX(tab_MinKomp[Konserwacja form plastiki],MATCH($B15,tab_MinKomp[[Stanowisko / Position ]:[Stanowisko / Position ]],0))="n/a","n/a",EV15-INDEX(tab_MinKomp[Konserwacja form plastiki],MATCH($B15,tab_MinKomp[[Stanowisko / Position ]:[Stanowisko / Position ]],0)))</f>
        <v>n/a</v>
      </c>
      <c r="EW16" s="330" t="str">
        <f>IF(INDEX(tab_MinKomp[Konserwacja form plastiki],MATCH($B15,tab_MinKomp[[Stanowisko / Position ]:[Stanowisko / Position ]],0))="n/a","n/a",EW15-INDEX(tab_MinKomp[Konserwacja form plastiki],MATCH($B15,tab_MinKomp[[Stanowisko / Position ]:[Stanowisko / Position ]],0)))</f>
        <v>n/a</v>
      </c>
      <c r="EX16" s="315" t="str">
        <f>IF(INDEX(tab_MinKomp[Konserwacja Gorącego Kanału],MATCH($B15,tab_MinKomp[[Stanowisko / Position ]:[Stanowisko / Position ]],0))="n/a","n/a",EX15-INDEX(tab_MinKomp[Konserwacja Gorącego Kanału],MATCH($B15,tab_MinKomp[[Stanowisko / Position ]:[Stanowisko / Position ]],0)))</f>
        <v>n/a</v>
      </c>
      <c r="EY16" s="315">
        <f>IF(INDEX(tab_MinKomp[MS Office (Excel)],MATCH($B15,tab_MinKomp[[Stanowisko / Position ]:[Stanowisko / Position ]],0))="n/a","n/a",EY15-INDEX(tab_MinKomp[MS Office (Excel)],MATCH($B15,tab_MinKomp[[Stanowisko / Position ]:[Stanowisko / Position ]],0)))</f>
        <v>-1</v>
      </c>
      <c r="EZ16" s="315">
        <f>IF(INDEX(tab_MinKomp[MS Office (Word)],MATCH($B15,tab_MinKomp[[Stanowisko / Position ]:[Stanowisko / Position ]],0))="n/a","n/a",EZ15-INDEX(tab_MinKomp[MS Office (Word)],MATCH($B15,tab_MinKomp[[Stanowisko / Position ]:[Stanowisko / Position ]],0)))</f>
        <v>-1</v>
      </c>
      <c r="FA16" s="315">
        <f>IF(INDEX(tab_MinKomp[MS Office (Power Point)],MATCH($B15,tab_MinKomp[[Stanowisko / Position ]:[Stanowisko / Position ]],0))="n/a","n/a",FA15-INDEX(tab_MinKomp[MS Office (Power Point)],MATCH($B15,tab_MinKomp[[Stanowisko / Position ]:[Stanowisko / Position ]],0)))</f>
        <v>0</v>
      </c>
      <c r="FB16" s="315" t="str">
        <f>IF(INDEX(tab_MinKomp[Język angielski / Englisch],MATCH($B15,tab_MinKomp[[Stanowisko / Position ]:[Stanowisko / Position ]],0))="n/a","n/a",FB15-INDEX(tab_MinKomp[Język angielski / Englisch],MATCH($B15,tab_MinKomp[[Stanowisko / Position ]:[Stanowisko / Position ]],0)))</f>
        <v>n/a</v>
      </c>
      <c r="FC16" s="315" t="str">
        <f>IF(INDEX(tab_MinKomp[Język niemiecki / Deutsch],MATCH($B15,tab_MinKomp[[Stanowisko / Position ]:[Stanowisko / Position ]],0))="n/a","n/a",FC15-INDEX(tab_MinKomp[Język niemiecki / Deutsch],MATCH($B15,tab_MinKomp[[Stanowisko / Position ]:[Stanowisko / Position ]],0)))</f>
        <v>n/a</v>
      </c>
      <c r="FD16" s="315">
        <f>IF(INDEX(tab_MinKomp[Zarządzanie dokumentacją procesową / Process dokumentation management],MATCH($B15,tab_MinKomp[[Stanowisko / Position ]:[Stanowisko / Position ]],0))="n/a","n/a",FD15-INDEX(tab_MinKomp[Zarządzanie dokumentacją procesową / Process dokumentation management],MATCH($B15,tab_MinKomp[[Stanowisko / Position ]:[Stanowisko / Position ]],0)))</f>
        <v>-1</v>
      </c>
      <c r="FE16" s="315">
        <f>IF(INDEX(tab_MinKomp[Znajomość procesów z obszaru / Kenntiss der prozesse in dem Bereich],MATCH($B15,tab_MinKomp[[Stanowisko / Position ]:[Stanowisko / Position ]],0))="n/a","n/a",FE15-INDEX(tab_MinKomp[Znajomość procesów z obszaru / Kenntiss der prozesse in dem Bereich],MATCH($B15,tab_MinKomp[[Stanowisko / Position ]:[Stanowisko / Position ]],0)))</f>
        <v>0</v>
      </c>
      <c r="FF16" s="315" t="str">
        <f>IF(INDEX(tab_MinKomp[optymalizacja procesów / Prozessoptymalisierung],MATCH($B15,tab_MinKomp[[Stanowisko / Position ]:[Stanowisko / Position ]],0))="n/a","n/a",FF15-INDEX(tab_MinKomp[optymalizacja procesów / Prozessoptymalisierung],MATCH($B15,tab_MinKomp[[Stanowisko / Position ]:[Stanowisko / Position ]],0)))</f>
        <v>n/a</v>
      </c>
      <c r="FG16" s="315">
        <f>IF(INDEX(tab_MinKomp[Umiejętności szkoleniowe / Trainingsfähigkeiten],MATCH($B15,tab_MinKomp[[Stanowisko / Position ]:[Stanowisko / Position ]],0))="n/a","n/a",FG15-INDEX(tab_MinKomp[Umiejętności szkoleniowe / Trainingsfähigkeiten],MATCH($B15,tab_MinKomp[[Stanowisko / Position ]:[Stanowisko / Position ]],0)))</f>
        <v>-1</v>
      </c>
      <c r="FH16" s="315">
        <f>IF(INDEX(tab_MinKomp[Analityczne myślenie, podejście / Analitysches Denken, Einstellung],MATCH($B15,tab_MinKomp[[Stanowisko / Position ]:[Stanowisko / Position ]],0))="n/a","n/a",FH15-INDEX(tab_MinKomp[Analityczne myślenie, podejście / Analitysches Denken, Einstellung],MATCH($B15,tab_MinKomp[[Stanowisko / Position ]:[Stanowisko / Position ]],0)))</f>
        <v>-1</v>
      </c>
      <c r="FI16" s="315">
        <f>IF(INDEX(tab_MinKomp[Dokładność, precyzja w dzialaniu / Genauigkeit, Präzision in die Arbeit],MATCH($B15,tab_MinKomp[[Stanowisko / Position ]:[Stanowisko / Position ]],0))="n/a","n/a",FI15-INDEX(tab_MinKomp[Dokładność, precyzja w dzialaniu / Genauigkeit, Präzision in die Arbeit],MATCH($B15,tab_MinKomp[[Stanowisko / Position ]:[Stanowisko / Position ]],0)))</f>
        <v>0</v>
      </c>
      <c r="FJ16" s="315">
        <f>IF(INDEX(tab_MinKomp[Dyspozycyjność / Verfügbarkeit],MATCH($B15,tab_MinKomp[[Stanowisko / Position ]:[Stanowisko / Position ]],0))="n/a","n/a",FJ15-INDEX(tab_MinKomp[Dyspozycyjność / Verfügbarkeit],MATCH($B15,tab_MinKomp[[Stanowisko / Position ]:[Stanowisko / Position ]],0)))</f>
        <v>0</v>
      </c>
      <c r="FK16" s="315">
        <f>IF(INDEX(tab_MinKomp[Zaangażowanie / 
Engagement],MATCH($B15,tab_MinKomp[[Stanowisko / Position ]:[Stanowisko / Position ]],0))="n/a","n/a",FK15-INDEX(tab_MinKomp[Zaangażowanie / 
Engagement],MATCH($B15,tab_MinKomp[[Stanowisko / Position ]:[Stanowisko / Position ]],0)))</f>
        <v>0</v>
      </c>
      <c r="FL16" s="315" t="str">
        <f>IF(INDEX(tab_MinKomp[Planowanie strategiczne / Strategische Planung],MATCH($B15,tab_MinKomp[[Stanowisko / Position ]:[Stanowisko / Position ]],0))="n/a","n/a",FL15-INDEX(tab_MinKomp[Planowanie strategiczne / Strategische Planung],MATCH($B15,tab_MinKomp[[Stanowisko / Position ]:[Stanowisko / Position ]],0)))</f>
        <v>n/a</v>
      </c>
      <c r="FM16" s="315" t="str">
        <f>IF(INDEX(tab_MinKomp[Konsekwentne i dynamiczne działanie],MATCH($B15,tab_MinKomp[[Stanowisko / Position ]:[Stanowisko / Position ]],0))="n/a","n/a",FM15-INDEX(tab_MinKomp[Konsekwentne i dynamiczne działanie],MATCH($B15,tab_MinKomp[[Stanowisko / Position ]:[Stanowisko / Position ]],0)))</f>
        <v>n/a</v>
      </c>
      <c r="FN16" s="315" t="str">
        <f>IF(INDEX(tab_MinKomp[Elastyczność w działaniu],MATCH($B15,tab_MinKomp[[Stanowisko / Position ]:[Stanowisko / Position ]],0))="n/a","n/a",FN15-INDEX(tab_MinKomp[Elastyczność w działaniu],MATCH($B15,tab_MinKomp[[Stanowisko / Position ]:[Stanowisko / Position ]],0)))</f>
        <v>n/a</v>
      </c>
      <c r="FO16" s="315">
        <f>IF(INDEX(tab_MinKomp[Komunikatywność],MATCH($B15,tab_MinKomp[[Stanowisko / Position ]:[Stanowisko / Position ]],0))="n/a","n/a",FO15-INDEX(tab_MinKomp[Komunikatywność],MATCH($B15,tab_MinKomp[[Stanowisko / Position ]:[Stanowisko / Position ]],0)))</f>
        <v>-2</v>
      </c>
      <c r="FP16" s="315" t="str">
        <f>IF(INDEX(tab_MinKomp[Motywowanie i budowanie zaangażowania zespołu],MATCH($B15,tab_MinKomp[[Stanowisko / Position ]:[Stanowisko / Position ]],0))="n/a","n/a",FP15-INDEX(tab_MinKomp[Motywowanie i budowanie zaangażowania zespołu],MATCH($B15,tab_MinKomp[[Stanowisko / Position ]:[Stanowisko / Position ]],0)))</f>
        <v>n/a</v>
      </c>
      <c r="FQ16" s="314" t="str">
        <f>IFERROR(IF(INDEX(tab_MinKomp[BRAK / Keine],MATCH($B15,tab_MinKomp[[Stanowisko / Position ]:[Stanowisko / Position ]],0))="n/a","n/a",INDEX(tab_MinKomp[BRAK / Keine],MATCH($B15,tab_MinKomp[[Stanowisko / Position ]:[Stanowisko / Position ]],0))-FQ15),"")</f>
        <v>n/a</v>
      </c>
      <c r="FR16" s="315" t="str">
        <f>IF(INDEX(tab_MinKomp[MINIMUM 1 ROK / min. 1 Jahr],MATCH($B15,tab_MinKomp[[Stanowisko / Position ]:[Stanowisko / Position ]],0))="n/a","n/a",INDEX(tab_MinKomp[MINIMUM 1 ROK / min. 1 Jahr],MATCH($B15,tab_MinKomp[[Stanowisko / Position ]:[Stanowisko / Position ]],0)))</f>
        <v>X</v>
      </c>
      <c r="FS16" s="316" t="str">
        <f>IF(INDEX(tab_MinKomp[MINIMUM 2 LATA / min. 2 Jahre],MATCH($B15,tab_MinKomp[[Stanowisko / Position ]:[Stanowisko / Position ]],0))="n/a","n/a",INDEX(tab_MinKomp[MINIMUM 2 LATA / min. 2 Jahre],MATCH($B15,tab_MinKomp[[Stanowisko / Position ]:[Stanowisko / Position ]],0)))</f>
        <v>n/a</v>
      </c>
      <c r="FT16" s="315" t="str">
        <f>IF(INDEX(tab_MinKomp[MINIMUM 3 LATA / min. 3 Jahre],MATCH($B15,tab_MinKomp[[Stanowisko / Position ]:[Stanowisko / Position ]],0))="n/a","n/a",INDEX(tab_MinKomp[MINIMUM 3 LATA / min. 3 Jahre],MATCH($B15,tab_MinKomp[[Stanowisko / Position ]:[Stanowisko / Position ]],0)))</f>
        <v>n/a</v>
      </c>
      <c r="FU16" s="315" t="str">
        <f>IF(INDEX(tab_MinKomp[MINIMUM 4 LATA / min. 4 Jahre],MATCH($B15,tab_MinKomp[[Stanowisko / Position ]:[Stanowisko / Position ]],0))="n/a","n/a",INDEX(tab_MinKomp[MINIMUM 4 LATA / min. 4 Jahre],MATCH($B15,tab_MinKomp[[Stanowisko / Position ]:[Stanowisko / Position ]],0)))</f>
        <v>n/a</v>
      </c>
      <c r="FV16" s="315" t="str">
        <f>IF(INDEX(tab_MinKomp[MINIMUM 5 LAT / min. 5 Jahre],MATCH($B15,tab_MinKomp[[Stanowisko / Position ]:[Stanowisko / Position ]],0))="n/a","n/a",INDEX(tab_MinKomp[MINIMUM 5 LAT / min. 5 Jahre],MATCH($B15,tab_MinKomp[[Stanowisko / Position ]:[Stanowisko / Position ]],0)))</f>
        <v>n/a</v>
      </c>
      <c r="FW16" s="313" t="str">
        <f>IF(INDEX(tab_MinKomp[BRAK / Keine9],MATCH($B15,tab_MinKomp[[Stanowisko / Position ]:[Stanowisko / Position ]],0))="n/a","n/a",INDEX(tab_MinKomp[BRAK / Keine9],MATCH($B15,tab_MinKomp[[Stanowisko / Position ]:[Stanowisko / Position ]],0)))</f>
        <v>n/a</v>
      </c>
      <c r="FX16" s="314" t="str">
        <f>IF(INDEX(tab_MinKomp[ZAWODOWE / Berufsausbildung],MATCH($B15,tab_MinKomp[[Stanowisko / Position ]:[Stanowisko / Position ]],0))="n/a","n/a",INDEX(tab_MinKomp[ZAWODOWE / Berufsausbildung],MATCH($B15,tab_MinKomp[[Stanowisko / Position ]:[Stanowisko / Position ]],0)))</f>
        <v>X</v>
      </c>
      <c r="FY16" s="314" t="str">
        <f>IF(INDEX(tab_MinKomp[ŚREDNIE OGÓLNE / Abitur allgemeine],MATCH($B15,tab_MinKomp[[Stanowisko / Position ]:[Stanowisko / Position ]],0))="n/a","n/a",INDEX(tab_MinKomp[ŚREDNIE OGÓLNE / Abitur allgemeine],MATCH($B15,tab_MinKomp[[Stanowisko / Position ]:[Stanowisko / Position ]],0)))</f>
        <v>n/a</v>
      </c>
      <c r="FZ16" s="314" t="str">
        <f>IF(INDEX(tab_MinKomp[ŚREDNIE KIERUNKOWE / berufliches Gymnasium],MATCH($B15,tab_MinKomp[[Stanowisko / Position ]:[Stanowisko / Position ]],0))="n/a","n/a",INDEX(tab_MinKomp[ŚREDNIE KIERUNKOWE / berufliches Gymnasium],MATCH($B15,tab_MinKomp[[Stanowisko / Position ]:[Stanowisko / Position ]],0)))</f>
        <v>n/a</v>
      </c>
      <c r="GA16" s="314" t="str">
        <f>IF(INDEX(tab_MinKomp[WYŻSZE OGÓLNE / Hochschule allgemeine],MATCH($B15,tab_MinKomp[[Stanowisko / Position ]:[Stanowisko / Position ]],0))="n/a","n/a",INDEX(tab_MinKomp[WYŻSZE OGÓLNE / Hochschule allgemeine],MATCH($B15,tab_MinKomp[[Stanowisko / Position ]:[Stanowisko / Position ]],0)))</f>
        <v>n/a</v>
      </c>
      <c r="GB16" s="315" t="str">
        <f>IF(INDEX(tab_MinKomp[WYŻSZE KIERUNKOWE / Hochschule berufliche],MATCH($B15,tab_MinKomp[[Stanowisko / Position ]:[Stanowisko / Position ]],0))="n/a","n/a",INDEX(tab_MinKomp[WYŻSZE KIERUNKOWE / Hochschule berufliche],MATCH($B15,tab_MinKomp[[Stanowisko / Position ]:[Stanowisko / Position ]],0)))</f>
        <v>n/a</v>
      </c>
      <c r="GC16" s="316" t="str">
        <f>IF(INDEX(tab_MinKomp[PIERWSZA POMOC / Erste Hilfe],MATCH($B15,tab_MinKomp[[Stanowisko / Position ]:[Stanowisko / Position ]],0))="n/a","n/a",INDEX(tab_MinKomp[PIERWSZA POMOC / Erste Hilfe],MATCH($B15,tab_MinKomp[[Stanowisko / Position ]:[Stanowisko / Position ]],0)))</f>
        <v>n/a</v>
      </c>
      <c r="GD16" s="315" t="str">
        <f>IF(INDEX(tab_MinKomp[Specjalista BHP / BHP Spezialist],MATCH($B15,tab_MinKomp[[Stanowisko / Position ]:[Stanowisko / Position ]],0))="n/a","n/a",INDEX(tab_MinKomp[Specjalista BHP / BHP Spezialist],MATCH($B15,tab_MinKomp[[Stanowisko / Position ]:[Stanowisko / Position ]],0)))</f>
        <v>n/a</v>
      </c>
      <c r="GE16" s="315" t="str">
        <f>IF(INDEX(tab_MinKomp[Inspektor ochrony PPOŻ / Brandschutzinspektor],MATCH($B15,tab_MinKomp[[Stanowisko / Position ]:[Stanowisko / Position ]],0))="n/a","n/a",INDEX(tab_MinKomp[Inspektor ochrony PPOŻ / Brandschutzinspektor],MATCH($B15,tab_MinKomp[[Stanowisko / Position ]:[Stanowisko / Position ]],0)))</f>
        <v>n/a</v>
      </c>
      <c r="GF16" s="315" t="str">
        <f>IF(INDEX(tab_MinKomp[WÓZKI JEZDNIOWE / Gebelstapler],MATCH($B15,tab_MinKomp[[Stanowisko / Position ]:[Stanowisko / Position ]],0))="n/a","n/a",INDEX(tab_MinKomp[WÓZKI JEZDNIOWE / Gebelstapler],MATCH($B15,tab_MinKomp[[Stanowisko / Position ]:[Stanowisko / Position ]],0)))</f>
        <v>n/a</v>
      </c>
      <c r="GG16" s="313" t="str">
        <f>IF(INDEX(tab_MinKomp[SEP],MATCH($B15,tab_MinKomp[[Stanowisko / Position ]:[Stanowisko / Position ]],0))="n/a","n/a",INDEX(tab_MinKomp[SEP],MATCH($B15,tab_MinKomp[[Stanowisko / Position ]:[Stanowisko / Position ]],0)))</f>
        <v>n/a</v>
      </c>
      <c r="GH16" s="314" t="str">
        <f>IF(INDEX(tab_MinKomp[SEP  DOZÓR / SEP Aufsicht],MATCH($B15,tab_MinKomp[[Stanowisko / Position ]:[Stanowisko / Position ]],0))="n/a","n/a",INDEX(tab_MinKomp[SEP  DOZÓR / SEP Aufsicht],MATCH($B15,tab_MinKomp[[Stanowisko / Position ]:[Stanowisko / Position ]],0)))</f>
        <v>n/a</v>
      </c>
      <c r="GI16" s="314" t="str">
        <f>IF(INDEX(tab_MinKomp[PODNOŚNIKI / Hebevorrichtung],MATCH($B15,tab_MinKomp[[Stanowisko / Position ]:[Stanowisko / Position ]],0))="n/a","n/a",INDEX(tab_MinKomp[PODNOŚNIKI / Hebevorrichtung],MATCH($B15,tab_MinKomp[[Stanowisko / Position ]:[Stanowisko / Position ]],0)))</f>
        <v>n/a</v>
      </c>
      <c r="GJ16" s="314" t="str">
        <f>IF(INDEX(tab_MinKomp[SUWNICE / Laufkran],MATCH($B15,tab_MinKomp[[Stanowisko / Position ]:[Stanowisko / Position ]],0))="n/a","n/a",INDEX(tab_MinKomp[SUWNICE / Laufkran],MATCH($B15,tab_MinKomp[[Stanowisko / Position ]:[Stanowisko / Position ]],0)))</f>
        <v>n/a</v>
      </c>
      <c r="GK16" s="314" t="str">
        <f>IF(INDEX(tab_MinKomp[WYSOKOŚCIOWE / Höhenberechtigungen],MATCH($B15,tab_MinKomp[[Stanowisko / Position ]:[Stanowisko / Position ]],0))="n/a","n/a",INDEX(tab_MinKomp[WYSOKOŚCIOWE / Höhenberechtigungen],MATCH($B15,tab_MinKomp[[Stanowisko / Position ]:[Stanowisko / Position ]],0)))</f>
        <v>n/a</v>
      </c>
      <c r="GL16" s="320" t="e">
        <f>SUM(G16:FP16)/(GL15-(SUM(G16:FP16)))</f>
        <v>#VALUE!</v>
      </c>
    </row>
    <row r="17" spans="1:195" ht="28.35" customHeight="1" x14ac:dyDescent="0.25">
      <c r="A17" s="135" t="s">
        <v>267</v>
      </c>
      <c r="B17" s="135" t="s">
        <v>193</v>
      </c>
      <c r="C17" s="135" t="s">
        <v>750</v>
      </c>
      <c r="D17" s="135">
        <v>997</v>
      </c>
      <c r="E17" s="565" t="s">
        <v>269</v>
      </c>
      <c r="F17" s="307" t="s">
        <v>165</v>
      </c>
      <c r="G17" s="308">
        <v>2</v>
      </c>
      <c r="H17" s="308">
        <v>2</v>
      </c>
      <c r="I17" s="308">
        <v>2</v>
      </c>
      <c r="J17" s="308">
        <v>1</v>
      </c>
      <c r="K17" s="308">
        <v>2</v>
      </c>
      <c r="L17" s="308">
        <v>1</v>
      </c>
      <c r="M17" s="308" t="s">
        <v>176</v>
      </c>
      <c r="N17" s="308" t="s">
        <v>176</v>
      </c>
      <c r="O17" s="308">
        <v>1</v>
      </c>
      <c r="P17" s="308">
        <v>1</v>
      </c>
      <c r="Q17" s="308" t="s">
        <v>176</v>
      </c>
      <c r="R17" s="308" t="s">
        <v>176</v>
      </c>
      <c r="S17" s="308" t="s">
        <v>176</v>
      </c>
      <c r="T17" s="308" t="s">
        <v>176</v>
      </c>
      <c r="U17" s="308" t="s">
        <v>176</v>
      </c>
      <c r="V17" s="308" t="s">
        <v>176</v>
      </c>
      <c r="W17" s="308" t="s">
        <v>176</v>
      </c>
      <c r="X17" s="308" t="s">
        <v>176</v>
      </c>
      <c r="Y17" s="308" t="s">
        <v>176</v>
      </c>
      <c r="Z17" s="308" t="s">
        <v>176</v>
      </c>
      <c r="AA17" s="308" t="s">
        <v>176</v>
      </c>
      <c r="AB17" s="308" t="s">
        <v>176</v>
      </c>
      <c r="AC17" s="308">
        <v>1</v>
      </c>
      <c r="AD17" s="308">
        <v>1</v>
      </c>
      <c r="AE17" s="308">
        <v>1</v>
      </c>
      <c r="AF17" s="308">
        <v>1</v>
      </c>
      <c r="AG17" s="308">
        <v>1</v>
      </c>
      <c r="AH17" s="308">
        <v>1</v>
      </c>
      <c r="AI17" s="308" t="s">
        <v>176</v>
      </c>
      <c r="AJ17" s="308" t="s">
        <v>176</v>
      </c>
      <c r="AK17" s="308" t="s">
        <v>176</v>
      </c>
      <c r="AL17" s="308">
        <v>1</v>
      </c>
      <c r="AM17" s="308" t="s">
        <v>176</v>
      </c>
      <c r="AN17" s="308" t="s">
        <v>176</v>
      </c>
      <c r="AO17" s="308">
        <v>1</v>
      </c>
      <c r="AP17" s="308">
        <v>1</v>
      </c>
      <c r="AQ17" s="308">
        <v>1</v>
      </c>
      <c r="AR17" s="308" t="s">
        <v>176</v>
      </c>
      <c r="AS17" s="308">
        <v>1</v>
      </c>
      <c r="AT17" s="308">
        <v>1</v>
      </c>
      <c r="AU17" s="308">
        <v>1</v>
      </c>
      <c r="AV17" s="308">
        <v>2</v>
      </c>
      <c r="AW17" s="308">
        <v>1</v>
      </c>
      <c r="AX17" s="308">
        <v>1</v>
      </c>
      <c r="AY17" s="308" t="s">
        <v>176</v>
      </c>
      <c r="AZ17" s="308">
        <v>1</v>
      </c>
      <c r="BA17" s="308" t="s">
        <v>176</v>
      </c>
      <c r="BB17" s="308">
        <v>1</v>
      </c>
      <c r="BC17" s="308" t="s">
        <v>176</v>
      </c>
      <c r="BD17" s="308" t="s">
        <v>176</v>
      </c>
      <c r="BE17" s="308" t="s">
        <v>176</v>
      </c>
      <c r="BF17" s="308" t="s">
        <v>176</v>
      </c>
      <c r="BG17" s="308" t="s">
        <v>176</v>
      </c>
      <c r="BH17" s="308" t="s">
        <v>176</v>
      </c>
      <c r="BI17" s="308" t="s">
        <v>176</v>
      </c>
      <c r="BJ17" s="308" t="s">
        <v>176</v>
      </c>
      <c r="BK17" s="308" t="s">
        <v>176</v>
      </c>
      <c r="BL17" s="308" t="s">
        <v>176</v>
      </c>
      <c r="BM17" s="308" t="s">
        <v>176</v>
      </c>
      <c r="BN17" s="308" t="s">
        <v>176</v>
      </c>
      <c r="BO17" s="308" t="s">
        <v>176</v>
      </c>
      <c r="BP17" s="308" t="s">
        <v>176</v>
      </c>
      <c r="BQ17" s="308" t="s">
        <v>176</v>
      </c>
      <c r="BR17" s="308" t="s">
        <v>176</v>
      </c>
      <c r="BS17" s="308" t="s">
        <v>176</v>
      </c>
      <c r="BT17" s="308" t="s">
        <v>176</v>
      </c>
      <c r="BU17" s="308">
        <v>1</v>
      </c>
      <c r="BV17" s="308" t="s">
        <v>176</v>
      </c>
      <c r="BW17" s="308" t="s">
        <v>176</v>
      </c>
      <c r="BX17" s="308" t="s">
        <v>176</v>
      </c>
      <c r="BY17" s="308" t="s">
        <v>176</v>
      </c>
      <c r="BZ17" s="308" t="s">
        <v>176</v>
      </c>
      <c r="CA17" s="308" t="s">
        <v>176</v>
      </c>
      <c r="CB17" s="308" t="s">
        <v>176</v>
      </c>
      <c r="CC17" s="308" t="s">
        <v>176</v>
      </c>
      <c r="CD17" s="308" t="s">
        <v>176</v>
      </c>
      <c r="CE17" s="308" t="s">
        <v>176</v>
      </c>
      <c r="CF17" s="308" t="s">
        <v>176</v>
      </c>
      <c r="CG17" s="308" t="s">
        <v>176</v>
      </c>
      <c r="CH17" s="308" t="s">
        <v>176</v>
      </c>
      <c r="CI17" s="308" t="s">
        <v>176</v>
      </c>
      <c r="CJ17" s="308" t="s">
        <v>176</v>
      </c>
      <c r="CK17" s="308" t="s">
        <v>176</v>
      </c>
      <c r="CL17" s="308" t="s">
        <v>176</v>
      </c>
      <c r="CM17" s="308">
        <v>1</v>
      </c>
      <c r="CN17" s="308">
        <v>1</v>
      </c>
      <c r="CO17" s="308">
        <v>1</v>
      </c>
      <c r="CP17" s="308">
        <v>2</v>
      </c>
      <c r="CQ17" s="308">
        <v>1</v>
      </c>
      <c r="CR17" s="308" t="s">
        <v>176</v>
      </c>
      <c r="CS17" s="308" t="s">
        <v>176</v>
      </c>
      <c r="CT17" s="308">
        <v>1</v>
      </c>
      <c r="CU17" s="308">
        <v>2</v>
      </c>
      <c r="CV17" s="308" t="s">
        <v>176</v>
      </c>
      <c r="CW17" s="308" t="s">
        <v>176</v>
      </c>
      <c r="CX17" s="308">
        <v>1</v>
      </c>
      <c r="CY17" s="308" t="s">
        <v>176</v>
      </c>
      <c r="CZ17" s="308" t="s">
        <v>176</v>
      </c>
      <c r="DA17" s="308" t="s">
        <v>176</v>
      </c>
      <c r="DB17" s="308" t="s">
        <v>176</v>
      </c>
      <c r="DC17" s="308" t="s">
        <v>176</v>
      </c>
      <c r="DD17" s="308" t="s">
        <v>176</v>
      </c>
      <c r="DE17" s="308" t="s">
        <v>176</v>
      </c>
      <c r="DF17" s="308" t="s">
        <v>176</v>
      </c>
      <c r="DG17" s="308">
        <v>1</v>
      </c>
      <c r="DH17" s="308">
        <v>1</v>
      </c>
      <c r="DI17" s="308">
        <v>1</v>
      </c>
      <c r="DJ17" s="308">
        <v>1</v>
      </c>
      <c r="DK17" s="308" t="s">
        <v>176</v>
      </c>
      <c r="DL17" s="308" t="s">
        <v>176</v>
      </c>
      <c r="DM17" s="308" t="s">
        <v>176</v>
      </c>
      <c r="DN17" s="308" t="s">
        <v>176</v>
      </c>
      <c r="DO17" s="308" t="s">
        <v>176</v>
      </c>
      <c r="DP17" s="308" t="s">
        <v>176</v>
      </c>
      <c r="DQ17" s="308" t="s">
        <v>176</v>
      </c>
      <c r="DR17" s="308" t="s">
        <v>176</v>
      </c>
      <c r="DS17" s="308" t="s">
        <v>176</v>
      </c>
      <c r="DT17" s="308" t="s">
        <v>176</v>
      </c>
      <c r="DU17" s="308">
        <v>1</v>
      </c>
      <c r="DV17" s="306" t="s">
        <v>176</v>
      </c>
      <c r="DW17" s="306" t="s">
        <v>176</v>
      </c>
      <c r="DX17" s="306" t="s">
        <v>176</v>
      </c>
      <c r="DY17" s="308" t="s">
        <v>176</v>
      </c>
      <c r="DZ17" s="308" t="s">
        <v>176</v>
      </c>
      <c r="EA17" s="308" t="s">
        <v>176</v>
      </c>
      <c r="EB17" s="308" t="s">
        <v>176</v>
      </c>
      <c r="EC17" s="308" t="s">
        <v>176</v>
      </c>
      <c r="ED17" s="308" t="s">
        <v>176</v>
      </c>
      <c r="EE17" s="308" t="s">
        <v>176</v>
      </c>
      <c r="EF17" s="308" t="s">
        <v>176</v>
      </c>
      <c r="EG17" s="308" t="s">
        <v>176</v>
      </c>
      <c r="EH17" s="308" t="s">
        <v>176</v>
      </c>
      <c r="EI17" s="308" t="s">
        <v>176</v>
      </c>
      <c r="EJ17" s="308" t="s">
        <v>176</v>
      </c>
      <c r="EK17" s="308" t="s">
        <v>176</v>
      </c>
      <c r="EL17" s="308" t="s">
        <v>176</v>
      </c>
      <c r="EM17" s="308" t="s">
        <v>176</v>
      </c>
      <c r="EN17" s="308" t="s">
        <v>176</v>
      </c>
      <c r="EO17" s="308" t="s">
        <v>176</v>
      </c>
      <c r="EP17" s="308" t="s">
        <v>176</v>
      </c>
      <c r="EQ17" s="308" t="s">
        <v>176</v>
      </c>
      <c r="ER17" s="308" t="s">
        <v>176</v>
      </c>
      <c r="ES17" s="308" t="s">
        <v>176</v>
      </c>
      <c r="ET17" s="308" t="s">
        <v>176</v>
      </c>
      <c r="EU17" s="308" t="s">
        <v>176</v>
      </c>
      <c r="EV17" s="308" t="s">
        <v>176</v>
      </c>
      <c r="EW17" s="308" t="s">
        <v>176</v>
      </c>
      <c r="EX17" s="308" t="s">
        <v>176</v>
      </c>
      <c r="EY17" s="308">
        <v>2</v>
      </c>
      <c r="EZ17" s="308">
        <v>2</v>
      </c>
      <c r="FA17" s="308">
        <v>2</v>
      </c>
      <c r="FB17" s="308" t="s">
        <v>176</v>
      </c>
      <c r="FC17" s="308" t="s">
        <v>176</v>
      </c>
      <c r="FD17" s="308">
        <v>2</v>
      </c>
      <c r="FE17" s="308">
        <v>2</v>
      </c>
      <c r="FF17" s="308" t="s">
        <v>176</v>
      </c>
      <c r="FG17" s="308">
        <v>2</v>
      </c>
      <c r="FH17" s="308">
        <v>2</v>
      </c>
      <c r="FI17" s="308">
        <v>2</v>
      </c>
      <c r="FJ17" s="308">
        <v>3</v>
      </c>
      <c r="FK17" s="308">
        <v>3</v>
      </c>
      <c r="FL17" s="308" t="s">
        <v>176</v>
      </c>
      <c r="FM17" s="308">
        <v>1</v>
      </c>
      <c r="FN17" s="308">
        <v>1</v>
      </c>
      <c r="FO17" s="308">
        <v>2</v>
      </c>
      <c r="FP17" s="308">
        <v>1</v>
      </c>
      <c r="FQ17" s="308" t="s">
        <v>176</v>
      </c>
      <c r="FR17" s="308" t="s">
        <v>176</v>
      </c>
      <c r="FS17" s="308" t="s">
        <v>176</v>
      </c>
      <c r="FT17" s="308" t="s">
        <v>176</v>
      </c>
      <c r="FU17" s="308" t="s">
        <v>176</v>
      </c>
      <c r="FV17" s="308" t="s">
        <v>160</v>
      </c>
      <c r="FW17" s="308" t="s">
        <v>176</v>
      </c>
      <c r="FX17" s="308" t="s">
        <v>176</v>
      </c>
      <c r="FY17" s="308" t="s">
        <v>160</v>
      </c>
      <c r="FZ17" s="308" t="s">
        <v>176</v>
      </c>
      <c r="GA17" s="308" t="s">
        <v>176</v>
      </c>
      <c r="GB17" s="308" t="s">
        <v>176</v>
      </c>
      <c r="GC17" s="308" t="s">
        <v>176</v>
      </c>
      <c r="GD17" s="308" t="s">
        <v>176</v>
      </c>
      <c r="GE17" s="308" t="s">
        <v>176</v>
      </c>
      <c r="GF17" s="308" t="s">
        <v>176</v>
      </c>
      <c r="GG17" s="308" t="s">
        <v>176</v>
      </c>
      <c r="GH17" s="308" t="s">
        <v>176</v>
      </c>
      <c r="GI17" s="308" t="s">
        <v>176</v>
      </c>
      <c r="GJ17" s="308" t="s">
        <v>176</v>
      </c>
      <c r="GK17" s="308" t="s">
        <v>176</v>
      </c>
      <c r="GL17" s="311">
        <f>SUM(G17:FP17)</f>
        <v>74</v>
      </c>
    </row>
    <row r="18" spans="1:195" ht="28.35" customHeight="1" thickBot="1" x14ac:dyDescent="0.3">
      <c r="A18" s="138" t="str">
        <f t="shared" ref="A18:B20" si="0">A17</f>
        <v>Jakość-Quality Kontrola</v>
      </c>
      <c r="B18" s="138" t="str">
        <f t="shared" si="0"/>
        <v>Inspektor jakości</v>
      </c>
      <c r="C18" s="135" t="s">
        <v>750</v>
      </c>
      <c r="D18" s="138">
        <f>D17</f>
        <v>997</v>
      </c>
      <c r="E18" s="566" t="str">
        <f>E17</f>
        <v>Łukasik Urszula</v>
      </c>
      <c r="F18" s="312" t="s">
        <v>166</v>
      </c>
      <c r="G18" s="313">
        <f>IF(INDEX(tab_MinKomp[Przepisy BHP / BHP Vorschriften],MATCH($B17,tab_MinKomp[[Stanowisko / Position ]:[Stanowisko / Position ]],0))="n/a","n/a",G17-INDEX(tab_MinKomp[Przepisy BHP / BHP Vorschriften],MATCH($B17,tab_MinKomp[[Stanowisko / Position ]:[Stanowisko / Position ]],0)))</f>
        <v>0</v>
      </c>
      <c r="H18" s="314">
        <f>IF(INDEX(tab_MinKomp[Przepisy PPOŻ / Brandschutzbestimmungen],MATCH($B17,tab_MinKomp[[Stanowisko / Position ]:[Stanowisko / Position ]],0))="n/a","n/a",H17-INDEX(tab_MinKomp[Przepisy PPOŻ / Brandschutzbestimmungen],MATCH($B17,tab_MinKomp[[Stanowisko / Position ]:[Stanowisko / Position ]],0)))</f>
        <v>0</v>
      </c>
      <c r="I18" s="314">
        <f>IF(INDEX(tab_MinKomp[Ryzyko zawodowe na stanowiskach pracyv/ Berufliche Risiken an Arbeitsstellen],MATCH($B17,tab_MinKomp[[Stanowisko / Position ]:[Stanowisko / Position ]],0))="n/a","n/a",I17-INDEX(tab_MinKomp[Ryzyko zawodowe na stanowiskach pracyv/ Berufliche Risiken an Arbeitsstellen],MATCH($B17,tab_MinKomp[[Stanowisko / Position ]:[Stanowisko / Position ]],0)))</f>
        <v>0</v>
      </c>
      <c r="J18" s="314">
        <f>IF(INDEX(tab_MinKomp[Gospodarka substancjami niebezpiecznymi / Gefahrstoffmanagement],MATCH($B17,tab_MinKomp[[Stanowisko / Position ]:[Stanowisko / Position ]],0))="n/a","n/a",J17-INDEX(tab_MinKomp[Gospodarka substancjami niebezpiecznymi / Gefahrstoffmanagement],MATCH($B17,tab_MinKomp[[Stanowisko / Position ]:[Stanowisko / Position ]],0)))</f>
        <v>0</v>
      </c>
      <c r="K18" s="314">
        <f>IF(INDEX(tab_MinKomp[Gospodarka odpadami / Abfallwirtschaft],MATCH($B17,tab_MinKomp[[Stanowisko / Position ]:[Stanowisko / Position ]],0))="n/a","n/a",K17-INDEX(tab_MinKomp[Gospodarka odpadami / Abfallwirtschaft],MATCH($B17,tab_MinKomp[[Stanowisko / Position ]:[Stanowisko / Position ]],0)))</f>
        <v>0</v>
      </c>
      <c r="L18" s="315">
        <f>IF(INDEX(tab_MinKomp[Przepisy kodeksu pracy / Bestimmungen des Arbeitsgesetzes],MATCH($B17,tab_MinKomp[[Stanowisko / Position ]:[Stanowisko / Position ]],0))="n/a","n/a",L17-INDEX(tab_MinKomp[Przepisy kodeksu pracy / Bestimmungen des Arbeitsgesetzes],MATCH($B17,tab_MinKomp[[Stanowisko / Position ]:[Stanowisko / Position ]],0)))</f>
        <v>0</v>
      </c>
      <c r="M18" s="316" t="str">
        <f>IF(INDEX(tab_MinKomp[Przepisy o ub.społ. ZUS  / Sozialversicherungsvorschriften],MATCH($B17,tab_MinKomp[[Stanowisko / Position ]:[Stanowisko / Position ]],0))="n/a","n/a",M17-INDEX(tab_MinKomp[Przepisy o ub.społ. ZUS  / Sozialversicherungsvorschriften],MATCH($B17,tab_MinKomp[[Stanowisko / Position ]:[Stanowisko / Position ]],0)))</f>
        <v>n/a</v>
      </c>
      <c r="N18" s="315" t="str">
        <f>IF(INDEX(tab_MinKomp[PRZEPISY O PDOF /persönlich Einkommensteuergesetz ],MATCH($B17,tab_MinKomp[[Stanowisko / Position ]:[Stanowisko / Position ]],0))="n/a","n/a",N17-INDEX(tab_MinKomp[PRZEPISY O PDOF /persönlich Einkommensteuergesetz ],MATCH($B17,tab_MinKomp[[Stanowisko / Position ]:[Stanowisko / Position ]],0)))</f>
        <v>n/a</v>
      </c>
      <c r="O18" s="315">
        <f>IF(INDEX(tab_MinKomp[Regulamin pracy / Arbeitsordnung],MATCH($B17,tab_MinKomp[[Stanowisko / Position ]:[Stanowisko / Position ]],0))="n/a","n/a",O17-INDEX(tab_MinKomp[Regulamin pracy / Arbeitsordnung],MATCH($B17,tab_MinKomp[[Stanowisko / Position ]:[Stanowisko / Position ]],0)))</f>
        <v>0</v>
      </c>
      <c r="P18" s="315">
        <f>IF(INDEX(tab_MinKomp[Regulamin wynagradzania / Vergütungsordnung],MATCH($B17,tab_MinKomp[[Stanowisko / Position ]:[Stanowisko / Position ]],0))="n/a","n/a",P17-INDEX(tab_MinKomp[Regulamin wynagradzania / Vergütungsordnung],MATCH($B17,tab_MinKomp[[Stanowisko / Position ]:[Stanowisko / Position ]],0)))</f>
        <v>0</v>
      </c>
      <c r="Q18" s="315" t="str">
        <f>IF(INDEX(tab_MinKomp[System R2PŁATNIK PRO: Płace / Lohnabrechnung],MATCH($B17,tab_MinKomp[[Stanowisko / Position ]:[Stanowisko / Position ]],0))="n/a","n/a",Q17-INDEX(tab_MinKomp[System R2PŁATNIK PRO: Płace / Lohnabrechnung],MATCH($B17,tab_MinKomp[[Stanowisko / Position ]:[Stanowisko / Position ]],0)))</f>
        <v>n/a</v>
      </c>
      <c r="R18" s="315" t="str">
        <f>IF(INDEX(tab_MinKomp[SystemR2PŁATNIK PRO: KADRY / Personaldaten],MATCH($B17,tab_MinKomp[[Stanowisko / Position ]:[Stanowisko / Position ]],0))="n/a","n/a",R17-INDEX(tab_MinKomp[SystemR2PŁATNIK PRO: KADRY / Personaldaten],MATCH($B17,tab_MinKomp[[Stanowisko / Position ]:[Stanowisko / Position ]],0)))</f>
        <v>n/a</v>
      </c>
      <c r="S18" s="315" t="str">
        <f>IF(INDEX(tab_MinKomp[SYSTEM R2PŁATNIK PRO: zarządzanie pracownikami / Arbeitsverwaltung],MATCH($B17,tab_MinKomp[[Stanowisko / Position ]:[Stanowisko / Position ]],0))="n/a","n/a",S17-INDEX(tab_MinKomp[SYSTEM R2PŁATNIK PRO: zarządzanie pracownikami / Arbeitsverwaltung],MATCH($B17,tab_MinKomp[[Stanowisko / Position ]:[Stanowisko / Position ]],0)))</f>
        <v>n/a</v>
      </c>
      <c r="T18" s="315" t="str">
        <f>IF(INDEX(tab_MinKomp[Doradztwo, wsparcie personalne / Personalberatung und Unterstützung],MATCH($B17,tab_MinKomp[[Stanowisko / Position ]:[Stanowisko / Position ]],0))="n/a","n/a",T17-INDEX(tab_MinKomp[Doradztwo, wsparcie personalne / Personalberatung und Unterstützung],MATCH($B17,tab_MinKomp[[Stanowisko / Position ]:[Stanowisko / Position ]],0)))</f>
        <v>n/a</v>
      </c>
      <c r="U18" s="315" t="str">
        <f>IF(INDEX(tab_MinKomp[Przepisy o podatku VAT / MwSt.- Gesetz],MATCH($B17,tab_MinKomp[[Stanowisko / Position ]:[Stanowisko / Position ]],0))="n/a","n/a",U17-INDEX(tab_MinKomp[Przepisy o podatku VAT / MwSt.- Gesetz],MATCH($B17,tab_MinKomp[[Stanowisko / Position ]:[Stanowisko / Position ]],0)))</f>
        <v>n/a</v>
      </c>
      <c r="V18" s="315" t="str">
        <f>IF(INDEX(tab_MinKomp[PrzepisyPDOP / geschäftlich Einkommensteuergesetz],MATCH($B17,tab_MinKomp[[Stanowisko / Position ]:[Stanowisko / Position ]],0))="n/a","n/a",V17-INDEX(tab_MinKomp[PrzepisyPDOP / geschäftlich Einkommensteuergesetz],MATCH($B17,tab_MinKomp[[Stanowisko / Position ]:[Stanowisko / Position ]],0)))</f>
        <v>n/a</v>
      </c>
      <c r="W18" s="315" t="str">
        <f>IF(INDEX(tab_MinKomp[System BAAN / FINANSE (FIBU)],MATCH($B17,tab_MinKomp[[Stanowisko / Position ]:[Stanowisko / Position ]],0))="n/a","n/a",W17-INDEX(tab_MinKomp[System BAAN / FINANSE (FIBU)],MATCH($B17,tab_MinKomp[[Stanowisko / Position ]:[Stanowisko / Position ]],0)))</f>
        <v>n/a</v>
      </c>
      <c r="X18" s="315" t="str">
        <f>IF(INDEX(tab_MinKomp[Systemy pomocnicze / Hilfssysteme(STOCKPROGRAM, KALK2000 etc.)],MATCH($B17,tab_MinKomp[[Stanowisko / Position ]:[Stanowisko / Position ]],0))="n/a","n/a",X17-INDEX(tab_MinKomp[Systemy pomocnicze / Hilfssysteme(STOCKPROGRAM, KALK2000 etc.)],MATCH($B17,tab_MinKomp[[Stanowisko / Position ]:[Stanowisko / Position ]],0)))</f>
        <v>n/a</v>
      </c>
      <c r="Y18" s="315" t="str">
        <f>IF(INDEX(tab_MinKomp[Polityka rachunkowości / Buchführungspolitik],MATCH($B17,tab_MinKomp[[Stanowisko / Position ]:[Stanowisko / Position ]],0))="n/a","n/a",Y17-INDEX(tab_MinKomp[Polityka rachunkowości / Buchführungspolitik],MATCH($B17,tab_MinKomp[[Stanowisko / Position ]:[Stanowisko / Position ]],0)))</f>
        <v>n/a</v>
      </c>
      <c r="Z18" s="315" t="str">
        <f>IF(INDEX(tab_MinKomp[Ustawa o rachunkowości / Rechnungslegungsgesetz],MATCH($B17,tab_MinKomp[[Stanowisko / Position ]:[Stanowisko / Position ]],0))="n/a","n/a",Z17-INDEX(tab_MinKomp[Ustawa o rachunkowości / Rechnungslegungsgesetz],MATCH($B17,tab_MinKomp[[Stanowisko / Position ]:[Stanowisko / Position ]],0)))</f>
        <v>n/a</v>
      </c>
      <c r="AA18" s="315" t="str">
        <f>IF(INDEX(tab_MinKomp[WORKFLOW - TS-100],MATCH($B17,tab_MinKomp[[Stanowisko / Position ]:[Stanowisko / Position ]],0))="n/a","n/a",AA17-INDEX(tab_MinKomp[WORKFLOW - TS-100],MATCH($B17,tab_MinKomp[[Stanowisko / Position ]:[Stanowisko / Position ]],0)))</f>
        <v>n/a</v>
      </c>
      <c r="AB18" s="315" t="str">
        <f>IF(INDEX(tab_MinKomp[WORKFLOW - SFMS],MATCH($B17,tab_MinKomp[[Stanowisko / Position ]:[Stanowisko / Position ]],0))="n/a","n/a",AB17-INDEX(tab_MinKomp[WORKFLOW - SFMS],MATCH($B17,tab_MinKomp[[Stanowisko / Position ]:[Stanowisko / Position ]],0)))</f>
        <v>n/a</v>
      </c>
      <c r="AC18" s="315">
        <f>IF(INDEX(tab_MinKomp[System ISO 9001:2015],MATCH($B17,tab_MinKomp[[Stanowisko / Position ]:[Stanowisko / Position ]],0))="n/a","n/a",AC17-INDEX(tab_MinKomp[System ISO 9001:2015],MATCH($B17,tab_MinKomp[[Stanowisko / Position ]:[Stanowisko / Position ]],0)))</f>
        <v>0</v>
      </c>
      <c r="AD18" s="315">
        <f>IF(INDEX(tab_MinKomp[System IATF 16949:2016],MATCH($B17,tab_MinKomp[[Stanowisko / Position ]:[Stanowisko / Position ]],0))="n/a","n/a",AD17-INDEX(tab_MinKomp[System IATF 16949:2016],MATCH($B17,tab_MinKomp[[Stanowisko / Position ]:[Stanowisko / Position ]],0)))</f>
        <v>0</v>
      </c>
      <c r="AE18" s="315">
        <f>IF(INDEX(tab_MinKomp[System ISO 14001:2015],MATCH($B17,tab_MinKomp[[Stanowisko / Position ]:[Stanowisko / Position ]],0))="n/a","n/a",AE17-INDEX(tab_MinKomp[System ISO 14001:2015],MATCH($B17,tab_MinKomp[[Stanowisko / Position ]:[Stanowisko / Position ]],0)))</f>
        <v>0</v>
      </c>
      <c r="AF18" s="315">
        <f>IF(INDEX(tab_MinKomp[System PN-N 18001:2004 / ISO 45001:2018],MATCH($B17,tab_MinKomp[[Stanowisko / Position ]:[Stanowisko / Position ]],0))="n/a","n/a",AF17-INDEX(tab_MinKomp[System PN-N 18001:2004 / ISO 45001:2018],MATCH($B17,tab_MinKomp[[Stanowisko / Position ]:[Stanowisko / Position ]],0)))</f>
        <v>0</v>
      </c>
      <c r="AG18" s="315">
        <f>IF(INDEX(tab_MinKomp[Wymagania VDA 6.3 Process / Forderungen],MATCH($B17,tab_MinKomp[[Stanowisko / Position ]:[Stanowisko / Position ]],0))="n/a","n/a",AG17-INDEX(tab_MinKomp[Wymagania VDA 6.3 Process / Forderungen],MATCH($B17,tab_MinKomp[[Stanowisko / Position ]:[Stanowisko / Position ]],0)))</f>
        <v>0</v>
      </c>
      <c r="AH18" s="315">
        <f>IF(INDEX(tab_MinKomp[Wymagania VDA 6.5 Product / Forderungen],MATCH($B17,tab_MinKomp[[Stanowisko / Position ]:[Stanowisko / Position ]],0))="n/a","n/a",AH17-INDEX(tab_MinKomp[Wymagania VDA 6.5 Product / Forderungen],MATCH($B17,tab_MinKomp[[Stanowisko / Position ]:[Stanowisko / Position ]],0)))</f>
        <v>0</v>
      </c>
      <c r="AI18" s="315" t="str">
        <f>IF(INDEX(tab_MinKomp[PSCR (VW Product Safety &amp; Conformity Representative)],MATCH($B17,tab_MinKomp[[Stanowisko / Position ]:[Stanowisko / Position ]],0))="n/a","n/a",AI17-INDEX(tab_MinKomp[PSCR (VW Product Safety &amp; Conformity Representative)],MATCH($B17,tab_MinKomp[[Stanowisko / Position ]:[Stanowisko / Position ]],0)))</f>
        <v>n/a</v>
      </c>
      <c r="AJ18" s="315" t="str">
        <f>IF(INDEX(tab_MinKomp[Auditor systemu ISO 17025:2018],MATCH($B17,tab_MinKomp[[Stanowisko / Position ]:[Stanowisko / Position ]],0))="n/a","n/a",AJ17-INDEX(tab_MinKomp[Auditor systemu ISO 17025:2018],MATCH($B17,tab_MinKomp[[Stanowisko / Position ]:[Stanowisko / Position ]],0)))</f>
        <v>n/a</v>
      </c>
      <c r="AK18" s="315" t="str">
        <f>IF(INDEX(tab_MinKomp[Pełnomocnik systemu / Systemvertreter],MATCH($B17,tab_MinKomp[[Stanowisko / Position ]:[Stanowisko / Position ]],0))="n/a","n/a",AK17-INDEX(tab_MinKomp[Pełnomocnik systemu / Systemvertreter],MATCH($B17,tab_MinKomp[[Stanowisko / Position ]:[Stanowisko / Position ]],0)))</f>
        <v>n/a</v>
      </c>
      <c r="AL18" s="315">
        <v>1</v>
      </c>
      <c r="AM18" s="315" t="str">
        <f>IF(INDEX(tab_MinKomp[WDRAŻANIE NOWYCH PROJEKTÓW/ PROCEDURA CTM],MATCH($B17,tab_MinKomp[[Stanowisko / Position ]:[Stanowisko / Position ]],0))="n/a","n/a",AM17-INDEX(tab_MinKomp[WDRAŻANIE NOWYCH PROJEKTÓW/ PROCEDURA CTM],MATCH($B17,tab_MinKomp[[Stanowisko / Position ]:[Stanowisko / Position ]],0)))</f>
        <v>n/a</v>
      </c>
      <c r="AN18" s="315" t="str">
        <f>IF(INDEX(tab_MinKomp[KAMIENIE MILOWE MSL/PIFF],MATCH($B17,tab_MinKomp[[Stanowisko / Position ]:[Stanowisko / Position ]],0))="n/a","n/a",AN17-INDEX(tab_MinKomp[KAMIENIE MILOWE MSL/PIFF],MATCH($B17,tab_MinKomp[[Stanowisko / Position ]:[Stanowisko / Position ]],0)))</f>
        <v>n/a</v>
      </c>
      <c r="AO18" s="315">
        <f>IF(INDEX(tab_MinKomp[CP],MATCH($B17,tab_MinKomp[[Stanowisko / Position ]:[Stanowisko / Position ]],0))="n/a","n/a",AO17-INDEX(tab_MinKomp[CP],MATCH($B17,tab_MinKomp[[Stanowisko / Position ]:[Stanowisko / Position ]],0)))</f>
        <v>0</v>
      </c>
      <c r="AP18" s="315">
        <f>IF(INDEX(tab_MinKomp[FMEA],MATCH($B17,tab_MinKomp[[Stanowisko / Position ]:[Stanowisko / Position ]],0))="n/a","n/a",AP17-INDEX(tab_MinKomp[FMEA],MATCH($B17,tab_MinKomp[[Stanowisko / Position ]:[Stanowisko / Position ]],0)))</f>
        <v>0</v>
      </c>
      <c r="AQ18" s="315">
        <f>IF(INDEX(tab_MinKomp[FLOW CHART],MATCH($B17,tab_MinKomp[[Stanowisko / Position ]:[Stanowisko / Position ]],0))="n/a","n/a",AQ17-INDEX(tab_MinKomp[FLOW CHART],MATCH($B17,tab_MinKomp[[Stanowisko / Position ]:[Stanowisko / Position ]],0)))</f>
        <v>0</v>
      </c>
      <c r="AR18" s="315" t="str">
        <f>IF(INDEX(tab_MinKomp[APQP],MATCH($B17,tab_MinKomp[[Stanowisko / Position ]:[Stanowisko / Position ]],0))="n/a","n/a",AR17-INDEX(tab_MinKomp[APQP],MATCH($B17,tab_MinKomp[[Stanowisko / Position ]:[Stanowisko / Position ]],0)))</f>
        <v>n/a</v>
      </c>
      <c r="AS18" s="315">
        <f>IF(INDEX(tab_MinKomp[MSA],MATCH($B17,tab_MinKomp[[Stanowisko / Position ]:[Stanowisko / Position ]],0))="n/a","n/a",AS17-INDEX(tab_MinKomp[MSA],MATCH($B17,tab_MinKomp[[Stanowisko / Position ]:[Stanowisko / Position ]],0)))</f>
        <v>0</v>
      </c>
      <c r="AT18" s="315">
        <f>IF(INDEX(tab_MinKomp[SPC],MATCH($B17,tab_MinKomp[[Stanowisko / Position ]:[Stanowisko / Position ]],0))="n/a","n/a",AT17-INDEX(tab_MinKomp[SPC],MATCH($B17,tab_MinKomp[[Stanowisko / Position ]:[Stanowisko / Position ]],0)))</f>
        <v>0</v>
      </c>
      <c r="AU18" s="315">
        <f>IF(INDEX(tab_MinKomp[CSR (SPECYFICZNE WYMAGANIA KLIENTA)],MATCH($B17,tab_MinKomp[[Stanowisko / Position ]:[Stanowisko / Position ]],0))="n/a","n/a",AU17-INDEX(tab_MinKomp[CSR (SPECYFICZNE WYMAGANIA KLIENTA)],MATCH($B17,tab_MinKomp[[Stanowisko / Position ]:[Stanowisko / Position ]],0)))</f>
        <v>0</v>
      </c>
      <c r="AV18" s="315">
        <f>IF(INDEX(tab_MinKomp[5S],MATCH($B17,tab_MinKomp[[Stanowisko / Position ]:[Stanowisko / Position ]],0))="n/a","n/a",AV17-INDEX(tab_MinKomp[5S],MATCH($B17,tab_MinKomp[[Stanowisko / Position ]:[Stanowisko / Position ]],0)))</f>
        <v>0</v>
      </c>
      <c r="AW18" s="315">
        <f>IF(INDEX(tab_MinKomp[LEAN MANAGEMENT],MATCH($B17,tab_MinKomp[[Stanowisko / Position ]:[Stanowisko / Position ]],0))="n/a","n/a",AW17-INDEX(tab_MinKomp[LEAN MANAGEMENT],MATCH($B17,tab_MinKomp[[Stanowisko / Position ]:[Stanowisko / Position ]],0)))</f>
        <v>0</v>
      </c>
      <c r="AX18" s="315">
        <f>IF(INDEX(tab_MinKomp[5R],MATCH($B17,tab_MinKomp[[Stanowisko / Position ]:[Stanowisko / Position ]],0))="n/a","n/a",AX17-INDEX(tab_MinKomp[5R],MATCH($B17,tab_MinKomp[[Stanowisko / Position ]:[Stanowisko / Position ]],0)))</f>
        <v>-1</v>
      </c>
      <c r="AY18" s="315" t="str">
        <f>IF(INDEX(tab_MinKomp[Six Sigma],MATCH($B17,tab_MinKomp[[Stanowisko / Position ]:[Stanowisko / Position ]],0))="n/a","n/a",AY17-INDEX(tab_MinKomp[Six Sigma],MATCH($B17,tab_MinKomp[[Stanowisko / Position ]:[Stanowisko / Position ]],0)))</f>
        <v>n/a</v>
      </c>
      <c r="AZ18" s="315" t="str">
        <f>IF(INDEX(tab_MinKomp[System BAAN / Distribution &amp; Supply Chain],MATCH($B17,tab_MinKomp[[Stanowisko / Position ]:[Stanowisko / Position ]],0))="n/a","n/a",AZ17-INDEX(tab_MinKomp[System BAAN / Distribution &amp; Supply Chain],MATCH($B17,tab_MinKomp[[Stanowisko / Position ]:[Stanowisko / Position ]],0)))</f>
        <v>n/a</v>
      </c>
      <c r="BA18" s="315" t="str">
        <f>IF(INDEX(tab_MinKomp[Gospodarka magazynowa / Lagerverwaltung],MATCH($B17,tab_MinKomp[[Stanowisko / Position ]:[Stanowisko / Position ]],0))="n/a","n/a",BA17-INDEX(tab_MinKomp[Gospodarka magazynowa / Lagerverwaltung],MATCH($B17,tab_MinKomp[[Stanowisko / Position ]:[Stanowisko / Position ]],0)))</f>
        <v>n/a</v>
      </c>
      <c r="BB18" s="315" t="str">
        <f>IF(INDEX(tab_MinKomp[Inwentaryzacja - organizacja i przebieg / Inventurprozess],MATCH($B17,tab_MinKomp[[Stanowisko / Position ]:[Stanowisko / Position ]],0))="n/a","n/a",BB17-INDEX(tab_MinKomp[Inwentaryzacja - organizacja i przebieg / Inventurprozess],MATCH($B17,tab_MinKomp[[Stanowisko / Position ]:[Stanowisko / Position ]],0)))</f>
        <v>n/a</v>
      </c>
      <c r="BC18" s="315" t="str">
        <f>IF(INDEX(tab_MinKomp[Organizacja dostaw / Versorgungsorganisation],MATCH($B17,tab_MinKomp[[Stanowisko / Position ]:[Stanowisko / Position ]],0))="n/a","n/a",BC17-INDEX(tab_MinKomp[Organizacja dostaw / Versorgungsorganisation],MATCH($B17,tab_MinKomp[[Stanowisko / Position ]:[Stanowisko / Position ]],0)))</f>
        <v>n/a</v>
      </c>
      <c r="BD18" s="315" t="str">
        <f>IF(INDEX(tab_MinKomp[Organizacja wysyłek / Organisation von Lieferungen],MATCH($B17,tab_MinKomp[[Stanowisko / Position ]:[Stanowisko / Position ]],0))="n/a","n/a",BD17-INDEX(tab_MinKomp[Organizacja wysyłek / Organisation von Lieferungen],MATCH($B17,tab_MinKomp[[Stanowisko / Position ]:[Stanowisko / Position ]],0)))</f>
        <v>n/a</v>
      </c>
      <c r="BE18" s="315" t="str">
        <f>IF(INDEX(tab_MinKomp[Analiza magazynowa - Program Polen.mdb / Inventuranalyse],MATCH($B17,tab_MinKomp[[Stanowisko / Position ]:[Stanowisko / Position ]],0))="n/a","n/a",BE17-INDEX(tab_MinKomp[Analiza magazynowa - Program Polen.mdb / Inventuranalyse],MATCH($B17,tab_MinKomp[[Stanowisko / Position ]:[Stanowisko / Position ]],0)))</f>
        <v>n/a</v>
      </c>
      <c r="BF18" s="315" t="str">
        <f>IF(INDEX(tab_MinKomp[MMOG (Materials Management Operations Guidelines)],MATCH($B17,tab_MinKomp[[Stanowisko / Position ]:[Stanowisko / Position ]],0))="n/a","n/a",BF17-INDEX(tab_MinKomp[MMOG (Materials Management Operations Guidelines)],MATCH($B17,tab_MinKomp[[Stanowisko / Position ]:[Stanowisko / Position ]],0)))</f>
        <v>n/a</v>
      </c>
      <c r="BG18" s="315" t="str">
        <f>IF(INDEX(tab_MinKomp[GPP],MATCH($B17,tab_MinKomp[[Stanowisko / Position ]:[Stanowisko / Position ]],0))="n/a","n/a",BG17-INDEX(tab_MinKomp[GPP],MATCH($B17,tab_MinKomp[[Stanowisko / Position ]:[Stanowisko / Position ]],0)))</f>
        <v>n/a</v>
      </c>
      <c r="BH18" s="315" t="str">
        <f>IF(INDEX(tab_MinKomp[AIAG (Automotive Industry Action Group)],MATCH($B17,tab_MinKomp[[Stanowisko / Position ]:[Stanowisko / Position ]],0))="n/a","n/a",BH17-INDEX(tab_MinKomp[AIAG (Automotive Industry Action Group)],MATCH($B17,tab_MinKomp[[Stanowisko / Position ]:[Stanowisko / Position ]],0)))</f>
        <v>n/a</v>
      </c>
      <c r="BI18" s="315" t="str">
        <f>IF(INDEX(tab_MinKomp[Super-G disputes],MATCH($B17,tab_MinKomp[[Stanowisko / Position ]:[Stanowisko / Position ]],0))="n/a","n/a",BI17-INDEX(tab_MinKomp[Super-G disputes],MATCH($B17,tab_MinKomp[[Stanowisko / Position ]:[Stanowisko / Position ]],0)))</f>
        <v>n/a</v>
      </c>
      <c r="BJ18" s="315" t="str">
        <f>IF(INDEX(tab_MinKomp[CMMS3/eDDL (Direct Data Link)],MATCH($B17,tab_MinKomp[[Stanowisko / Position ]:[Stanowisko / Position ]],0))="n/a","n/a",BJ17-INDEX(tab_MinKomp[CMMS3/eDDL (Direct Data Link)],MATCH($B17,tab_MinKomp[[Stanowisko / Position ]:[Stanowisko / Position ]],0)))</f>
        <v>n/a</v>
      </c>
      <c r="BK18" s="315" t="str">
        <f>IF(INDEX(tab_MinKomp[MP&amp;L (Material Planning and Logistics)],MATCH($B17,tab_MinKomp[[Stanowisko / Position ]:[Stanowisko / Position ]],0))="n/a","n/a",BK17-INDEX(tab_MinKomp[MP&amp;L (Material Planning and Logistics)],MATCH($B17,tab_MinKomp[[Stanowisko / Position ]:[Stanowisko / Position ]],0)))</f>
        <v>n/a</v>
      </c>
      <c r="BL18" s="315" t="str">
        <f>IF(INDEX(tab_MinKomp[Supplier delivery rating],MATCH($B17,tab_MinKomp[[Stanowisko / Position ]:[Stanowisko / Position ]],0))="n/a","n/a",BL17-INDEX(tab_MinKomp[Supplier delivery rating],MATCH($B17,tab_MinKomp[[Stanowisko / Position ]:[Stanowisko / Position ]],0)))</f>
        <v>n/a</v>
      </c>
      <c r="BM18" s="315" t="str">
        <f>IF(INDEX(tab_MinKomp[Planowanie produkcji / Produktionsplanung],MATCH($B17,tab_MinKomp[[Stanowisko / Position ]:[Stanowisko / Position ]],0))="n/a","n/a",BM17-INDEX(tab_MinKomp[Planowanie produkcji / Produktionsplanung],MATCH($B17,tab_MinKomp[[Stanowisko / Position ]:[Stanowisko / Position ]],0)))</f>
        <v>n/a</v>
      </c>
      <c r="BN18" s="315" t="str">
        <f>IF(INDEX(tab_MinKomp[Obsługa maszyn Engel / Engel Maschinenbedienung],MATCH($B17,tab_MinKomp[[Stanowisko / Position ]:[Stanowisko / Position ]],0))="n/a","n/a",BN17-INDEX(tab_MinKomp[Obsługa maszyn Engel / Engel Maschinenbedienung],MATCH($B17,tab_MinKomp[[Stanowisko / Position ]:[Stanowisko / Position ]],0)))</f>
        <v>n/a</v>
      </c>
      <c r="BO18" s="315" t="str">
        <f>IF(INDEX(tab_MinKomp[Obsługa maszyn Novapax / Novapax Maschinenbedienung],MATCH($B17,tab_MinKomp[[Stanowisko / Position ]:[Stanowisko / Position ]],0))="n/a","n/a",BO17-INDEX(tab_MinKomp[Obsługa maszyn Novapax / Novapax Maschinenbedienung],MATCH($B17,tab_MinKomp[[Stanowisko / Position ]:[Stanowisko / Position ]],0)))</f>
        <v>n/a</v>
      </c>
      <c r="BP18" s="315" t="str">
        <f>IF(INDEX(tab_MinKomp[Obsługa maszyn KVT / KVT Maschinenbedienung],MATCH($B17,tab_MinKomp[[Stanowisko / Position ]:[Stanowisko / Position ]],0))="n/a","n/a",BP17-INDEX(tab_MinKomp[Obsługa maszyn KVT / KVT Maschinenbedienung],MATCH($B17,tab_MinKomp[[Stanowisko / Position ]:[Stanowisko / Position ]],0)))</f>
        <v>n/a</v>
      </c>
      <c r="BQ18" s="315" t="str">
        <f>IF(INDEX(tab_MinKomp[Obsługa maszyn ASL / ASL Maschinenbedienung],MATCH($B17,tab_MinKomp[[Stanowisko / Position ]:[Stanowisko / Position ]],0))="n/a","n/a",BQ17-INDEX(tab_MinKomp[Obsługa maszyn ASL / ASL Maschinenbedienung],MATCH($B17,tab_MinKomp[[Stanowisko / Position ]:[Stanowisko / Position ]],0)))</f>
        <v>n/a</v>
      </c>
      <c r="BR18" s="315" t="str">
        <f>IF(INDEX(tab_MinKomp[Obsługa maszyn Branson / Branson Maschinenbedienung],MATCH($B17,tab_MinKomp[[Stanowisko / Position ]:[Stanowisko / Position ]],0))="n/a","n/a",BR17-INDEX(tab_MinKomp[Obsługa maszyn Branson / Branson Maschinenbedienung],MATCH($B17,tab_MinKomp[[Stanowisko / Position ]:[Stanowisko / Position ]],0)))</f>
        <v>n/a</v>
      </c>
      <c r="BS18" s="315" t="str">
        <f>IF(INDEX(tab_MinKomp[Obsługa maszyn Kamtec / Kamtec Maschinenbedienung],MATCH($B17,tab_MinKomp[[Stanowisko / Position ]:[Stanowisko / Position ]],0))="n/a","n/a",BS17-INDEX(tab_MinKomp[Obsługa maszyn Kamtec / Kamtec Maschinenbedienung],MATCH($B17,tab_MinKomp[[Stanowisko / Position ]:[Stanowisko / Position ]],0)))</f>
        <v>n/a</v>
      </c>
      <c r="BT18" s="315" t="str">
        <f>IF(INDEX(tab_MinKomp[Obsługa maszyn Piovan / Piovan Maschinenbedienung],MATCH($B17,tab_MinKomp[[Stanowisko / Position ]:[Stanowisko / Position ]],0))="n/a","n/a",BT17-INDEX(tab_MinKomp[Obsługa maszyn Piovan / Piovan Maschinenbedienung],MATCH($B17,tab_MinKomp[[Stanowisko / Position ]:[Stanowisko / Position ]],0)))</f>
        <v>n/a</v>
      </c>
      <c r="BU18" s="315" t="str">
        <f>IF(INDEX(tab_MinKomp[Obsługa maszyn REP / REP Maschinenbedienung],MATCH($B17,tab_MinKomp[[Stanowisko / Position ]:[Stanowisko / Position ]],0))="n/a","n/a",BU17-INDEX(tab_MinKomp[Obsługa maszyn REP / REP Maschinenbedienung],MATCH($B17,tab_MinKomp[[Stanowisko / Position ]:[Stanowisko / Position ]],0)))</f>
        <v>n/a</v>
      </c>
      <c r="BV18" s="315" t="str">
        <f>IF(INDEX(tab_MinKomp[Eliminacja awarii / Beseitigung von Ausfällen],MATCH($B17,tab_MinKomp[[Stanowisko / Position ]:[Stanowisko / Position ]],0))="n/a","n/a",BV17-INDEX(tab_MinKomp[Eliminacja awarii / Beseitigung von Ausfällen],MATCH($B17,tab_MinKomp[[Stanowisko / Position ]:[Stanowisko / Position ]],0)))</f>
        <v>n/a</v>
      </c>
      <c r="BW18" s="315" t="str">
        <f>IF(INDEX(tab_MinKomp[Informatyka ogólna (techniczne i systemowe) / Allgemeine IT (Technik und System)],MATCH($B17,tab_MinKomp[[Stanowisko / Position ]:[Stanowisko / Position ]],0))="n/a","n/a",BW17-INDEX(tab_MinKomp[Informatyka ogólna (techniczne i systemowe) / Allgemeine IT (Technik und System)],MATCH($B17,tab_MinKomp[[Stanowisko / Position ]:[Stanowisko / Position ]],0)))</f>
        <v>n/a</v>
      </c>
      <c r="BX18" s="315" t="str">
        <f>IF(INDEX(tab_MinKomp[Sieci komputerowe / Computernetzwerke],MATCH($B17,tab_MinKomp[[Stanowisko / Position ]:[Stanowisko / Position ]],0))="n/a","n/a",BX17-INDEX(tab_MinKomp[Sieci komputerowe / Computernetzwerke],MATCH($B17,tab_MinKomp[[Stanowisko / Position ]:[Stanowisko / Position ]],0)))</f>
        <v>n/a</v>
      </c>
      <c r="BY18" s="315" t="str">
        <f>IF(INDEX(tab_MinKomp[Hardware (komputery PC, drukarki biurowe i etykietowe, telefonia stacjonarna i mobilna) (PC, Drucker, Telefpne, Handys)],MATCH($B17,tab_MinKomp[[Stanowisko / Position ]:[Stanowisko / Position ]],0))="n/a","n/a",BY17-INDEX(tab_MinKomp[Hardware (komputery PC, drukarki biurowe i etykietowe, telefonia stacjonarna i mobilna) (PC, Drucker, Telefpne, Handys)],MATCH($B17,tab_MinKomp[[Stanowisko / Position ]:[Stanowisko / Position ]],0)))</f>
        <v>n/a</v>
      </c>
      <c r="BZ18" s="315" t="str">
        <f>IF(INDEX(tab_MinKomp[Software &amp; Systems (MS Office, MS Remote Desktop)],MATCH($B17,tab_MinKomp[[Stanowisko / Position ]:[Stanowisko / Position ]],0))="n/a","n/a",BZ17-INDEX(tab_MinKomp[Software &amp; Systems (MS Office, MS Remote Desktop)],MATCH($B17,tab_MinKomp[[Stanowisko / Position ]:[Stanowisko / Position ]],0)))</f>
        <v>n/a</v>
      </c>
      <c r="CA18" s="315" t="str">
        <f>IF(INDEX(tab_MinKomp[Programowanie obiektowe (PHP) / Objektprogrammierung],MATCH($B17,tab_MinKomp[[Stanowisko / Position ]:[Stanowisko / Position ]],0))="n/a","n/a",CA17-INDEX(tab_MinKomp[Programowanie obiektowe (PHP) / Objektprogrammierung],MATCH($B17,tab_MinKomp[[Stanowisko / Position ]:[Stanowisko / Position ]],0)))</f>
        <v>n/a</v>
      </c>
      <c r="CB18" s="315" t="str">
        <f>IF(INDEX(tab_MinKomp[Scrum],MATCH($B17,tab_MinKomp[[Stanowisko / Position ]:[Stanowisko / Position ]],0))="n/a","n/a",CB17-INDEX(tab_MinKomp[Scrum],MATCH($B17,tab_MinKomp[[Stanowisko / Position ]:[Stanowisko / Position ]],0)))</f>
        <v>n/a</v>
      </c>
      <c r="CC18" s="315" t="str">
        <f>IF(INDEX(tab_MinKomp[SQL (MySQL)],MATCH($B17,tab_MinKomp[[Stanowisko / Position ]:[Stanowisko / Position ]],0))="n/a","n/a",CC17-INDEX(tab_MinKomp[SQL (MySQL)],MATCH($B17,tab_MinKomp[[Stanowisko / Position ]:[Stanowisko / Position ]],0)))</f>
        <v>n/a</v>
      </c>
      <c r="CD18" s="315" t="str">
        <f>IF(INDEX(tab_MinKomp[Javascript],MATCH($B17,tab_MinKomp[[Stanowisko / Position ]:[Stanowisko / Position ]],0))="n/a","n/a",CD17-INDEX(tab_MinKomp[Javascript],MATCH($B17,tab_MinKomp[[Stanowisko / Position ]:[Stanowisko / Position ]],0)))</f>
        <v>n/a</v>
      </c>
      <c r="CE18" s="315" t="str">
        <f>IF(INDEX(tab_MinKomp[Joomla],MATCH($B17,tab_MinKomp[[Stanowisko / Position ]:[Stanowisko / Position ]],0))="n/a","n/a",CE17-INDEX(tab_MinKomp[Joomla],MATCH($B17,tab_MinKomp[[Stanowisko / Position ]:[Stanowisko / Position ]],0)))</f>
        <v>n/a</v>
      </c>
      <c r="CF18" s="315" t="str">
        <f>IF(INDEX(tab_MinKomp[Bash],MATCH($B17,tab_MinKomp[[Stanowisko / Position ]:[Stanowisko / Position ]],0))="n/a","n/a",CF17-INDEX(tab_MinKomp[Bash],MATCH($B17,tab_MinKomp[[Stanowisko / Position ]:[Stanowisko / Position ]],0)))</f>
        <v>n/a</v>
      </c>
      <c r="CG18" s="315" t="str">
        <f>IF(INDEX(tab_MinKomp[Systemy MES (HYDRA / SFMS)],MATCH($B17,tab_MinKomp[[Stanowisko / Position ]:[Stanowisko / Position ]],0))="n/a","n/a",CG17-INDEX(tab_MinKomp[Systemy MES (HYDRA / SFMS)],MATCH($B17,tab_MinKomp[[Stanowisko / Position ]:[Stanowisko / Position ]],0)))</f>
        <v>n/a</v>
      </c>
      <c r="CH18" s="315" t="str">
        <f>IF(INDEX(tab_MinKomp[HTML / CSS],MATCH($B17,tab_MinKomp[[Stanowisko / Position ]:[Stanowisko / Position ]],0))="n/a","n/a",CH17-INDEX(tab_MinKomp[HTML / CSS],MATCH($B17,tab_MinKomp[[Stanowisko / Position ]:[Stanowisko / Position ]],0)))</f>
        <v>n/a</v>
      </c>
      <c r="CI18" s="315" t="str">
        <f>IF(INDEX(tab_MinKomp[SYSTEM PR],MATCH($B17,tab_MinKomp[[Stanowisko / Position ]:[Stanowisko / Position ]],0))="n/a","n/a",CI17-INDEX(tab_MinKomp[SYSTEM PR],MATCH($B17,tab_MinKomp[[Stanowisko / Position ]:[Stanowisko / Position ]],0)))</f>
        <v>n/a</v>
      </c>
      <c r="CJ18" s="315" t="str">
        <f>IF(INDEX(tab_MinKomp[System Einkauf XP / EBA],MATCH($B17,tab_MinKomp[[Stanowisko / Position ]:[Stanowisko / Position ]],0))="n/a","n/a",CJ17-INDEX(tab_MinKomp[System Einkauf XP / EBA],MATCH($B17,tab_MinKomp[[Stanowisko / Position ]:[Stanowisko / Position ]],0)))</f>
        <v>n/a</v>
      </c>
      <c r="CK18" s="315" t="str">
        <f>IF(INDEX(tab_MinKomp[Techniki negocjacyjne / Verhandlungstechniken],MATCH($B17,tab_MinKomp[[Stanowisko / Position ]:[Stanowisko / Position ]],0))="n/a","n/a",CK17-INDEX(tab_MinKomp[Techniki negocjacyjne / Verhandlungstechniken],MATCH($B17,tab_MinKomp[[Stanowisko / Position ]:[Stanowisko / Position ]],0)))</f>
        <v>n/a</v>
      </c>
      <c r="CL18" s="315" t="str">
        <f>IF(INDEX(tab_MinKomp[Znajomość rynku branżowego / Kenntnis des Industrie Marktes],MATCH($B17,tab_MinKomp[[Stanowisko / Position ]:[Stanowisko / Position ]],0))="n/a","n/a",CL17-INDEX(tab_MinKomp[Znajomość rynku branżowego / Kenntnis des Industrie Marktes],MATCH($B17,tab_MinKomp[[Stanowisko / Position ]:[Stanowisko / Position ]],0)))</f>
        <v>n/a</v>
      </c>
      <c r="CM18" s="315">
        <f>IF(INDEX(tab_MinKomp[RAPORTY 8D / 8D Berichten],MATCH($B17,tab_MinKomp[[Stanowisko / Position ]:[Stanowisko / Position ]],0))="n/a","n/a",CM17-INDEX(tab_MinKomp[RAPORTY 8D / 8D Berichten],MATCH($B17,tab_MinKomp[[Stanowisko / Position ]:[Stanowisko / Position ]],0)))</f>
        <v>0</v>
      </c>
      <c r="CN18" s="315">
        <f>IF(INDEX(tab_MinKomp[NARZĘDZIA JAKOŚCIOWE (5WHY, Ishikawa, etc) / QS-Werkzeuge],MATCH($B17,tab_MinKomp[[Stanowisko / Position ]:[Stanowisko / Position ]],0))="n/a","n/a",CN17-INDEX(tab_MinKomp[NARZĘDZIA JAKOŚCIOWE (5WHY, Ishikawa, etc) / QS-Werkzeuge],MATCH($B17,tab_MinKomp[[Stanowisko / Position ]:[Stanowisko / Position ]],0)))</f>
        <v>0</v>
      </c>
      <c r="CO18" s="315">
        <f>IF(INDEX(tab_MinKomp[PDCA],MATCH($B17,tab_MinKomp[[Stanowisko / Position ]:[Stanowisko / Position ]],0))="n/a","n/a",CO17-INDEX(tab_MinKomp[PDCA],MATCH($B17,tab_MinKomp[[Stanowisko / Position ]:[Stanowisko / Position ]],0)))</f>
        <v>0</v>
      </c>
      <c r="CP18" s="315">
        <f>IF(INDEX(tab_MinKomp[Pareto],MATCH($B17,tab_MinKomp[[Stanowisko / Position ]:[Stanowisko / Position ]],0))="n/a","n/a",CP17-INDEX(tab_MinKomp[Pareto],MATCH($B17,tab_MinKomp[[Stanowisko / Position ]:[Stanowisko / Position ]],0)))</f>
        <v>0</v>
      </c>
      <c r="CQ18" s="315">
        <f>IF(INDEX(tab_MinKomp[PPAP/PSW],MATCH($B17,tab_MinKomp[[Stanowisko / Position ]:[Stanowisko / Position ]],0))="n/a","n/a",CQ17-INDEX(tab_MinKomp[PPAP/PSW],MATCH($B17,tab_MinKomp[[Stanowisko / Position ]:[Stanowisko / Position ]],0)))</f>
        <v>0</v>
      </c>
      <c r="CR18" s="315" t="str">
        <f>IF(INDEX(tab_MinKomp[SUPPLIER MANAGEMENT],MATCH($B17,tab_MinKomp[[Stanowisko / Position ]:[Stanowisko / Position ]],0))="n/a","n/a",CR17-INDEX(tab_MinKomp[SUPPLIER MANAGEMENT],MATCH($B17,tab_MinKomp[[Stanowisko / Position ]:[Stanowisko / Position ]],0)))</f>
        <v>n/a</v>
      </c>
      <c r="CS18" s="315" t="str">
        <f>IF(INDEX(tab_MinKomp[OBSŁUGA PORTALI KLIENTA / Kundenportale],MATCH($B17,tab_MinKomp[[Stanowisko / Position ]:[Stanowisko / Position ]],0))="n/a","n/a",CS17-INDEX(tab_MinKomp[OBSŁUGA PORTALI KLIENTA / Kundenportale],MATCH($B17,tab_MinKomp[[Stanowisko / Position ]:[Stanowisko / Position ]],0)))</f>
        <v>n/a</v>
      </c>
      <c r="CT18" s="315">
        <f>IF(INDEX(tab_MinKomp[Obsługa systemu BABTECQ / BABTECQ System],MATCH($B17,tab_MinKomp[[Stanowisko / Position ]:[Stanowisko / Position ]],0))="n/a","n/a",CT17-INDEX(tab_MinKomp[Obsługa systemu BABTECQ / BABTECQ System],MATCH($B17,tab_MinKomp[[Stanowisko / Position ]:[Stanowisko / Position ]],0)))</f>
        <v>0</v>
      </c>
      <c r="CU18" s="315">
        <f>IF(INDEX(tab_MinKomp[Rysunek techniczny / technische Zeichnung],MATCH($B17,tab_MinKomp[[Stanowisko / Position ]:[Stanowisko / Position ]],0))="n/a","n/a",CU17-INDEX(tab_MinKomp[Rysunek techniczny / technische Zeichnung],MATCH($B17,tab_MinKomp[[Stanowisko / Position ]:[Stanowisko / Position ]],0)))</f>
        <v>0</v>
      </c>
      <c r="CV18" s="315" t="str">
        <f>IF(INDEX(tab_MinKomp[Kalibracja / Kalibrierung],MATCH($B17,tab_MinKomp[[Stanowisko / Position ]:[Stanowisko / Position ]],0))="n/a","n/a",CV17-INDEX(tab_MinKomp[Kalibracja / Kalibrierung],MATCH($B17,tab_MinKomp[[Stanowisko / Position ]:[Stanowisko / Position ]],0)))</f>
        <v>n/a</v>
      </c>
      <c r="CW18" s="315" t="str">
        <f>IF(INDEX(tab_MinKomp[Rekwalifikacja / Requalifizierung],MATCH($B17,tab_MinKomp[[Stanowisko / Position ]:[Stanowisko / Position ]],0))="n/a","n/a",CW17-INDEX(tab_MinKomp[Rekwalifikacja / Requalifizierung],MATCH($B17,tab_MinKomp[[Stanowisko / Position ]:[Stanowisko / Position ]],0)))</f>
        <v>n/a</v>
      </c>
      <c r="CX18" s="315" t="str">
        <f>IF(INDEX(tab_MinKomp[CMM - Contura Zeiss],MATCH($B17,tab_MinKomp[[Stanowisko / Position ]:[Stanowisko / Position ]],0))="n/a","n/a",CX17-INDEX(tab_MinKomp[CMM - Contura Zeiss],MATCH($B17,tab_MinKomp[[Stanowisko / Position ]:[Stanowisko / Position ]],0)))</f>
        <v>n/a</v>
      </c>
      <c r="CY18" s="315" t="str">
        <f>IF(INDEX(tab_MinKomp[CMM - Contura Zeiss],MATCH($B17,tab_MinKomp[[Stanowisko / Position ]:[Stanowisko / Position ]],0))="n/a","n/a",CY17-INDEX(tab_MinKomp[CMM - Contura Zeiss],MATCH($B17,tab_MinKomp[[Stanowisko / Position ]:[Stanowisko / Position ]],0)))</f>
        <v>n/a</v>
      </c>
      <c r="CZ18" s="315" t="str">
        <f>IF(INDEX(tab_MinKomp[CMM - Contura Zeiss],MATCH($B17,tab_MinKomp[[Stanowisko / Position ]:[Stanowisko / Position ]],0))="n/a","n/a",CZ17-INDEX(tab_MinKomp[CMM - Contura Zeiss],MATCH($B17,tab_MinKomp[[Stanowisko / Position ]:[Stanowisko / Position ]],0)))</f>
        <v>n/a</v>
      </c>
      <c r="DA18" s="315" t="str">
        <f>IF(INDEX(tab_MinKomp[CMM - Contura Zeiss],MATCH($B17,tab_MinKomp[[Stanowisko / Position ]:[Stanowisko / Position ]],0))="n/a","n/a",DA17-INDEX(tab_MinKomp[CMM - Contura Zeiss],MATCH($B17,tab_MinKomp[[Stanowisko / Position ]:[Stanowisko / Position ]],0)))</f>
        <v>n/a</v>
      </c>
      <c r="DB18" s="315" t="str">
        <f>IF(INDEX(tab_MinKomp[CMM - Contura Zeiss],MATCH($B17,tab_MinKomp[[Stanowisko / Position ]:[Stanowisko / Position ]],0))="n/a","n/a",DB17-INDEX(tab_MinKomp[CMM - Contura Zeiss],MATCH($B17,tab_MinKomp[[Stanowisko / Position ]:[Stanowisko / Position ]],0)))</f>
        <v>n/a</v>
      </c>
      <c r="DC18" s="315" t="str">
        <f>IF(INDEX(tab_MinKomp[CMM - Contura Zeiss],MATCH($B17,tab_MinKomp[[Stanowisko / Position ]:[Stanowisko / Position ]],0))="n/a","n/a",DC17-INDEX(tab_MinKomp[CMM - Contura Zeiss],MATCH($B17,tab_MinKomp[[Stanowisko / Position ]:[Stanowisko / Position ]],0)))</f>
        <v>n/a</v>
      </c>
      <c r="DD18" s="315" t="str">
        <f>IF(INDEX(tab_MinKomp[Pisanie programów / Programme schreiben],MATCH($B17,tab_MinKomp[[Stanowisko / Position ]:[Stanowisko / Position ]],0))="n/a","n/a",DD17-INDEX(tab_MinKomp[Pisanie programów / Programme schreiben],MATCH($B17,tab_MinKomp[[Stanowisko / Position ]:[Stanowisko / Position ]],0)))</f>
        <v>n/a</v>
      </c>
      <c r="DE18" s="315" t="str">
        <f>IF(INDEX(tab_MinKomp[CMM - Contura Zeiss],MATCH($B17,tab_MinKomp[[Stanowisko / Position ]:[Stanowisko / Position ]],0))="n/a","n/a",DE17-INDEX(tab_MinKomp[CMM - Contura Zeiss],MATCH($B17,tab_MinKomp[[Stanowisko / Position ]:[Stanowisko / Position ]],0)))</f>
        <v>n/a</v>
      </c>
      <c r="DF18" s="315" t="str">
        <f>IF(INDEX(tab_MinKomp[CMM - Contura Zeiss],MATCH($B17,tab_MinKomp[[Stanowisko / Position ]:[Stanowisko / Position ]],0))="n/a","n/a",DF17-INDEX(tab_MinKomp[CMM - Contura Zeiss],MATCH($B17,tab_MinKomp[[Stanowisko / Position ]:[Stanowisko / Position ]],0)))</f>
        <v>n/a</v>
      </c>
      <c r="DG18" s="315" t="str">
        <f>IF(INDEX(tab_MinKomp[CMM - Contura Zeiss],MATCH($B17,tab_MinKomp[[Stanowisko / Position ]:[Stanowisko / Position ]],0))="n/a","n/a",DG17-INDEX(tab_MinKomp[CMM - Contura Zeiss],MATCH($B17,tab_MinKomp[[Stanowisko / Position ]:[Stanowisko / Position ]],0)))</f>
        <v>n/a</v>
      </c>
      <c r="DH18" s="315" t="str">
        <f>IF(INDEX(tab_MinKomp[CMM - Contura Zeiss],MATCH($B17,tab_MinKomp[[Stanowisko / Position ]:[Stanowisko / Position ]],0))="n/a","n/a",DH17-INDEX(tab_MinKomp[CMM - Contura Zeiss],MATCH($B17,tab_MinKomp[[Stanowisko / Position ]:[Stanowisko / Position ]],0)))</f>
        <v>n/a</v>
      </c>
      <c r="DI18" s="315" t="str">
        <f>IF(INDEX(tab_MinKomp[CMM - Contura Zeiss],MATCH($B17,tab_MinKomp[[Stanowisko / Position ]:[Stanowisko / Position ]],0))="n/a","n/a",DI17-INDEX(tab_MinKomp[CMM - Contura Zeiss],MATCH($B17,tab_MinKomp[[Stanowisko / Position ]:[Stanowisko / Position ]],0)))</f>
        <v>n/a</v>
      </c>
      <c r="DJ18" s="315" t="str">
        <f>IF(INDEX(tab_MinKomp[CMM - Contura Zeiss],MATCH($B17,tab_MinKomp[[Stanowisko / Position ]:[Stanowisko / Position ]],0))="n/a","n/a",DJ17-INDEX(tab_MinKomp[CMM - Contura Zeiss],MATCH($B17,tab_MinKomp[[Stanowisko / Position ]:[Stanowisko / Position ]],0)))</f>
        <v>n/a</v>
      </c>
      <c r="DK18" s="315" t="str">
        <f>IF(INDEX(tab_MinKomp[Pisanie programów / Programme schreiben],MATCH($B17,tab_MinKomp[[Stanowisko / Position ]:[Stanowisko / Position ]],0))="n/a","n/a",DK17-INDEX(tab_MinKomp[Pisanie programów / Programme schreiben],MATCH($B17,tab_MinKomp[[Stanowisko / Position ]:[Stanowisko / Position ]],0)))</f>
        <v>n/a</v>
      </c>
      <c r="DL18" s="315" t="str">
        <f>IF(INDEX(tab_MinKomp[CMM - Contura Zeiss],MATCH($B17,tab_MinKomp[[Stanowisko / Position ]:[Stanowisko / Position ]],0))="n/a","n/a",DL17-INDEX(tab_MinKomp[CMM - Contura Zeiss],MATCH($B17,tab_MinKomp[[Stanowisko / Position ]:[Stanowisko / Position ]],0)))</f>
        <v>n/a</v>
      </c>
      <c r="DM18" s="315" t="str">
        <f>IF(INDEX(tab_MinKomp[CMM - Contura Zeiss],MATCH($B17,tab_MinKomp[[Stanowisko / Position ]:[Stanowisko / Position ]],0))="n/a","n/a",DM17-INDEX(tab_MinKomp[CMM - Contura Zeiss],MATCH($B17,tab_MinKomp[[Stanowisko / Position ]:[Stanowisko / Position ]],0)))</f>
        <v>n/a</v>
      </c>
      <c r="DN18" s="315" t="str">
        <f>IF(INDEX(tab_MinKomp[CMM - Contura Zeiss],MATCH($B17,tab_MinKomp[[Stanowisko / Position ]:[Stanowisko / Position ]],0))="n/a","n/a",DN17-INDEX(tab_MinKomp[CMM - Contura Zeiss],MATCH($B17,tab_MinKomp[[Stanowisko / Position ]:[Stanowisko / Position ]],0)))</f>
        <v>n/a</v>
      </c>
      <c r="DO18" s="315" t="str">
        <f>IF(INDEX(tab_MinKomp[CMM - Contura Zeiss],MATCH($B17,tab_MinKomp[[Stanowisko / Position ]:[Stanowisko / Position ]],0))="n/a","n/a",DO17-INDEX(tab_MinKomp[CMM - Contura Zeiss],MATCH($B17,tab_MinKomp[[Stanowisko / Position ]:[Stanowisko / Position ]],0)))</f>
        <v>n/a</v>
      </c>
      <c r="DP18" s="315" t="str">
        <f>IF(INDEX(tab_MinKomp[CMM - Contura Zeiss],MATCH($B17,tab_MinKomp[[Stanowisko / Position ]:[Stanowisko / Position ]],0))="n/a","n/a",DP17-INDEX(tab_MinKomp[CMM - Contura Zeiss],MATCH($B17,tab_MinKomp[[Stanowisko / Position ]:[Stanowisko / Position ]],0)))</f>
        <v>n/a</v>
      </c>
      <c r="DQ18" s="315" t="str">
        <f>IF(INDEX(tab_MinKomp[CMM - Contura Zeiss],MATCH($B17,tab_MinKomp[[Stanowisko / Position ]:[Stanowisko / Position ]],0))="n/a","n/a",DQ17-INDEX(tab_MinKomp[CMM - Contura Zeiss],MATCH($B17,tab_MinKomp[[Stanowisko / Position ]:[Stanowisko / Position ]],0)))</f>
        <v>n/a</v>
      </c>
      <c r="DR18" s="315" t="str">
        <f>IF(INDEX(tab_MinKomp[Pisanie programów / Programme schreiben],MATCH($B17,tab_MinKomp[[Stanowisko / Position ]:[Stanowisko / Position ]],0))="n/a","n/a",DR17-INDEX(tab_MinKomp[Pisanie programów / Programme schreiben],MATCH($B17,tab_MinKomp[[Stanowisko / Position ]:[Stanowisko / Position ]],0)))</f>
        <v>n/a</v>
      </c>
      <c r="DS18" s="315" t="str">
        <f>IF(INDEX(tab_MinKomp[CMM - Contura Zeiss],MATCH($B17,tab_MinKomp[[Stanowisko / Position ]:[Stanowisko / Position ]],0))="n/a","n/a",DS17-INDEX(tab_MinKomp[CMM - Contura Zeiss],MATCH($B17,tab_MinKomp[[Stanowisko / Position ]:[Stanowisko / Position ]],0)))</f>
        <v>n/a</v>
      </c>
      <c r="DT18" s="315" t="str">
        <f>IF(INDEX(tab_MinKomp[CMM - Contura Zeiss],MATCH($B17,tab_MinKomp[[Stanowisko / Position ]:[Stanowisko / Position ]],0))="n/a","n/a",DT17-INDEX(tab_MinKomp[CMM - Contura Zeiss],MATCH($B17,tab_MinKomp[[Stanowisko / Position ]:[Stanowisko / Position ]],0)))</f>
        <v>n/a</v>
      </c>
      <c r="DU18" s="315" t="str">
        <f>IF(INDEX(tab_MinKomp[CMM - Contura Zeiss],MATCH($B17,tab_MinKomp[[Stanowisko / Position ]:[Stanowisko / Position ]],0))="n/a","n/a",DU17-INDEX(tab_MinKomp[CMM - Contura Zeiss],MATCH($B17,tab_MinKomp[[Stanowisko / Position ]:[Stanowisko / Position ]],0)))</f>
        <v>n/a</v>
      </c>
      <c r="DV18" s="315" t="str">
        <f>IF(INDEX(tab_MinKomp[CMM - Contura Zeiss],MATCH($B17,tab_MinKomp[[Stanowisko / Position ]:[Stanowisko / Position ]],0))="n/a","n/a",DV17-INDEX(tab_MinKomp[CMM - Contura Zeiss],MATCH($B17,tab_MinKomp[[Stanowisko / Position ]:[Stanowisko / Position ]],0)))</f>
        <v>n/a</v>
      </c>
      <c r="DW18" s="315" t="str">
        <f>IF(INDEX(tab_MinKomp[CMM - Contura Zeiss],MATCH($B17,tab_MinKomp[[Stanowisko / Position ]:[Stanowisko / Position ]],0))="n/a","n/a",DW17-INDEX(tab_MinKomp[CMM - Contura Zeiss],MATCH($B17,tab_MinKomp[[Stanowisko / Position ]:[Stanowisko / Position ]],0)))</f>
        <v>n/a</v>
      </c>
      <c r="DX18" s="315" t="str">
        <f>IF(INDEX(tab_MinKomp[CMM - Contura Zeiss],MATCH($B17,tab_MinKomp[[Stanowisko / Position ]:[Stanowisko / Position ]],0))="n/a","n/a",DX17-INDEX(tab_MinKomp[CMM - Contura Zeiss],MATCH($B17,tab_MinKomp[[Stanowisko / Position ]:[Stanowisko / Position ]],0)))</f>
        <v>n/a</v>
      </c>
      <c r="DY18" s="315" t="str">
        <f>IF(INDEX(tab_MinKomp[Konserwacja Rep],MATCH($B17,tab_MinKomp[[Stanowisko / Position ]:[Stanowisko / Position ]],0))="n/a","n/a",DY17-INDEX(tab_MinKomp[Konserwacja Rep],MATCH($B17,tab_MinKomp[[Stanowisko / Position ]:[Stanowisko / Position ]],0)))</f>
        <v>n/a</v>
      </c>
      <c r="DZ18" s="315" t="str">
        <f>IF(INDEX(tab_MinKomp[[Konserwacja Engel ]],MATCH($B17,tab_MinKomp[[Stanowisko / Position ]:[Stanowisko / Position ]],0))="n/a","n/a",DZ17-INDEX(tab_MinKomp[[Konserwacja Engel ]],MATCH($B17,tab_MinKomp[[Stanowisko / Position ]:[Stanowisko / Position ]],0)))</f>
        <v>n/a</v>
      </c>
      <c r="EA18" s="315" t="str">
        <f>IF(INDEX(tab_MinKomp[Konserwacja B 50],MATCH($B17,tab_MinKomp[[Stanowisko / Position ]:[Stanowisko / Position ]],0))="n/a","n/a",EA17-INDEX(tab_MinKomp[Konserwacja B 50],MATCH($B17,tab_MinKomp[[Stanowisko / Position ]:[Stanowisko / Position ]],0)))</f>
        <v>n/a</v>
      </c>
      <c r="EB18" s="315" t="str">
        <f>IF(INDEX(tab_MinKomp[[Konserwacja EOL ]],MATCH($B17,tab_MinKomp[[Stanowisko / Position ]:[Stanowisko / Position ]],0))="n/a","n/a",EB17-INDEX(tab_MinKomp[[Konserwacja EOL ]],MATCH($B17,tab_MinKomp[[Stanowisko / Position ]:[Stanowisko / Position ]],0)))</f>
        <v>n/a</v>
      </c>
      <c r="EC18" s="315" t="str">
        <f>IF(INDEX(tab_MinKomp[Konserwacja Branson],MATCH($B17,tab_MinKomp[[Stanowisko / Position ]:[Stanowisko / Position ]],0))="n/a","n/a",EC17-INDEX(tab_MinKomp[Konserwacja Branson],MATCH($B17,tab_MinKomp[[Stanowisko / Position ]:[Stanowisko / Position ]],0)))</f>
        <v>n/a</v>
      </c>
      <c r="ED18" s="315" t="str">
        <f>IF(INDEX(tab_MinKomp[Konserwacja coolery],MATCH($B17,tab_MinKomp[[Stanowisko / Position ]:[Stanowisko / Position ]],0))="n/a","n/a",ED17-INDEX(tab_MinKomp[Konserwacja coolery],MATCH($B17,tab_MinKomp[[Stanowisko / Position ]:[Stanowisko / Position ]],0)))</f>
        <v>n/a</v>
      </c>
      <c r="EE18" s="315" t="str">
        <f>IF(INDEX(tab_MinKomp[Konserwacja piecy],MATCH($B17,tab_MinKomp[[Stanowisko / Position ]:[Stanowisko / Position ]],0))="n/a","n/a",EE17-INDEX(tab_MinKomp[Konserwacja piecy],MATCH($B17,tab_MinKomp[[Stanowisko / Position ]:[Stanowisko / Position ]],0)))</f>
        <v>n/a</v>
      </c>
      <c r="EF18" s="315" t="str">
        <f>IF(INDEX(tab_MinKomp[Rysunek techniczny- czytanie],MATCH($B17,tab_MinKomp[[Stanowisko / Position ]:[Stanowisko / Position ]],0))="n/a","n/a",EF17-INDEX(tab_MinKomp[Rysunek techniczny- czytanie],MATCH($B17,tab_MinKomp[[Stanowisko / Position ]:[Stanowisko / Position ]],0)))</f>
        <v>n/a</v>
      </c>
      <c r="EG18" s="315" t="str">
        <f>IF(INDEX(tab_MinKomp[Elektryka],MATCH($B17,tab_MinKomp[[Stanowisko / Position ]:[Stanowisko / Position ]],0))="n/a","n/a",EG17-INDEX(tab_MinKomp[Elektryka],MATCH($B17,tab_MinKomp[[Stanowisko / Position ]:[Stanowisko / Position ]],0)))</f>
        <v>n/a</v>
      </c>
      <c r="EH18" s="315" t="str">
        <f>IF(INDEX(tab_MinKomp[Pneumatyka],MATCH($B17,tab_MinKomp[[Stanowisko / Position ]:[Stanowisko / Position ]],0))="n/a","n/a",EH17-INDEX(tab_MinKomp[Pneumatyka],MATCH($B17,tab_MinKomp[[Stanowisko / Position ]:[Stanowisko / Position ]],0)))</f>
        <v>n/a</v>
      </c>
      <c r="EI18" s="315" t="str">
        <f>IF(INDEX(tab_MinKomp[[Hydraulika ]],MATCH($B17,tab_MinKomp[[Stanowisko / Position ]:[Stanowisko / Position ]],0))="n/a","n/a",EI17-INDEX(tab_MinKomp[[Hydraulika ]],MATCH($B17,tab_MinKomp[[Stanowisko / Position ]:[Stanowisko / Position ]],0)))</f>
        <v>n/a</v>
      </c>
      <c r="EJ18" s="315" t="str">
        <f>IF(INDEX(tab_MinKomp[Podciśnienie],MATCH($B17,tab_MinKomp[[Stanowisko / Position ]:[Stanowisko / Position ]],0))="n/a","n/a",EJ17-INDEX(tab_MinKomp[Podciśnienie],MATCH($B17,tab_MinKomp[[Stanowisko / Position ]:[Stanowisko / Position ]],0)))</f>
        <v>n/a</v>
      </c>
      <c r="EK18" s="315" t="str">
        <f>IF(INDEX(tab_MinKomp[Usuwanie awarii],MATCH($B17,tab_MinKomp[[Stanowisko / Position ]:[Stanowisko / Position ]],0))="n/a","n/a",EK17-INDEX(tab_MinKomp[Usuwanie awarii],MATCH($B17,tab_MinKomp[[Stanowisko / Position ]:[Stanowisko / Position ]],0)))</f>
        <v>n/a</v>
      </c>
      <c r="EL18" s="315" t="str">
        <f>IF(INDEX(tab_MinKomp[Obsługa robotów],MATCH($B17,tab_MinKomp[[Stanowisko / Position ]:[Stanowisko / Position ]],0))="n/a","n/a",EL17-INDEX(tab_MinKomp[Obsługa robotów],MATCH($B17,tab_MinKomp[[Stanowisko / Position ]:[Stanowisko / Position ]],0)))</f>
        <v>n/a</v>
      </c>
      <c r="EM18" s="315" t="str">
        <f>IF(INDEX(tab_MinKomp[Obsługa sterowania maszyny],MATCH($B17,tab_MinKomp[[Stanowisko / Position ]:[Stanowisko / Position ]],0))="n/a","n/a",EM17-INDEX(tab_MinKomp[Obsługa sterowania maszyny],MATCH($B17,tab_MinKomp[[Stanowisko / Position ]:[Stanowisko / Position ]],0)))</f>
        <v>n/a</v>
      </c>
      <c r="EN18" s="315" t="str">
        <f>IF(INDEX(tab_MinKomp[Usuwanie przyczyn żródłowych],MATCH($B17,tab_MinKomp[[Stanowisko / Position ]:[Stanowisko / Position ]],0))="n/a","n/a",EN17-INDEX(tab_MinKomp[Usuwanie przyczyn żródłowych],MATCH($B17,tab_MinKomp[[Stanowisko / Position ]:[Stanowisko / Position ]],0)))</f>
        <v>n/a</v>
      </c>
      <c r="EO18" s="315" t="str">
        <f>IF(INDEX(tab_MinKomp[Cmms stosowanie],MATCH($B17,tab_MinKomp[[Stanowisko / Position ]:[Stanowisko / Position ]],0))="n/a","n/a",EO17-INDEX(tab_MinKomp[Cmms stosowanie],MATCH($B17,tab_MinKomp[[Stanowisko / Position ]:[Stanowisko / Position ]],0)))</f>
        <v>n/a</v>
      </c>
      <c r="EP18" s="315" t="str">
        <f>IF(INDEX(tab_MinKomp[[Czyszczenie form gumowych ]],MATCH($B17,tab_MinKomp[[Stanowisko / Position ]:[Stanowisko / Position ]],0))="n/a","n/a",EP17-INDEX(tab_MinKomp[[Czyszczenie form gumowych ]],MATCH($B17,tab_MinKomp[[Stanowisko / Position ]:[Stanowisko / Position ]],0)))</f>
        <v>n/a</v>
      </c>
      <c r="EQ18" s="315" t="str">
        <f>IF(INDEX(tab_MinKomp[Czyszczenie form plastikowych],MATCH($B17,tab_MinKomp[[Stanowisko / Position ]:[Stanowisko / Position ]],0))="n/a","n/a",EQ17-INDEX(tab_MinKomp[Czyszczenie form plastikowych],MATCH($B17,tab_MinKomp[[Stanowisko / Position ]:[Stanowisko / Position ]],0)))</f>
        <v>n/a</v>
      </c>
      <c r="ER18" s="315" t="str">
        <f>IF(INDEX(tab_MinKomp[Wymiana form plastik],MATCH($B17,tab_MinKomp[[Stanowisko / Position ]:[Stanowisko / Position ]],0))="n/a","n/a",ER17-INDEX(tab_MinKomp[Wymiana form plastik],MATCH($B17,tab_MinKomp[[Stanowisko / Position ]:[Stanowisko / Position ]],0)))</f>
        <v>n/a</v>
      </c>
      <c r="ES18" s="315" t="str">
        <f>IF(INDEX(tab_MinKomp[Wymiana form guma],MATCH($B17,tab_MinKomp[[Stanowisko / Position ]:[Stanowisko / Position ]],0))="n/a","n/a",ES17-INDEX(tab_MinKomp[Wymiana form guma],MATCH($B17,tab_MinKomp[[Stanowisko / Position ]:[Stanowisko / Position ]],0)))</f>
        <v>n/a</v>
      </c>
      <c r="ET18" s="315" t="str">
        <f>IF(INDEX(tab_MinKomp[Konserwacja KK],MATCH($B17,tab_MinKomp[[Stanowisko / Position ]:[Stanowisko / Position ]],0))="n/a","n/a",ET17-INDEX(tab_MinKomp[Konserwacja KK],MATCH($B17,tab_MinKomp[[Stanowisko / Position ]:[Stanowisko / Position ]],0)))</f>
        <v>n/a</v>
      </c>
      <c r="EU18" s="315" t="str">
        <f>IF(INDEX(tab_MinKomp[Konserwacja form guma],MATCH($B17,tab_MinKomp[[Stanowisko / Position ]:[Stanowisko / Position ]],0))="n/a","n/a",EU17-INDEX(tab_MinKomp[Konserwacja form guma],MATCH($B17,tab_MinKomp[[Stanowisko / Position ]:[Stanowisko / Position ]],0)))</f>
        <v>n/a</v>
      </c>
      <c r="EV18" s="315" t="str">
        <f>IF(INDEX(tab_MinKomp[Konserwacja form plastiki],MATCH($B17,tab_MinKomp[[Stanowisko / Position ]:[Stanowisko / Position ]],0))="n/a","n/a",EV17-INDEX(tab_MinKomp[Konserwacja form plastiki],MATCH($B17,tab_MinKomp[[Stanowisko / Position ]:[Stanowisko / Position ]],0)))</f>
        <v>n/a</v>
      </c>
      <c r="EW18" s="330" t="str">
        <f>IF(INDEX(tab_MinKomp[Konserwacja form plastiki],MATCH($B17,tab_MinKomp[[Stanowisko / Position ]:[Stanowisko / Position ]],0))="n/a","n/a",EW17-INDEX(tab_MinKomp[Konserwacja form plastiki],MATCH($B17,tab_MinKomp[[Stanowisko / Position ]:[Stanowisko / Position ]],0)))</f>
        <v>n/a</v>
      </c>
      <c r="EX18" s="315" t="str">
        <f>IF(INDEX(tab_MinKomp[Konserwacja Gorącego Kanału],MATCH($B17,tab_MinKomp[[Stanowisko / Position ]:[Stanowisko / Position ]],0))="n/a","n/a",EX17-INDEX(tab_MinKomp[Konserwacja Gorącego Kanału],MATCH($B17,tab_MinKomp[[Stanowisko / Position ]:[Stanowisko / Position ]],0)))</f>
        <v>n/a</v>
      </c>
      <c r="EY18" s="315">
        <f>IF(INDEX(tab_MinKomp[MS Office (Excel)],MATCH($B17,tab_MinKomp[[Stanowisko / Position ]:[Stanowisko / Position ]],0))="n/a","n/a",EY17-INDEX(tab_MinKomp[MS Office (Excel)],MATCH($B17,tab_MinKomp[[Stanowisko / Position ]:[Stanowisko / Position ]],0)))</f>
        <v>0</v>
      </c>
      <c r="EZ18" s="315">
        <f>IF(INDEX(tab_MinKomp[MS Office (Word)],MATCH($B17,tab_MinKomp[[Stanowisko / Position ]:[Stanowisko / Position ]],0))="n/a","n/a",EZ17-INDEX(tab_MinKomp[MS Office (Word)],MATCH($B17,tab_MinKomp[[Stanowisko / Position ]:[Stanowisko / Position ]],0)))</f>
        <v>0</v>
      </c>
      <c r="FA18" s="315">
        <f>IF(INDEX(tab_MinKomp[MS Office (Power Point)],MATCH($B17,tab_MinKomp[[Stanowisko / Position ]:[Stanowisko / Position ]],0))="n/a","n/a",FA17-INDEX(tab_MinKomp[MS Office (Power Point)],MATCH($B17,tab_MinKomp[[Stanowisko / Position ]:[Stanowisko / Position ]],0)))</f>
        <v>1</v>
      </c>
      <c r="FB18" s="315" t="str">
        <f>IF(INDEX(tab_MinKomp[Język angielski / Englisch],MATCH($B17,tab_MinKomp[[Stanowisko / Position ]:[Stanowisko / Position ]],0))="n/a","n/a",FB17-INDEX(tab_MinKomp[Język angielski / Englisch],MATCH($B17,tab_MinKomp[[Stanowisko / Position ]:[Stanowisko / Position ]],0)))</f>
        <v>n/a</v>
      </c>
      <c r="FC18" s="315" t="str">
        <f>IF(INDEX(tab_MinKomp[Język niemiecki / Deutsch],MATCH($B17,tab_MinKomp[[Stanowisko / Position ]:[Stanowisko / Position ]],0))="n/a","n/a",FC17-INDEX(tab_MinKomp[Język niemiecki / Deutsch],MATCH($B17,tab_MinKomp[[Stanowisko / Position ]:[Stanowisko / Position ]],0)))</f>
        <v>n/a</v>
      </c>
      <c r="FD18" s="315">
        <f>IF(INDEX(tab_MinKomp[Zarządzanie dokumentacją procesową / Process dokumentation management],MATCH($B17,tab_MinKomp[[Stanowisko / Position ]:[Stanowisko / Position ]],0))="n/a","n/a",FD17-INDEX(tab_MinKomp[Zarządzanie dokumentacją procesową / Process dokumentation management],MATCH($B17,tab_MinKomp[[Stanowisko / Position ]:[Stanowisko / Position ]],0)))</f>
        <v>0</v>
      </c>
      <c r="FE18" s="315">
        <f>IF(INDEX(tab_MinKomp[Znajomość procesów z obszaru / Kenntiss der prozesse in dem Bereich],MATCH($B17,tab_MinKomp[[Stanowisko / Position ]:[Stanowisko / Position ]],0))="n/a","n/a",FE17-INDEX(tab_MinKomp[Znajomość procesów z obszaru / Kenntiss der prozesse in dem Bereich],MATCH($B17,tab_MinKomp[[Stanowisko / Position ]:[Stanowisko / Position ]],0)))</f>
        <v>0</v>
      </c>
      <c r="FF18" s="315" t="str">
        <f>IF(INDEX(tab_MinKomp[optymalizacja procesów / Prozessoptymalisierung],MATCH($B17,tab_MinKomp[[Stanowisko / Position ]:[Stanowisko / Position ]],0))="n/a","n/a",FF17-INDEX(tab_MinKomp[optymalizacja procesów / Prozessoptymalisierung],MATCH($B17,tab_MinKomp[[Stanowisko / Position ]:[Stanowisko / Position ]],0)))</f>
        <v>n/a</v>
      </c>
      <c r="FG18" s="315">
        <f>IF(INDEX(tab_MinKomp[Umiejętności szkoleniowe / Trainingsfähigkeiten],MATCH($B17,tab_MinKomp[[Stanowisko / Position ]:[Stanowisko / Position ]],0))="n/a","n/a",FG17-INDEX(tab_MinKomp[Umiejętności szkoleniowe / Trainingsfähigkeiten],MATCH($B17,tab_MinKomp[[Stanowisko / Position ]:[Stanowisko / Position ]],0)))</f>
        <v>0</v>
      </c>
      <c r="FH18" s="315">
        <f>IF(INDEX(tab_MinKomp[Analityczne myślenie, podejście / Analitysches Denken, Einstellung],MATCH($B17,tab_MinKomp[[Stanowisko / Position ]:[Stanowisko / Position ]],0))="n/a","n/a",FH17-INDEX(tab_MinKomp[Analityczne myślenie, podejście / Analitysches Denken, Einstellung],MATCH($B17,tab_MinKomp[[Stanowisko / Position ]:[Stanowisko / Position ]],0)))</f>
        <v>0</v>
      </c>
      <c r="FI18" s="315">
        <f>IF(INDEX(tab_MinKomp[Dokładność, precyzja w dzialaniu / Genauigkeit, Präzision in die Arbeit],MATCH($B17,tab_MinKomp[[Stanowisko / Position ]:[Stanowisko / Position ]],0))="n/a","n/a",FI17-INDEX(tab_MinKomp[Dokładność, precyzja w dzialaniu / Genauigkeit, Präzision in die Arbeit],MATCH($B17,tab_MinKomp[[Stanowisko / Position ]:[Stanowisko / Position ]],0)))</f>
        <v>0</v>
      </c>
      <c r="FJ18" s="315">
        <f>IF(INDEX(tab_MinKomp[Dyspozycyjność / Verfügbarkeit],MATCH($B17,tab_MinKomp[[Stanowisko / Position ]:[Stanowisko / Position ]],0))="n/a","n/a",FJ17-INDEX(tab_MinKomp[Dyspozycyjność / Verfügbarkeit],MATCH($B17,tab_MinKomp[[Stanowisko / Position ]:[Stanowisko / Position ]],0)))</f>
        <v>1</v>
      </c>
      <c r="FK18" s="315">
        <f>IF(INDEX(tab_MinKomp[Zaangażowanie / 
Engagement],MATCH($B17,tab_MinKomp[[Stanowisko / Position ]:[Stanowisko / Position ]],0))="n/a","n/a",FK17-INDEX(tab_MinKomp[Zaangażowanie / 
Engagement],MATCH($B17,tab_MinKomp[[Stanowisko / Position ]:[Stanowisko / Position ]],0)))</f>
        <v>1</v>
      </c>
      <c r="FL18" s="315" t="str">
        <f>IF(INDEX(tab_MinKomp[Planowanie strategiczne / Strategische Planung],MATCH($B17,tab_MinKomp[[Stanowisko / Position ]:[Stanowisko / Position ]],0))="n/a","n/a",FL17-INDEX(tab_MinKomp[Planowanie strategiczne / Strategische Planung],MATCH($B17,tab_MinKomp[[Stanowisko / Position ]:[Stanowisko / Position ]],0)))</f>
        <v>n/a</v>
      </c>
      <c r="FM18" s="315" t="str">
        <f>IF(INDEX(tab_MinKomp[Konsekwentne i dynamiczne działanie],MATCH($B17,tab_MinKomp[[Stanowisko / Position ]:[Stanowisko / Position ]],0))="n/a","n/a",FM17-INDEX(tab_MinKomp[Konsekwentne i dynamiczne działanie],MATCH($B17,tab_MinKomp[[Stanowisko / Position ]:[Stanowisko / Position ]],0)))</f>
        <v>n/a</v>
      </c>
      <c r="FN18" s="315" t="str">
        <f>IF(INDEX(tab_MinKomp[Elastyczność w działaniu],MATCH($B17,tab_MinKomp[[Stanowisko / Position ]:[Stanowisko / Position ]],0))="n/a","n/a",FN17-INDEX(tab_MinKomp[Elastyczność w działaniu],MATCH($B17,tab_MinKomp[[Stanowisko / Position ]:[Stanowisko / Position ]],0)))</f>
        <v>n/a</v>
      </c>
      <c r="FO18" s="315">
        <f>IF(INDEX(tab_MinKomp[Komunikatywność],MATCH($B17,tab_MinKomp[[Stanowisko / Position ]:[Stanowisko / Position ]],0))="n/a","n/a",FO17-INDEX(tab_MinKomp[Komunikatywność],MATCH($B17,tab_MinKomp[[Stanowisko / Position ]:[Stanowisko / Position ]],0)))</f>
        <v>0</v>
      </c>
      <c r="FP18" s="314" t="str">
        <f>IF(INDEX(tab_MinKomp[Motywowanie i budowanie zaangażowania zespołu],MATCH($B17,tab_MinKomp[[Stanowisko / Position ]:[Stanowisko / Position ]],0))="n/a","n/a",FP17-INDEX(tab_MinKomp[Motywowanie i budowanie zaangażowania zespołu],MATCH($B17,tab_MinKomp[[Stanowisko / Position ]:[Stanowisko / Position ]],0)))</f>
        <v>n/a</v>
      </c>
      <c r="FQ18" s="318" t="str">
        <f>IFERROR(IF(INDEX(tab_MinKomp[BRAK / Keine],MATCH($B17,tab_MinKomp[[Stanowisko / Position ]:[Stanowisko / Position ]],0))="n/a","n/a",INDEX(tab_MinKomp[BRAK / Keine],MATCH($B17,tab_MinKomp[[Stanowisko / Position ]:[Stanowisko / Position ]],0))-FQ17),"")</f>
        <v>n/a</v>
      </c>
      <c r="FR18" s="315" t="str">
        <f>IF(INDEX(tab_MinKomp[MINIMUM 1 ROK / min. 1 Jahr],MATCH($B17,tab_MinKomp[[Stanowisko / Position ]:[Stanowisko / Position ]],0))="n/a","n/a",INDEX(tab_MinKomp[MINIMUM 1 ROK / min. 1 Jahr],MATCH($B17,tab_MinKomp[[Stanowisko / Position ]:[Stanowisko / Position ]],0)))</f>
        <v>X</v>
      </c>
      <c r="FS18" s="315" t="str">
        <f>IF(INDEX(tab_MinKomp[MINIMUM 2 LATA / min. 2 Jahre],MATCH($B17,tab_MinKomp[[Stanowisko / Position ]:[Stanowisko / Position ]],0))="n/a","n/a",INDEX(tab_MinKomp[MINIMUM 2 LATA / min. 2 Jahre],MATCH($B17,tab_MinKomp[[Stanowisko / Position ]:[Stanowisko / Position ]],0)))</f>
        <v>n/a</v>
      </c>
      <c r="FT18" s="315" t="str">
        <f>IF(INDEX(tab_MinKomp[MINIMUM 3 LATA / min. 3 Jahre],MATCH($B17,tab_MinKomp[[Stanowisko / Position ]:[Stanowisko / Position ]],0))="n/a","n/a",INDEX(tab_MinKomp[MINIMUM 3 LATA / min. 3 Jahre],MATCH($B17,tab_MinKomp[[Stanowisko / Position ]:[Stanowisko / Position ]],0)))</f>
        <v>n/a</v>
      </c>
      <c r="FU18" s="315" t="str">
        <f>IF(INDEX(tab_MinKomp[MINIMUM 4 LATA / min. 4 Jahre],MATCH($B17,tab_MinKomp[[Stanowisko / Position ]:[Stanowisko / Position ]],0))="n/a","n/a",INDEX(tab_MinKomp[MINIMUM 4 LATA / min. 4 Jahre],MATCH($B17,tab_MinKomp[[Stanowisko / Position ]:[Stanowisko / Position ]],0)))</f>
        <v>n/a</v>
      </c>
      <c r="FV18" s="319" t="str">
        <f>IF(INDEX(tab_MinKomp[MINIMUM 5 LAT / min. 5 Jahre],MATCH($B17,tab_MinKomp[[Stanowisko / Position ]:[Stanowisko / Position ]],0))="n/a","n/a",INDEX(tab_MinKomp[MINIMUM 5 LAT / min. 5 Jahre],MATCH($B17,tab_MinKomp[[Stanowisko / Position ]:[Stanowisko / Position ]],0)))</f>
        <v>n/a</v>
      </c>
      <c r="FW18" s="318" t="str">
        <f>IF(INDEX(tab_MinKomp[BRAK / Keine9],MATCH($B17,tab_MinKomp[[Stanowisko / Position ]:[Stanowisko / Position ]],0))="n/a","n/a",INDEX(tab_MinKomp[BRAK / Keine9],MATCH($B17,tab_MinKomp[[Stanowisko / Position ]:[Stanowisko / Position ]],0)))</f>
        <v>n/a</v>
      </c>
      <c r="FX18" s="315" t="str">
        <f>IF(INDEX(tab_MinKomp[ZAWODOWE / Berufsausbildung],MATCH($B17,tab_MinKomp[[Stanowisko / Position ]:[Stanowisko / Position ]],0))="n/a","n/a",INDEX(tab_MinKomp[ZAWODOWE / Berufsausbildung],MATCH($B17,tab_MinKomp[[Stanowisko / Position ]:[Stanowisko / Position ]],0)))</f>
        <v>X</v>
      </c>
      <c r="FY18" s="315" t="str">
        <f>IF(INDEX(tab_MinKomp[ŚREDNIE OGÓLNE / Abitur allgemeine],MATCH($B17,tab_MinKomp[[Stanowisko / Position ]:[Stanowisko / Position ]],0))="n/a","n/a",INDEX(tab_MinKomp[ŚREDNIE OGÓLNE / Abitur allgemeine],MATCH($B17,tab_MinKomp[[Stanowisko / Position ]:[Stanowisko / Position ]],0)))</f>
        <v>n/a</v>
      </c>
      <c r="FZ18" s="315" t="str">
        <f>IF(INDEX(tab_MinKomp[ŚREDNIE KIERUNKOWE / berufliches Gymnasium],MATCH($B17,tab_MinKomp[[Stanowisko / Position ]:[Stanowisko / Position ]],0))="n/a","n/a",INDEX(tab_MinKomp[ŚREDNIE KIERUNKOWE / berufliches Gymnasium],MATCH($B17,tab_MinKomp[[Stanowisko / Position ]:[Stanowisko / Position ]],0)))</f>
        <v>n/a</v>
      </c>
      <c r="GA18" s="315" t="str">
        <f>IF(INDEX(tab_MinKomp[WYŻSZE OGÓLNE / Hochschule allgemeine],MATCH($B17,tab_MinKomp[[Stanowisko / Position ]:[Stanowisko / Position ]],0))="n/a","n/a",INDEX(tab_MinKomp[WYŻSZE OGÓLNE / Hochschule allgemeine],MATCH($B17,tab_MinKomp[[Stanowisko / Position ]:[Stanowisko / Position ]],0)))</f>
        <v>n/a</v>
      </c>
      <c r="GB18" s="319" t="str">
        <f>IF(INDEX(tab_MinKomp[WYŻSZE KIERUNKOWE / Hochschule berufliche],MATCH($B17,tab_MinKomp[[Stanowisko / Position ]:[Stanowisko / Position ]],0))="n/a","n/a",INDEX(tab_MinKomp[WYŻSZE KIERUNKOWE / Hochschule berufliche],MATCH($B17,tab_MinKomp[[Stanowisko / Position ]:[Stanowisko / Position ]],0)))</f>
        <v>n/a</v>
      </c>
      <c r="GC18" s="318" t="str">
        <f>IF(INDEX(tab_MinKomp[PIERWSZA POMOC / Erste Hilfe],MATCH($B17,tab_MinKomp[[Stanowisko / Position ]:[Stanowisko / Position ]],0))="n/a","n/a",INDEX(tab_MinKomp[PIERWSZA POMOC / Erste Hilfe],MATCH($B17,tab_MinKomp[[Stanowisko / Position ]:[Stanowisko / Position ]],0)))</f>
        <v>n/a</v>
      </c>
      <c r="GD18" s="315" t="str">
        <f>IF(INDEX(tab_MinKomp[Specjalista BHP / BHP Spezialist],MATCH($B17,tab_MinKomp[[Stanowisko / Position ]:[Stanowisko / Position ]],0))="n/a","n/a",INDEX(tab_MinKomp[Specjalista BHP / BHP Spezialist],MATCH($B17,tab_MinKomp[[Stanowisko / Position ]:[Stanowisko / Position ]],0)))</f>
        <v>n/a</v>
      </c>
      <c r="GE18" s="315" t="str">
        <f>IF(INDEX(tab_MinKomp[Inspektor ochrony PPOŻ / Brandschutzinspektor],MATCH($B17,tab_MinKomp[[Stanowisko / Position ]:[Stanowisko / Position ]],0))="n/a","n/a",INDEX(tab_MinKomp[Inspektor ochrony PPOŻ / Brandschutzinspektor],MATCH($B17,tab_MinKomp[[Stanowisko / Position ]:[Stanowisko / Position ]],0)))</f>
        <v>n/a</v>
      </c>
      <c r="GF18" s="315" t="str">
        <f>IF(INDEX(tab_MinKomp[WÓZKI JEZDNIOWE / Gebelstapler],MATCH($B17,tab_MinKomp[[Stanowisko / Position ]:[Stanowisko / Position ]],0))="n/a","n/a",INDEX(tab_MinKomp[WÓZKI JEZDNIOWE / Gebelstapler],MATCH($B17,tab_MinKomp[[Stanowisko / Position ]:[Stanowisko / Position ]],0)))</f>
        <v>n/a</v>
      </c>
      <c r="GG18" s="315" t="str">
        <f>IF(INDEX(tab_MinKomp[SEP],MATCH($B17,tab_MinKomp[[Stanowisko / Position ]:[Stanowisko / Position ]],0))="n/a","n/a",INDEX(tab_MinKomp[SEP],MATCH($B17,tab_MinKomp[[Stanowisko / Position ]:[Stanowisko / Position ]],0)))</f>
        <v>n/a</v>
      </c>
      <c r="GH18" s="315" t="str">
        <f>IF(INDEX(tab_MinKomp[SEP  DOZÓR / SEP Aufsicht],MATCH($B17,tab_MinKomp[[Stanowisko / Position ]:[Stanowisko / Position ]],0))="n/a","n/a",INDEX(tab_MinKomp[SEP  DOZÓR / SEP Aufsicht],MATCH($B17,tab_MinKomp[[Stanowisko / Position ]:[Stanowisko / Position ]],0)))</f>
        <v>n/a</v>
      </c>
      <c r="GI18" s="315" t="str">
        <f>IF(INDEX(tab_MinKomp[PODNOŚNIKI / Hebevorrichtung],MATCH($B17,tab_MinKomp[[Stanowisko / Position ]:[Stanowisko / Position ]],0))="n/a","n/a",INDEX(tab_MinKomp[PODNOŚNIKI / Hebevorrichtung],MATCH($B17,tab_MinKomp[[Stanowisko / Position ]:[Stanowisko / Position ]],0)))</f>
        <v>n/a</v>
      </c>
      <c r="GJ18" s="315" t="str">
        <f>IF(INDEX(tab_MinKomp[SUWNICE / Laufkran],MATCH($B17,tab_MinKomp[[Stanowisko / Position ]:[Stanowisko / Position ]],0))="n/a","n/a",INDEX(tab_MinKomp[SUWNICE / Laufkran],MATCH($B17,tab_MinKomp[[Stanowisko / Position ]:[Stanowisko / Position ]],0)))</f>
        <v>n/a</v>
      </c>
      <c r="GK18" s="319" t="str">
        <f>IF(INDEX(tab_MinKomp[WYSOKOŚCIOWE / Höhenberechtigungen],MATCH($B17,tab_MinKomp[[Stanowisko / Position ]:[Stanowisko / Position ]],0))="n/a","n/a",INDEX(tab_MinKomp[WYSOKOŚCIOWE / Höhenberechtigungen],MATCH($B17,tab_MinKomp[[Stanowisko / Position ]:[Stanowisko / Position ]],0)))</f>
        <v>n/a</v>
      </c>
      <c r="GL18" s="320">
        <f>SUM(G18:FP18)/(GL17-(SUM(G18:FP18)))</f>
        <v>4.2253521126760563E-2</v>
      </c>
    </row>
    <row r="19" spans="1:195" ht="28.35" customHeight="1" x14ac:dyDescent="0.25">
      <c r="A19" s="138" t="str">
        <f t="shared" si="0"/>
        <v>Jakość-Quality Kontrola</v>
      </c>
      <c r="B19" s="138" t="str">
        <f t="shared" si="0"/>
        <v>Inspektor jakości</v>
      </c>
      <c r="C19" s="135" t="s">
        <v>750</v>
      </c>
      <c r="D19" s="138">
        <v>610</v>
      </c>
      <c r="E19" s="563" t="s">
        <v>746</v>
      </c>
      <c r="F19" s="307" t="s">
        <v>165</v>
      </c>
      <c r="G19" s="308">
        <v>2</v>
      </c>
      <c r="H19" s="308">
        <v>2</v>
      </c>
      <c r="I19" s="308">
        <v>2</v>
      </c>
      <c r="J19" s="308">
        <v>1</v>
      </c>
      <c r="K19" s="308">
        <v>2</v>
      </c>
      <c r="L19" s="308">
        <v>1</v>
      </c>
      <c r="M19" s="308" t="s">
        <v>176</v>
      </c>
      <c r="N19" s="308" t="s">
        <v>176</v>
      </c>
      <c r="O19" s="308">
        <v>1</v>
      </c>
      <c r="P19" s="308">
        <v>1</v>
      </c>
      <c r="Q19" s="308" t="s">
        <v>176</v>
      </c>
      <c r="R19" s="308" t="s">
        <v>176</v>
      </c>
      <c r="S19" s="308" t="s">
        <v>176</v>
      </c>
      <c r="T19" s="308" t="s">
        <v>176</v>
      </c>
      <c r="U19" s="308" t="s">
        <v>176</v>
      </c>
      <c r="V19" s="308" t="s">
        <v>176</v>
      </c>
      <c r="W19" s="308" t="s">
        <v>176</v>
      </c>
      <c r="X19" s="308" t="s">
        <v>176</v>
      </c>
      <c r="Y19" s="308" t="s">
        <v>176</v>
      </c>
      <c r="Z19" s="308" t="s">
        <v>176</v>
      </c>
      <c r="AA19" s="308" t="s">
        <v>176</v>
      </c>
      <c r="AB19" s="308" t="s">
        <v>176</v>
      </c>
      <c r="AC19" s="308">
        <v>1</v>
      </c>
      <c r="AD19" s="308">
        <v>1</v>
      </c>
      <c r="AE19" s="308">
        <v>1</v>
      </c>
      <c r="AF19" s="308">
        <v>1</v>
      </c>
      <c r="AG19" s="308">
        <v>1</v>
      </c>
      <c r="AH19" s="308">
        <v>1</v>
      </c>
      <c r="AI19" s="308" t="s">
        <v>176</v>
      </c>
      <c r="AJ19" s="308" t="s">
        <v>176</v>
      </c>
      <c r="AK19" s="308" t="s">
        <v>176</v>
      </c>
      <c r="AL19" s="308">
        <v>1</v>
      </c>
      <c r="AM19" s="308" t="s">
        <v>176</v>
      </c>
      <c r="AN19" s="308" t="s">
        <v>176</v>
      </c>
      <c r="AO19" s="308">
        <v>1</v>
      </c>
      <c r="AP19" s="308">
        <v>1</v>
      </c>
      <c r="AQ19" s="308">
        <v>1</v>
      </c>
      <c r="AR19" s="308" t="s">
        <v>176</v>
      </c>
      <c r="AS19" s="308">
        <v>1</v>
      </c>
      <c r="AT19" s="308">
        <v>1</v>
      </c>
      <c r="AU19" s="308">
        <v>1</v>
      </c>
      <c r="AV19" s="308">
        <v>2</v>
      </c>
      <c r="AW19" s="308">
        <v>1</v>
      </c>
      <c r="AX19" s="308">
        <v>1</v>
      </c>
      <c r="AY19" s="308" t="s">
        <v>176</v>
      </c>
      <c r="AZ19" s="308" t="s">
        <v>176</v>
      </c>
      <c r="BA19" s="308" t="s">
        <v>176</v>
      </c>
      <c r="BB19" s="308" t="s">
        <v>176</v>
      </c>
      <c r="BC19" s="308" t="s">
        <v>176</v>
      </c>
      <c r="BD19" s="308" t="s">
        <v>176</v>
      </c>
      <c r="BE19" s="308" t="s">
        <v>176</v>
      </c>
      <c r="BF19" s="308" t="s">
        <v>176</v>
      </c>
      <c r="BG19" s="308" t="s">
        <v>176</v>
      </c>
      <c r="BH19" s="308" t="s">
        <v>176</v>
      </c>
      <c r="BI19" s="308" t="s">
        <v>176</v>
      </c>
      <c r="BJ19" s="308" t="s">
        <v>176</v>
      </c>
      <c r="BK19" s="308" t="s">
        <v>176</v>
      </c>
      <c r="BL19" s="308" t="s">
        <v>176</v>
      </c>
      <c r="BM19" s="308" t="s">
        <v>176</v>
      </c>
      <c r="BN19" s="308" t="s">
        <v>176</v>
      </c>
      <c r="BO19" s="308" t="s">
        <v>176</v>
      </c>
      <c r="BP19" s="308" t="s">
        <v>176</v>
      </c>
      <c r="BQ19" s="308" t="s">
        <v>176</v>
      </c>
      <c r="BR19" s="308" t="s">
        <v>176</v>
      </c>
      <c r="BS19" s="308" t="s">
        <v>176</v>
      </c>
      <c r="BT19" s="308" t="s">
        <v>176</v>
      </c>
      <c r="BU19" s="308" t="s">
        <v>176</v>
      </c>
      <c r="BV19" s="308" t="s">
        <v>176</v>
      </c>
      <c r="BW19" s="308" t="s">
        <v>176</v>
      </c>
      <c r="BX19" s="308" t="s">
        <v>176</v>
      </c>
      <c r="BY19" s="308" t="s">
        <v>176</v>
      </c>
      <c r="BZ19" s="308" t="s">
        <v>176</v>
      </c>
      <c r="CA19" s="308" t="s">
        <v>176</v>
      </c>
      <c r="CB19" s="308" t="s">
        <v>176</v>
      </c>
      <c r="CC19" s="308" t="s">
        <v>176</v>
      </c>
      <c r="CD19" s="308" t="s">
        <v>176</v>
      </c>
      <c r="CE19" s="308" t="s">
        <v>176</v>
      </c>
      <c r="CF19" s="308" t="s">
        <v>176</v>
      </c>
      <c r="CG19" s="308" t="s">
        <v>176</v>
      </c>
      <c r="CH19" s="308" t="s">
        <v>176</v>
      </c>
      <c r="CI19" s="308" t="s">
        <v>176</v>
      </c>
      <c r="CJ19" s="308" t="s">
        <v>176</v>
      </c>
      <c r="CK19" s="308" t="s">
        <v>176</v>
      </c>
      <c r="CL19" s="308" t="s">
        <v>176</v>
      </c>
      <c r="CM19" s="308">
        <v>1</v>
      </c>
      <c r="CN19" s="308">
        <v>1</v>
      </c>
      <c r="CO19" s="308">
        <v>1</v>
      </c>
      <c r="CP19" s="308">
        <v>2</v>
      </c>
      <c r="CQ19" s="308">
        <v>1</v>
      </c>
      <c r="CR19" s="308" t="s">
        <v>176</v>
      </c>
      <c r="CS19" s="308" t="s">
        <v>176</v>
      </c>
      <c r="CT19" s="308">
        <v>1</v>
      </c>
      <c r="CU19" s="308">
        <v>2</v>
      </c>
      <c r="CV19" s="308" t="s">
        <v>176</v>
      </c>
      <c r="CW19" s="308" t="s">
        <v>176</v>
      </c>
      <c r="CX19" s="308" t="s">
        <v>176</v>
      </c>
      <c r="CY19" s="308" t="s">
        <v>176</v>
      </c>
      <c r="CZ19" s="308" t="s">
        <v>176</v>
      </c>
      <c r="DA19" s="308" t="s">
        <v>176</v>
      </c>
      <c r="DB19" s="308" t="s">
        <v>176</v>
      </c>
      <c r="DC19" s="308" t="s">
        <v>176</v>
      </c>
      <c r="DD19" s="308" t="s">
        <v>176</v>
      </c>
      <c r="DE19" s="308" t="s">
        <v>176</v>
      </c>
      <c r="DF19" s="308" t="s">
        <v>176</v>
      </c>
      <c r="DG19" s="308" t="s">
        <v>176</v>
      </c>
      <c r="DH19" s="308" t="s">
        <v>176</v>
      </c>
      <c r="DI19" s="308" t="s">
        <v>176</v>
      </c>
      <c r="DJ19" s="308" t="s">
        <v>176</v>
      </c>
      <c r="DK19" s="308" t="s">
        <v>176</v>
      </c>
      <c r="DL19" s="308" t="s">
        <v>176</v>
      </c>
      <c r="DM19" s="308" t="s">
        <v>176</v>
      </c>
      <c r="DN19" s="308" t="s">
        <v>176</v>
      </c>
      <c r="DO19" s="308" t="s">
        <v>176</v>
      </c>
      <c r="DP19" s="308" t="s">
        <v>176</v>
      </c>
      <c r="DQ19" s="308" t="s">
        <v>176</v>
      </c>
      <c r="DR19" s="308" t="s">
        <v>176</v>
      </c>
      <c r="DS19" s="308" t="s">
        <v>176</v>
      </c>
      <c r="DT19" s="308" t="s">
        <v>176</v>
      </c>
      <c r="DU19" s="308" t="s">
        <v>176</v>
      </c>
      <c r="DV19" s="308" t="s">
        <v>176</v>
      </c>
      <c r="DW19" s="308" t="s">
        <v>176</v>
      </c>
      <c r="DX19" s="308" t="s">
        <v>176</v>
      </c>
      <c r="DY19" s="308" t="s">
        <v>176</v>
      </c>
      <c r="DZ19" s="308" t="s">
        <v>176</v>
      </c>
      <c r="EA19" s="308" t="s">
        <v>176</v>
      </c>
      <c r="EB19" s="308" t="s">
        <v>176</v>
      </c>
      <c r="EC19" s="308" t="s">
        <v>176</v>
      </c>
      <c r="ED19" s="308" t="s">
        <v>176</v>
      </c>
      <c r="EE19" s="308" t="s">
        <v>176</v>
      </c>
      <c r="EF19" s="308" t="s">
        <v>176</v>
      </c>
      <c r="EG19" s="308" t="s">
        <v>176</v>
      </c>
      <c r="EH19" s="308" t="s">
        <v>176</v>
      </c>
      <c r="EI19" s="308" t="s">
        <v>176</v>
      </c>
      <c r="EJ19" s="308" t="s">
        <v>176</v>
      </c>
      <c r="EK19" s="308" t="s">
        <v>176</v>
      </c>
      <c r="EL19" s="308" t="s">
        <v>176</v>
      </c>
      <c r="EM19" s="308" t="s">
        <v>176</v>
      </c>
      <c r="EN19" s="308" t="s">
        <v>176</v>
      </c>
      <c r="EO19" s="308" t="s">
        <v>176</v>
      </c>
      <c r="EP19" s="308" t="s">
        <v>176</v>
      </c>
      <c r="EQ19" s="308" t="s">
        <v>176</v>
      </c>
      <c r="ER19" s="308" t="s">
        <v>176</v>
      </c>
      <c r="ES19" s="308" t="s">
        <v>176</v>
      </c>
      <c r="ET19" s="308" t="s">
        <v>176</v>
      </c>
      <c r="EU19" s="308" t="s">
        <v>176</v>
      </c>
      <c r="EV19" s="308" t="s">
        <v>176</v>
      </c>
      <c r="EW19" s="308" t="s">
        <v>176</v>
      </c>
      <c r="EX19" s="308" t="s">
        <v>176</v>
      </c>
      <c r="EY19" s="308">
        <v>1</v>
      </c>
      <c r="EZ19" s="308">
        <v>1</v>
      </c>
      <c r="FA19" s="308">
        <v>1</v>
      </c>
      <c r="FB19" s="308" t="s">
        <v>176</v>
      </c>
      <c r="FC19" s="308" t="s">
        <v>176</v>
      </c>
      <c r="FD19" s="308">
        <v>2</v>
      </c>
      <c r="FE19" s="308">
        <v>2</v>
      </c>
      <c r="FF19" s="308" t="s">
        <v>176</v>
      </c>
      <c r="FG19" s="308">
        <v>1</v>
      </c>
      <c r="FH19" s="308">
        <v>1</v>
      </c>
      <c r="FI19" s="308">
        <v>1</v>
      </c>
      <c r="FJ19" s="308">
        <v>2</v>
      </c>
      <c r="FK19" s="308">
        <v>2</v>
      </c>
      <c r="FL19" s="308" t="s">
        <v>176</v>
      </c>
      <c r="FM19" s="308" t="s">
        <v>176</v>
      </c>
      <c r="FN19" s="308" t="s">
        <v>176</v>
      </c>
      <c r="FO19" s="308">
        <v>2</v>
      </c>
      <c r="FP19" s="308" t="s">
        <v>176</v>
      </c>
      <c r="FQ19" s="308" t="s">
        <v>176</v>
      </c>
      <c r="FR19" s="308" t="s">
        <v>160</v>
      </c>
      <c r="FS19" s="308" t="s">
        <v>176</v>
      </c>
      <c r="FT19" s="308" t="s">
        <v>176</v>
      </c>
      <c r="FU19" s="308" t="s">
        <v>176</v>
      </c>
      <c r="FV19" s="308" t="s">
        <v>176</v>
      </c>
      <c r="FW19" s="308" t="s">
        <v>176</v>
      </c>
      <c r="FX19" s="308" t="s">
        <v>160</v>
      </c>
      <c r="FY19" s="308" t="s">
        <v>176</v>
      </c>
      <c r="FZ19" s="308" t="s">
        <v>176</v>
      </c>
      <c r="GA19" s="308" t="s">
        <v>176</v>
      </c>
      <c r="GB19" s="308" t="s">
        <v>176</v>
      </c>
      <c r="GC19" s="308" t="s">
        <v>176</v>
      </c>
      <c r="GD19" s="308" t="s">
        <v>176</v>
      </c>
      <c r="GE19" s="308" t="s">
        <v>176</v>
      </c>
      <c r="GF19" s="308" t="s">
        <v>176</v>
      </c>
      <c r="GG19" s="308" t="s">
        <v>176</v>
      </c>
      <c r="GH19" s="308" t="s">
        <v>176</v>
      </c>
      <c r="GI19" s="308" t="s">
        <v>176</v>
      </c>
      <c r="GJ19" s="308" t="s">
        <v>176</v>
      </c>
      <c r="GK19" s="308" t="s">
        <v>176</v>
      </c>
      <c r="GL19" s="311">
        <f>SUM(G19:FP19)</f>
        <v>54</v>
      </c>
    </row>
    <row r="20" spans="1:195" ht="28.35" customHeight="1" thickBot="1" x14ac:dyDescent="0.3">
      <c r="A20" s="138" t="str">
        <f t="shared" si="0"/>
        <v>Jakość-Quality Kontrola</v>
      </c>
      <c r="B20" s="138" t="str">
        <f t="shared" si="0"/>
        <v>Inspektor jakości</v>
      </c>
      <c r="C20" s="135" t="s">
        <v>750</v>
      </c>
      <c r="D20" s="138">
        <v>610</v>
      </c>
      <c r="E20" s="564"/>
      <c r="F20" s="312" t="s">
        <v>166</v>
      </c>
      <c r="G20" s="313">
        <f>IF(INDEX(tab_MinKomp[Przepisy BHP / BHP Vorschriften],MATCH($B19,tab_MinKomp[[Stanowisko / Position ]:[Stanowisko / Position ]],0))="n/a","n/a",G19-INDEX(tab_MinKomp[Przepisy BHP / BHP Vorschriften],MATCH($B19,tab_MinKomp[[Stanowisko / Position ]:[Stanowisko / Position ]],0)))</f>
        <v>0</v>
      </c>
      <c r="H20" s="314">
        <f>IF(INDEX(tab_MinKomp[Przepisy PPOŻ / Brandschutzbestimmungen],MATCH($B19,tab_MinKomp[[Stanowisko / Position ]:[Stanowisko / Position ]],0))="n/a","n/a",H19-INDEX(tab_MinKomp[Przepisy PPOŻ / Brandschutzbestimmungen],MATCH($B19,tab_MinKomp[[Stanowisko / Position ]:[Stanowisko / Position ]],0)))</f>
        <v>0</v>
      </c>
      <c r="I20" s="314">
        <f>IF(INDEX(tab_MinKomp[Ryzyko zawodowe na stanowiskach pracyv/ Berufliche Risiken an Arbeitsstellen],MATCH($B19,tab_MinKomp[[Stanowisko / Position ]:[Stanowisko / Position ]],0))="n/a","n/a",I19-INDEX(tab_MinKomp[Ryzyko zawodowe na stanowiskach pracyv/ Berufliche Risiken an Arbeitsstellen],MATCH($B19,tab_MinKomp[[Stanowisko / Position ]:[Stanowisko / Position ]],0)))</f>
        <v>0</v>
      </c>
      <c r="J20" s="314">
        <f>IF(INDEX(tab_MinKomp[Gospodarka substancjami niebezpiecznymi / Gefahrstoffmanagement],MATCH($B19,tab_MinKomp[[Stanowisko / Position ]:[Stanowisko / Position ]],0))="n/a","n/a",J19-INDEX(tab_MinKomp[Gospodarka substancjami niebezpiecznymi / Gefahrstoffmanagement],MATCH($B19,tab_MinKomp[[Stanowisko / Position ]:[Stanowisko / Position ]],0)))</f>
        <v>0</v>
      </c>
      <c r="K20" s="314">
        <f>IF(INDEX(tab_MinKomp[Gospodarka odpadami / Abfallwirtschaft],MATCH($B19,tab_MinKomp[[Stanowisko / Position ]:[Stanowisko / Position ]],0))="n/a","n/a",K19-INDEX(tab_MinKomp[Gospodarka odpadami / Abfallwirtschaft],MATCH($B19,tab_MinKomp[[Stanowisko / Position ]:[Stanowisko / Position ]],0)))</f>
        <v>0</v>
      </c>
      <c r="L20" s="315">
        <f>IF(INDEX(tab_MinKomp[Przepisy kodeksu pracy / Bestimmungen des Arbeitsgesetzes],MATCH($B19,tab_MinKomp[[Stanowisko / Position ]:[Stanowisko / Position ]],0))="n/a","n/a",L19-INDEX(tab_MinKomp[Przepisy kodeksu pracy / Bestimmungen des Arbeitsgesetzes],MATCH($B19,tab_MinKomp[[Stanowisko / Position ]:[Stanowisko / Position ]],0)))</f>
        <v>0</v>
      </c>
      <c r="M20" s="316" t="str">
        <f>IF(INDEX(tab_MinKomp[Przepisy o ub.społ. ZUS  / Sozialversicherungsvorschriften],MATCH($B19,tab_MinKomp[[Stanowisko / Position ]:[Stanowisko / Position ]],0))="n/a","n/a",M19-INDEX(tab_MinKomp[Przepisy o ub.społ. ZUS  / Sozialversicherungsvorschriften],MATCH($B19,tab_MinKomp[[Stanowisko / Position ]:[Stanowisko / Position ]],0)))</f>
        <v>n/a</v>
      </c>
      <c r="N20" s="315" t="str">
        <f>IF(INDEX(tab_MinKomp[PRZEPISY O PDOF /persönlich Einkommensteuergesetz ],MATCH($B19,tab_MinKomp[[Stanowisko / Position ]:[Stanowisko / Position ]],0))="n/a","n/a",N19-INDEX(tab_MinKomp[PRZEPISY O PDOF /persönlich Einkommensteuergesetz ],MATCH($B19,tab_MinKomp[[Stanowisko / Position ]:[Stanowisko / Position ]],0)))</f>
        <v>n/a</v>
      </c>
      <c r="O20" s="315">
        <f>IF(INDEX(tab_MinKomp[Regulamin pracy / Arbeitsordnung],MATCH($B19,tab_MinKomp[[Stanowisko / Position ]:[Stanowisko / Position ]],0))="n/a","n/a",O19-INDEX(tab_MinKomp[Regulamin pracy / Arbeitsordnung],MATCH($B19,tab_MinKomp[[Stanowisko / Position ]:[Stanowisko / Position ]],0)))</f>
        <v>0</v>
      </c>
      <c r="P20" s="315">
        <f>IF(INDEX(tab_MinKomp[Regulamin wynagradzania / Vergütungsordnung],MATCH($B19,tab_MinKomp[[Stanowisko / Position ]:[Stanowisko / Position ]],0))="n/a","n/a",P19-INDEX(tab_MinKomp[Regulamin wynagradzania / Vergütungsordnung],MATCH($B19,tab_MinKomp[[Stanowisko / Position ]:[Stanowisko / Position ]],0)))</f>
        <v>0</v>
      </c>
      <c r="Q20" s="315" t="str">
        <f>IF(INDEX(tab_MinKomp[System R2PŁATNIK PRO: Płace / Lohnabrechnung],MATCH($B19,tab_MinKomp[[Stanowisko / Position ]:[Stanowisko / Position ]],0))="n/a","n/a",Q19-INDEX(tab_MinKomp[System R2PŁATNIK PRO: Płace / Lohnabrechnung],MATCH($B19,tab_MinKomp[[Stanowisko / Position ]:[Stanowisko / Position ]],0)))</f>
        <v>n/a</v>
      </c>
      <c r="R20" s="315" t="str">
        <f>IF(INDEX(tab_MinKomp[SystemR2PŁATNIK PRO: KADRY / Personaldaten],MATCH($B19,tab_MinKomp[[Stanowisko / Position ]:[Stanowisko / Position ]],0))="n/a","n/a",R19-INDEX(tab_MinKomp[SystemR2PŁATNIK PRO: KADRY / Personaldaten],MATCH($B19,tab_MinKomp[[Stanowisko / Position ]:[Stanowisko / Position ]],0)))</f>
        <v>n/a</v>
      </c>
      <c r="S20" s="315" t="str">
        <f>IF(INDEX(tab_MinKomp[SYSTEM R2PŁATNIK PRO: zarządzanie pracownikami / Arbeitsverwaltung],MATCH($B19,tab_MinKomp[[Stanowisko / Position ]:[Stanowisko / Position ]],0))="n/a","n/a",S19-INDEX(tab_MinKomp[SYSTEM R2PŁATNIK PRO: zarządzanie pracownikami / Arbeitsverwaltung],MATCH($B19,tab_MinKomp[[Stanowisko / Position ]:[Stanowisko / Position ]],0)))</f>
        <v>n/a</v>
      </c>
      <c r="T20" s="315" t="str">
        <f>IF(INDEX(tab_MinKomp[Doradztwo, wsparcie personalne / Personalberatung und Unterstützung],MATCH($B19,tab_MinKomp[[Stanowisko / Position ]:[Stanowisko / Position ]],0))="n/a","n/a",T19-INDEX(tab_MinKomp[Doradztwo, wsparcie personalne / Personalberatung und Unterstützung],MATCH($B19,tab_MinKomp[[Stanowisko / Position ]:[Stanowisko / Position ]],0)))</f>
        <v>n/a</v>
      </c>
      <c r="U20" s="315" t="str">
        <f>IF(INDEX(tab_MinKomp[Przepisy o podatku VAT / MwSt.- Gesetz],MATCH($B19,tab_MinKomp[[Stanowisko / Position ]:[Stanowisko / Position ]],0))="n/a","n/a",U19-INDEX(tab_MinKomp[Przepisy o podatku VAT / MwSt.- Gesetz],MATCH($B19,tab_MinKomp[[Stanowisko / Position ]:[Stanowisko / Position ]],0)))</f>
        <v>n/a</v>
      </c>
      <c r="V20" s="315" t="str">
        <f>IF(INDEX(tab_MinKomp[PrzepisyPDOP / geschäftlich Einkommensteuergesetz],MATCH($B19,tab_MinKomp[[Stanowisko / Position ]:[Stanowisko / Position ]],0))="n/a","n/a",V19-INDEX(tab_MinKomp[PrzepisyPDOP / geschäftlich Einkommensteuergesetz],MATCH($B19,tab_MinKomp[[Stanowisko / Position ]:[Stanowisko / Position ]],0)))</f>
        <v>n/a</v>
      </c>
      <c r="W20" s="315" t="str">
        <f>IF(INDEX(tab_MinKomp[System BAAN / FINANSE (FIBU)],MATCH($B19,tab_MinKomp[[Stanowisko / Position ]:[Stanowisko / Position ]],0))="n/a","n/a",W19-INDEX(tab_MinKomp[System BAAN / FINANSE (FIBU)],MATCH($B19,tab_MinKomp[[Stanowisko / Position ]:[Stanowisko / Position ]],0)))</f>
        <v>n/a</v>
      </c>
      <c r="X20" s="315" t="str">
        <f>IF(INDEX(tab_MinKomp[Systemy pomocnicze / Hilfssysteme(STOCKPROGRAM, KALK2000 etc.)],MATCH($B19,tab_MinKomp[[Stanowisko / Position ]:[Stanowisko / Position ]],0))="n/a","n/a",X19-INDEX(tab_MinKomp[Systemy pomocnicze / Hilfssysteme(STOCKPROGRAM, KALK2000 etc.)],MATCH($B19,tab_MinKomp[[Stanowisko / Position ]:[Stanowisko / Position ]],0)))</f>
        <v>n/a</v>
      </c>
      <c r="Y20" s="315" t="str">
        <f>IF(INDEX(tab_MinKomp[Polityka rachunkowości / Buchführungspolitik],MATCH($B19,tab_MinKomp[[Stanowisko / Position ]:[Stanowisko / Position ]],0))="n/a","n/a",Y19-INDEX(tab_MinKomp[Polityka rachunkowości / Buchführungspolitik],MATCH($B19,tab_MinKomp[[Stanowisko / Position ]:[Stanowisko / Position ]],0)))</f>
        <v>n/a</v>
      </c>
      <c r="Z20" s="315" t="str">
        <f>IF(INDEX(tab_MinKomp[Ustawa o rachunkowości / Rechnungslegungsgesetz],MATCH($B19,tab_MinKomp[[Stanowisko / Position ]:[Stanowisko / Position ]],0))="n/a","n/a",Z19-INDEX(tab_MinKomp[Ustawa o rachunkowości / Rechnungslegungsgesetz],MATCH($B19,tab_MinKomp[[Stanowisko / Position ]:[Stanowisko / Position ]],0)))</f>
        <v>n/a</v>
      </c>
      <c r="AA20" s="315" t="str">
        <f>IF(INDEX(tab_MinKomp[WORKFLOW - TS-100],MATCH($B19,tab_MinKomp[[Stanowisko / Position ]:[Stanowisko / Position ]],0))="n/a","n/a",AA19-INDEX(tab_MinKomp[WORKFLOW - TS-100],MATCH($B19,tab_MinKomp[[Stanowisko / Position ]:[Stanowisko / Position ]],0)))</f>
        <v>n/a</v>
      </c>
      <c r="AB20" s="315" t="str">
        <f>IF(INDEX(tab_MinKomp[WORKFLOW - SFMS],MATCH($B19,tab_MinKomp[[Stanowisko / Position ]:[Stanowisko / Position ]],0))="n/a","n/a",AB19-INDEX(tab_MinKomp[WORKFLOW - SFMS],MATCH($B19,tab_MinKomp[[Stanowisko / Position ]:[Stanowisko / Position ]],0)))</f>
        <v>n/a</v>
      </c>
      <c r="AC20" s="315">
        <f>IF(INDEX(tab_MinKomp[System ISO 9001:2015],MATCH($B19,tab_MinKomp[[Stanowisko / Position ]:[Stanowisko / Position ]],0))="n/a","n/a",AC19-INDEX(tab_MinKomp[System ISO 9001:2015],MATCH($B19,tab_MinKomp[[Stanowisko / Position ]:[Stanowisko / Position ]],0)))</f>
        <v>0</v>
      </c>
      <c r="AD20" s="315">
        <f>IF(INDEX(tab_MinKomp[System IATF 16949:2016],MATCH($B19,tab_MinKomp[[Stanowisko / Position ]:[Stanowisko / Position ]],0))="n/a","n/a",AD19-INDEX(tab_MinKomp[System IATF 16949:2016],MATCH($B19,tab_MinKomp[[Stanowisko / Position ]:[Stanowisko / Position ]],0)))</f>
        <v>0</v>
      </c>
      <c r="AE20" s="315">
        <f>IF(INDEX(tab_MinKomp[System ISO 14001:2015],MATCH($B19,tab_MinKomp[[Stanowisko / Position ]:[Stanowisko / Position ]],0))="n/a","n/a",AE19-INDEX(tab_MinKomp[System ISO 14001:2015],MATCH($B19,tab_MinKomp[[Stanowisko / Position ]:[Stanowisko / Position ]],0)))</f>
        <v>0</v>
      </c>
      <c r="AF20" s="315">
        <f>IF(INDEX(tab_MinKomp[System PN-N 18001:2004 / ISO 45001:2018],MATCH($B19,tab_MinKomp[[Stanowisko / Position ]:[Stanowisko / Position ]],0))="n/a","n/a",AF19-INDEX(tab_MinKomp[System PN-N 18001:2004 / ISO 45001:2018],MATCH($B19,tab_MinKomp[[Stanowisko / Position ]:[Stanowisko / Position ]],0)))</f>
        <v>0</v>
      </c>
      <c r="AG20" s="315">
        <f>IF(INDEX(tab_MinKomp[Wymagania VDA 6.3 Process / Forderungen],MATCH($B19,tab_MinKomp[[Stanowisko / Position ]:[Stanowisko / Position ]],0))="n/a","n/a",AG19-INDEX(tab_MinKomp[Wymagania VDA 6.3 Process / Forderungen],MATCH($B19,tab_MinKomp[[Stanowisko / Position ]:[Stanowisko / Position ]],0)))</f>
        <v>0</v>
      </c>
      <c r="AH20" s="315">
        <f>IF(INDEX(tab_MinKomp[Wymagania VDA 6.5 Product / Forderungen],MATCH($B19,tab_MinKomp[[Stanowisko / Position ]:[Stanowisko / Position ]],0))="n/a","n/a",AH19-INDEX(tab_MinKomp[Wymagania VDA 6.5 Product / Forderungen],MATCH($B19,tab_MinKomp[[Stanowisko / Position ]:[Stanowisko / Position ]],0)))</f>
        <v>0</v>
      </c>
      <c r="AI20" s="315" t="str">
        <f>IF(INDEX(tab_MinKomp[PSCR (VW Product Safety &amp; Conformity Representative)],MATCH($B19,tab_MinKomp[[Stanowisko / Position ]:[Stanowisko / Position ]],0))="n/a","n/a",AI19-INDEX(tab_MinKomp[PSCR (VW Product Safety &amp; Conformity Representative)],MATCH($B19,tab_MinKomp[[Stanowisko / Position ]:[Stanowisko / Position ]],0)))</f>
        <v>n/a</v>
      </c>
      <c r="AJ20" s="315" t="str">
        <f>IF(INDEX(tab_MinKomp[Auditor systemu ISO 17025:2018],MATCH($B19,tab_MinKomp[[Stanowisko / Position ]:[Stanowisko / Position ]],0))="n/a","n/a",AJ19-INDEX(tab_MinKomp[Auditor systemu ISO 17025:2018],MATCH($B19,tab_MinKomp[[Stanowisko / Position ]:[Stanowisko / Position ]],0)))</f>
        <v>n/a</v>
      </c>
      <c r="AK20" s="315" t="str">
        <f>IF(INDEX(tab_MinKomp[Pełnomocnik systemu / Systemvertreter],MATCH($B19,tab_MinKomp[[Stanowisko / Position ]:[Stanowisko / Position ]],0))="n/a","n/a",AK19-INDEX(tab_MinKomp[Pełnomocnik systemu / Systemvertreter],MATCH($B19,tab_MinKomp[[Stanowisko / Position ]:[Stanowisko / Position ]],0)))</f>
        <v>n/a</v>
      </c>
      <c r="AL20" s="315">
        <f>IF(INDEX(tab_MinKomp[Wymagania VDA 6.5 Product / Forderungen],MATCH($B19,tab_MinKomp[[Stanowisko / Position ]:[Stanowisko / Position ]],0))="n/a","n/a",AL19-INDEX(tab_MinKomp[Wymagania VDA 6.5 Product / Forderungen],MATCH($B19,tab_MinKomp[[Stanowisko / Position ]:[Stanowisko / Position ]],0)))</f>
        <v>0</v>
      </c>
      <c r="AM20" s="315" t="str">
        <f>IF(INDEX(tab_MinKomp[WDRAŻANIE NOWYCH PROJEKTÓW/ PROCEDURA CTM],MATCH($B19,tab_MinKomp[[Stanowisko / Position ]:[Stanowisko / Position ]],0))="n/a","n/a",AM19-INDEX(tab_MinKomp[WDRAŻANIE NOWYCH PROJEKTÓW/ PROCEDURA CTM],MATCH($B19,tab_MinKomp[[Stanowisko / Position ]:[Stanowisko / Position ]],0)))</f>
        <v>n/a</v>
      </c>
      <c r="AN20" s="315" t="str">
        <f>IF(INDEX(tab_MinKomp[KAMIENIE MILOWE MSL/PIFF],MATCH($B19,tab_MinKomp[[Stanowisko / Position ]:[Stanowisko / Position ]],0))="n/a","n/a",AN19-INDEX(tab_MinKomp[KAMIENIE MILOWE MSL/PIFF],MATCH($B19,tab_MinKomp[[Stanowisko / Position ]:[Stanowisko / Position ]],0)))</f>
        <v>n/a</v>
      </c>
      <c r="AO20" s="315">
        <f>IF(INDEX(tab_MinKomp[CP],MATCH($B19,tab_MinKomp[[Stanowisko / Position ]:[Stanowisko / Position ]],0))="n/a","n/a",AO19-INDEX(tab_MinKomp[CP],MATCH($B19,tab_MinKomp[[Stanowisko / Position ]:[Stanowisko / Position ]],0)))</f>
        <v>0</v>
      </c>
      <c r="AP20" s="315">
        <f>IF(INDEX(tab_MinKomp[FMEA],MATCH($B19,tab_MinKomp[[Stanowisko / Position ]:[Stanowisko / Position ]],0))="n/a","n/a",AP19-INDEX(tab_MinKomp[FMEA],MATCH($B19,tab_MinKomp[[Stanowisko / Position ]:[Stanowisko / Position ]],0)))</f>
        <v>0</v>
      </c>
      <c r="AQ20" s="315">
        <f>IF(INDEX(tab_MinKomp[FLOW CHART],MATCH($B19,tab_MinKomp[[Stanowisko / Position ]:[Stanowisko / Position ]],0))="n/a","n/a",AQ19-INDEX(tab_MinKomp[FLOW CHART],MATCH($B19,tab_MinKomp[[Stanowisko / Position ]:[Stanowisko / Position ]],0)))</f>
        <v>0</v>
      </c>
      <c r="AR20" s="315" t="str">
        <f>IF(INDEX(tab_MinKomp[APQP],MATCH($B19,tab_MinKomp[[Stanowisko / Position ]:[Stanowisko / Position ]],0))="n/a","n/a",AR19-INDEX(tab_MinKomp[APQP],MATCH($B19,tab_MinKomp[[Stanowisko / Position ]:[Stanowisko / Position ]],0)))</f>
        <v>n/a</v>
      </c>
      <c r="AS20" s="315">
        <f>IF(INDEX(tab_MinKomp[MSA],MATCH($B19,tab_MinKomp[[Stanowisko / Position ]:[Stanowisko / Position ]],0))="n/a","n/a",AS19-INDEX(tab_MinKomp[MSA],MATCH($B19,tab_MinKomp[[Stanowisko / Position ]:[Stanowisko / Position ]],0)))</f>
        <v>0</v>
      </c>
      <c r="AT20" s="315">
        <f>IF(INDEX(tab_MinKomp[SPC],MATCH($B19,tab_MinKomp[[Stanowisko / Position ]:[Stanowisko / Position ]],0))="n/a","n/a",AT19-INDEX(tab_MinKomp[SPC],MATCH($B19,tab_MinKomp[[Stanowisko / Position ]:[Stanowisko / Position ]],0)))</f>
        <v>0</v>
      </c>
      <c r="AU20" s="315">
        <f>IF(INDEX(tab_MinKomp[CSR (SPECYFICZNE WYMAGANIA KLIENTA)],MATCH($B19,tab_MinKomp[[Stanowisko / Position ]:[Stanowisko / Position ]],0))="n/a","n/a",AU19-INDEX(tab_MinKomp[CSR (SPECYFICZNE WYMAGANIA KLIENTA)],MATCH($B19,tab_MinKomp[[Stanowisko / Position ]:[Stanowisko / Position ]],0)))</f>
        <v>0</v>
      </c>
      <c r="AV20" s="315">
        <f>IF(INDEX(tab_MinKomp[5S],MATCH($B19,tab_MinKomp[[Stanowisko / Position ]:[Stanowisko / Position ]],0))="n/a","n/a",AV19-INDEX(tab_MinKomp[5S],MATCH($B19,tab_MinKomp[[Stanowisko / Position ]:[Stanowisko / Position ]],0)))</f>
        <v>0</v>
      </c>
      <c r="AW20" s="315">
        <f>IF(INDEX(tab_MinKomp[LEAN MANAGEMENT],MATCH($B19,tab_MinKomp[[Stanowisko / Position ]:[Stanowisko / Position ]],0))="n/a","n/a",AW19-INDEX(tab_MinKomp[LEAN MANAGEMENT],MATCH($B19,tab_MinKomp[[Stanowisko / Position ]:[Stanowisko / Position ]],0)))</f>
        <v>0</v>
      </c>
      <c r="AX20" s="315">
        <f>IF(INDEX(tab_MinKomp[5R],MATCH($B19,tab_MinKomp[[Stanowisko / Position ]:[Stanowisko / Position ]],0))="n/a","n/a",AX19-INDEX(tab_MinKomp[5R],MATCH($B19,tab_MinKomp[[Stanowisko / Position ]:[Stanowisko / Position ]],0)))</f>
        <v>-1</v>
      </c>
      <c r="AY20" s="315" t="str">
        <f>IF(INDEX(tab_MinKomp[Six Sigma],MATCH($B19,tab_MinKomp[[Stanowisko / Position ]:[Stanowisko / Position ]],0))="n/a","n/a",AY19-INDEX(tab_MinKomp[Six Sigma],MATCH($B19,tab_MinKomp[[Stanowisko / Position ]:[Stanowisko / Position ]],0)))</f>
        <v>n/a</v>
      </c>
      <c r="AZ20" s="315" t="str">
        <f>IF(INDEX(tab_MinKomp[System BAAN / Distribution &amp; Supply Chain],MATCH($B19,tab_MinKomp[[Stanowisko / Position ]:[Stanowisko / Position ]],0))="n/a","n/a",AZ19-INDEX(tab_MinKomp[System BAAN / Distribution &amp; Supply Chain],MATCH($B19,tab_MinKomp[[Stanowisko / Position ]:[Stanowisko / Position ]],0)))</f>
        <v>n/a</v>
      </c>
      <c r="BA20" s="315" t="str">
        <f>IF(INDEX(tab_MinKomp[Gospodarka magazynowa / Lagerverwaltung],MATCH($B19,tab_MinKomp[[Stanowisko / Position ]:[Stanowisko / Position ]],0))="n/a","n/a",BA19-INDEX(tab_MinKomp[Gospodarka magazynowa / Lagerverwaltung],MATCH($B19,tab_MinKomp[[Stanowisko / Position ]:[Stanowisko / Position ]],0)))</f>
        <v>n/a</v>
      </c>
      <c r="BB20" s="315" t="str">
        <f>IF(INDEX(tab_MinKomp[Inwentaryzacja - organizacja i przebieg / Inventurprozess],MATCH($B19,tab_MinKomp[[Stanowisko / Position ]:[Stanowisko / Position ]],0))="n/a","n/a",BB19-INDEX(tab_MinKomp[Inwentaryzacja - organizacja i przebieg / Inventurprozess],MATCH($B19,tab_MinKomp[[Stanowisko / Position ]:[Stanowisko / Position ]],0)))</f>
        <v>n/a</v>
      </c>
      <c r="BC20" s="315" t="str">
        <f>IF(INDEX(tab_MinKomp[Organizacja dostaw / Versorgungsorganisation],MATCH($B19,tab_MinKomp[[Stanowisko / Position ]:[Stanowisko / Position ]],0))="n/a","n/a",BC19-INDEX(tab_MinKomp[Organizacja dostaw / Versorgungsorganisation],MATCH($B19,tab_MinKomp[[Stanowisko / Position ]:[Stanowisko / Position ]],0)))</f>
        <v>n/a</v>
      </c>
      <c r="BD20" s="315" t="str">
        <f>IF(INDEX(tab_MinKomp[Organizacja wysyłek / Organisation von Lieferungen],MATCH($B19,tab_MinKomp[[Stanowisko / Position ]:[Stanowisko / Position ]],0))="n/a","n/a",BD19-INDEX(tab_MinKomp[Organizacja wysyłek / Organisation von Lieferungen],MATCH($B19,tab_MinKomp[[Stanowisko / Position ]:[Stanowisko / Position ]],0)))</f>
        <v>n/a</v>
      </c>
      <c r="BE20" s="315" t="str">
        <f>IF(INDEX(tab_MinKomp[Analiza magazynowa - Program Polen.mdb / Inventuranalyse],MATCH($B19,tab_MinKomp[[Stanowisko / Position ]:[Stanowisko / Position ]],0))="n/a","n/a",BE19-INDEX(tab_MinKomp[Analiza magazynowa - Program Polen.mdb / Inventuranalyse],MATCH($B19,tab_MinKomp[[Stanowisko / Position ]:[Stanowisko / Position ]],0)))</f>
        <v>n/a</v>
      </c>
      <c r="BF20" s="315" t="str">
        <f>IF(INDEX(tab_MinKomp[MMOG (Materials Management Operations Guidelines)],MATCH($B19,tab_MinKomp[[Stanowisko / Position ]:[Stanowisko / Position ]],0))="n/a","n/a",BF19-INDEX(tab_MinKomp[MMOG (Materials Management Operations Guidelines)],MATCH($B19,tab_MinKomp[[Stanowisko / Position ]:[Stanowisko / Position ]],0)))</f>
        <v>n/a</v>
      </c>
      <c r="BG20" s="315" t="str">
        <f>IF(INDEX(tab_MinKomp[GPP],MATCH($B19,tab_MinKomp[[Stanowisko / Position ]:[Stanowisko / Position ]],0))="n/a","n/a",BG19-INDEX(tab_MinKomp[GPP],MATCH($B19,tab_MinKomp[[Stanowisko / Position ]:[Stanowisko / Position ]],0)))</f>
        <v>n/a</v>
      </c>
      <c r="BH20" s="315" t="str">
        <f>IF(INDEX(tab_MinKomp[AIAG (Automotive Industry Action Group)],MATCH($B19,tab_MinKomp[[Stanowisko / Position ]:[Stanowisko / Position ]],0))="n/a","n/a",BH19-INDEX(tab_MinKomp[AIAG (Automotive Industry Action Group)],MATCH($B19,tab_MinKomp[[Stanowisko / Position ]:[Stanowisko / Position ]],0)))</f>
        <v>n/a</v>
      </c>
      <c r="BI20" s="315" t="str">
        <f>IF(INDEX(tab_MinKomp[Super-G disputes],MATCH($B19,tab_MinKomp[[Stanowisko / Position ]:[Stanowisko / Position ]],0))="n/a","n/a",BI19-INDEX(tab_MinKomp[Super-G disputes],MATCH($B19,tab_MinKomp[[Stanowisko / Position ]:[Stanowisko / Position ]],0)))</f>
        <v>n/a</v>
      </c>
      <c r="BJ20" s="315" t="str">
        <f>IF(INDEX(tab_MinKomp[CMMS3/eDDL (Direct Data Link)],MATCH($B19,tab_MinKomp[[Stanowisko / Position ]:[Stanowisko / Position ]],0))="n/a","n/a",BJ19-INDEX(tab_MinKomp[CMMS3/eDDL (Direct Data Link)],MATCH($B19,tab_MinKomp[[Stanowisko / Position ]:[Stanowisko / Position ]],0)))</f>
        <v>n/a</v>
      </c>
      <c r="BK20" s="315" t="str">
        <f>IF(INDEX(tab_MinKomp[MP&amp;L (Material Planning and Logistics)],MATCH($B19,tab_MinKomp[[Stanowisko / Position ]:[Stanowisko / Position ]],0))="n/a","n/a",BK19-INDEX(tab_MinKomp[MP&amp;L (Material Planning and Logistics)],MATCH($B19,tab_MinKomp[[Stanowisko / Position ]:[Stanowisko / Position ]],0)))</f>
        <v>n/a</v>
      </c>
      <c r="BL20" s="315" t="str">
        <f>IF(INDEX(tab_MinKomp[Supplier delivery rating],MATCH($B19,tab_MinKomp[[Stanowisko / Position ]:[Stanowisko / Position ]],0))="n/a","n/a",BL19-INDEX(tab_MinKomp[Supplier delivery rating],MATCH($B19,tab_MinKomp[[Stanowisko / Position ]:[Stanowisko / Position ]],0)))</f>
        <v>n/a</v>
      </c>
      <c r="BM20" s="315" t="str">
        <f>IF(INDEX(tab_MinKomp[Planowanie produkcji / Produktionsplanung],MATCH($B19,tab_MinKomp[[Stanowisko / Position ]:[Stanowisko / Position ]],0))="n/a","n/a",BM19-INDEX(tab_MinKomp[Planowanie produkcji / Produktionsplanung],MATCH($B19,tab_MinKomp[[Stanowisko / Position ]:[Stanowisko / Position ]],0)))</f>
        <v>n/a</v>
      </c>
      <c r="BN20" s="315" t="str">
        <f>IF(INDEX(tab_MinKomp[Obsługa maszyn Engel / Engel Maschinenbedienung],MATCH($B19,tab_MinKomp[[Stanowisko / Position ]:[Stanowisko / Position ]],0))="n/a","n/a",BN19-INDEX(tab_MinKomp[Obsługa maszyn Engel / Engel Maschinenbedienung],MATCH($B19,tab_MinKomp[[Stanowisko / Position ]:[Stanowisko / Position ]],0)))</f>
        <v>n/a</v>
      </c>
      <c r="BO20" s="315" t="str">
        <f>IF(INDEX(tab_MinKomp[Obsługa maszyn Novapax / Novapax Maschinenbedienung],MATCH($B19,tab_MinKomp[[Stanowisko / Position ]:[Stanowisko / Position ]],0))="n/a","n/a",BO19-INDEX(tab_MinKomp[Obsługa maszyn Novapax / Novapax Maschinenbedienung],MATCH($B19,tab_MinKomp[[Stanowisko / Position ]:[Stanowisko / Position ]],0)))</f>
        <v>n/a</v>
      </c>
      <c r="BP20" s="315" t="str">
        <f>IF(INDEX(tab_MinKomp[Obsługa maszyn KVT / KVT Maschinenbedienung],MATCH($B19,tab_MinKomp[[Stanowisko / Position ]:[Stanowisko / Position ]],0))="n/a","n/a",BP19-INDEX(tab_MinKomp[Obsługa maszyn KVT / KVT Maschinenbedienung],MATCH($B19,tab_MinKomp[[Stanowisko / Position ]:[Stanowisko / Position ]],0)))</f>
        <v>n/a</v>
      </c>
      <c r="BQ20" s="315" t="str">
        <f>IF(INDEX(tab_MinKomp[Obsługa maszyn ASL / ASL Maschinenbedienung],MATCH($B19,tab_MinKomp[[Stanowisko / Position ]:[Stanowisko / Position ]],0))="n/a","n/a",BQ19-INDEX(tab_MinKomp[Obsługa maszyn ASL / ASL Maschinenbedienung],MATCH($B19,tab_MinKomp[[Stanowisko / Position ]:[Stanowisko / Position ]],0)))</f>
        <v>n/a</v>
      </c>
      <c r="BR20" s="315" t="str">
        <f>IF(INDEX(tab_MinKomp[Obsługa maszyn Branson / Branson Maschinenbedienung],MATCH($B19,tab_MinKomp[[Stanowisko / Position ]:[Stanowisko / Position ]],0))="n/a","n/a",BR19-INDEX(tab_MinKomp[Obsługa maszyn Branson / Branson Maschinenbedienung],MATCH($B19,tab_MinKomp[[Stanowisko / Position ]:[Stanowisko / Position ]],0)))</f>
        <v>n/a</v>
      </c>
      <c r="BS20" s="315" t="str">
        <f>IF(INDEX(tab_MinKomp[Obsługa maszyn Kamtec / Kamtec Maschinenbedienung],MATCH($B19,tab_MinKomp[[Stanowisko / Position ]:[Stanowisko / Position ]],0))="n/a","n/a",BS19-INDEX(tab_MinKomp[Obsługa maszyn Kamtec / Kamtec Maschinenbedienung],MATCH($B19,tab_MinKomp[[Stanowisko / Position ]:[Stanowisko / Position ]],0)))</f>
        <v>n/a</v>
      </c>
      <c r="BT20" s="315" t="str">
        <f>IF(INDEX(tab_MinKomp[Obsługa maszyn Piovan / Piovan Maschinenbedienung],MATCH($B19,tab_MinKomp[[Stanowisko / Position ]:[Stanowisko / Position ]],0))="n/a","n/a",BT19-INDEX(tab_MinKomp[Obsługa maszyn Piovan / Piovan Maschinenbedienung],MATCH($B19,tab_MinKomp[[Stanowisko / Position ]:[Stanowisko / Position ]],0)))</f>
        <v>n/a</v>
      </c>
      <c r="BU20" s="315" t="str">
        <f>IF(INDEX(tab_MinKomp[Obsługa maszyn REP / REP Maschinenbedienung],MATCH($B19,tab_MinKomp[[Stanowisko / Position ]:[Stanowisko / Position ]],0))="n/a","n/a",BU19-INDEX(tab_MinKomp[Obsługa maszyn REP / REP Maschinenbedienung],MATCH($B19,tab_MinKomp[[Stanowisko / Position ]:[Stanowisko / Position ]],0)))</f>
        <v>n/a</v>
      </c>
      <c r="BV20" s="315" t="str">
        <f>IF(INDEX(tab_MinKomp[Eliminacja awarii / Beseitigung von Ausfällen],MATCH($B19,tab_MinKomp[[Stanowisko / Position ]:[Stanowisko / Position ]],0))="n/a","n/a",BV19-INDEX(tab_MinKomp[Eliminacja awarii / Beseitigung von Ausfällen],MATCH($B19,tab_MinKomp[[Stanowisko / Position ]:[Stanowisko / Position ]],0)))</f>
        <v>n/a</v>
      </c>
      <c r="BW20" s="315" t="str">
        <f>IF(INDEX(tab_MinKomp[Informatyka ogólna (techniczne i systemowe) / Allgemeine IT (Technik und System)],MATCH($B19,tab_MinKomp[[Stanowisko / Position ]:[Stanowisko / Position ]],0))="n/a","n/a",BW19-INDEX(tab_MinKomp[Informatyka ogólna (techniczne i systemowe) / Allgemeine IT (Technik und System)],MATCH($B19,tab_MinKomp[[Stanowisko / Position ]:[Stanowisko / Position ]],0)))</f>
        <v>n/a</v>
      </c>
      <c r="BX20" s="315" t="str">
        <f>IF(INDEX(tab_MinKomp[Sieci komputerowe / Computernetzwerke],MATCH($B19,tab_MinKomp[[Stanowisko / Position ]:[Stanowisko / Position ]],0))="n/a","n/a",BX19-INDEX(tab_MinKomp[Sieci komputerowe / Computernetzwerke],MATCH($B19,tab_MinKomp[[Stanowisko / Position ]:[Stanowisko / Position ]],0)))</f>
        <v>n/a</v>
      </c>
      <c r="BY20" s="315" t="str">
        <f>IF(INDEX(tab_MinKomp[Hardware (komputery PC, drukarki biurowe i etykietowe, telefonia stacjonarna i mobilna) (PC, Drucker, Telefpne, Handys)],MATCH($B19,tab_MinKomp[[Stanowisko / Position ]:[Stanowisko / Position ]],0))="n/a","n/a",BY19-INDEX(tab_MinKomp[Hardware (komputery PC, drukarki biurowe i etykietowe, telefonia stacjonarna i mobilna) (PC, Drucker, Telefpne, Handys)],MATCH($B19,tab_MinKomp[[Stanowisko / Position ]:[Stanowisko / Position ]],0)))</f>
        <v>n/a</v>
      </c>
      <c r="BZ20" s="315" t="str">
        <f>IF(INDEX(tab_MinKomp[Software &amp; Systems (MS Office, MS Remote Desktop)],MATCH($B19,tab_MinKomp[[Stanowisko / Position ]:[Stanowisko / Position ]],0))="n/a","n/a",BZ19-INDEX(tab_MinKomp[Software &amp; Systems (MS Office, MS Remote Desktop)],MATCH($B19,tab_MinKomp[[Stanowisko / Position ]:[Stanowisko / Position ]],0)))</f>
        <v>n/a</v>
      </c>
      <c r="CA20" s="315" t="str">
        <f>IF(INDEX(tab_MinKomp[Programowanie obiektowe (PHP) / Objektprogrammierung],MATCH($B19,tab_MinKomp[[Stanowisko / Position ]:[Stanowisko / Position ]],0))="n/a","n/a",CA19-INDEX(tab_MinKomp[Programowanie obiektowe (PHP) / Objektprogrammierung],MATCH($B19,tab_MinKomp[[Stanowisko / Position ]:[Stanowisko / Position ]],0)))</f>
        <v>n/a</v>
      </c>
      <c r="CB20" s="315" t="str">
        <f>IF(INDEX(tab_MinKomp[Scrum],MATCH($B19,tab_MinKomp[[Stanowisko / Position ]:[Stanowisko / Position ]],0))="n/a","n/a",CB19-INDEX(tab_MinKomp[Scrum],MATCH($B19,tab_MinKomp[[Stanowisko / Position ]:[Stanowisko / Position ]],0)))</f>
        <v>n/a</v>
      </c>
      <c r="CC20" s="315" t="str">
        <f>IF(INDEX(tab_MinKomp[SQL (MySQL)],MATCH($B19,tab_MinKomp[[Stanowisko / Position ]:[Stanowisko / Position ]],0))="n/a","n/a",CC19-INDEX(tab_MinKomp[SQL (MySQL)],MATCH($B19,tab_MinKomp[[Stanowisko / Position ]:[Stanowisko / Position ]],0)))</f>
        <v>n/a</v>
      </c>
      <c r="CD20" s="315" t="str">
        <f>IF(INDEX(tab_MinKomp[Javascript],MATCH($B19,tab_MinKomp[[Stanowisko / Position ]:[Stanowisko / Position ]],0))="n/a","n/a",CD19-INDEX(tab_MinKomp[Javascript],MATCH($B19,tab_MinKomp[[Stanowisko / Position ]:[Stanowisko / Position ]],0)))</f>
        <v>n/a</v>
      </c>
      <c r="CE20" s="315" t="str">
        <f>IF(INDEX(tab_MinKomp[Joomla],MATCH($B19,tab_MinKomp[[Stanowisko / Position ]:[Stanowisko / Position ]],0))="n/a","n/a",CE19-INDEX(tab_MinKomp[Joomla],MATCH($B19,tab_MinKomp[[Stanowisko / Position ]:[Stanowisko / Position ]],0)))</f>
        <v>n/a</v>
      </c>
      <c r="CF20" s="315" t="str">
        <f>IF(INDEX(tab_MinKomp[Bash],MATCH($B19,tab_MinKomp[[Stanowisko / Position ]:[Stanowisko / Position ]],0))="n/a","n/a",CF19-INDEX(tab_MinKomp[Bash],MATCH($B19,tab_MinKomp[[Stanowisko / Position ]:[Stanowisko / Position ]],0)))</f>
        <v>n/a</v>
      </c>
      <c r="CG20" s="315" t="str">
        <f>IF(INDEX(tab_MinKomp[Systemy MES (HYDRA / SFMS)],MATCH($B19,tab_MinKomp[[Stanowisko / Position ]:[Stanowisko / Position ]],0))="n/a","n/a",CG19-INDEX(tab_MinKomp[Systemy MES (HYDRA / SFMS)],MATCH($B19,tab_MinKomp[[Stanowisko / Position ]:[Stanowisko / Position ]],0)))</f>
        <v>n/a</v>
      </c>
      <c r="CH20" s="315" t="str">
        <f>IF(INDEX(tab_MinKomp[HTML / CSS],MATCH($B19,tab_MinKomp[[Stanowisko / Position ]:[Stanowisko / Position ]],0))="n/a","n/a",CH19-INDEX(tab_MinKomp[HTML / CSS],MATCH($B19,tab_MinKomp[[Stanowisko / Position ]:[Stanowisko / Position ]],0)))</f>
        <v>n/a</v>
      </c>
      <c r="CI20" s="315" t="str">
        <f>IF(INDEX(tab_MinKomp[SYSTEM PR],MATCH($B19,tab_MinKomp[[Stanowisko / Position ]:[Stanowisko / Position ]],0))="n/a","n/a",CI19-INDEX(tab_MinKomp[SYSTEM PR],MATCH($B19,tab_MinKomp[[Stanowisko / Position ]:[Stanowisko / Position ]],0)))</f>
        <v>n/a</v>
      </c>
      <c r="CJ20" s="315" t="str">
        <f>IF(INDEX(tab_MinKomp[System Einkauf XP / EBA],MATCH($B19,tab_MinKomp[[Stanowisko / Position ]:[Stanowisko / Position ]],0))="n/a","n/a",CJ19-INDEX(tab_MinKomp[System Einkauf XP / EBA],MATCH($B19,tab_MinKomp[[Stanowisko / Position ]:[Stanowisko / Position ]],0)))</f>
        <v>n/a</v>
      </c>
      <c r="CK20" s="315" t="str">
        <f>IF(INDEX(tab_MinKomp[Techniki negocjacyjne / Verhandlungstechniken],MATCH($B19,tab_MinKomp[[Stanowisko / Position ]:[Stanowisko / Position ]],0))="n/a","n/a",CK19-INDEX(tab_MinKomp[Techniki negocjacyjne / Verhandlungstechniken],MATCH($B19,tab_MinKomp[[Stanowisko / Position ]:[Stanowisko / Position ]],0)))</f>
        <v>n/a</v>
      </c>
      <c r="CL20" s="315" t="str">
        <f>IF(INDEX(tab_MinKomp[Znajomość rynku branżowego / Kenntnis des Industrie Marktes],MATCH($B19,tab_MinKomp[[Stanowisko / Position ]:[Stanowisko / Position ]],0))="n/a","n/a",CL19-INDEX(tab_MinKomp[Znajomość rynku branżowego / Kenntnis des Industrie Marktes],MATCH($B19,tab_MinKomp[[Stanowisko / Position ]:[Stanowisko / Position ]],0)))</f>
        <v>n/a</v>
      </c>
      <c r="CM20" s="315">
        <f>IF(INDEX(tab_MinKomp[RAPORTY 8D / 8D Berichten],MATCH($B19,tab_MinKomp[[Stanowisko / Position ]:[Stanowisko / Position ]],0))="n/a","n/a",CM19-INDEX(tab_MinKomp[RAPORTY 8D / 8D Berichten],MATCH($B19,tab_MinKomp[[Stanowisko / Position ]:[Stanowisko / Position ]],0)))</f>
        <v>0</v>
      </c>
      <c r="CN20" s="315">
        <f>IF(INDEX(tab_MinKomp[NARZĘDZIA JAKOŚCIOWE (5WHY, Ishikawa, etc) / QS-Werkzeuge],MATCH($B19,tab_MinKomp[[Stanowisko / Position ]:[Stanowisko / Position ]],0))="n/a","n/a",CN19-INDEX(tab_MinKomp[NARZĘDZIA JAKOŚCIOWE (5WHY, Ishikawa, etc) / QS-Werkzeuge],MATCH($B19,tab_MinKomp[[Stanowisko / Position ]:[Stanowisko / Position ]],0)))</f>
        <v>0</v>
      </c>
      <c r="CO20" s="315">
        <f>IF(INDEX(tab_MinKomp[PDCA],MATCH($B19,tab_MinKomp[[Stanowisko / Position ]:[Stanowisko / Position ]],0))="n/a","n/a",CO19-INDEX(tab_MinKomp[PDCA],MATCH($B19,tab_MinKomp[[Stanowisko / Position ]:[Stanowisko / Position ]],0)))</f>
        <v>0</v>
      </c>
      <c r="CP20" s="315">
        <f>IF(INDEX(tab_MinKomp[Pareto],MATCH($B19,tab_MinKomp[[Stanowisko / Position ]:[Stanowisko / Position ]],0))="n/a","n/a",CP19-INDEX(tab_MinKomp[Pareto],MATCH($B19,tab_MinKomp[[Stanowisko / Position ]:[Stanowisko / Position ]],0)))</f>
        <v>0</v>
      </c>
      <c r="CQ20" s="315">
        <f>IF(INDEX(tab_MinKomp[PPAP/PSW],MATCH($B19,tab_MinKomp[[Stanowisko / Position ]:[Stanowisko / Position ]],0))="n/a","n/a",CQ19-INDEX(tab_MinKomp[PPAP/PSW],MATCH($B19,tab_MinKomp[[Stanowisko / Position ]:[Stanowisko / Position ]],0)))</f>
        <v>0</v>
      </c>
      <c r="CR20" s="315" t="str">
        <f>IF(INDEX(tab_MinKomp[SUPPLIER MANAGEMENT],MATCH($B19,tab_MinKomp[[Stanowisko / Position ]:[Stanowisko / Position ]],0))="n/a","n/a",CR19-INDEX(tab_MinKomp[SUPPLIER MANAGEMENT],MATCH($B19,tab_MinKomp[[Stanowisko / Position ]:[Stanowisko / Position ]],0)))</f>
        <v>n/a</v>
      </c>
      <c r="CS20" s="315" t="str">
        <f>IF(INDEX(tab_MinKomp[OBSŁUGA PORTALI KLIENTA / Kundenportale],MATCH($B19,tab_MinKomp[[Stanowisko / Position ]:[Stanowisko / Position ]],0))="n/a","n/a",CS19-INDEX(tab_MinKomp[OBSŁUGA PORTALI KLIENTA / Kundenportale],MATCH($B19,tab_MinKomp[[Stanowisko / Position ]:[Stanowisko / Position ]],0)))</f>
        <v>n/a</v>
      </c>
      <c r="CT20" s="315">
        <f>IF(INDEX(tab_MinKomp[Obsługa systemu BABTECQ / BABTECQ System],MATCH($B19,tab_MinKomp[[Stanowisko / Position ]:[Stanowisko / Position ]],0))="n/a","n/a",CT19-INDEX(tab_MinKomp[Obsługa systemu BABTECQ / BABTECQ System],MATCH($B19,tab_MinKomp[[Stanowisko / Position ]:[Stanowisko / Position ]],0)))</f>
        <v>0</v>
      </c>
      <c r="CU20" s="315">
        <f>IF(INDEX(tab_MinKomp[Rysunek techniczny / technische Zeichnung],MATCH($B19,tab_MinKomp[[Stanowisko / Position ]:[Stanowisko / Position ]],0))="n/a","n/a",CU19-INDEX(tab_MinKomp[Rysunek techniczny / technische Zeichnung],MATCH($B19,tab_MinKomp[[Stanowisko / Position ]:[Stanowisko / Position ]],0)))</f>
        <v>0</v>
      </c>
      <c r="CV20" s="315" t="str">
        <f>IF(INDEX(tab_MinKomp[Kalibracja / Kalibrierung],MATCH($B19,tab_MinKomp[[Stanowisko / Position ]:[Stanowisko / Position ]],0))="n/a","n/a",CV19-INDEX(tab_MinKomp[Kalibracja / Kalibrierung],MATCH($B19,tab_MinKomp[[Stanowisko / Position ]:[Stanowisko / Position ]],0)))</f>
        <v>n/a</v>
      </c>
      <c r="CW20" s="315" t="str">
        <f>IF(INDEX(tab_MinKomp[Rekwalifikacja / Requalifizierung],MATCH($B19,tab_MinKomp[[Stanowisko / Position ]:[Stanowisko / Position ]],0))="n/a","n/a",CW19-INDEX(tab_MinKomp[Rekwalifikacja / Requalifizierung],MATCH($B19,tab_MinKomp[[Stanowisko / Position ]:[Stanowisko / Position ]],0)))</f>
        <v>n/a</v>
      </c>
      <c r="CX20" s="315" t="str">
        <f>IF(INDEX(tab_MinKomp[CMM - Contura Zeiss],MATCH($B19,tab_MinKomp[[Stanowisko / Position ]:[Stanowisko / Position ]],0))="n/a","n/a",CX19-INDEX(tab_MinKomp[CMM - Contura Zeiss],MATCH($B19,tab_MinKomp[[Stanowisko / Position ]:[Stanowisko / Position ]],0)))</f>
        <v>n/a</v>
      </c>
      <c r="CY20" s="315" t="str">
        <f>IF(INDEX(tab_MinKomp[CMM - Contura Zeiss],MATCH($B19,tab_MinKomp[[Stanowisko / Position ]:[Stanowisko / Position ]],0))="n/a","n/a",CY19-INDEX(tab_MinKomp[CMM - Contura Zeiss],MATCH($B19,tab_MinKomp[[Stanowisko / Position ]:[Stanowisko / Position ]],0)))</f>
        <v>n/a</v>
      </c>
      <c r="CZ20" s="315" t="str">
        <f>IF(INDEX(tab_MinKomp[CMM - Contura Zeiss],MATCH($B19,tab_MinKomp[[Stanowisko / Position ]:[Stanowisko / Position ]],0))="n/a","n/a",CZ19-INDEX(tab_MinKomp[CMM - Contura Zeiss],MATCH($B19,tab_MinKomp[[Stanowisko / Position ]:[Stanowisko / Position ]],0)))</f>
        <v>n/a</v>
      </c>
      <c r="DA20" s="315" t="str">
        <f>IF(INDEX(tab_MinKomp[CMM - Contura Zeiss],MATCH($B19,tab_MinKomp[[Stanowisko / Position ]:[Stanowisko / Position ]],0))="n/a","n/a",DA19-INDEX(tab_MinKomp[CMM - Contura Zeiss],MATCH($B19,tab_MinKomp[[Stanowisko / Position ]:[Stanowisko / Position ]],0)))</f>
        <v>n/a</v>
      </c>
      <c r="DB20" s="315" t="str">
        <f>IF(INDEX(tab_MinKomp[CMM - Contura Zeiss],MATCH($B19,tab_MinKomp[[Stanowisko / Position ]:[Stanowisko / Position ]],0))="n/a","n/a",DB19-INDEX(tab_MinKomp[CMM - Contura Zeiss],MATCH($B19,tab_MinKomp[[Stanowisko / Position ]:[Stanowisko / Position ]],0)))</f>
        <v>n/a</v>
      </c>
      <c r="DC20" s="315" t="str">
        <f>IF(INDEX(tab_MinKomp[CMM - Contura Zeiss],MATCH($B19,tab_MinKomp[[Stanowisko / Position ]:[Stanowisko / Position ]],0))="n/a","n/a",DC19-INDEX(tab_MinKomp[CMM - Contura Zeiss],MATCH($B19,tab_MinKomp[[Stanowisko / Position ]:[Stanowisko / Position ]],0)))</f>
        <v>n/a</v>
      </c>
      <c r="DD20" s="315" t="str">
        <f>IF(INDEX(tab_MinKomp[Pisanie programów / Programme schreiben],MATCH($B19,tab_MinKomp[[Stanowisko / Position ]:[Stanowisko / Position ]],0))="n/a","n/a",DD19-INDEX(tab_MinKomp[Pisanie programów / Programme schreiben],MATCH($B19,tab_MinKomp[[Stanowisko / Position ]:[Stanowisko / Position ]],0)))</f>
        <v>n/a</v>
      </c>
      <c r="DE20" s="315" t="str">
        <f>IF(INDEX(tab_MinKomp[CMM - Contura Zeiss],MATCH($B19,tab_MinKomp[[Stanowisko / Position ]:[Stanowisko / Position ]],0))="n/a","n/a",DE19-INDEX(tab_MinKomp[CMM - Contura Zeiss],MATCH($B19,tab_MinKomp[[Stanowisko / Position ]:[Stanowisko / Position ]],0)))</f>
        <v>n/a</v>
      </c>
      <c r="DF20" s="315" t="str">
        <f>IF(INDEX(tab_MinKomp[CMM - Contura Zeiss],MATCH($B19,tab_MinKomp[[Stanowisko / Position ]:[Stanowisko / Position ]],0))="n/a","n/a",DF19-INDEX(tab_MinKomp[CMM - Contura Zeiss],MATCH($B19,tab_MinKomp[[Stanowisko / Position ]:[Stanowisko / Position ]],0)))</f>
        <v>n/a</v>
      </c>
      <c r="DG20" s="315" t="str">
        <f>IF(INDEX(tab_MinKomp[CMM - Contura Zeiss],MATCH($B19,tab_MinKomp[[Stanowisko / Position ]:[Stanowisko / Position ]],0))="n/a","n/a",DG19-INDEX(tab_MinKomp[CMM - Contura Zeiss],MATCH($B19,tab_MinKomp[[Stanowisko / Position ]:[Stanowisko / Position ]],0)))</f>
        <v>n/a</v>
      </c>
      <c r="DH20" s="315" t="str">
        <f>IF(INDEX(tab_MinKomp[CMM - Contura Zeiss],MATCH($B19,tab_MinKomp[[Stanowisko / Position ]:[Stanowisko / Position ]],0))="n/a","n/a",DH19-INDEX(tab_MinKomp[CMM - Contura Zeiss],MATCH($B19,tab_MinKomp[[Stanowisko / Position ]:[Stanowisko / Position ]],0)))</f>
        <v>n/a</v>
      </c>
      <c r="DI20" s="315" t="str">
        <f>IF(INDEX(tab_MinKomp[CMM - Contura Zeiss],MATCH($B19,tab_MinKomp[[Stanowisko / Position ]:[Stanowisko / Position ]],0))="n/a","n/a",DI19-INDEX(tab_MinKomp[CMM - Contura Zeiss],MATCH($B19,tab_MinKomp[[Stanowisko / Position ]:[Stanowisko / Position ]],0)))</f>
        <v>n/a</v>
      </c>
      <c r="DJ20" s="315" t="str">
        <f>IF(INDEX(tab_MinKomp[CMM - Contura Zeiss],MATCH($B19,tab_MinKomp[[Stanowisko / Position ]:[Stanowisko / Position ]],0))="n/a","n/a",DJ19-INDEX(tab_MinKomp[CMM - Contura Zeiss],MATCH($B19,tab_MinKomp[[Stanowisko / Position ]:[Stanowisko / Position ]],0)))</f>
        <v>n/a</v>
      </c>
      <c r="DK20" s="315" t="str">
        <f>IF(INDEX(tab_MinKomp[Pisanie programów / Programme schreiben],MATCH($B19,tab_MinKomp[[Stanowisko / Position ]:[Stanowisko / Position ]],0))="n/a","n/a",DK19-INDEX(tab_MinKomp[Pisanie programów / Programme schreiben],MATCH($B19,tab_MinKomp[[Stanowisko / Position ]:[Stanowisko / Position ]],0)))</f>
        <v>n/a</v>
      </c>
      <c r="DL20" s="315" t="str">
        <f>IF(INDEX(tab_MinKomp[CMM - Contura Zeiss],MATCH($B19,tab_MinKomp[[Stanowisko / Position ]:[Stanowisko / Position ]],0))="n/a","n/a",DL19-INDEX(tab_MinKomp[CMM - Contura Zeiss],MATCH($B19,tab_MinKomp[[Stanowisko / Position ]:[Stanowisko / Position ]],0)))</f>
        <v>n/a</v>
      </c>
      <c r="DM20" s="315" t="str">
        <f>IF(INDEX(tab_MinKomp[CMM - Contura Zeiss],MATCH($B19,tab_MinKomp[[Stanowisko / Position ]:[Stanowisko / Position ]],0))="n/a","n/a",DM19-INDEX(tab_MinKomp[CMM - Contura Zeiss],MATCH($B19,tab_MinKomp[[Stanowisko / Position ]:[Stanowisko / Position ]],0)))</f>
        <v>n/a</v>
      </c>
      <c r="DN20" s="315" t="str">
        <f>IF(INDEX(tab_MinKomp[CMM - Contura Zeiss],MATCH($B19,tab_MinKomp[[Stanowisko / Position ]:[Stanowisko / Position ]],0))="n/a","n/a",DN19-INDEX(tab_MinKomp[CMM - Contura Zeiss],MATCH($B19,tab_MinKomp[[Stanowisko / Position ]:[Stanowisko / Position ]],0)))</f>
        <v>n/a</v>
      </c>
      <c r="DO20" s="315" t="str">
        <f>IF(INDEX(tab_MinKomp[CMM - Contura Zeiss],MATCH($B19,tab_MinKomp[[Stanowisko / Position ]:[Stanowisko / Position ]],0))="n/a","n/a",DO19-INDEX(tab_MinKomp[CMM - Contura Zeiss],MATCH($B19,tab_MinKomp[[Stanowisko / Position ]:[Stanowisko / Position ]],0)))</f>
        <v>n/a</v>
      </c>
      <c r="DP20" s="315" t="str">
        <f>IF(INDEX(tab_MinKomp[CMM - Contura Zeiss],MATCH($B19,tab_MinKomp[[Stanowisko / Position ]:[Stanowisko / Position ]],0))="n/a","n/a",DP19-INDEX(tab_MinKomp[CMM - Contura Zeiss],MATCH($B19,tab_MinKomp[[Stanowisko / Position ]:[Stanowisko / Position ]],0)))</f>
        <v>n/a</v>
      </c>
      <c r="DQ20" s="315" t="str">
        <f>IF(INDEX(tab_MinKomp[CMM - Contura Zeiss],MATCH($B19,tab_MinKomp[[Stanowisko / Position ]:[Stanowisko / Position ]],0))="n/a","n/a",DQ19-INDEX(tab_MinKomp[CMM - Contura Zeiss],MATCH($B19,tab_MinKomp[[Stanowisko / Position ]:[Stanowisko / Position ]],0)))</f>
        <v>n/a</v>
      </c>
      <c r="DR20" s="315" t="str">
        <f>IF(INDEX(tab_MinKomp[Pisanie programów / Programme schreiben],MATCH($B19,tab_MinKomp[[Stanowisko / Position ]:[Stanowisko / Position ]],0))="n/a","n/a",DR19-INDEX(tab_MinKomp[Pisanie programów / Programme schreiben],MATCH($B19,tab_MinKomp[[Stanowisko / Position ]:[Stanowisko / Position ]],0)))</f>
        <v>n/a</v>
      </c>
      <c r="DS20" s="315" t="str">
        <f>IF(INDEX(tab_MinKomp[CMM - Contura Zeiss],MATCH($B19,tab_MinKomp[[Stanowisko / Position ]:[Stanowisko / Position ]],0))="n/a","n/a",DS19-INDEX(tab_MinKomp[CMM - Contura Zeiss],MATCH($B19,tab_MinKomp[[Stanowisko / Position ]:[Stanowisko / Position ]],0)))</f>
        <v>n/a</v>
      </c>
      <c r="DT20" s="315" t="str">
        <f>IF(INDEX(tab_MinKomp[CMM - Contura Zeiss],MATCH($B19,tab_MinKomp[[Stanowisko / Position ]:[Stanowisko / Position ]],0))="n/a","n/a",DT19-INDEX(tab_MinKomp[CMM - Contura Zeiss],MATCH($B19,tab_MinKomp[[Stanowisko / Position ]:[Stanowisko / Position ]],0)))</f>
        <v>n/a</v>
      </c>
      <c r="DU20" s="315" t="str">
        <f>IF(INDEX(tab_MinKomp[CMM - Contura Zeiss],MATCH($B19,tab_MinKomp[[Stanowisko / Position ]:[Stanowisko / Position ]],0))="n/a","n/a",DU19-INDEX(tab_MinKomp[CMM - Contura Zeiss],MATCH($B19,tab_MinKomp[[Stanowisko / Position ]:[Stanowisko / Position ]],0)))</f>
        <v>n/a</v>
      </c>
      <c r="DV20" s="315" t="str">
        <f>IF(INDEX(tab_MinKomp[CMM - Contura Zeiss],MATCH($B19,tab_MinKomp[[Stanowisko / Position ]:[Stanowisko / Position ]],0))="n/a","n/a",DV19-INDEX(tab_MinKomp[CMM - Contura Zeiss],MATCH($B19,tab_MinKomp[[Stanowisko / Position ]:[Stanowisko / Position ]],0)))</f>
        <v>n/a</v>
      </c>
      <c r="DW20" s="315" t="str">
        <f>IF(INDEX(tab_MinKomp[CMM - Contura Zeiss],MATCH($B19,tab_MinKomp[[Stanowisko / Position ]:[Stanowisko / Position ]],0))="n/a","n/a",DW19-INDEX(tab_MinKomp[CMM - Contura Zeiss],MATCH($B19,tab_MinKomp[[Stanowisko / Position ]:[Stanowisko / Position ]],0)))</f>
        <v>n/a</v>
      </c>
      <c r="DX20" s="315" t="str">
        <f>IF(INDEX(tab_MinKomp[CMM - Contura Zeiss],MATCH($B19,tab_MinKomp[[Stanowisko / Position ]:[Stanowisko / Position ]],0))="n/a","n/a",DX19-INDEX(tab_MinKomp[CMM - Contura Zeiss],MATCH($B19,tab_MinKomp[[Stanowisko / Position ]:[Stanowisko / Position ]],0)))</f>
        <v>n/a</v>
      </c>
      <c r="DY20" s="315" t="str">
        <f>IF(INDEX(tab_MinKomp[Konserwacja Rep],MATCH($B19,tab_MinKomp[[Stanowisko / Position ]:[Stanowisko / Position ]],0))="n/a","n/a",DY19-INDEX(tab_MinKomp[Konserwacja Rep],MATCH($B19,tab_MinKomp[[Stanowisko / Position ]:[Stanowisko / Position ]],0)))</f>
        <v>n/a</v>
      </c>
      <c r="DZ20" s="315" t="str">
        <f>IF(INDEX(tab_MinKomp[[Konserwacja Engel ]],MATCH($B19,tab_MinKomp[[Stanowisko / Position ]:[Stanowisko / Position ]],0))="n/a","n/a",DZ19-INDEX(tab_MinKomp[[Konserwacja Engel ]],MATCH($B19,tab_MinKomp[[Stanowisko / Position ]:[Stanowisko / Position ]],0)))</f>
        <v>n/a</v>
      </c>
      <c r="EA20" s="315" t="str">
        <f>IF(INDEX(tab_MinKomp[Konserwacja B 50],MATCH($B19,tab_MinKomp[[Stanowisko / Position ]:[Stanowisko / Position ]],0))="n/a","n/a",EA19-INDEX(tab_MinKomp[Konserwacja B 50],MATCH($B19,tab_MinKomp[[Stanowisko / Position ]:[Stanowisko / Position ]],0)))</f>
        <v>n/a</v>
      </c>
      <c r="EB20" s="315" t="str">
        <f>IF(INDEX(tab_MinKomp[[Konserwacja EOL ]],MATCH($B19,tab_MinKomp[[Stanowisko / Position ]:[Stanowisko / Position ]],0))="n/a","n/a",EB19-INDEX(tab_MinKomp[[Konserwacja EOL ]],MATCH($B19,tab_MinKomp[[Stanowisko / Position ]:[Stanowisko / Position ]],0)))</f>
        <v>n/a</v>
      </c>
      <c r="EC20" s="315" t="str">
        <f>IF(INDEX(tab_MinKomp[Konserwacja Branson],MATCH($B19,tab_MinKomp[[Stanowisko / Position ]:[Stanowisko / Position ]],0))="n/a","n/a",EC19-INDEX(tab_MinKomp[Konserwacja Branson],MATCH($B19,tab_MinKomp[[Stanowisko / Position ]:[Stanowisko / Position ]],0)))</f>
        <v>n/a</v>
      </c>
      <c r="ED20" s="315" t="str">
        <f>IF(INDEX(tab_MinKomp[Konserwacja coolery],MATCH($B19,tab_MinKomp[[Stanowisko / Position ]:[Stanowisko / Position ]],0))="n/a","n/a",ED19-INDEX(tab_MinKomp[Konserwacja coolery],MATCH($B19,tab_MinKomp[[Stanowisko / Position ]:[Stanowisko / Position ]],0)))</f>
        <v>n/a</v>
      </c>
      <c r="EE20" s="315" t="str">
        <f>IF(INDEX(tab_MinKomp[Konserwacja piecy],MATCH($B19,tab_MinKomp[[Stanowisko / Position ]:[Stanowisko / Position ]],0))="n/a","n/a",EE19-INDEX(tab_MinKomp[Konserwacja piecy],MATCH($B19,tab_MinKomp[[Stanowisko / Position ]:[Stanowisko / Position ]],0)))</f>
        <v>n/a</v>
      </c>
      <c r="EF20" s="315" t="str">
        <f>IF(INDEX(tab_MinKomp[Rysunek techniczny- czytanie],MATCH($B19,tab_MinKomp[[Stanowisko / Position ]:[Stanowisko / Position ]],0))="n/a","n/a",EF19-INDEX(tab_MinKomp[Rysunek techniczny- czytanie],MATCH($B19,tab_MinKomp[[Stanowisko / Position ]:[Stanowisko / Position ]],0)))</f>
        <v>n/a</v>
      </c>
      <c r="EG20" s="315" t="str">
        <f>IF(INDEX(tab_MinKomp[Elektryka],MATCH($B19,tab_MinKomp[[Stanowisko / Position ]:[Stanowisko / Position ]],0))="n/a","n/a",EG19-INDEX(tab_MinKomp[Elektryka],MATCH($B19,tab_MinKomp[[Stanowisko / Position ]:[Stanowisko / Position ]],0)))</f>
        <v>n/a</v>
      </c>
      <c r="EH20" s="315" t="str">
        <f>IF(INDEX(tab_MinKomp[Pneumatyka],MATCH($B19,tab_MinKomp[[Stanowisko / Position ]:[Stanowisko / Position ]],0))="n/a","n/a",EH19-INDEX(tab_MinKomp[Pneumatyka],MATCH($B19,tab_MinKomp[[Stanowisko / Position ]:[Stanowisko / Position ]],0)))</f>
        <v>n/a</v>
      </c>
      <c r="EI20" s="315" t="str">
        <f>IF(INDEX(tab_MinKomp[[Hydraulika ]],MATCH($B19,tab_MinKomp[[Stanowisko / Position ]:[Stanowisko / Position ]],0))="n/a","n/a",EI19-INDEX(tab_MinKomp[[Hydraulika ]],MATCH($B19,tab_MinKomp[[Stanowisko / Position ]:[Stanowisko / Position ]],0)))</f>
        <v>n/a</v>
      </c>
      <c r="EJ20" s="315" t="str">
        <f>IF(INDEX(tab_MinKomp[Podciśnienie],MATCH($B19,tab_MinKomp[[Stanowisko / Position ]:[Stanowisko / Position ]],0))="n/a","n/a",EJ19-INDEX(tab_MinKomp[Podciśnienie],MATCH($B19,tab_MinKomp[[Stanowisko / Position ]:[Stanowisko / Position ]],0)))</f>
        <v>n/a</v>
      </c>
      <c r="EK20" s="315" t="str">
        <f>IF(INDEX(tab_MinKomp[Usuwanie awarii],MATCH($B19,tab_MinKomp[[Stanowisko / Position ]:[Stanowisko / Position ]],0))="n/a","n/a",EK19-INDEX(tab_MinKomp[Usuwanie awarii],MATCH($B19,tab_MinKomp[[Stanowisko / Position ]:[Stanowisko / Position ]],0)))</f>
        <v>n/a</v>
      </c>
      <c r="EL20" s="315" t="str">
        <f>IF(INDEX(tab_MinKomp[Obsługa robotów],MATCH($B19,tab_MinKomp[[Stanowisko / Position ]:[Stanowisko / Position ]],0))="n/a","n/a",EL19-INDEX(tab_MinKomp[Obsługa robotów],MATCH($B19,tab_MinKomp[[Stanowisko / Position ]:[Stanowisko / Position ]],0)))</f>
        <v>n/a</v>
      </c>
      <c r="EM20" s="315" t="str">
        <f>IF(INDEX(tab_MinKomp[Obsługa sterowania maszyny],MATCH($B19,tab_MinKomp[[Stanowisko / Position ]:[Stanowisko / Position ]],0))="n/a","n/a",EM19-INDEX(tab_MinKomp[Obsługa sterowania maszyny],MATCH($B19,tab_MinKomp[[Stanowisko / Position ]:[Stanowisko / Position ]],0)))</f>
        <v>n/a</v>
      </c>
      <c r="EN20" s="315" t="str">
        <f>IF(INDEX(tab_MinKomp[Usuwanie przyczyn żródłowych],MATCH($B19,tab_MinKomp[[Stanowisko / Position ]:[Stanowisko / Position ]],0))="n/a","n/a",EN19-INDEX(tab_MinKomp[Usuwanie przyczyn żródłowych],MATCH($B19,tab_MinKomp[[Stanowisko / Position ]:[Stanowisko / Position ]],0)))</f>
        <v>n/a</v>
      </c>
      <c r="EO20" s="315" t="str">
        <f>IF(INDEX(tab_MinKomp[Cmms stosowanie],MATCH($B19,tab_MinKomp[[Stanowisko / Position ]:[Stanowisko / Position ]],0))="n/a","n/a",EO19-INDEX(tab_MinKomp[Cmms stosowanie],MATCH($B19,tab_MinKomp[[Stanowisko / Position ]:[Stanowisko / Position ]],0)))</f>
        <v>n/a</v>
      </c>
      <c r="EP20" s="315" t="str">
        <f>IF(INDEX(tab_MinKomp[[Czyszczenie form gumowych ]],MATCH($B19,tab_MinKomp[[Stanowisko / Position ]:[Stanowisko / Position ]],0))="n/a","n/a",EP19-INDEX(tab_MinKomp[[Czyszczenie form gumowych ]],MATCH($B19,tab_MinKomp[[Stanowisko / Position ]:[Stanowisko / Position ]],0)))</f>
        <v>n/a</v>
      </c>
      <c r="EQ20" s="315" t="str">
        <f>IF(INDEX(tab_MinKomp[Czyszczenie form plastikowych],MATCH($B19,tab_MinKomp[[Stanowisko / Position ]:[Stanowisko / Position ]],0))="n/a","n/a",EQ19-INDEX(tab_MinKomp[Czyszczenie form plastikowych],MATCH($B19,tab_MinKomp[[Stanowisko / Position ]:[Stanowisko / Position ]],0)))</f>
        <v>n/a</v>
      </c>
      <c r="ER20" s="315" t="str">
        <f>IF(INDEX(tab_MinKomp[Wymiana form plastik],MATCH($B19,tab_MinKomp[[Stanowisko / Position ]:[Stanowisko / Position ]],0))="n/a","n/a",ER19-INDEX(tab_MinKomp[Wymiana form plastik],MATCH($B19,tab_MinKomp[[Stanowisko / Position ]:[Stanowisko / Position ]],0)))</f>
        <v>n/a</v>
      </c>
      <c r="ES20" s="315" t="str">
        <f>IF(INDEX(tab_MinKomp[Wymiana form guma],MATCH($B19,tab_MinKomp[[Stanowisko / Position ]:[Stanowisko / Position ]],0))="n/a","n/a",ES19-INDEX(tab_MinKomp[Wymiana form guma],MATCH($B19,tab_MinKomp[[Stanowisko / Position ]:[Stanowisko / Position ]],0)))</f>
        <v>n/a</v>
      </c>
      <c r="ET20" s="315" t="str">
        <f>IF(INDEX(tab_MinKomp[Konserwacja KK],MATCH($B19,tab_MinKomp[[Stanowisko / Position ]:[Stanowisko / Position ]],0))="n/a","n/a",ET19-INDEX(tab_MinKomp[Konserwacja KK],MATCH($B19,tab_MinKomp[[Stanowisko / Position ]:[Stanowisko / Position ]],0)))</f>
        <v>n/a</v>
      </c>
      <c r="EU20" s="315" t="str">
        <f>IF(INDEX(tab_MinKomp[Konserwacja form guma],MATCH($B19,tab_MinKomp[[Stanowisko / Position ]:[Stanowisko / Position ]],0))="n/a","n/a",EU19-INDEX(tab_MinKomp[Konserwacja form guma],MATCH($B19,tab_MinKomp[[Stanowisko / Position ]:[Stanowisko / Position ]],0)))</f>
        <v>n/a</v>
      </c>
      <c r="EV20" s="315" t="str">
        <f>IF(INDEX(tab_MinKomp[Konserwacja form plastiki],MATCH($B19,tab_MinKomp[[Stanowisko / Position ]:[Stanowisko / Position ]],0))="n/a","n/a",EV19-INDEX(tab_MinKomp[Konserwacja form plastiki],MATCH($B19,tab_MinKomp[[Stanowisko / Position ]:[Stanowisko / Position ]],0)))</f>
        <v>n/a</v>
      </c>
      <c r="EW20" s="330" t="str">
        <f>IF(INDEX(tab_MinKomp[Konserwacja form plastiki],MATCH($B19,tab_MinKomp[[Stanowisko / Position ]:[Stanowisko / Position ]],0))="n/a","n/a",EW19-INDEX(tab_MinKomp[Konserwacja form plastiki],MATCH($B19,tab_MinKomp[[Stanowisko / Position ]:[Stanowisko / Position ]],0)))</f>
        <v>n/a</v>
      </c>
      <c r="EX20" s="315" t="str">
        <f>IF(INDEX(tab_MinKomp[Konserwacja Gorącego Kanału],MATCH($B19,tab_MinKomp[[Stanowisko / Position ]:[Stanowisko / Position ]],0))="n/a","n/a",EX19-INDEX(tab_MinKomp[Konserwacja Gorącego Kanału],MATCH($B19,tab_MinKomp[[Stanowisko / Position ]:[Stanowisko / Position ]],0)))</f>
        <v>n/a</v>
      </c>
      <c r="EY20" s="315">
        <f>IF(INDEX(tab_MinKomp[MS Office (Excel)],MATCH($B19,tab_MinKomp[[Stanowisko / Position ]:[Stanowisko / Position ]],0))="n/a","n/a",EY19-INDEX(tab_MinKomp[MS Office (Excel)],MATCH($B19,tab_MinKomp[[Stanowisko / Position ]:[Stanowisko / Position ]],0)))</f>
        <v>-1</v>
      </c>
      <c r="EZ20" s="315">
        <f>IF(INDEX(tab_MinKomp[MS Office (Word)],MATCH($B19,tab_MinKomp[[Stanowisko / Position ]:[Stanowisko / Position ]],0))="n/a","n/a",EZ19-INDEX(tab_MinKomp[MS Office (Word)],MATCH($B19,tab_MinKomp[[Stanowisko / Position ]:[Stanowisko / Position ]],0)))</f>
        <v>-1</v>
      </c>
      <c r="FA20" s="315">
        <f>IF(INDEX(tab_MinKomp[MS Office (Power Point)],MATCH($B19,tab_MinKomp[[Stanowisko / Position ]:[Stanowisko / Position ]],0))="n/a","n/a",FA19-INDEX(tab_MinKomp[MS Office (Power Point)],MATCH($B19,tab_MinKomp[[Stanowisko / Position ]:[Stanowisko / Position ]],0)))</f>
        <v>0</v>
      </c>
      <c r="FB20" s="315" t="str">
        <f>IF(INDEX(tab_MinKomp[Język angielski / Englisch],MATCH($B19,tab_MinKomp[[Stanowisko / Position ]:[Stanowisko / Position ]],0))="n/a","n/a",FB19-INDEX(tab_MinKomp[Język angielski / Englisch],MATCH($B19,tab_MinKomp[[Stanowisko / Position ]:[Stanowisko / Position ]],0)))</f>
        <v>n/a</v>
      </c>
      <c r="FC20" s="315" t="str">
        <f>IF(INDEX(tab_MinKomp[Język niemiecki / Deutsch],MATCH($B19,tab_MinKomp[[Stanowisko / Position ]:[Stanowisko / Position ]],0))="n/a","n/a",FC19-INDEX(tab_MinKomp[Język niemiecki / Deutsch],MATCH($B19,tab_MinKomp[[Stanowisko / Position ]:[Stanowisko / Position ]],0)))</f>
        <v>n/a</v>
      </c>
      <c r="FD20" s="315">
        <f>IF(INDEX(tab_MinKomp[Zarządzanie dokumentacją procesową / Process dokumentation management],MATCH($B19,tab_MinKomp[[Stanowisko / Position ]:[Stanowisko / Position ]],0))="n/a","n/a",FD19-INDEX(tab_MinKomp[Zarządzanie dokumentacją procesową / Process dokumentation management],MATCH($B19,tab_MinKomp[[Stanowisko / Position ]:[Stanowisko / Position ]],0)))</f>
        <v>0</v>
      </c>
      <c r="FE20" s="315">
        <f>IF(INDEX(tab_MinKomp[Znajomość procesów z obszaru / Kenntiss der prozesse in dem Bereich],MATCH($B19,tab_MinKomp[[Stanowisko / Position ]:[Stanowisko / Position ]],0))="n/a","n/a",FE19-INDEX(tab_MinKomp[Znajomość procesów z obszaru / Kenntiss der prozesse in dem Bereich],MATCH($B19,tab_MinKomp[[Stanowisko / Position ]:[Stanowisko / Position ]],0)))</f>
        <v>0</v>
      </c>
      <c r="FF20" s="315" t="str">
        <f>IF(INDEX(tab_MinKomp[optymalizacja procesów / Prozessoptymalisierung],MATCH($B19,tab_MinKomp[[Stanowisko / Position ]:[Stanowisko / Position ]],0))="n/a","n/a",FF19-INDEX(tab_MinKomp[optymalizacja procesów / Prozessoptymalisierung],MATCH($B19,tab_MinKomp[[Stanowisko / Position ]:[Stanowisko / Position ]],0)))</f>
        <v>n/a</v>
      </c>
      <c r="FG20" s="315">
        <f>IF(INDEX(tab_MinKomp[Umiejętności szkoleniowe / Trainingsfähigkeiten],MATCH($B19,tab_MinKomp[[Stanowisko / Position ]:[Stanowisko / Position ]],0))="n/a","n/a",FG19-INDEX(tab_MinKomp[Umiejętności szkoleniowe / Trainingsfähigkeiten],MATCH($B19,tab_MinKomp[[Stanowisko / Position ]:[Stanowisko / Position ]],0)))</f>
        <v>-1</v>
      </c>
      <c r="FH20" s="315">
        <f>IF(INDEX(tab_MinKomp[Analityczne myślenie, podejście / Analitysches Denken, Einstellung],MATCH($B19,tab_MinKomp[[Stanowisko / Position ]:[Stanowisko / Position ]],0))="n/a","n/a",FH19-INDEX(tab_MinKomp[Analityczne myślenie, podejście / Analitysches Denken, Einstellung],MATCH($B19,tab_MinKomp[[Stanowisko / Position ]:[Stanowisko / Position ]],0)))</f>
        <v>-1</v>
      </c>
      <c r="FI20" s="315">
        <f>IF(INDEX(tab_MinKomp[Dokładność, precyzja w dzialaniu / Genauigkeit, Präzision in die Arbeit],MATCH($B19,tab_MinKomp[[Stanowisko / Position ]:[Stanowisko / Position ]],0))="n/a","n/a",FI19-INDEX(tab_MinKomp[Dokładność, precyzja w dzialaniu / Genauigkeit, Präzision in die Arbeit],MATCH($B19,tab_MinKomp[[Stanowisko / Position ]:[Stanowisko / Position ]],0)))</f>
        <v>-1</v>
      </c>
      <c r="FJ20" s="315">
        <f>IF(INDEX(tab_MinKomp[Dyspozycyjność / Verfügbarkeit],MATCH($B19,tab_MinKomp[[Stanowisko / Position ]:[Stanowisko / Position ]],0))="n/a","n/a",FJ19-INDEX(tab_MinKomp[Dyspozycyjność / Verfügbarkeit],MATCH($B19,tab_MinKomp[[Stanowisko / Position ]:[Stanowisko / Position ]],0)))</f>
        <v>0</v>
      </c>
      <c r="FK20" s="315">
        <f>IF(INDEX(tab_MinKomp[Zaangażowanie / 
Engagement],MATCH($B19,tab_MinKomp[[Stanowisko / Position ]:[Stanowisko / Position ]],0))="n/a","n/a",FK19-INDEX(tab_MinKomp[Zaangażowanie / 
Engagement],MATCH($B19,tab_MinKomp[[Stanowisko / Position ]:[Stanowisko / Position ]],0)))</f>
        <v>0</v>
      </c>
      <c r="FL20" s="315" t="str">
        <f>IF(INDEX(tab_MinKomp[Planowanie strategiczne / Strategische Planung],MATCH($B19,tab_MinKomp[[Stanowisko / Position ]:[Stanowisko / Position ]],0))="n/a","n/a",FL19-INDEX(tab_MinKomp[Planowanie strategiczne / Strategische Planung],MATCH($B19,tab_MinKomp[[Stanowisko / Position ]:[Stanowisko / Position ]],0)))</f>
        <v>n/a</v>
      </c>
      <c r="FM20" s="315" t="str">
        <f>IF(INDEX(tab_MinKomp[Konsekwentne i dynamiczne działanie],MATCH($B19,tab_MinKomp[[Stanowisko / Position ]:[Stanowisko / Position ]],0))="n/a","n/a",FM19-INDEX(tab_MinKomp[Konsekwentne i dynamiczne działanie],MATCH($B19,tab_MinKomp[[Stanowisko / Position ]:[Stanowisko / Position ]],0)))</f>
        <v>n/a</v>
      </c>
      <c r="FN20" s="315" t="str">
        <f>IF(INDEX(tab_MinKomp[Elastyczność w działaniu],MATCH($B19,tab_MinKomp[[Stanowisko / Position ]:[Stanowisko / Position ]],0))="n/a","n/a",FN19-INDEX(tab_MinKomp[Elastyczność w działaniu],MATCH($B19,tab_MinKomp[[Stanowisko / Position ]:[Stanowisko / Position ]],0)))</f>
        <v>n/a</v>
      </c>
      <c r="FO20" s="315">
        <f>IF(INDEX(tab_MinKomp[Komunikatywność],MATCH($B19,tab_MinKomp[[Stanowisko / Position ]:[Stanowisko / Position ]],0))="n/a","n/a",FO19-INDEX(tab_MinKomp[Komunikatywność],MATCH($B19,tab_MinKomp[[Stanowisko / Position ]:[Stanowisko / Position ]],0)))</f>
        <v>0</v>
      </c>
      <c r="FP20" s="314" t="str">
        <f>IF(INDEX(tab_MinKomp[Motywowanie i budowanie zaangażowania zespołu],MATCH($B19,tab_MinKomp[[Stanowisko / Position ]:[Stanowisko / Position ]],0))="n/a","n/a",FP19-INDEX(tab_MinKomp[Motywowanie i budowanie zaangażowania zespołu],MATCH($B19,tab_MinKomp[[Stanowisko / Position ]:[Stanowisko / Position ]],0)))</f>
        <v>n/a</v>
      </c>
      <c r="FQ20" s="318" t="str">
        <f>IFERROR(IF(INDEX(tab_MinKomp[BRAK / Keine],MATCH($B19,tab_MinKomp[[Stanowisko / Position ]:[Stanowisko / Position ]],0))="n/a","n/a",INDEX(tab_MinKomp[BRAK / Keine],MATCH($B19,tab_MinKomp[[Stanowisko / Position ]:[Stanowisko / Position ]],0))-FQ19),"")</f>
        <v>n/a</v>
      </c>
      <c r="FR20" s="315" t="str">
        <f>IF(INDEX(tab_MinKomp[MINIMUM 1 ROK / min. 1 Jahr],MATCH($B19,tab_MinKomp[[Stanowisko / Position ]:[Stanowisko / Position ]],0))="n/a","n/a",INDEX(tab_MinKomp[MINIMUM 1 ROK / min. 1 Jahr],MATCH($B19,tab_MinKomp[[Stanowisko / Position ]:[Stanowisko / Position ]],0)))</f>
        <v>X</v>
      </c>
      <c r="FS20" s="315" t="str">
        <f>IF(INDEX(tab_MinKomp[MINIMUM 2 LATA / min. 2 Jahre],MATCH($B19,tab_MinKomp[[Stanowisko / Position ]:[Stanowisko / Position ]],0))="n/a","n/a",INDEX(tab_MinKomp[MINIMUM 2 LATA / min. 2 Jahre],MATCH($B19,tab_MinKomp[[Stanowisko / Position ]:[Stanowisko / Position ]],0)))</f>
        <v>n/a</v>
      </c>
      <c r="FT20" s="315" t="str">
        <f>IF(INDEX(tab_MinKomp[MINIMUM 3 LATA / min. 3 Jahre],MATCH($B19,tab_MinKomp[[Stanowisko / Position ]:[Stanowisko / Position ]],0))="n/a","n/a",INDEX(tab_MinKomp[MINIMUM 3 LATA / min. 3 Jahre],MATCH($B19,tab_MinKomp[[Stanowisko / Position ]:[Stanowisko / Position ]],0)))</f>
        <v>n/a</v>
      </c>
      <c r="FU20" s="315" t="str">
        <f>IF(INDEX(tab_MinKomp[MINIMUM 4 LATA / min. 4 Jahre],MATCH($B19,tab_MinKomp[[Stanowisko / Position ]:[Stanowisko / Position ]],0))="n/a","n/a",INDEX(tab_MinKomp[MINIMUM 4 LATA / min. 4 Jahre],MATCH($B19,tab_MinKomp[[Stanowisko / Position ]:[Stanowisko / Position ]],0)))</f>
        <v>n/a</v>
      </c>
      <c r="FV20" s="319" t="str">
        <f>IF(INDEX(tab_MinKomp[MINIMUM 5 LAT / min. 5 Jahre],MATCH($B19,tab_MinKomp[[Stanowisko / Position ]:[Stanowisko / Position ]],0))="n/a","n/a",INDEX(tab_MinKomp[MINIMUM 5 LAT / min. 5 Jahre],MATCH($B19,tab_MinKomp[[Stanowisko / Position ]:[Stanowisko / Position ]],0)))</f>
        <v>n/a</v>
      </c>
      <c r="FW20" s="318" t="str">
        <f>IF(INDEX(tab_MinKomp[BRAK / Keine9],MATCH($B19,tab_MinKomp[[Stanowisko / Position ]:[Stanowisko / Position ]],0))="n/a","n/a",INDEX(tab_MinKomp[BRAK / Keine9],MATCH($B19,tab_MinKomp[[Stanowisko / Position ]:[Stanowisko / Position ]],0)))</f>
        <v>n/a</v>
      </c>
      <c r="FX20" s="315" t="str">
        <f>IF(INDEX(tab_MinKomp[ZAWODOWE / Berufsausbildung],MATCH($B19,tab_MinKomp[[Stanowisko / Position ]:[Stanowisko / Position ]],0))="n/a","n/a",INDEX(tab_MinKomp[ZAWODOWE / Berufsausbildung],MATCH($B19,tab_MinKomp[[Stanowisko / Position ]:[Stanowisko / Position ]],0)))</f>
        <v>X</v>
      </c>
      <c r="FY20" s="315" t="str">
        <f>IF(INDEX(tab_MinKomp[ŚREDNIE OGÓLNE / Abitur allgemeine],MATCH($B19,tab_MinKomp[[Stanowisko / Position ]:[Stanowisko / Position ]],0))="n/a","n/a",INDEX(tab_MinKomp[ŚREDNIE OGÓLNE / Abitur allgemeine],MATCH($B19,tab_MinKomp[[Stanowisko / Position ]:[Stanowisko / Position ]],0)))</f>
        <v>n/a</v>
      </c>
      <c r="FZ20" s="315" t="str">
        <f>IF(INDEX(tab_MinKomp[ŚREDNIE KIERUNKOWE / berufliches Gymnasium],MATCH($B19,tab_MinKomp[[Stanowisko / Position ]:[Stanowisko / Position ]],0))="n/a","n/a",INDEX(tab_MinKomp[ŚREDNIE KIERUNKOWE / berufliches Gymnasium],MATCH($B19,tab_MinKomp[[Stanowisko / Position ]:[Stanowisko / Position ]],0)))</f>
        <v>n/a</v>
      </c>
      <c r="GA20" s="315" t="str">
        <f>IF(INDEX(tab_MinKomp[WYŻSZE OGÓLNE / Hochschule allgemeine],MATCH($B19,tab_MinKomp[[Stanowisko / Position ]:[Stanowisko / Position ]],0))="n/a","n/a",INDEX(tab_MinKomp[WYŻSZE OGÓLNE / Hochschule allgemeine],MATCH($B19,tab_MinKomp[[Stanowisko / Position ]:[Stanowisko / Position ]],0)))</f>
        <v>n/a</v>
      </c>
      <c r="GB20" s="319" t="str">
        <f>IF(INDEX(tab_MinKomp[WYŻSZE KIERUNKOWE / Hochschule berufliche],MATCH($B19,tab_MinKomp[[Stanowisko / Position ]:[Stanowisko / Position ]],0))="n/a","n/a",INDEX(tab_MinKomp[WYŻSZE KIERUNKOWE / Hochschule berufliche],MATCH($B19,tab_MinKomp[[Stanowisko / Position ]:[Stanowisko / Position ]],0)))</f>
        <v>n/a</v>
      </c>
      <c r="GC20" s="318" t="str">
        <f>IF(INDEX(tab_MinKomp[PIERWSZA POMOC / Erste Hilfe],MATCH($B19,tab_MinKomp[[Stanowisko / Position ]:[Stanowisko / Position ]],0))="n/a","n/a",INDEX(tab_MinKomp[PIERWSZA POMOC / Erste Hilfe],MATCH($B19,tab_MinKomp[[Stanowisko / Position ]:[Stanowisko / Position ]],0)))</f>
        <v>n/a</v>
      </c>
      <c r="GD20" s="315" t="str">
        <f>IF(INDEX(tab_MinKomp[Specjalista BHP / BHP Spezialist],MATCH($B19,tab_MinKomp[[Stanowisko / Position ]:[Stanowisko / Position ]],0))="n/a","n/a",INDEX(tab_MinKomp[Specjalista BHP / BHP Spezialist],MATCH($B19,tab_MinKomp[[Stanowisko / Position ]:[Stanowisko / Position ]],0)))</f>
        <v>n/a</v>
      </c>
      <c r="GE20" s="315" t="str">
        <f>IF(INDEX(tab_MinKomp[Inspektor ochrony PPOŻ / Brandschutzinspektor],MATCH($B19,tab_MinKomp[[Stanowisko / Position ]:[Stanowisko / Position ]],0))="n/a","n/a",INDEX(tab_MinKomp[Inspektor ochrony PPOŻ / Brandschutzinspektor],MATCH($B19,tab_MinKomp[[Stanowisko / Position ]:[Stanowisko / Position ]],0)))</f>
        <v>n/a</v>
      </c>
      <c r="GF20" s="315" t="str">
        <f>IF(INDEX(tab_MinKomp[WÓZKI JEZDNIOWE / Gebelstapler],MATCH($B19,tab_MinKomp[[Stanowisko / Position ]:[Stanowisko / Position ]],0))="n/a","n/a",INDEX(tab_MinKomp[WÓZKI JEZDNIOWE / Gebelstapler],MATCH($B19,tab_MinKomp[[Stanowisko / Position ]:[Stanowisko / Position ]],0)))</f>
        <v>n/a</v>
      </c>
      <c r="GG20" s="315" t="str">
        <f>IF(INDEX(tab_MinKomp[SEP],MATCH($B19,tab_MinKomp[[Stanowisko / Position ]:[Stanowisko / Position ]],0))="n/a","n/a",INDEX(tab_MinKomp[SEP],MATCH($B19,tab_MinKomp[[Stanowisko / Position ]:[Stanowisko / Position ]],0)))</f>
        <v>n/a</v>
      </c>
      <c r="GH20" s="315" t="str">
        <f>IF(INDEX(tab_MinKomp[SEP  DOZÓR / SEP Aufsicht],MATCH($B19,tab_MinKomp[[Stanowisko / Position ]:[Stanowisko / Position ]],0))="n/a","n/a",INDEX(tab_MinKomp[SEP  DOZÓR / SEP Aufsicht],MATCH($B19,tab_MinKomp[[Stanowisko / Position ]:[Stanowisko / Position ]],0)))</f>
        <v>n/a</v>
      </c>
      <c r="GI20" s="315" t="str">
        <f>IF(INDEX(tab_MinKomp[PODNOŚNIKI / Hebevorrichtung],MATCH($B19,tab_MinKomp[[Stanowisko / Position ]:[Stanowisko / Position ]],0))="n/a","n/a",INDEX(tab_MinKomp[PODNOŚNIKI / Hebevorrichtung],MATCH($B19,tab_MinKomp[[Stanowisko / Position ]:[Stanowisko / Position ]],0)))</f>
        <v>n/a</v>
      </c>
      <c r="GJ20" s="315" t="str">
        <f>IF(INDEX(tab_MinKomp[SUWNICE / Laufkran],MATCH($B19,tab_MinKomp[[Stanowisko / Position ]:[Stanowisko / Position ]],0))="n/a","n/a",INDEX(tab_MinKomp[SUWNICE / Laufkran],MATCH($B19,tab_MinKomp[[Stanowisko / Position ]:[Stanowisko / Position ]],0)))</f>
        <v>n/a</v>
      </c>
      <c r="GK20" s="319" t="str">
        <f>IF(INDEX(tab_MinKomp[WYSOKOŚCIOWE / Höhenberechtigungen],MATCH($B19,tab_MinKomp[[Stanowisko / Position ]:[Stanowisko / Position ]],0))="n/a","n/a",INDEX(tab_MinKomp[WYSOKOŚCIOWE / Höhenberechtigungen],MATCH($B19,tab_MinKomp[[Stanowisko / Position ]:[Stanowisko / Position ]],0)))</f>
        <v>n/a</v>
      </c>
      <c r="GL20" s="320">
        <f>SUM(G20:FP20)/(GL19-(SUM(G20:FP20)))</f>
        <v>-0.1</v>
      </c>
    </row>
    <row r="21" spans="1:195" s="183" customFormat="1" ht="28.35" customHeight="1" x14ac:dyDescent="0.25">
      <c r="A21" s="182" t="s">
        <v>260</v>
      </c>
      <c r="B21" s="182" t="s">
        <v>193</v>
      </c>
      <c r="C21" s="182" t="s">
        <v>750</v>
      </c>
      <c r="D21" s="182">
        <v>803</v>
      </c>
      <c r="E21" s="607" t="s">
        <v>263</v>
      </c>
      <c r="F21" s="299" t="s">
        <v>165</v>
      </c>
      <c r="G21" s="306">
        <v>2</v>
      </c>
      <c r="H21" s="306">
        <v>2</v>
      </c>
      <c r="I21" s="306">
        <v>2</v>
      </c>
      <c r="J21" s="306">
        <v>1</v>
      </c>
      <c r="K21" s="306">
        <v>2</v>
      </c>
      <c r="L21" s="306">
        <v>1</v>
      </c>
      <c r="M21" s="306" t="s">
        <v>176</v>
      </c>
      <c r="N21" s="306" t="s">
        <v>176</v>
      </c>
      <c r="O21" s="306">
        <v>1</v>
      </c>
      <c r="P21" s="306">
        <v>1</v>
      </c>
      <c r="Q21" s="306" t="s">
        <v>176</v>
      </c>
      <c r="R21" s="306" t="s">
        <v>176</v>
      </c>
      <c r="S21" s="306" t="s">
        <v>176</v>
      </c>
      <c r="T21" s="306" t="s">
        <v>176</v>
      </c>
      <c r="U21" s="306" t="s">
        <v>176</v>
      </c>
      <c r="V21" s="306" t="s">
        <v>176</v>
      </c>
      <c r="W21" s="306" t="s">
        <v>176</v>
      </c>
      <c r="X21" s="306" t="s">
        <v>176</v>
      </c>
      <c r="Y21" s="306" t="s">
        <v>176</v>
      </c>
      <c r="Z21" s="306" t="s">
        <v>176</v>
      </c>
      <c r="AA21" s="306" t="s">
        <v>176</v>
      </c>
      <c r="AB21" s="306" t="s">
        <v>176</v>
      </c>
      <c r="AC21" s="306">
        <v>1</v>
      </c>
      <c r="AD21" s="306">
        <v>1</v>
      </c>
      <c r="AE21" s="306">
        <v>1</v>
      </c>
      <c r="AF21" s="306">
        <v>1</v>
      </c>
      <c r="AG21" s="306">
        <v>1</v>
      </c>
      <c r="AH21" s="306">
        <v>1</v>
      </c>
      <c r="AI21" s="308" t="s">
        <v>176</v>
      </c>
      <c r="AJ21" s="308" t="s">
        <v>176</v>
      </c>
      <c r="AK21" s="308" t="s">
        <v>176</v>
      </c>
      <c r="AL21" s="308">
        <v>1</v>
      </c>
      <c r="AM21" s="308" t="s">
        <v>176</v>
      </c>
      <c r="AN21" s="308" t="s">
        <v>176</v>
      </c>
      <c r="AO21" s="308">
        <v>1</v>
      </c>
      <c r="AP21" s="308">
        <v>1</v>
      </c>
      <c r="AQ21" s="308">
        <v>1</v>
      </c>
      <c r="AR21" s="308" t="s">
        <v>176</v>
      </c>
      <c r="AS21" s="308">
        <v>1</v>
      </c>
      <c r="AT21" s="308">
        <v>1</v>
      </c>
      <c r="AU21" s="308">
        <v>1</v>
      </c>
      <c r="AV21" s="308">
        <v>2</v>
      </c>
      <c r="AW21" s="308">
        <v>1</v>
      </c>
      <c r="AX21" s="308">
        <v>1</v>
      </c>
      <c r="AY21" s="308" t="s">
        <v>176</v>
      </c>
      <c r="AZ21" s="306">
        <v>1</v>
      </c>
      <c r="BA21" s="306" t="s">
        <v>176</v>
      </c>
      <c r="BB21" s="306" t="s">
        <v>176</v>
      </c>
      <c r="BC21" s="306" t="s">
        <v>176</v>
      </c>
      <c r="BD21" s="306" t="s">
        <v>176</v>
      </c>
      <c r="BE21" s="306" t="s">
        <v>176</v>
      </c>
      <c r="BF21" s="306" t="s">
        <v>176</v>
      </c>
      <c r="BG21" s="306" t="s">
        <v>176</v>
      </c>
      <c r="BH21" s="306" t="s">
        <v>176</v>
      </c>
      <c r="BI21" s="306" t="s">
        <v>176</v>
      </c>
      <c r="BJ21" s="306" t="s">
        <v>176</v>
      </c>
      <c r="BK21" s="306" t="s">
        <v>176</v>
      </c>
      <c r="BL21" s="306" t="s">
        <v>176</v>
      </c>
      <c r="BM21" s="306" t="s">
        <v>176</v>
      </c>
      <c r="BN21" s="306" t="s">
        <v>176</v>
      </c>
      <c r="BO21" s="306" t="s">
        <v>176</v>
      </c>
      <c r="BP21" s="306" t="s">
        <v>176</v>
      </c>
      <c r="BQ21" s="306" t="s">
        <v>176</v>
      </c>
      <c r="BR21" s="306" t="s">
        <v>176</v>
      </c>
      <c r="BS21" s="306" t="s">
        <v>176</v>
      </c>
      <c r="BT21" s="306" t="s">
        <v>176</v>
      </c>
      <c r="BU21" s="306" t="s">
        <v>176</v>
      </c>
      <c r="BV21" s="306" t="s">
        <v>176</v>
      </c>
      <c r="BW21" s="306" t="s">
        <v>176</v>
      </c>
      <c r="BX21" s="306" t="s">
        <v>176</v>
      </c>
      <c r="BY21" s="306" t="s">
        <v>176</v>
      </c>
      <c r="BZ21" s="306" t="s">
        <v>176</v>
      </c>
      <c r="CA21" s="306" t="s">
        <v>176</v>
      </c>
      <c r="CB21" s="306" t="s">
        <v>176</v>
      </c>
      <c r="CC21" s="306" t="s">
        <v>176</v>
      </c>
      <c r="CD21" s="306" t="s">
        <v>176</v>
      </c>
      <c r="CE21" s="306" t="s">
        <v>176</v>
      </c>
      <c r="CF21" s="306" t="s">
        <v>176</v>
      </c>
      <c r="CG21" s="306" t="s">
        <v>176</v>
      </c>
      <c r="CH21" s="306" t="s">
        <v>176</v>
      </c>
      <c r="CI21" s="306">
        <v>2</v>
      </c>
      <c r="CJ21" s="306" t="s">
        <v>176</v>
      </c>
      <c r="CK21" s="306" t="s">
        <v>176</v>
      </c>
      <c r="CL21" s="306" t="s">
        <v>176</v>
      </c>
      <c r="CM21" s="306" t="s">
        <v>176</v>
      </c>
      <c r="CN21" s="306">
        <v>1</v>
      </c>
      <c r="CO21" s="306" t="s">
        <v>176</v>
      </c>
      <c r="CP21" s="306" t="s">
        <v>176</v>
      </c>
      <c r="CQ21" s="306" t="s">
        <v>176</v>
      </c>
      <c r="CR21" s="306" t="s">
        <v>176</v>
      </c>
      <c r="CS21" s="306" t="s">
        <v>176</v>
      </c>
      <c r="CT21" s="306">
        <v>2</v>
      </c>
      <c r="CU21" s="306">
        <v>2</v>
      </c>
      <c r="CV21" s="306">
        <v>2</v>
      </c>
      <c r="CW21" s="306">
        <v>1</v>
      </c>
      <c r="CX21" s="306">
        <v>2</v>
      </c>
      <c r="CY21" s="306">
        <v>2</v>
      </c>
      <c r="CZ21" s="306">
        <v>2</v>
      </c>
      <c r="DA21" s="306">
        <v>2</v>
      </c>
      <c r="DB21" s="306">
        <v>1</v>
      </c>
      <c r="DC21" s="306">
        <v>1</v>
      </c>
      <c r="DD21" s="306" t="s">
        <v>176</v>
      </c>
      <c r="DE21" s="306">
        <v>3</v>
      </c>
      <c r="DF21" s="306">
        <v>3</v>
      </c>
      <c r="DG21" s="306">
        <v>2</v>
      </c>
      <c r="DH21" s="306">
        <v>2</v>
      </c>
      <c r="DI21" s="306">
        <v>3</v>
      </c>
      <c r="DJ21" s="306">
        <v>3</v>
      </c>
      <c r="DK21" s="306">
        <v>2</v>
      </c>
      <c r="DL21" s="306">
        <v>2</v>
      </c>
      <c r="DM21" s="306">
        <v>2</v>
      </c>
      <c r="DN21" s="306">
        <v>2</v>
      </c>
      <c r="DO21" s="306">
        <v>2</v>
      </c>
      <c r="DP21" s="306">
        <v>2</v>
      </c>
      <c r="DQ21" s="306">
        <v>2</v>
      </c>
      <c r="DR21" s="306">
        <v>2</v>
      </c>
      <c r="DS21" s="306">
        <v>1</v>
      </c>
      <c r="DT21" s="306">
        <v>1</v>
      </c>
      <c r="DU21" s="306">
        <v>2</v>
      </c>
      <c r="DV21" s="306">
        <v>3</v>
      </c>
      <c r="DW21" s="306">
        <v>3</v>
      </c>
      <c r="DX21" s="306">
        <v>3</v>
      </c>
      <c r="DY21" s="306" t="s">
        <v>176</v>
      </c>
      <c r="DZ21" s="306" t="s">
        <v>176</v>
      </c>
      <c r="EA21" s="306" t="s">
        <v>176</v>
      </c>
      <c r="EB21" s="306" t="s">
        <v>176</v>
      </c>
      <c r="EC21" s="306" t="s">
        <v>176</v>
      </c>
      <c r="ED21" s="306" t="s">
        <v>176</v>
      </c>
      <c r="EE21" s="306" t="s">
        <v>176</v>
      </c>
      <c r="EF21" s="306" t="s">
        <v>176</v>
      </c>
      <c r="EG21" s="306" t="s">
        <v>176</v>
      </c>
      <c r="EH21" s="306" t="s">
        <v>176</v>
      </c>
      <c r="EI21" s="306" t="s">
        <v>176</v>
      </c>
      <c r="EJ21" s="306" t="s">
        <v>176</v>
      </c>
      <c r="EK21" s="306" t="s">
        <v>176</v>
      </c>
      <c r="EL21" s="306" t="s">
        <v>176</v>
      </c>
      <c r="EM21" s="306" t="s">
        <v>176</v>
      </c>
      <c r="EN21" s="306" t="s">
        <v>176</v>
      </c>
      <c r="EO21" s="306">
        <v>1</v>
      </c>
      <c r="EP21" s="306" t="s">
        <v>176</v>
      </c>
      <c r="EQ21" s="306" t="s">
        <v>176</v>
      </c>
      <c r="ER21" s="306" t="s">
        <v>176</v>
      </c>
      <c r="ES21" s="306" t="s">
        <v>176</v>
      </c>
      <c r="ET21" s="306" t="s">
        <v>176</v>
      </c>
      <c r="EU21" s="306" t="s">
        <v>176</v>
      </c>
      <c r="EV21" s="306" t="s">
        <v>176</v>
      </c>
      <c r="EW21" s="306" t="s">
        <v>176</v>
      </c>
      <c r="EX21" s="306" t="s">
        <v>176</v>
      </c>
      <c r="EY21" s="306">
        <v>2</v>
      </c>
      <c r="EZ21" s="306">
        <v>2</v>
      </c>
      <c r="FA21" s="306">
        <v>1</v>
      </c>
      <c r="FB21" s="306" t="s">
        <v>176</v>
      </c>
      <c r="FC21" s="306" t="s">
        <v>176</v>
      </c>
      <c r="FD21" s="306">
        <v>2</v>
      </c>
      <c r="FE21" s="306">
        <v>2</v>
      </c>
      <c r="FF21" s="306">
        <v>2</v>
      </c>
      <c r="FG21" s="306">
        <v>2</v>
      </c>
      <c r="FH21" s="306">
        <v>3</v>
      </c>
      <c r="FI21" s="306">
        <v>3</v>
      </c>
      <c r="FJ21" s="306">
        <v>2</v>
      </c>
      <c r="FK21" s="306">
        <v>2</v>
      </c>
      <c r="FL21" s="306">
        <v>1</v>
      </c>
      <c r="FM21" s="306">
        <v>2</v>
      </c>
      <c r="FN21" s="306">
        <v>2</v>
      </c>
      <c r="FO21" s="306">
        <v>2</v>
      </c>
      <c r="FP21" s="306" t="s">
        <v>176</v>
      </c>
      <c r="FQ21" s="306" t="s">
        <v>176</v>
      </c>
      <c r="FR21" s="306"/>
      <c r="FS21" s="306" t="s">
        <v>176</v>
      </c>
      <c r="FT21" s="306" t="s">
        <v>176</v>
      </c>
      <c r="FU21" s="306" t="s">
        <v>176</v>
      </c>
      <c r="FV21" s="306" t="s">
        <v>176</v>
      </c>
      <c r="FW21" s="306" t="s">
        <v>176</v>
      </c>
      <c r="FX21" s="306" t="s">
        <v>176</v>
      </c>
      <c r="FY21" s="306" t="s">
        <v>176</v>
      </c>
      <c r="FZ21" s="306" t="s">
        <v>160</v>
      </c>
      <c r="GA21" s="306" t="s">
        <v>176</v>
      </c>
      <c r="GB21" s="306" t="s">
        <v>176</v>
      </c>
      <c r="GC21" s="306" t="s">
        <v>176</v>
      </c>
      <c r="GD21" s="306" t="s">
        <v>176</v>
      </c>
      <c r="GE21" s="306" t="s">
        <v>176</v>
      </c>
      <c r="GF21" s="306" t="s">
        <v>176</v>
      </c>
      <c r="GG21" s="306" t="s">
        <v>176</v>
      </c>
      <c r="GH21" s="306" t="s">
        <v>176</v>
      </c>
      <c r="GI21" s="306" t="s">
        <v>176</v>
      </c>
      <c r="GJ21" s="306" t="s">
        <v>176</v>
      </c>
      <c r="GK21" s="480" t="s">
        <v>176</v>
      </c>
      <c r="GL21" s="301">
        <f>SUM(G21:FP21)</f>
        <v>126</v>
      </c>
    </row>
    <row r="22" spans="1:195" s="183" customFormat="1" ht="28.35" customHeight="1" thickBot="1" x14ac:dyDescent="0.3">
      <c r="A22" s="184" t="str">
        <f>A21</f>
        <v>Jakość-Quality Labor</v>
      </c>
      <c r="B22" s="184" t="str">
        <f>B21</f>
        <v>Inspektor jakości</v>
      </c>
      <c r="C22" s="182" t="s">
        <v>750</v>
      </c>
      <c r="D22" s="184">
        <f>D21</f>
        <v>803</v>
      </c>
      <c r="E22" s="608" t="str">
        <f>E21</f>
        <v>Michalska Jolanta</v>
      </c>
      <c r="F22" s="302" t="s">
        <v>166</v>
      </c>
      <c r="G22" s="295">
        <f>IF(INDEX(tab_MinKomp[Przepisy BHP / BHP Vorschriften],MATCH($B21,tab_MinKomp[[Stanowisko / Position ]:[Stanowisko / Position ]],0))="n/a","n/a",G21-INDEX(tab_MinKomp[Przepisy BHP / BHP Vorschriften],MATCH($B21,tab_MinKomp[[Stanowisko / Position ]:[Stanowisko / Position ]],0)))</f>
        <v>0</v>
      </c>
      <c r="H22" s="295">
        <f>IF(INDEX(tab_MinKomp[Przepisy PPOŻ / Brandschutzbestimmungen],MATCH($B21,tab_MinKomp[[Stanowisko / Position ]:[Stanowisko / Position ]],0))="n/a","n/a",H21-INDEX(tab_MinKomp[Przepisy PPOŻ / Brandschutzbestimmungen],MATCH($B21,tab_MinKomp[[Stanowisko / Position ]:[Stanowisko / Position ]],0)))</f>
        <v>0</v>
      </c>
      <c r="I22" s="295">
        <f>IF(INDEX(tab_MinKomp[Ryzyko zawodowe na stanowiskach pracyv/ Berufliche Risiken an Arbeitsstellen],MATCH($B21,tab_MinKomp[[Stanowisko / Position ]:[Stanowisko / Position ]],0))="n/a","n/a",I21-INDEX(tab_MinKomp[Ryzyko zawodowe na stanowiskach pracyv/ Berufliche Risiken an Arbeitsstellen],MATCH($B21,tab_MinKomp[[Stanowisko / Position ]:[Stanowisko / Position ]],0)))</f>
        <v>0</v>
      </c>
      <c r="J22" s="295">
        <f>IF(INDEX(tab_MinKomp[Gospodarka substancjami niebezpiecznymi / Gefahrstoffmanagement],MATCH($B21,tab_MinKomp[[Stanowisko / Position ]:[Stanowisko / Position ]],0))="n/a","n/a",J21-INDEX(tab_MinKomp[Gospodarka substancjami niebezpiecznymi / Gefahrstoffmanagement],MATCH($B21,tab_MinKomp[[Stanowisko / Position ]:[Stanowisko / Position ]],0)))</f>
        <v>0</v>
      </c>
      <c r="K22" s="295">
        <f>IF(INDEX(tab_MinKomp[Gospodarka odpadami / Abfallwirtschaft],MATCH($B21,tab_MinKomp[[Stanowisko / Position ]:[Stanowisko / Position ]],0))="n/a","n/a",K21-INDEX(tab_MinKomp[Gospodarka odpadami / Abfallwirtschaft],MATCH($B21,tab_MinKomp[[Stanowisko / Position ]:[Stanowisko / Position ]],0)))</f>
        <v>0</v>
      </c>
      <c r="L22" s="297">
        <f>IF(INDEX(tab_MinKomp[Przepisy kodeksu pracy / Bestimmungen des Arbeitsgesetzes],MATCH($B21,tab_MinKomp[[Stanowisko / Position ]:[Stanowisko / Position ]],0))="n/a","n/a",L21-INDEX(tab_MinKomp[Przepisy kodeksu pracy / Bestimmungen des Arbeitsgesetzes],MATCH($B21,tab_MinKomp[[Stanowisko / Position ]:[Stanowisko / Position ]],0)))</f>
        <v>0</v>
      </c>
      <c r="M22" s="298" t="str">
        <f>IF(INDEX(tab_MinKomp[Przepisy o ub.społ. ZUS  / Sozialversicherungsvorschriften],MATCH($B21,tab_MinKomp[[Stanowisko / Position ]:[Stanowisko / Position ]],0))="n/a","n/a",M21-INDEX(tab_MinKomp[Przepisy o ub.społ. ZUS  / Sozialversicherungsvorschriften],MATCH($B21,tab_MinKomp[[Stanowisko / Position ]:[Stanowisko / Position ]],0)))</f>
        <v>n/a</v>
      </c>
      <c r="N22" s="297" t="str">
        <f>IF(INDEX(tab_MinKomp[PRZEPISY O PDOF /persönlich Einkommensteuergesetz ],MATCH($B21,tab_MinKomp[[Stanowisko / Position ]:[Stanowisko / Position ]],0))="n/a","n/a",N21-INDEX(tab_MinKomp[PRZEPISY O PDOF /persönlich Einkommensteuergesetz ],MATCH($B21,tab_MinKomp[[Stanowisko / Position ]:[Stanowisko / Position ]],0)))</f>
        <v>n/a</v>
      </c>
      <c r="O22" s="297">
        <f>IF(INDEX(tab_MinKomp[Regulamin pracy / Arbeitsordnung],MATCH($B21,tab_MinKomp[[Stanowisko / Position ]:[Stanowisko / Position ]],0))="n/a","n/a",O21-INDEX(tab_MinKomp[Regulamin pracy / Arbeitsordnung],MATCH($B21,tab_MinKomp[[Stanowisko / Position ]:[Stanowisko / Position ]],0)))</f>
        <v>0</v>
      </c>
      <c r="P22" s="297">
        <f>IF(INDEX(tab_MinKomp[Regulamin wynagradzania / Vergütungsordnung],MATCH($B21,tab_MinKomp[[Stanowisko / Position ]:[Stanowisko / Position ]],0))="n/a","n/a",P21-INDEX(tab_MinKomp[Regulamin wynagradzania / Vergütungsordnung],MATCH($B21,tab_MinKomp[[Stanowisko / Position ]:[Stanowisko / Position ]],0)))</f>
        <v>0</v>
      </c>
      <c r="Q22" s="297" t="str">
        <f>IF(INDEX(tab_MinKomp[System R2PŁATNIK PRO: Płace / Lohnabrechnung],MATCH($B21,tab_MinKomp[[Stanowisko / Position ]:[Stanowisko / Position ]],0))="n/a","n/a",Q21-INDEX(tab_MinKomp[System R2PŁATNIK PRO: Płace / Lohnabrechnung],MATCH($B21,tab_MinKomp[[Stanowisko / Position ]:[Stanowisko / Position ]],0)))</f>
        <v>n/a</v>
      </c>
      <c r="R22" s="297" t="str">
        <f>IF(INDEX(tab_MinKomp[SystemR2PŁATNIK PRO: KADRY / Personaldaten],MATCH($B21,tab_MinKomp[[Stanowisko / Position ]:[Stanowisko / Position ]],0))="n/a","n/a",R21-INDEX(tab_MinKomp[SystemR2PŁATNIK PRO: KADRY / Personaldaten],MATCH($B21,tab_MinKomp[[Stanowisko / Position ]:[Stanowisko / Position ]],0)))</f>
        <v>n/a</v>
      </c>
      <c r="S22" s="297" t="str">
        <f>IF(INDEX(tab_MinKomp[SYSTEM R2PŁATNIK PRO: zarządzanie pracownikami / Arbeitsverwaltung],MATCH($B21,tab_MinKomp[[Stanowisko / Position ]:[Stanowisko / Position ]],0))="n/a","n/a",S21-INDEX(tab_MinKomp[SYSTEM R2PŁATNIK PRO: zarządzanie pracownikami / Arbeitsverwaltung],MATCH($B21,tab_MinKomp[[Stanowisko / Position ]:[Stanowisko / Position ]],0)))</f>
        <v>n/a</v>
      </c>
      <c r="T22" s="297" t="str">
        <f>IF(INDEX(tab_MinKomp[Doradztwo, wsparcie personalne / Personalberatung und Unterstützung],MATCH($B21,tab_MinKomp[[Stanowisko / Position ]:[Stanowisko / Position ]],0))="n/a","n/a",T21-INDEX(tab_MinKomp[Doradztwo, wsparcie personalne / Personalberatung und Unterstützung],MATCH($B21,tab_MinKomp[[Stanowisko / Position ]:[Stanowisko / Position ]],0)))</f>
        <v>n/a</v>
      </c>
      <c r="U22" s="297" t="str">
        <f>IF(INDEX(tab_MinKomp[Przepisy o podatku VAT / MwSt.- Gesetz],MATCH($B21,tab_MinKomp[[Stanowisko / Position ]:[Stanowisko / Position ]],0))="n/a","n/a",U21-INDEX(tab_MinKomp[Przepisy o podatku VAT / MwSt.- Gesetz],MATCH($B21,tab_MinKomp[[Stanowisko / Position ]:[Stanowisko / Position ]],0)))</f>
        <v>n/a</v>
      </c>
      <c r="V22" s="297" t="str">
        <f>IF(INDEX(tab_MinKomp[PrzepisyPDOP / geschäftlich Einkommensteuergesetz],MATCH($B21,tab_MinKomp[[Stanowisko / Position ]:[Stanowisko / Position ]],0))="n/a","n/a",V21-INDEX(tab_MinKomp[PrzepisyPDOP / geschäftlich Einkommensteuergesetz],MATCH($B21,tab_MinKomp[[Stanowisko / Position ]:[Stanowisko / Position ]],0)))</f>
        <v>n/a</v>
      </c>
      <c r="W22" s="297" t="str">
        <f>IF(INDEX(tab_MinKomp[System BAAN / FINANSE (FIBU)],MATCH($B21,tab_MinKomp[[Stanowisko / Position ]:[Stanowisko / Position ]],0))="n/a","n/a",W21-INDEX(tab_MinKomp[System BAAN / FINANSE (FIBU)],MATCH($B21,tab_MinKomp[[Stanowisko / Position ]:[Stanowisko / Position ]],0)))</f>
        <v>n/a</v>
      </c>
      <c r="X22" s="297" t="str">
        <f>IF(INDEX(tab_MinKomp[Systemy pomocnicze / Hilfssysteme(STOCKPROGRAM, KALK2000 etc.)],MATCH($B21,tab_MinKomp[[Stanowisko / Position ]:[Stanowisko / Position ]],0))="n/a","n/a",X21-INDEX(tab_MinKomp[Systemy pomocnicze / Hilfssysteme(STOCKPROGRAM, KALK2000 etc.)],MATCH($B21,tab_MinKomp[[Stanowisko / Position ]:[Stanowisko / Position ]],0)))</f>
        <v>n/a</v>
      </c>
      <c r="Y22" s="297" t="str">
        <f>IF(INDEX(tab_MinKomp[Polityka rachunkowości / Buchführungspolitik],MATCH($B21,tab_MinKomp[[Stanowisko / Position ]:[Stanowisko / Position ]],0))="n/a","n/a",Y21-INDEX(tab_MinKomp[Polityka rachunkowości / Buchführungspolitik],MATCH($B21,tab_MinKomp[[Stanowisko / Position ]:[Stanowisko / Position ]],0)))</f>
        <v>n/a</v>
      </c>
      <c r="Z22" s="297" t="str">
        <f>IF(INDEX(tab_MinKomp[Ustawa o rachunkowości / Rechnungslegungsgesetz],MATCH($B21,tab_MinKomp[[Stanowisko / Position ]:[Stanowisko / Position ]],0))="n/a","n/a",Z21-INDEX(tab_MinKomp[Ustawa o rachunkowości / Rechnungslegungsgesetz],MATCH($B21,tab_MinKomp[[Stanowisko / Position ]:[Stanowisko / Position ]],0)))</f>
        <v>n/a</v>
      </c>
      <c r="AA22" s="297" t="str">
        <f>IF(INDEX(tab_MinKomp[WORKFLOW - TS-100],MATCH($B21,tab_MinKomp[[Stanowisko / Position ]:[Stanowisko / Position ]],0))="n/a","n/a",AA21-INDEX(tab_MinKomp[WORKFLOW - TS-100],MATCH($B21,tab_MinKomp[[Stanowisko / Position ]:[Stanowisko / Position ]],0)))</f>
        <v>n/a</v>
      </c>
      <c r="AB22" s="297" t="str">
        <f>IF(INDEX(tab_MinKomp[WORKFLOW - SFMS],MATCH($B21,tab_MinKomp[[Stanowisko / Position ]:[Stanowisko / Position ]],0))="n/a","n/a",AB21-INDEX(tab_MinKomp[WORKFLOW - SFMS],MATCH($B21,tab_MinKomp[[Stanowisko / Position ]:[Stanowisko / Position ]],0)))</f>
        <v>n/a</v>
      </c>
      <c r="AC22" s="297">
        <f>IF(INDEX(tab_MinKomp[System ISO 9001:2015],MATCH($B21,tab_MinKomp[[Stanowisko / Position ]:[Stanowisko / Position ]],0))="n/a","n/a",AC21-INDEX(tab_MinKomp[System ISO 9001:2015],MATCH($B21,tab_MinKomp[[Stanowisko / Position ]:[Stanowisko / Position ]],0)))</f>
        <v>0</v>
      </c>
      <c r="AD22" s="297">
        <f>IF(INDEX(tab_MinKomp[System IATF 16949:2016],MATCH($B21,tab_MinKomp[[Stanowisko / Position ]:[Stanowisko / Position ]],0))="n/a","n/a",AD21-INDEX(tab_MinKomp[System IATF 16949:2016],MATCH($B21,tab_MinKomp[[Stanowisko / Position ]:[Stanowisko / Position ]],0)))</f>
        <v>0</v>
      </c>
      <c r="AE22" s="297">
        <f>IF(INDEX(tab_MinKomp[System ISO 14001:2015],MATCH($B21,tab_MinKomp[[Stanowisko / Position ]:[Stanowisko / Position ]],0))="n/a","n/a",AE21-INDEX(tab_MinKomp[System ISO 14001:2015],MATCH($B21,tab_MinKomp[[Stanowisko / Position ]:[Stanowisko / Position ]],0)))</f>
        <v>0</v>
      </c>
      <c r="AF22" s="297">
        <f>IF(INDEX(tab_MinKomp[System PN-N 18001:2004 / ISO 45001:2018],MATCH($B21,tab_MinKomp[[Stanowisko / Position ]:[Stanowisko / Position ]],0))="n/a","n/a",AF21-INDEX(tab_MinKomp[System PN-N 18001:2004 / ISO 45001:2018],MATCH($B21,tab_MinKomp[[Stanowisko / Position ]:[Stanowisko / Position ]],0)))</f>
        <v>0</v>
      </c>
      <c r="AG22" s="297">
        <f>IF(INDEX(tab_MinKomp[Wymagania VDA 6.3 Process / Forderungen],MATCH($B21,tab_MinKomp[[Stanowisko / Position ]:[Stanowisko / Position ]],0))="n/a","n/a",AG21-INDEX(tab_MinKomp[Wymagania VDA 6.3 Process / Forderungen],MATCH($B21,tab_MinKomp[[Stanowisko / Position ]:[Stanowisko / Position ]],0)))</f>
        <v>0</v>
      </c>
      <c r="AH22" s="297">
        <f>IF(INDEX(tab_MinKomp[Wymagania VDA 6.5 Product / Forderungen],MATCH($B21,tab_MinKomp[[Stanowisko / Position ]:[Stanowisko / Position ]],0))="n/a","n/a",AH21-INDEX(tab_MinKomp[Wymagania VDA 6.5 Product / Forderungen],MATCH($B21,tab_MinKomp[[Stanowisko / Position ]:[Stanowisko / Position ]],0)))</f>
        <v>0</v>
      </c>
      <c r="AI22" s="297" t="str">
        <f>IF(INDEX(tab_MinKomp[PSCR (VW Product Safety &amp; Conformity Representative)],MATCH($B21,tab_MinKomp[[Stanowisko / Position ]:[Stanowisko / Position ]],0))="n/a","n/a",AI21-INDEX(tab_MinKomp[PSCR (VW Product Safety &amp; Conformity Representative)],MATCH($B21,tab_MinKomp[[Stanowisko / Position ]:[Stanowisko / Position ]],0)))</f>
        <v>n/a</v>
      </c>
      <c r="AJ22" s="297" t="str">
        <f>IF(INDEX(tab_MinKomp[Auditor systemu ISO 17025:2018],MATCH($B21,tab_MinKomp[[Stanowisko / Position ]:[Stanowisko / Position ]],0))="n/a","n/a",AJ21-INDEX(tab_MinKomp[Auditor systemu ISO 17025:2018],MATCH($B21,tab_MinKomp[[Stanowisko / Position ]:[Stanowisko / Position ]],0)))</f>
        <v>n/a</v>
      </c>
      <c r="AK22" s="297" t="str">
        <f>IF(INDEX(tab_MinKomp[Pełnomocnik systemu / Systemvertreter],MATCH($B21,tab_MinKomp[[Stanowisko / Position ]:[Stanowisko / Position ]],0))="n/a","n/a",AK21-INDEX(tab_MinKomp[Pełnomocnik systemu / Systemvertreter],MATCH($B21,tab_MinKomp[[Stanowisko / Position ]:[Stanowisko / Position ]],0)))</f>
        <v>n/a</v>
      </c>
      <c r="AL22" s="297">
        <v>0</v>
      </c>
      <c r="AM22" s="297" t="str">
        <f>IF(INDEX(tab_MinKomp[WDRAŻANIE NOWYCH PROJEKTÓW/ PROCEDURA CTM],MATCH($B21,tab_MinKomp[[Stanowisko / Position ]:[Stanowisko / Position ]],0))="n/a","n/a",AM21-INDEX(tab_MinKomp[WDRAŻANIE NOWYCH PROJEKTÓW/ PROCEDURA CTM],MATCH($B21,tab_MinKomp[[Stanowisko / Position ]:[Stanowisko / Position ]],0)))</f>
        <v>n/a</v>
      </c>
      <c r="AN22" s="297" t="str">
        <f>IF(INDEX(tab_MinKomp[KAMIENIE MILOWE MSL/PIFF],MATCH($B21,tab_MinKomp[[Stanowisko / Position ]:[Stanowisko / Position ]],0))="n/a","n/a",AN21-INDEX(tab_MinKomp[KAMIENIE MILOWE MSL/PIFF],MATCH($B21,tab_MinKomp[[Stanowisko / Position ]:[Stanowisko / Position ]],0)))</f>
        <v>n/a</v>
      </c>
      <c r="AO22" s="297">
        <f>IF(INDEX(tab_MinKomp[CP],MATCH($B21,tab_MinKomp[[Stanowisko / Position ]:[Stanowisko / Position ]],0))="n/a","n/a",AO21-INDEX(tab_MinKomp[CP],MATCH($B21,tab_MinKomp[[Stanowisko / Position ]:[Stanowisko / Position ]],0)))</f>
        <v>0</v>
      </c>
      <c r="AP22" s="297">
        <f>IF(INDEX(tab_MinKomp[FMEA],MATCH($B21,tab_MinKomp[[Stanowisko / Position ]:[Stanowisko / Position ]],0))="n/a","n/a",AP21-INDEX(tab_MinKomp[FMEA],MATCH($B21,tab_MinKomp[[Stanowisko / Position ]:[Stanowisko / Position ]],0)))</f>
        <v>0</v>
      </c>
      <c r="AQ22" s="297">
        <f>IF(INDEX(tab_MinKomp[FLOW CHART],MATCH($B21,tab_MinKomp[[Stanowisko / Position ]:[Stanowisko / Position ]],0))="n/a","n/a",AQ21-INDEX(tab_MinKomp[FLOW CHART],MATCH($B21,tab_MinKomp[[Stanowisko / Position ]:[Stanowisko / Position ]],0)))</f>
        <v>0</v>
      </c>
      <c r="AR22" s="297" t="str">
        <f>IF(INDEX(tab_MinKomp[APQP],MATCH($B21,tab_MinKomp[[Stanowisko / Position ]:[Stanowisko / Position ]],0))="n/a","n/a",AR21-INDEX(tab_MinKomp[APQP],MATCH($B21,tab_MinKomp[[Stanowisko / Position ]:[Stanowisko / Position ]],0)))</f>
        <v>n/a</v>
      </c>
      <c r="AS22" s="297">
        <f>IF(INDEX(tab_MinKomp[MSA],MATCH($B21,tab_MinKomp[[Stanowisko / Position ]:[Stanowisko / Position ]],0))="n/a","n/a",AS21-INDEX(tab_MinKomp[MSA],MATCH($B21,tab_MinKomp[[Stanowisko / Position ]:[Stanowisko / Position ]],0)))</f>
        <v>0</v>
      </c>
      <c r="AT22" s="297">
        <f>IF(INDEX(tab_MinKomp[SPC],MATCH($B21,tab_MinKomp[[Stanowisko / Position ]:[Stanowisko / Position ]],0))="n/a","n/a",AT21-INDEX(tab_MinKomp[SPC],MATCH($B21,tab_MinKomp[[Stanowisko / Position ]:[Stanowisko / Position ]],0)))</f>
        <v>0</v>
      </c>
      <c r="AU22" s="297">
        <f>IF(INDEX(tab_MinKomp[CSR (SPECYFICZNE WYMAGANIA KLIENTA)],MATCH($B21,tab_MinKomp[[Stanowisko / Position ]:[Stanowisko / Position ]],0))="n/a","n/a",AU21-INDEX(tab_MinKomp[CSR (SPECYFICZNE WYMAGANIA KLIENTA)],MATCH($B21,tab_MinKomp[[Stanowisko / Position ]:[Stanowisko / Position ]],0)))</f>
        <v>0</v>
      </c>
      <c r="AV22" s="297">
        <f>IF(INDEX(tab_MinKomp[5S],MATCH($B21,tab_MinKomp[[Stanowisko / Position ]:[Stanowisko / Position ]],0))="n/a","n/a",AV21-INDEX(tab_MinKomp[5S],MATCH($B21,tab_MinKomp[[Stanowisko / Position ]:[Stanowisko / Position ]],0)))</f>
        <v>0</v>
      </c>
      <c r="AW22" s="297">
        <f>IF(INDEX(tab_MinKomp[LEAN MANAGEMENT],MATCH($B21,tab_MinKomp[[Stanowisko / Position ]:[Stanowisko / Position ]],0))="n/a","n/a",AW21-INDEX(tab_MinKomp[LEAN MANAGEMENT],MATCH($B21,tab_MinKomp[[Stanowisko / Position ]:[Stanowisko / Position ]],0)))</f>
        <v>0</v>
      </c>
      <c r="AX22" s="297">
        <f>IF(INDEX(tab_MinKomp[5R],MATCH($B21,tab_MinKomp[[Stanowisko / Position ]:[Stanowisko / Position ]],0))="n/a","n/a",AX21-INDEX(tab_MinKomp[5R],MATCH($B21,tab_MinKomp[[Stanowisko / Position ]:[Stanowisko / Position ]],0)))</f>
        <v>-1</v>
      </c>
      <c r="AY22" s="297" t="str">
        <f>IF(INDEX(tab_MinKomp[Six Sigma],MATCH($B21,tab_MinKomp[[Stanowisko / Position ]:[Stanowisko / Position ]],0))="n/a","n/a",AY21-INDEX(tab_MinKomp[Six Sigma],MATCH($B21,tab_MinKomp[[Stanowisko / Position ]:[Stanowisko / Position ]],0)))</f>
        <v>n/a</v>
      </c>
      <c r="AZ22" s="297" t="str">
        <f>IF(INDEX(tab_MinKomp[System BAAN / Distribution &amp; Supply Chain],MATCH($B21,tab_MinKomp[[Stanowisko / Position ]:[Stanowisko / Position ]],0))="n/a","n/a",AZ21-INDEX(tab_MinKomp[System BAAN / Distribution &amp; Supply Chain],MATCH($B21,tab_MinKomp[[Stanowisko / Position ]:[Stanowisko / Position ]],0)))</f>
        <v>n/a</v>
      </c>
      <c r="BA22" s="297" t="str">
        <f>IF(INDEX(tab_MinKomp[Gospodarka magazynowa / Lagerverwaltung],MATCH($B21,tab_MinKomp[[Stanowisko / Position ]:[Stanowisko / Position ]],0))="n/a","n/a",BA21-INDEX(tab_MinKomp[Gospodarka magazynowa / Lagerverwaltung],MATCH($B21,tab_MinKomp[[Stanowisko / Position ]:[Stanowisko / Position ]],0)))</f>
        <v>n/a</v>
      </c>
      <c r="BB22" s="297" t="str">
        <f>IF(INDEX(tab_MinKomp[Inwentaryzacja - organizacja i przebieg / Inventurprozess],MATCH($B21,tab_MinKomp[[Stanowisko / Position ]:[Stanowisko / Position ]],0))="n/a","n/a",BB21-INDEX(tab_MinKomp[Inwentaryzacja - organizacja i przebieg / Inventurprozess],MATCH($B21,tab_MinKomp[[Stanowisko / Position ]:[Stanowisko / Position ]],0)))</f>
        <v>n/a</v>
      </c>
      <c r="BC22" s="297" t="str">
        <f>IF(INDEX(tab_MinKomp[Organizacja dostaw / Versorgungsorganisation],MATCH($B21,tab_MinKomp[[Stanowisko / Position ]:[Stanowisko / Position ]],0))="n/a","n/a",BC21-INDEX(tab_MinKomp[Organizacja dostaw / Versorgungsorganisation],MATCH($B21,tab_MinKomp[[Stanowisko / Position ]:[Stanowisko / Position ]],0)))</f>
        <v>n/a</v>
      </c>
      <c r="BD22" s="297" t="str">
        <f>IF(INDEX(tab_MinKomp[Organizacja wysyłek / Organisation von Lieferungen],MATCH($B21,tab_MinKomp[[Stanowisko / Position ]:[Stanowisko / Position ]],0))="n/a","n/a",BD21-INDEX(tab_MinKomp[Organizacja wysyłek / Organisation von Lieferungen],MATCH($B21,tab_MinKomp[[Stanowisko / Position ]:[Stanowisko / Position ]],0)))</f>
        <v>n/a</v>
      </c>
      <c r="BE22" s="297" t="str">
        <f>IF(INDEX(tab_MinKomp[Analiza magazynowa - Program Polen.mdb / Inventuranalyse],MATCH($B21,tab_MinKomp[[Stanowisko / Position ]:[Stanowisko / Position ]],0))="n/a","n/a",BE21-INDEX(tab_MinKomp[Analiza magazynowa - Program Polen.mdb / Inventuranalyse],MATCH($B21,tab_MinKomp[[Stanowisko / Position ]:[Stanowisko / Position ]],0)))</f>
        <v>n/a</v>
      </c>
      <c r="BF22" s="297" t="str">
        <f>IF(INDEX(tab_MinKomp[MMOG (Materials Management Operations Guidelines)],MATCH($B21,tab_MinKomp[[Stanowisko / Position ]:[Stanowisko / Position ]],0))="n/a","n/a",BF21-INDEX(tab_MinKomp[MMOG (Materials Management Operations Guidelines)],MATCH($B21,tab_MinKomp[[Stanowisko / Position ]:[Stanowisko / Position ]],0)))</f>
        <v>n/a</v>
      </c>
      <c r="BG22" s="297" t="str">
        <f>IF(INDEX(tab_MinKomp[GPP],MATCH($B21,tab_MinKomp[[Stanowisko / Position ]:[Stanowisko / Position ]],0))="n/a","n/a",BG21-INDEX(tab_MinKomp[GPP],MATCH($B21,tab_MinKomp[[Stanowisko / Position ]:[Stanowisko / Position ]],0)))</f>
        <v>n/a</v>
      </c>
      <c r="BH22" s="297" t="str">
        <f>IF(INDEX(tab_MinKomp[AIAG (Automotive Industry Action Group)],MATCH($B21,tab_MinKomp[[Stanowisko / Position ]:[Stanowisko / Position ]],0))="n/a","n/a",BH21-INDEX(tab_MinKomp[AIAG (Automotive Industry Action Group)],MATCH($B21,tab_MinKomp[[Stanowisko / Position ]:[Stanowisko / Position ]],0)))</f>
        <v>n/a</v>
      </c>
      <c r="BI22" s="297" t="str">
        <f>IF(INDEX(tab_MinKomp[Super-G disputes],MATCH($B21,tab_MinKomp[[Stanowisko / Position ]:[Stanowisko / Position ]],0))="n/a","n/a",BI21-INDEX(tab_MinKomp[Super-G disputes],MATCH($B21,tab_MinKomp[[Stanowisko / Position ]:[Stanowisko / Position ]],0)))</f>
        <v>n/a</v>
      </c>
      <c r="BJ22" s="297" t="str">
        <f>IF(INDEX(tab_MinKomp[CMMS3/eDDL (Direct Data Link)],MATCH($B21,tab_MinKomp[[Stanowisko / Position ]:[Stanowisko / Position ]],0))="n/a","n/a",BJ21-INDEX(tab_MinKomp[CMMS3/eDDL (Direct Data Link)],MATCH($B21,tab_MinKomp[[Stanowisko / Position ]:[Stanowisko / Position ]],0)))</f>
        <v>n/a</v>
      </c>
      <c r="BK22" s="297" t="str">
        <f>IF(INDEX(tab_MinKomp[MP&amp;L (Material Planning and Logistics)],MATCH($B21,tab_MinKomp[[Stanowisko / Position ]:[Stanowisko / Position ]],0))="n/a","n/a",BK21-INDEX(tab_MinKomp[MP&amp;L (Material Planning and Logistics)],MATCH($B21,tab_MinKomp[[Stanowisko / Position ]:[Stanowisko / Position ]],0)))</f>
        <v>n/a</v>
      </c>
      <c r="BL22" s="297" t="str">
        <f>IF(INDEX(tab_MinKomp[Supplier delivery rating],MATCH($B21,tab_MinKomp[[Stanowisko / Position ]:[Stanowisko / Position ]],0))="n/a","n/a",BL21-INDEX(tab_MinKomp[Supplier delivery rating],MATCH($B21,tab_MinKomp[[Stanowisko / Position ]:[Stanowisko / Position ]],0)))</f>
        <v>n/a</v>
      </c>
      <c r="BM22" s="297" t="str">
        <f>IF(INDEX(tab_MinKomp[Planowanie produkcji / Produktionsplanung],MATCH($B21,tab_MinKomp[[Stanowisko / Position ]:[Stanowisko / Position ]],0))="n/a","n/a",BM21-INDEX(tab_MinKomp[Planowanie produkcji / Produktionsplanung],MATCH($B21,tab_MinKomp[[Stanowisko / Position ]:[Stanowisko / Position ]],0)))</f>
        <v>n/a</v>
      </c>
      <c r="BN22" s="297" t="str">
        <f>IF(INDEX(tab_MinKomp[Obsługa maszyn Engel / Engel Maschinenbedienung],MATCH($B21,tab_MinKomp[[Stanowisko / Position ]:[Stanowisko / Position ]],0))="n/a","n/a",BN21-INDEX(tab_MinKomp[Obsługa maszyn Engel / Engel Maschinenbedienung],MATCH($B21,tab_MinKomp[[Stanowisko / Position ]:[Stanowisko / Position ]],0)))</f>
        <v>n/a</v>
      </c>
      <c r="BO22" s="297" t="str">
        <f>IF(INDEX(tab_MinKomp[Obsługa maszyn Novapax / Novapax Maschinenbedienung],MATCH($B21,tab_MinKomp[[Stanowisko / Position ]:[Stanowisko / Position ]],0))="n/a","n/a",BO21-INDEX(tab_MinKomp[Obsługa maszyn Novapax / Novapax Maschinenbedienung],MATCH($B21,tab_MinKomp[[Stanowisko / Position ]:[Stanowisko / Position ]],0)))</f>
        <v>n/a</v>
      </c>
      <c r="BP22" s="297" t="str">
        <f>IF(INDEX(tab_MinKomp[Obsługa maszyn KVT / KVT Maschinenbedienung],MATCH($B21,tab_MinKomp[[Stanowisko / Position ]:[Stanowisko / Position ]],0))="n/a","n/a",BP21-INDEX(tab_MinKomp[Obsługa maszyn KVT / KVT Maschinenbedienung],MATCH($B21,tab_MinKomp[[Stanowisko / Position ]:[Stanowisko / Position ]],0)))</f>
        <v>n/a</v>
      </c>
      <c r="BQ22" s="297" t="str">
        <f>IF(INDEX(tab_MinKomp[Obsługa maszyn ASL / ASL Maschinenbedienung],MATCH($B21,tab_MinKomp[[Stanowisko / Position ]:[Stanowisko / Position ]],0))="n/a","n/a",BQ21-INDEX(tab_MinKomp[Obsługa maszyn ASL / ASL Maschinenbedienung],MATCH($B21,tab_MinKomp[[Stanowisko / Position ]:[Stanowisko / Position ]],0)))</f>
        <v>n/a</v>
      </c>
      <c r="BR22" s="297" t="str">
        <f>IF(INDEX(tab_MinKomp[Obsługa maszyn Branson / Branson Maschinenbedienung],MATCH($B21,tab_MinKomp[[Stanowisko / Position ]:[Stanowisko / Position ]],0))="n/a","n/a",BR21-INDEX(tab_MinKomp[Obsługa maszyn Branson / Branson Maschinenbedienung],MATCH($B21,tab_MinKomp[[Stanowisko / Position ]:[Stanowisko / Position ]],0)))</f>
        <v>n/a</v>
      </c>
      <c r="BS22" s="297" t="str">
        <f>IF(INDEX(tab_MinKomp[Obsługa maszyn Kamtec / Kamtec Maschinenbedienung],MATCH($B21,tab_MinKomp[[Stanowisko / Position ]:[Stanowisko / Position ]],0))="n/a","n/a",BS21-INDEX(tab_MinKomp[Obsługa maszyn Kamtec / Kamtec Maschinenbedienung],MATCH($B21,tab_MinKomp[[Stanowisko / Position ]:[Stanowisko / Position ]],0)))</f>
        <v>n/a</v>
      </c>
      <c r="BT22" s="297" t="str">
        <f>IF(INDEX(tab_MinKomp[Obsługa maszyn Piovan / Piovan Maschinenbedienung],MATCH($B21,tab_MinKomp[[Stanowisko / Position ]:[Stanowisko / Position ]],0))="n/a","n/a",BT21-INDEX(tab_MinKomp[Obsługa maszyn Piovan / Piovan Maschinenbedienung],MATCH($B21,tab_MinKomp[[Stanowisko / Position ]:[Stanowisko / Position ]],0)))</f>
        <v>n/a</v>
      </c>
      <c r="BU22" s="297" t="str">
        <f>IF(INDEX(tab_MinKomp[Obsługa maszyn REP / REP Maschinenbedienung],MATCH($B21,tab_MinKomp[[Stanowisko / Position ]:[Stanowisko / Position ]],0))="n/a","n/a",BU21-INDEX(tab_MinKomp[Obsługa maszyn REP / REP Maschinenbedienung],MATCH($B21,tab_MinKomp[[Stanowisko / Position ]:[Stanowisko / Position ]],0)))</f>
        <v>n/a</v>
      </c>
      <c r="BV22" s="297" t="str">
        <f>IF(INDEX(tab_MinKomp[Eliminacja awarii / Beseitigung von Ausfällen],MATCH($B21,tab_MinKomp[[Stanowisko / Position ]:[Stanowisko / Position ]],0))="n/a","n/a",BV21-INDEX(tab_MinKomp[Eliminacja awarii / Beseitigung von Ausfällen],MATCH($B21,tab_MinKomp[[Stanowisko / Position ]:[Stanowisko / Position ]],0)))</f>
        <v>n/a</v>
      </c>
      <c r="BW22" s="297" t="str">
        <f>IF(INDEX(tab_MinKomp[Informatyka ogólna (techniczne i systemowe) / Allgemeine IT (Technik und System)],MATCH($B21,tab_MinKomp[[Stanowisko / Position ]:[Stanowisko / Position ]],0))="n/a","n/a",BW21-INDEX(tab_MinKomp[Informatyka ogólna (techniczne i systemowe) / Allgemeine IT (Technik und System)],MATCH($B21,tab_MinKomp[[Stanowisko / Position ]:[Stanowisko / Position ]],0)))</f>
        <v>n/a</v>
      </c>
      <c r="BX22" s="297" t="str">
        <f>IF(INDEX(tab_MinKomp[Sieci komputerowe / Computernetzwerke],MATCH($B21,tab_MinKomp[[Stanowisko / Position ]:[Stanowisko / Position ]],0))="n/a","n/a",BX21-INDEX(tab_MinKomp[Sieci komputerowe / Computernetzwerke],MATCH($B21,tab_MinKomp[[Stanowisko / Position ]:[Stanowisko / Position ]],0)))</f>
        <v>n/a</v>
      </c>
      <c r="BY22" s="297" t="str">
        <f>IF(INDEX(tab_MinKomp[Hardware (komputery PC, drukarki biurowe i etykietowe, telefonia stacjonarna i mobilna) (PC, Drucker, Telefpne, Handys)],MATCH($B21,tab_MinKomp[[Stanowisko / Position ]:[Stanowisko / Position ]],0))="n/a","n/a",BY21-INDEX(tab_MinKomp[Hardware (komputery PC, drukarki biurowe i etykietowe, telefonia stacjonarna i mobilna) (PC, Drucker, Telefpne, Handys)],MATCH($B21,tab_MinKomp[[Stanowisko / Position ]:[Stanowisko / Position ]],0)))</f>
        <v>n/a</v>
      </c>
      <c r="BZ22" s="297" t="str">
        <f>IF(INDEX(tab_MinKomp[Software &amp; Systems (MS Office, MS Remote Desktop)],MATCH($B21,tab_MinKomp[[Stanowisko / Position ]:[Stanowisko / Position ]],0))="n/a","n/a",BZ21-INDEX(tab_MinKomp[Software &amp; Systems (MS Office, MS Remote Desktop)],MATCH($B21,tab_MinKomp[[Stanowisko / Position ]:[Stanowisko / Position ]],0)))</f>
        <v>n/a</v>
      </c>
      <c r="CA22" s="297" t="str">
        <f>IF(INDEX(tab_MinKomp[Programowanie obiektowe (PHP) / Objektprogrammierung],MATCH($B21,tab_MinKomp[[Stanowisko / Position ]:[Stanowisko / Position ]],0))="n/a","n/a",CA21-INDEX(tab_MinKomp[Programowanie obiektowe (PHP) / Objektprogrammierung],MATCH($B21,tab_MinKomp[[Stanowisko / Position ]:[Stanowisko / Position ]],0)))</f>
        <v>n/a</v>
      </c>
      <c r="CB22" s="297" t="str">
        <f>IF(INDEX(tab_MinKomp[Scrum],MATCH($B21,tab_MinKomp[[Stanowisko / Position ]:[Stanowisko / Position ]],0))="n/a","n/a",CB21-INDEX(tab_MinKomp[Scrum],MATCH($B21,tab_MinKomp[[Stanowisko / Position ]:[Stanowisko / Position ]],0)))</f>
        <v>n/a</v>
      </c>
      <c r="CC22" s="297" t="str">
        <f>IF(INDEX(tab_MinKomp[SQL (MySQL)],MATCH($B21,tab_MinKomp[[Stanowisko / Position ]:[Stanowisko / Position ]],0))="n/a","n/a",CC21-INDEX(tab_MinKomp[SQL (MySQL)],MATCH($B21,tab_MinKomp[[Stanowisko / Position ]:[Stanowisko / Position ]],0)))</f>
        <v>n/a</v>
      </c>
      <c r="CD22" s="297" t="str">
        <f>IF(INDEX(tab_MinKomp[Javascript],MATCH($B21,tab_MinKomp[[Stanowisko / Position ]:[Stanowisko / Position ]],0))="n/a","n/a",CD21-INDEX(tab_MinKomp[Javascript],MATCH($B21,tab_MinKomp[[Stanowisko / Position ]:[Stanowisko / Position ]],0)))</f>
        <v>n/a</v>
      </c>
      <c r="CE22" s="297" t="str">
        <f>IF(INDEX(tab_MinKomp[Joomla],MATCH($B21,tab_MinKomp[[Stanowisko / Position ]:[Stanowisko / Position ]],0))="n/a","n/a",CE21-INDEX(tab_MinKomp[Joomla],MATCH($B21,tab_MinKomp[[Stanowisko / Position ]:[Stanowisko / Position ]],0)))</f>
        <v>n/a</v>
      </c>
      <c r="CF22" s="297" t="str">
        <f>IF(INDEX(tab_MinKomp[Bash],MATCH($B21,tab_MinKomp[[Stanowisko / Position ]:[Stanowisko / Position ]],0))="n/a","n/a",CF21-INDEX(tab_MinKomp[Bash],MATCH($B21,tab_MinKomp[[Stanowisko / Position ]:[Stanowisko / Position ]],0)))</f>
        <v>n/a</v>
      </c>
      <c r="CG22" s="297" t="str">
        <f>IF(INDEX(tab_MinKomp[Systemy MES (HYDRA / SFMS)],MATCH($B21,tab_MinKomp[[Stanowisko / Position ]:[Stanowisko / Position ]],0))="n/a","n/a",CG21-INDEX(tab_MinKomp[Systemy MES (HYDRA / SFMS)],MATCH($B21,tab_MinKomp[[Stanowisko / Position ]:[Stanowisko / Position ]],0)))</f>
        <v>n/a</v>
      </c>
      <c r="CH22" s="297" t="str">
        <f>IF(INDEX(tab_MinKomp[HTML / CSS],MATCH($B21,tab_MinKomp[[Stanowisko / Position ]:[Stanowisko / Position ]],0))="n/a","n/a",CH21-INDEX(tab_MinKomp[HTML / CSS],MATCH($B21,tab_MinKomp[[Stanowisko / Position ]:[Stanowisko / Position ]],0)))</f>
        <v>n/a</v>
      </c>
      <c r="CI22" s="297" t="str">
        <f>IF(INDEX(tab_MinKomp[SYSTEM PR],MATCH($B21,tab_MinKomp[[Stanowisko / Position ]:[Stanowisko / Position ]],0))="n/a","n/a",CI21-INDEX(tab_MinKomp[SYSTEM PR],MATCH($B21,tab_MinKomp[[Stanowisko / Position ]:[Stanowisko / Position ]],0)))</f>
        <v>n/a</v>
      </c>
      <c r="CJ22" s="297" t="str">
        <f>IF(INDEX(tab_MinKomp[System Einkauf XP / EBA],MATCH($B21,tab_MinKomp[[Stanowisko / Position ]:[Stanowisko / Position ]],0))="n/a","n/a",CJ21-INDEX(tab_MinKomp[System Einkauf XP / EBA],MATCH($B21,tab_MinKomp[[Stanowisko / Position ]:[Stanowisko / Position ]],0)))</f>
        <v>n/a</v>
      </c>
      <c r="CK22" s="297" t="str">
        <f>IF(INDEX(tab_MinKomp[Techniki negocjacyjne / Verhandlungstechniken],MATCH($B21,tab_MinKomp[[Stanowisko / Position ]:[Stanowisko / Position ]],0))="n/a","n/a",CK21-INDEX(tab_MinKomp[Techniki negocjacyjne / Verhandlungstechniken],MATCH($B21,tab_MinKomp[[Stanowisko / Position ]:[Stanowisko / Position ]],0)))</f>
        <v>n/a</v>
      </c>
      <c r="CL22" s="297" t="str">
        <f>IF(INDEX(tab_MinKomp[Znajomość rynku branżowego / Kenntnis des Industrie Marktes],MATCH($B21,tab_MinKomp[[Stanowisko / Position ]:[Stanowisko / Position ]],0))="n/a","n/a",CL21-INDEX(tab_MinKomp[Znajomość rynku branżowego / Kenntnis des Industrie Marktes],MATCH($B21,tab_MinKomp[[Stanowisko / Position ]:[Stanowisko / Position ]],0)))</f>
        <v>n/a</v>
      </c>
      <c r="CM22" s="297" t="str">
        <f>IF(INDEX(tab_MinKomp[SUPPLIER MANAGEMENT],MATCH($B21,tab_MinKomp[[Stanowisko / Position ]:[Stanowisko / Position ]],0))="n/a","n/a",CM21-INDEX(tab_MinKomp[SUPPLIER MANAGEMENT],MATCH($B21,tab_MinKomp[[Stanowisko / Position ]:[Stanowisko / Position ]],0)))</f>
        <v>n/a</v>
      </c>
      <c r="CN22" s="297">
        <f>IF(INDEX(tab_MinKomp[NARZĘDZIA JAKOŚCIOWE (5WHY, Ishikawa, etc) / QS-Werkzeuge],MATCH($B21,tab_MinKomp[[Stanowisko / Position ]:[Stanowisko / Position ]],0))="n/a","n/a",CN21-INDEX(tab_MinKomp[NARZĘDZIA JAKOŚCIOWE (5WHY, Ishikawa, etc) / QS-Werkzeuge],MATCH($B21,tab_MinKomp[[Stanowisko / Position ]:[Stanowisko / Position ]],0)))</f>
        <v>0</v>
      </c>
      <c r="CO22" s="297" t="str">
        <f>IF(INDEX(tab_MinKomp[SUPPLIER MANAGEMENT],MATCH($B21,tab_MinKomp[[Stanowisko / Position ]:[Stanowisko / Position ]],0))="n/a","n/a",CO21-INDEX(tab_MinKomp[SUPPLIER MANAGEMENT],MATCH($B21,tab_MinKomp[[Stanowisko / Position ]:[Stanowisko / Position ]],0)))</f>
        <v>n/a</v>
      </c>
      <c r="CP22" s="297" t="str">
        <f>IF(INDEX(tab_MinKomp[SUPPLIER MANAGEMENT],MATCH($B21,tab_MinKomp[[Stanowisko / Position ]:[Stanowisko / Position ]],0))="n/a","n/a",CP21-INDEX(tab_MinKomp[SUPPLIER MANAGEMENT],MATCH($B21,tab_MinKomp[[Stanowisko / Position ]:[Stanowisko / Position ]],0)))</f>
        <v>n/a</v>
      </c>
      <c r="CQ22" s="297" t="str">
        <f>IF(INDEX(tab_MinKomp[SUPPLIER MANAGEMENT],MATCH($B21,tab_MinKomp[[Stanowisko / Position ]:[Stanowisko / Position ]],0))="n/a","n/a",CQ21-INDEX(tab_MinKomp[SUPPLIER MANAGEMENT],MATCH($B21,tab_MinKomp[[Stanowisko / Position ]:[Stanowisko / Position ]],0)))</f>
        <v>n/a</v>
      </c>
      <c r="CR22" s="297" t="str">
        <f>IF(INDEX(tab_MinKomp[SUPPLIER MANAGEMENT],MATCH($B21,tab_MinKomp[[Stanowisko / Position ]:[Stanowisko / Position ]],0))="n/a","n/a",CR21-INDEX(tab_MinKomp[SUPPLIER MANAGEMENT],MATCH($B21,tab_MinKomp[[Stanowisko / Position ]:[Stanowisko / Position ]],0)))</f>
        <v>n/a</v>
      </c>
      <c r="CS22" s="297" t="str">
        <f>IF(INDEX(tab_MinKomp[OBSŁUGA PORTALI KLIENTA / Kundenportale],MATCH($B21,tab_MinKomp[[Stanowisko / Position ]:[Stanowisko / Position ]],0))="n/a","n/a",CS21-INDEX(tab_MinKomp[OBSŁUGA PORTALI KLIENTA / Kundenportale],MATCH($B21,tab_MinKomp[[Stanowisko / Position ]:[Stanowisko / Position ]],0)))</f>
        <v>n/a</v>
      </c>
      <c r="CT22" s="297">
        <f>IF(INDEX(tab_MinKomp[Obsługa systemu BABTECQ / BABTECQ System],MATCH($B21,tab_MinKomp[[Stanowisko / Position ]:[Stanowisko / Position ]],0))="n/a","n/a",CT21-INDEX(tab_MinKomp[Obsługa systemu BABTECQ / BABTECQ System],MATCH($B21,tab_MinKomp[[Stanowisko / Position ]:[Stanowisko / Position ]],0)))</f>
        <v>1</v>
      </c>
      <c r="CU22" s="297">
        <f>IF(INDEX(tab_MinKomp[Rysunek techniczny / technische Zeichnung],MATCH($B21,tab_MinKomp[[Stanowisko / Position ]:[Stanowisko / Position ]],0))="n/a","n/a",CU21-INDEX(tab_MinKomp[Rysunek techniczny / technische Zeichnung],MATCH($B21,tab_MinKomp[[Stanowisko / Position ]:[Stanowisko / Position ]],0)))</f>
        <v>0</v>
      </c>
      <c r="CV22" s="297">
        <f>IF(INDEX(tab_MinKomp[Obsługa systemu BABTECQ / BABTECQ System],MATCH($B21,tab_MinKomp[[Stanowisko / Position ]:[Stanowisko / Position ]],0))="n/a","n/a",CV21-INDEX(tab_MinKomp[Obsługa systemu BABTECQ / BABTECQ System],MATCH($B21,tab_MinKomp[[Stanowisko / Position ]:[Stanowisko / Position ]],0)))</f>
        <v>1</v>
      </c>
      <c r="CW22" s="297">
        <f>IF(INDEX(tab_MinKomp[Obsługa systemu BABTECQ / BABTECQ System],MATCH($B21,tab_MinKomp[[Stanowisko / Position ]:[Stanowisko / Position ]],0))="n/a","n/a",CW21-INDEX(tab_MinKomp[Obsługa systemu BABTECQ / BABTECQ System],MATCH($B21,tab_MinKomp[[Stanowisko / Position ]:[Stanowisko / Position ]],0)))</f>
        <v>0</v>
      </c>
      <c r="CX22" s="297">
        <f>IF(INDEX(tab_MinKomp[Rysunek techniczny / technische Zeichnung],MATCH($B21,tab_MinKomp[[Stanowisko / Position ]:[Stanowisko / Position ]],0))="n/a","n/a",CX21-INDEX(tab_MinKomp[Rysunek techniczny / technische Zeichnung],MATCH($B21,tab_MinKomp[[Stanowisko / Position ]:[Stanowisko / Position ]],0)))</f>
        <v>0</v>
      </c>
      <c r="CY22" s="297">
        <f>IF(INDEX(tab_MinKomp[Rysunek techniczny / technische Zeichnung],MATCH($B21,tab_MinKomp[[Stanowisko / Position ]:[Stanowisko / Position ]],0))="n/a","n/a",CY21-INDEX(tab_MinKomp[Rysunek techniczny / technische Zeichnung],MATCH($B21,tab_MinKomp[[Stanowisko / Position ]:[Stanowisko / Position ]],0)))</f>
        <v>0</v>
      </c>
      <c r="CZ22" s="297">
        <f>IF(INDEX(tab_MinKomp[Rysunek techniczny / technische Zeichnung],MATCH($B21,tab_MinKomp[[Stanowisko / Position ]:[Stanowisko / Position ]],0))="n/a","n/a",CZ21-INDEX(tab_MinKomp[Rysunek techniczny / technische Zeichnung],MATCH($B21,tab_MinKomp[[Stanowisko / Position ]:[Stanowisko / Position ]],0)))</f>
        <v>0</v>
      </c>
      <c r="DA22" s="297">
        <f>IF(INDEX(tab_MinKomp[Rysunek techniczny / technische Zeichnung],MATCH($B21,tab_MinKomp[[Stanowisko / Position ]:[Stanowisko / Position ]],0))="n/a","n/a",DA21-INDEX(tab_MinKomp[Rysunek techniczny / technische Zeichnung],MATCH($B21,tab_MinKomp[[Stanowisko / Position ]:[Stanowisko / Position ]],0)))</f>
        <v>0</v>
      </c>
      <c r="DB22" s="297">
        <f>IF(INDEX(tab_MinKomp[Obsługa systemu BABTECQ / BABTECQ System],MATCH($B21,tab_MinKomp[[Stanowisko / Position ]:[Stanowisko / Position ]],0))="n/a","n/a",DB21-INDEX(tab_MinKomp[Obsługa systemu BABTECQ / BABTECQ System],MATCH($B21,tab_MinKomp[[Stanowisko / Position ]:[Stanowisko / Position ]],0)))</f>
        <v>0</v>
      </c>
      <c r="DC22" s="297">
        <f>IF(INDEX(tab_MinKomp[Obsługa systemu BABTECQ / BABTECQ System],MATCH($B21,tab_MinKomp[[Stanowisko / Position ]:[Stanowisko / Position ]],0))="n/a","n/a",DC21-INDEX(tab_MinKomp[Obsługa systemu BABTECQ / BABTECQ System],MATCH($B21,tab_MinKomp[[Stanowisko / Position ]:[Stanowisko / Position ]],0)))</f>
        <v>0</v>
      </c>
      <c r="DD22" s="297" t="str">
        <f>IF(INDEX(tab_MinKomp[Pisanie programów / Programme schreiben],MATCH($B21,tab_MinKomp[[Stanowisko / Position ]:[Stanowisko / Position ]],0))="n/a","n/a",DD21-INDEX(tab_MinKomp[Pisanie programów / Programme schreiben],MATCH($B21,tab_MinKomp[[Stanowisko / Position ]:[Stanowisko / Position ]],0)))</f>
        <v>n/a</v>
      </c>
      <c r="DE22" s="297">
        <f>IF(INDEX(tab_MinKomp[Rysunek techniczny / technische Zeichnung],MATCH($B21,tab_MinKomp[[Stanowisko / Position ]:[Stanowisko / Position ]],0))="n/a","n/a",DE21-INDEX(tab_MinKomp[Rysunek techniczny / technische Zeichnung],MATCH($B21,tab_MinKomp[[Stanowisko / Position ]:[Stanowisko / Position ]],0)))</f>
        <v>1</v>
      </c>
      <c r="DF22" s="297">
        <f>IF(INDEX(tab_MinKomp[Rysunek techniczny / technische Zeichnung],MATCH($B21,tab_MinKomp[[Stanowisko / Position ]:[Stanowisko / Position ]],0))="n/a","n/a",DF21-INDEX(tab_MinKomp[Rysunek techniczny / technische Zeichnung],MATCH($B21,tab_MinKomp[[Stanowisko / Position ]:[Stanowisko / Position ]],0)))</f>
        <v>1</v>
      </c>
      <c r="DG22" s="297">
        <f>IF(INDEX(tab_MinKomp[Rysunek techniczny / technische Zeichnung],MATCH($B21,tab_MinKomp[[Stanowisko / Position ]:[Stanowisko / Position ]],0))="n/a","n/a",DG21-INDEX(tab_MinKomp[Rysunek techniczny / technische Zeichnung],MATCH($B21,tab_MinKomp[[Stanowisko / Position ]:[Stanowisko / Position ]],0)))</f>
        <v>0</v>
      </c>
      <c r="DH22" s="297">
        <f>IF(INDEX(tab_MinKomp[Rysunek techniczny / technische Zeichnung],MATCH($B21,tab_MinKomp[[Stanowisko / Position ]:[Stanowisko / Position ]],0))="n/a","n/a",DH21-INDEX(tab_MinKomp[Rysunek techniczny / technische Zeichnung],MATCH($B21,tab_MinKomp[[Stanowisko / Position ]:[Stanowisko / Position ]],0)))</f>
        <v>0</v>
      </c>
      <c r="DI22" s="297">
        <f>IF(INDEX(tab_MinKomp[Rysunek techniczny / technische Zeichnung],MATCH($B21,tab_MinKomp[[Stanowisko / Position ]:[Stanowisko / Position ]],0))="n/a","n/a",DI21-INDEX(tab_MinKomp[Rysunek techniczny / technische Zeichnung],MATCH($B21,tab_MinKomp[[Stanowisko / Position ]:[Stanowisko / Position ]],0)))</f>
        <v>1</v>
      </c>
      <c r="DJ22" s="297">
        <f>IF(INDEX(tab_MinKomp[Rysunek techniczny / technische Zeichnung],MATCH($B21,tab_MinKomp[[Stanowisko / Position ]:[Stanowisko / Position ]],0))="n/a","n/a",DJ21-INDEX(tab_MinKomp[Rysunek techniczny / technische Zeichnung],MATCH($B21,tab_MinKomp[[Stanowisko / Position ]:[Stanowisko / Position ]],0)))</f>
        <v>1</v>
      </c>
      <c r="DK22" s="297">
        <f>IF(INDEX(tab_MinKomp[Rysunek techniczny / technische Zeichnung],MATCH($B21,tab_MinKomp[[Stanowisko / Position ]:[Stanowisko / Position ]],0))="n/a","n/a",DK21-INDEX(tab_MinKomp[Rysunek techniczny / technische Zeichnung],MATCH($B21,tab_MinKomp[[Stanowisko / Position ]:[Stanowisko / Position ]],0)))</f>
        <v>0</v>
      </c>
      <c r="DL22" s="297">
        <f>IF(INDEX(tab_MinKomp[Rysunek techniczny / technische Zeichnung],MATCH($B21,tab_MinKomp[[Stanowisko / Position ]:[Stanowisko / Position ]],0))="n/a","n/a",DL21-INDEX(tab_MinKomp[Rysunek techniczny / technische Zeichnung],MATCH($B21,tab_MinKomp[[Stanowisko / Position ]:[Stanowisko / Position ]],0)))</f>
        <v>0</v>
      </c>
      <c r="DM22" s="297">
        <f>IF(INDEX(tab_MinKomp[Rysunek techniczny / technische Zeichnung],MATCH($B21,tab_MinKomp[[Stanowisko / Position ]:[Stanowisko / Position ]],0))="n/a","n/a",DM21-INDEX(tab_MinKomp[Rysunek techniczny / technische Zeichnung],MATCH($B21,tab_MinKomp[[Stanowisko / Position ]:[Stanowisko / Position ]],0)))</f>
        <v>0</v>
      </c>
      <c r="DN22" s="297">
        <f>IF(INDEX(tab_MinKomp[Rysunek techniczny / technische Zeichnung],MATCH($B21,tab_MinKomp[[Stanowisko / Position ]:[Stanowisko / Position ]],0))="n/a","n/a",DN21-INDEX(tab_MinKomp[Rysunek techniczny / technische Zeichnung],MATCH($B21,tab_MinKomp[[Stanowisko / Position ]:[Stanowisko / Position ]],0)))</f>
        <v>0</v>
      </c>
      <c r="DO22" s="297">
        <f>IF(INDEX(tab_MinKomp[Rysunek techniczny / technische Zeichnung],MATCH($B21,tab_MinKomp[[Stanowisko / Position ]:[Stanowisko / Position ]],0))="n/a","n/a",DO21-INDEX(tab_MinKomp[Rysunek techniczny / technische Zeichnung],MATCH($B21,tab_MinKomp[[Stanowisko / Position ]:[Stanowisko / Position ]],0)))</f>
        <v>0</v>
      </c>
      <c r="DP22" s="297">
        <f>IF(INDEX(tab_MinKomp[Rysunek techniczny / technische Zeichnung],MATCH($B21,tab_MinKomp[[Stanowisko / Position ]:[Stanowisko / Position ]],0))="n/a","n/a",DP21-INDEX(tab_MinKomp[Rysunek techniczny / technische Zeichnung],MATCH($B21,tab_MinKomp[[Stanowisko / Position ]:[Stanowisko / Position ]],0)))</f>
        <v>0</v>
      </c>
      <c r="DQ22" s="297">
        <f>IF(INDEX(tab_MinKomp[Rysunek techniczny / technische Zeichnung],MATCH($B21,tab_MinKomp[[Stanowisko / Position ]:[Stanowisko / Position ]],0))="n/a","n/a",DQ21-INDEX(tab_MinKomp[Rysunek techniczny / technische Zeichnung],MATCH($B21,tab_MinKomp[[Stanowisko / Position ]:[Stanowisko / Position ]],0)))</f>
        <v>0</v>
      </c>
      <c r="DR22" s="297">
        <f>IF(INDEX(tab_MinKomp[Rysunek techniczny / technische Zeichnung],MATCH($B21,tab_MinKomp[[Stanowisko / Position ]:[Stanowisko / Position ]],0))="n/a","n/a",DR21-INDEX(tab_MinKomp[Rysunek techniczny / technische Zeichnung],MATCH($B21,tab_MinKomp[[Stanowisko / Position ]:[Stanowisko / Position ]],0)))</f>
        <v>0</v>
      </c>
      <c r="DS22" s="297">
        <f>IF(INDEX(tab_MinKomp[Obsługa systemu BABTECQ / BABTECQ System],MATCH($B21,tab_MinKomp[[Stanowisko / Position ]:[Stanowisko / Position ]],0))="n/a","n/a",DS21-INDEX(tab_MinKomp[Obsługa systemu BABTECQ / BABTECQ System],MATCH($B21,tab_MinKomp[[Stanowisko / Position ]:[Stanowisko / Position ]],0)))</f>
        <v>0</v>
      </c>
      <c r="DT22" s="297">
        <f>IF(INDEX(tab_MinKomp[Obsługa systemu BABTECQ / BABTECQ System],MATCH($B21,tab_MinKomp[[Stanowisko / Position ]:[Stanowisko / Position ]],0))="n/a","n/a",DT21-INDEX(tab_MinKomp[Obsługa systemu BABTECQ / BABTECQ System],MATCH($B21,tab_MinKomp[[Stanowisko / Position ]:[Stanowisko / Position ]],0)))</f>
        <v>0</v>
      </c>
      <c r="DU22" s="297">
        <f>IF(INDEX(tab_MinKomp[Obsługa systemu BABTECQ / BABTECQ System],MATCH($B21,tab_MinKomp[[Stanowisko / Position ]:[Stanowisko / Position ]],0))="n/a","n/a",DU21-INDEX(tab_MinKomp[Obsługa systemu BABTECQ / BABTECQ System],MATCH($B21,tab_MinKomp[[Stanowisko / Position ]:[Stanowisko / Position ]],0)))</f>
        <v>1</v>
      </c>
      <c r="DV22" s="297">
        <f>IF(INDEX(tab_MinKomp[Rysunek techniczny / technische Zeichnung],MATCH($B21,tab_MinKomp[[Stanowisko / Position ]:[Stanowisko / Position ]],0))="n/a","n/a",DV21-INDEX(tab_MinKomp[Rysunek techniczny / technische Zeichnung],MATCH($B21,tab_MinKomp[[Stanowisko / Position ]:[Stanowisko / Position ]],0)))</f>
        <v>1</v>
      </c>
      <c r="DW22" s="297">
        <f>IF(INDEX(tab_MinKomp[Rysunek techniczny / technische Zeichnung],MATCH($B21,tab_MinKomp[[Stanowisko / Position ]:[Stanowisko / Position ]],0))="n/a","n/a",DW21-INDEX(tab_MinKomp[Rysunek techniczny / technische Zeichnung],MATCH($B21,tab_MinKomp[[Stanowisko / Position ]:[Stanowisko / Position ]],0)))</f>
        <v>1</v>
      </c>
      <c r="DX22" s="297">
        <f>IF(INDEX(tab_MinKomp[Rysunek techniczny / technische Zeichnung],MATCH($B21,tab_MinKomp[[Stanowisko / Position ]:[Stanowisko / Position ]],0))="n/a","n/a",DX21-INDEX(tab_MinKomp[Rysunek techniczny / technische Zeichnung],MATCH($B21,tab_MinKomp[[Stanowisko / Position ]:[Stanowisko / Position ]],0)))</f>
        <v>1</v>
      </c>
      <c r="DY22" s="297" t="str">
        <f>IF(INDEX(tab_MinKomp[Konserwacja Rep],MATCH($B21,tab_MinKomp[[Stanowisko / Position ]:[Stanowisko / Position ]],0))="n/a","n/a",DY21-INDEX(tab_MinKomp[Konserwacja Rep],MATCH($B21,tab_MinKomp[[Stanowisko / Position ]:[Stanowisko / Position ]],0)))</f>
        <v>n/a</v>
      </c>
      <c r="DZ22" s="297" t="str">
        <f>IF(INDEX(tab_MinKomp[[Konserwacja Engel ]],MATCH($B21,tab_MinKomp[[Stanowisko / Position ]:[Stanowisko / Position ]],0))="n/a","n/a",DZ21-INDEX(tab_MinKomp[[Konserwacja Engel ]],MATCH($B21,tab_MinKomp[[Stanowisko / Position ]:[Stanowisko / Position ]],0)))</f>
        <v>n/a</v>
      </c>
      <c r="EA22" s="297" t="str">
        <f>IF(INDEX(tab_MinKomp[Konserwacja B 50],MATCH($B21,tab_MinKomp[[Stanowisko / Position ]:[Stanowisko / Position ]],0))="n/a","n/a",EA21-INDEX(tab_MinKomp[Konserwacja B 50],MATCH($B21,tab_MinKomp[[Stanowisko / Position ]:[Stanowisko / Position ]],0)))</f>
        <v>n/a</v>
      </c>
      <c r="EB22" s="297" t="str">
        <f>IF(INDEX(tab_MinKomp[[Konserwacja EOL ]],MATCH($B21,tab_MinKomp[[Stanowisko / Position ]:[Stanowisko / Position ]],0))="n/a","n/a",EB21-INDEX(tab_MinKomp[[Konserwacja EOL ]],MATCH($B21,tab_MinKomp[[Stanowisko / Position ]:[Stanowisko / Position ]],0)))</f>
        <v>n/a</v>
      </c>
      <c r="EC22" s="297" t="str">
        <f>IF(INDEX(tab_MinKomp[Konserwacja Branson],MATCH($B21,tab_MinKomp[[Stanowisko / Position ]:[Stanowisko / Position ]],0))="n/a","n/a",EC21-INDEX(tab_MinKomp[Konserwacja Branson],MATCH($B21,tab_MinKomp[[Stanowisko / Position ]:[Stanowisko / Position ]],0)))</f>
        <v>n/a</v>
      </c>
      <c r="ED22" s="297" t="str">
        <f>IF(INDEX(tab_MinKomp[Konserwacja coolery],MATCH($B21,tab_MinKomp[[Stanowisko / Position ]:[Stanowisko / Position ]],0))="n/a","n/a",ED21-INDEX(tab_MinKomp[Konserwacja coolery],MATCH($B21,tab_MinKomp[[Stanowisko / Position ]:[Stanowisko / Position ]],0)))</f>
        <v>n/a</v>
      </c>
      <c r="EE22" s="297" t="str">
        <f>IF(INDEX(tab_MinKomp[Konserwacja piecy],MATCH($B21,tab_MinKomp[[Stanowisko / Position ]:[Stanowisko / Position ]],0))="n/a","n/a",EE21-INDEX(tab_MinKomp[Konserwacja piecy],MATCH($B21,tab_MinKomp[[Stanowisko / Position ]:[Stanowisko / Position ]],0)))</f>
        <v>n/a</v>
      </c>
      <c r="EF22" s="297" t="str">
        <f>IF(INDEX(tab_MinKomp[Rysunek techniczny- czytanie],MATCH($B21,tab_MinKomp[[Stanowisko / Position ]:[Stanowisko / Position ]],0))="n/a","n/a",EF21-INDEX(tab_MinKomp[Rysunek techniczny- czytanie],MATCH($B21,tab_MinKomp[[Stanowisko / Position ]:[Stanowisko / Position ]],0)))</f>
        <v>n/a</v>
      </c>
      <c r="EG22" s="297" t="str">
        <f>IF(INDEX(tab_MinKomp[Elektryka],MATCH($B21,tab_MinKomp[[Stanowisko / Position ]:[Stanowisko / Position ]],0))="n/a","n/a",EG21-INDEX(tab_MinKomp[Elektryka],MATCH($B21,tab_MinKomp[[Stanowisko / Position ]:[Stanowisko / Position ]],0)))</f>
        <v>n/a</v>
      </c>
      <c r="EH22" s="297" t="str">
        <f>IF(INDEX(tab_MinKomp[Pneumatyka],MATCH($B21,tab_MinKomp[[Stanowisko / Position ]:[Stanowisko / Position ]],0))="n/a","n/a",EH21-INDEX(tab_MinKomp[Pneumatyka],MATCH($B21,tab_MinKomp[[Stanowisko / Position ]:[Stanowisko / Position ]],0)))</f>
        <v>n/a</v>
      </c>
      <c r="EI22" s="297" t="str">
        <f>IF(INDEX(tab_MinKomp[[Hydraulika ]],MATCH($B21,tab_MinKomp[[Stanowisko / Position ]:[Stanowisko / Position ]],0))="n/a","n/a",EI21-INDEX(tab_MinKomp[[Hydraulika ]],MATCH($B21,tab_MinKomp[[Stanowisko / Position ]:[Stanowisko / Position ]],0)))</f>
        <v>n/a</v>
      </c>
      <c r="EJ22" s="297" t="str">
        <f>IF(INDEX(tab_MinKomp[Podciśnienie],MATCH($B21,tab_MinKomp[[Stanowisko / Position ]:[Stanowisko / Position ]],0))="n/a","n/a",EJ21-INDEX(tab_MinKomp[Podciśnienie],MATCH($B21,tab_MinKomp[[Stanowisko / Position ]:[Stanowisko / Position ]],0)))</f>
        <v>n/a</v>
      </c>
      <c r="EK22" s="297" t="str">
        <f>IF(INDEX(tab_MinKomp[Usuwanie awarii],MATCH($B21,tab_MinKomp[[Stanowisko / Position ]:[Stanowisko / Position ]],0))="n/a","n/a",EK21-INDEX(tab_MinKomp[Usuwanie awarii],MATCH($B21,tab_MinKomp[[Stanowisko / Position ]:[Stanowisko / Position ]],0)))</f>
        <v>n/a</v>
      </c>
      <c r="EL22" s="297" t="str">
        <f>IF(INDEX(tab_MinKomp[Obsługa robotów],MATCH($B21,tab_MinKomp[[Stanowisko / Position ]:[Stanowisko / Position ]],0))="n/a","n/a",EL21-INDEX(tab_MinKomp[Obsługa robotów],MATCH($B21,tab_MinKomp[[Stanowisko / Position ]:[Stanowisko / Position ]],0)))</f>
        <v>n/a</v>
      </c>
      <c r="EM22" s="297" t="str">
        <f>IF(INDEX(tab_MinKomp[Obsługa sterowania maszyny],MATCH($B21,tab_MinKomp[[Stanowisko / Position ]:[Stanowisko / Position ]],0))="n/a","n/a",EM21-INDEX(tab_MinKomp[Obsługa sterowania maszyny],MATCH($B21,tab_MinKomp[[Stanowisko / Position ]:[Stanowisko / Position ]],0)))</f>
        <v>n/a</v>
      </c>
      <c r="EN22" s="297" t="str">
        <f>IF(INDEX(tab_MinKomp[Usuwanie przyczyn żródłowych],MATCH($B21,tab_MinKomp[[Stanowisko / Position ]:[Stanowisko / Position ]],0))="n/a","n/a",EN21-INDEX(tab_MinKomp[Usuwanie przyczyn żródłowych],MATCH($B21,tab_MinKomp[[Stanowisko / Position ]:[Stanowisko / Position ]],0)))</f>
        <v>n/a</v>
      </c>
      <c r="EO22" s="297" t="str">
        <f>IF(INDEX(tab_MinKomp[Cmms stosowanie],MATCH($B21,tab_MinKomp[[Stanowisko / Position ]:[Stanowisko / Position ]],0))="n/a","n/a",EO21-INDEX(tab_MinKomp[Cmms stosowanie],MATCH($B21,tab_MinKomp[[Stanowisko / Position ]:[Stanowisko / Position ]],0)))</f>
        <v>n/a</v>
      </c>
      <c r="EP22" s="297" t="str">
        <f>IF(INDEX(tab_MinKomp[[Czyszczenie form gumowych ]],MATCH($B21,tab_MinKomp[[Stanowisko / Position ]:[Stanowisko / Position ]],0))="n/a","n/a",EP21-INDEX(tab_MinKomp[[Czyszczenie form gumowych ]],MATCH($B21,tab_MinKomp[[Stanowisko / Position ]:[Stanowisko / Position ]],0)))</f>
        <v>n/a</v>
      </c>
      <c r="EQ22" s="297" t="str">
        <f>IF(INDEX(tab_MinKomp[Czyszczenie form plastikowych],MATCH($B21,tab_MinKomp[[Stanowisko / Position ]:[Stanowisko / Position ]],0))="n/a","n/a",EQ21-INDEX(tab_MinKomp[Czyszczenie form plastikowych],MATCH($B21,tab_MinKomp[[Stanowisko / Position ]:[Stanowisko / Position ]],0)))</f>
        <v>n/a</v>
      </c>
      <c r="ER22" s="297" t="str">
        <f>IF(INDEX(tab_MinKomp[Wymiana form plastik],MATCH($B21,tab_MinKomp[[Stanowisko / Position ]:[Stanowisko / Position ]],0))="n/a","n/a",ER21-INDEX(tab_MinKomp[Wymiana form plastik],MATCH($B21,tab_MinKomp[[Stanowisko / Position ]:[Stanowisko / Position ]],0)))</f>
        <v>n/a</v>
      </c>
      <c r="ES22" s="297" t="str">
        <f>IF(INDEX(tab_MinKomp[Wymiana form guma],MATCH($B21,tab_MinKomp[[Stanowisko / Position ]:[Stanowisko / Position ]],0))="n/a","n/a",ES21-INDEX(tab_MinKomp[Wymiana form guma],MATCH($B21,tab_MinKomp[[Stanowisko / Position ]:[Stanowisko / Position ]],0)))</f>
        <v>n/a</v>
      </c>
      <c r="ET22" s="297" t="str">
        <f>IF(INDEX(tab_MinKomp[Konserwacja KK],MATCH($B21,tab_MinKomp[[Stanowisko / Position ]:[Stanowisko / Position ]],0))="n/a","n/a",ET21-INDEX(tab_MinKomp[Konserwacja KK],MATCH($B21,tab_MinKomp[[Stanowisko / Position ]:[Stanowisko / Position ]],0)))</f>
        <v>n/a</v>
      </c>
      <c r="EU22" s="297" t="str">
        <f>IF(INDEX(tab_MinKomp[Konserwacja form guma],MATCH($B21,tab_MinKomp[[Stanowisko / Position ]:[Stanowisko / Position ]],0))="n/a","n/a",EU21-INDEX(tab_MinKomp[Konserwacja form guma],MATCH($B21,tab_MinKomp[[Stanowisko / Position ]:[Stanowisko / Position ]],0)))</f>
        <v>n/a</v>
      </c>
      <c r="EV22" s="297" t="str">
        <f>IF(INDEX(tab_MinKomp[Konserwacja form plastiki],MATCH($B21,tab_MinKomp[[Stanowisko / Position ]:[Stanowisko / Position ]],0))="n/a","n/a",EV21-INDEX(tab_MinKomp[Konserwacja form plastiki],MATCH($B21,tab_MinKomp[[Stanowisko / Position ]:[Stanowisko / Position ]],0)))</f>
        <v>n/a</v>
      </c>
      <c r="EW22" s="458" t="str">
        <f>IF(INDEX(tab_MinKomp[Konserwacja form plastiki],MATCH($B21,tab_MinKomp[[Stanowisko / Position ]:[Stanowisko / Position ]],0))="n/a","n/a",EW21-INDEX(tab_MinKomp[Konserwacja form plastiki],MATCH($B21,tab_MinKomp[[Stanowisko / Position ]:[Stanowisko / Position ]],0)))</f>
        <v>n/a</v>
      </c>
      <c r="EX22" s="297" t="str">
        <f>IF(INDEX(tab_MinKomp[Konserwacja Gorącego Kanału],MATCH($B21,tab_MinKomp[[Stanowisko / Position ]:[Stanowisko / Position ]],0))="n/a","n/a",EX21-INDEX(tab_MinKomp[Konserwacja Gorącego Kanału],MATCH($B21,tab_MinKomp[[Stanowisko / Position ]:[Stanowisko / Position ]],0)))</f>
        <v>n/a</v>
      </c>
      <c r="EY22" s="297">
        <f>IF(INDEX(tab_MinKomp[MS Office (Excel)],MATCH($B21,tab_MinKomp[[Stanowisko / Position ]:[Stanowisko / Position ]],0))="n/a","n/a",EY21-INDEX(tab_MinKomp[MS Office (Excel)],MATCH($B21,tab_MinKomp[[Stanowisko / Position ]:[Stanowisko / Position ]],0)))</f>
        <v>0</v>
      </c>
      <c r="EZ22" s="297">
        <f>IF(INDEX(tab_MinKomp[MS Office (Word)],MATCH($B21,tab_MinKomp[[Stanowisko / Position ]:[Stanowisko / Position ]],0))="n/a","n/a",EZ21-INDEX(tab_MinKomp[MS Office (Word)],MATCH($B21,tab_MinKomp[[Stanowisko / Position ]:[Stanowisko / Position ]],0)))</f>
        <v>0</v>
      </c>
      <c r="FA22" s="297">
        <f>IF(INDEX(tab_MinKomp[MS Office (Power Point)],MATCH($B21,tab_MinKomp[[Stanowisko / Position ]:[Stanowisko / Position ]],0))="n/a","n/a",FA21-INDEX(tab_MinKomp[MS Office (Power Point)],MATCH($B21,tab_MinKomp[[Stanowisko / Position ]:[Stanowisko / Position ]],0)))</f>
        <v>0</v>
      </c>
      <c r="FB22" s="297" t="str">
        <f>IF(INDEX(tab_MinKomp[Język angielski / Englisch],MATCH($B21,tab_MinKomp[[Stanowisko / Position ]:[Stanowisko / Position ]],0))="n/a","n/a",FB21-INDEX(tab_MinKomp[Język angielski / Englisch],MATCH($B21,tab_MinKomp[[Stanowisko / Position ]:[Stanowisko / Position ]],0)))</f>
        <v>n/a</v>
      </c>
      <c r="FC22" s="297" t="str">
        <f>IF(INDEX(tab_MinKomp[Język niemiecki / Deutsch],MATCH($B21,tab_MinKomp[[Stanowisko / Position ]:[Stanowisko / Position ]],0))="n/a","n/a",FC21-INDEX(tab_MinKomp[Język niemiecki / Deutsch],MATCH($B21,tab_MinKomp[[Stanowisko / Position ]:[Stanowisko / Position ]],0)))</f>
        <v>n/a</v>
      </c>
      <c r="FD22" s="297">
        <f>IF(INDEX(tab_MinKomp[Zarządzanie dokumentacją procesową / Process dokumentation management],MATCH($B21,tab_MinKomp[[Stanowisko / Position ]:[Stanowisko / Position ]],0))="n/a","n/a",FD21-INDEX(tab_MinKomp[Zarządzanie dokumentacją procesową / Process dokumentation management],MATCH($B21,tab_MinKomp[[Stanowisko / Position ]:[Stanowisko / Position ]],0)))</f>
        <v>0</v>
      </c>
      <c r="FE22" s="297">
        <f>IF(INDEX(tab_MinKomp[Znajomość procesów z obszaru / Kenntiss der prozesse in dem Bereich],MATCH($B21,tab_MinKomp[[Stanowisko / Position ]:[Stanowisko / Position ]],0))="n/a","n/a",FE21-INDEX(tab_MinKomp[Znajomość procesów z obszaru / Kenntiss der prozesse in dem Bereich],MATCH($B21,tab_MinKomp[[Stanowisko / Position ]:[Stanowisko / Position ]],0)))</f>
        <v>0</v>
      </c>
      <c r="FF22" s="297" t="str">
        <f>IF(INDEX(tab_MinKomp[optymalizacja procesów / Prozessoptymalisierung],MATCH($B21,tab_MinKomp[[Stanowisko / Position ]:[Stanowisko / Position ]],0))="n/a","n/a",FF21-INDEX(tab_MinKomp[optymalizacja procesów / Prozessoptymalisierung],MATCH($B21,tab_MinKomp[[Stanowisko / Position ]:[Stanowisko / Position ]],0)))</f>
        <v>n/a</v>
      </c>
      <c r="FG22" s="297">
        <f>IF(INDEX(tab_MinKomp[Umiejętności szkoleniowe / Trainingsfähigkeiten],MATCH($B21,tab_MinKomp[[Stanowisko / Position ]:[Stanowisko / Position ]],0))="n/a","n/a",FG21-INDEX(tab_MinKomp[Umiejętności szkoleniowe / Trainingsfähigkeiten],MATCH($B21,tab_MinKomp[[Stanowisko / Position ]:[Stanowisko / Position ]],0)))</f>
        <v>0</v>
      </c>
      <c r="FH22" s="297">
        <f>IF(INDEX(tab_MinKomp[Analityczne myślenie, podejście / Analitysches Denken, Einstellung],MATCH($B21,tab_MinKomp[[Stanowisko / Position ]:[Stanowisko / Position ]],0))="n/a","n/a",FH21-INDEX(tab_MinKomp[Analityczne myślenie, podejście / Analitysches Denken, Einstellung],MATCH($B21,tab_MinKomp[[Stanowisko / Position ]:[Stanowisko / Position ]],0)))</f>
        <v>1</v>
      </c>
      <c r="FI22" s="297">
        <f>IF(INDEX(tab_MinKomp[Dokładność, precyzja w dzialaniu / Genauigkeit, Präzision in die Arbeit],MATCH($B21,tab_MinKomp[[Stanowisko / Position ]:[Stanowisko / Position ]],0))="n/a","n/a",FI21-INDEX(tab_MinKomp[Dokładność, precyzja w dzialaniu / Genauigkeit, Präzision in die Arbeit],MATCH($B21,tab_MinKomp[[Stanowisko / Position ]:[Stanowisko / Position ]],0)))</f>
        <v>1</v>
      </c>
      <c r="FJ22" s="297">
        <f>IF(INDEX(tab_MinKomp[Dyspozycyjność / Verfügbarkeit],MATCH($B21,tab_MinKomp[[Stanowisko / Position ]:[Stanowisko / Position ]],0))="n/a","n/a",FJ21-INDEX(tab_MinKomp[Dyspozycyjność / Verfügbarkeit],MATCH($B21,tab_MinKomp[[Stanowisko / Position ]:[Stanowisko / Position ]],0)))</f>
        <v>0</v>
      </c>
      <c r="FK22" s="297">
        <f>IF(INDEX(tab_MinKomp[Zaangażowanie / 
Engagement],MATCH($B21,tab_MinKomp[[Stanowisko / Position ]:[Stanowisko / Position ]],0))="n/a","n/a",FK21-INDEX(tab_MinKomp[Zaangażowanie / 
Engagement],MATCH($B21,tab_MinKomp[[Stanowisko / Position ]:[Stanowisko / Position ]],0)))</f>
        <v>0</v>
      </c>
      <c r="FL22" s="297" t="str">
        <f>IF(INDEX(tab_MinKomp[Planowanie strategiczne / Strategische Planung],MATCH($B21,tab_MinKomp[[Stanowisko / Position ]:[Stanowisko / Position ]],0))="n/a","n/a",FL21-INDEX(tab_MinKomp[Planowanie strategiczne / Strategische Planung],MATCH($B21,tab_MinKomp[[Stanowisko / Position ]:[Stanowisko / Position ]],0)))</f>
        <v>n/a</v>
      </c>
      <c r="FM22" s="297" t="str">
        <f>IF(INDEX(tab_MinKomp[Konsekwentne i dynamiczne działanie],MATCH($B21,tab_MinKomp[[Stanowisko / Position ]:[Stanowisko / Position ]],0))="n/a","n/a",FM21-INDEX(tab_MinKomp[Konsekwentne i dynamiczne działanie],MATCH($B21,tab_MinKomp[[Stanowisko / Position ]:[Stanowisko / Position ]],0)))</f>
        <v>n/a</v>
      </c>
      <c r="FN22" s="297" t="str">
        <f>IF(INDEX(tab_MinKomp[Elastyczność w działaniu],MATCH($B21,tab_MinKomp[[Stanowisko / Position ]:[Stanowisko / Position ]],0))="n/a","n/a",FN21-INDEX(tab_MinKomp[Elastyczność w działaniu],MATCH($B21,tab_MinKomp[[Stanowisko / Position ]:[Stanowisko / Position ]],0)))</f>
        <v>n/a</v>
      </c>
      <c r="FO22" s="297">
        <f>IF(INDEX(tab_MinKomp[Komunikatywność],MATCH($B21,tab_MinKomp[[Stanowisko / Position ]:[Stanowisko / Position ]],0))="n/a","n/a",FO21-INDEX(tab_MinKomp[Komunikatywność],MATCH($B21,tab_MinKomp[[Stanowisko / Position ]:[Stanowisko / Position ]],0)))</f>
        <v>0</v>
      </c>
      <c r="FP22" s="296" t="str">
        <f>IF(INDEX(tab_MinKomp[Motywowanie i budowanie zaangażowania zespołu],MATCH($B21,tab_MinKomp[[Stanowisko / Position ]:[Stanowisko / Position ]],0))="n/a","n/a",FP21-INDEX(tab_MinKomp[Motywowanie i budowanie zaangażowania zespołu],MATCH($B21,tab_MinKomp[[Stanowisko / Position ]:[Stanowisko / Position ]],0)))</f>
        <v>n/a</v>
      </c>
      <c r="FQ22" s="303" t="str">
        <f>IFERROR(IF(INDEX(tab_MinKomp[BRAK / Keine],MATCH($B21,tab_MinKomp[[Stanowisko / Position ]:[Stanowisko / Position ]],0))="n/a","n/a",INDEX(tab_MinKomp[BRAK / Keine],MATCH($B21,tab_MinKomp[[Stanowisko / Position ]:[Stanowisko / Position ]],0))-FQ21),"")</f>
        <v>n/a</v>
      </c>
      <c r="FR22" s="297" t="str">
        <f>IF(INDEX(tab_MinKomp[MINIMUM 1 ROK / min. 1 Jahr],MATCH($B21,tab_MinKomp[[Stanowisko / Position ]:[Stanowisko / Position ]],0))="n/a","n/a",INDEX(tab_MinKomp[MINIMUM 1 ROK / min. 1 Jahr],MATCH($B21,tab_MinKomp[[Stanowisko / Position ]:[Stanowisko / Position ]],0)))</f>
        <v>X</v>
      </c>
      <c r="FS22" s="297" t="str">
        <f>IF(INDEX(tab_MinKomp[MINIMUM 2 LATA / min. 2 Jahre],MATCH($B21,tab_MinKomp[[Stanowisko / Position ]:[Stanowisko / Position ]],0))="n/a","n/a",INDEX(tab_MinKomp[MINIMUM 2 LATA / min. 2 Jahre],MATCH($B21,tab_MinKomp[[Stanowisko / Position ]:[Stanowisko / Position ]],0)))</f>
        <v>n/a</v>
      </c>
      <c r="FT22" s="297" t="str">
        <f>IF(INDEX(tab_MinKomp[MINIMUM 3 LATA / min. 3 Jahre],MATCH($B21,tab_MinKomp[[Stanowisko / Position ]:[Stanowisko / Position ]],0))="n/a","n/a",INDEX(tab_MinKomp[MINIMUM 3 LATA / min. 3 Jahre],MATCH($B21,tab_MinKomp[[Stanowisko / Position ]:[Stanowisko / Position ]],0)))</f>
        <v>n/a</v>
      </c>
      <c r="FU22" s="297" t="str">
        <f>IF(INDEX(tab_MinKomp[MINIMUM 4 LATA / min. 4 Jahre],MATCH($B21,tab_MinKomp[[Stanowisko / Position ]:[Stanowisko / Position ]],0))="n/a","n/a",INDEX(tab_MinKomp[MINIMUM 4 LATA / min. 4 Jahre],MATCH($B21,tab_MinKomp[[Stanowisko / Position ]:[Stanowisko / Position ]],0)))</f>
        <v>n/a</v>
      </c>
      <c r="FV22" s="304" t="str">
        <f>IF(INDEX(tab_MinKomp[MINIMUM 5 LAT / min. 5 Jahre],MATCH($B21,tab_MinKomp[[Stanowisko / Position ]:[Stanowisko / Position ]],0))="n/a","n/a",INDEX(tab_MinKomp[MINIMUM 5 LAT / min. 5 Jahre],MATCH($B21,tab_MinKomp[[Stanowisko / Position ]:[Stanowisko / Position ]],0)))</f>
        <v>n/a</v>
      </c>
      <c r="FW22" s="303" t="str">
        <f>IF(INDEX(tab_MinKomp[BRAK / Keine9],MATCH($B21,tab_MinKomp[[Stanowisko / Position ]:[Stanowisko / Position ]],0))="n/a","n/a",INDEX(tab_MinKomp[BRAK / Keine9],MATCH($B21,tab_MinKomp[[Stanowisko / Position ]:[Stanowisko / Position ]],0)))</f>
        <v>n/a</v>
      </c>
      <c r="FX22" s="297" t="str">
        <f>IF(INDEX(tab_MinKomp[ŚREDNIE OGÓLNE / Abitur allgemeine],MATCH($B21,tab_MinKomp[[Stanowisko / Position ]:[Stanowisko / Position ]],0))="n/a","n/a",INDEX(tab_MinKomp[ŚREDNIE OGÓLNE / Abitur allgemeine],MATCH($B21,tab_MinKomp[[Stanowisko / Position ]:[Stanowisko / Position ]],0)))</f>
        <v>n/a</v>
      </c>
      <c r="FZ22" s="297" t="str">
        <f>IF(INDEX(tab_MinKomp[ŚREDNIE KIERUNKOWE / berufliches Gymnasium],MATCH($B21,tab_MinKomp[[Stanowisko / Position ]:[Stanowisko / Position ]],0))="n/a","n/a",INDEX(tab_MinKomp[ŚREDNIE KIERUNKOWE / berufliches Gymnasium],MATCH($B21,tab_MinKomp[[Stanowisko / Position ]:[Stanowisko / Position ]],0)))</f>
        <v>n/a</v>
      </c>
      <c r="GA22" s="297" t="str">
        <f>IF(INDEX(tab_MinKomp[WYŻSZE OGÓLNE / Hochschule allgemeine],MATCH($B21,tab_MinKomp[[Stanowisko / Position ]:[Stanowisko / Position ]],0))="n/a","n/a",INDEX(tab_MinKomp[WYŻSZE OGÓLNE / Hochschule allgemeine],MATCH($B21,tab_MinKomp[[Stanowisko / Position ]:[Stanowisko / Position ]],0)))</f>
        <v>n/a</v>
      </c>
      <c r="GB22" s="304" t="str">
        <f>IF(INDEX(tab_MinKomp[WYŻSZE KIERUNKOWE / Hochschule berufliche],MATCH($B21,tab_MinKomp[[Stanowisko / Position ]:[Stanowisko / Position ]],0))="n/a","n/a",INDEX(tab_MinKomp[WYŻSZE KIERUNKOWE / Hochschule berufliche],MATCH($B21,tab_MinKomp[[Stanowisko / Position ]:[Stanowisko / Position ]],0)))</f>
        <v>n/a</v>
      </c>
      <c r="GC22" s="303" t="str">
        <f>IF(INDEX(tab_MinKomp[PIERWSZA POMOC / Erste Hilfe],MATCH($B21,tab_MinKomp[[Stanowisko / Position ]:[Stanowisko / Position ]],0))="n/a","n/a",INDEX(tab_MinKomp[PIERWSZA POMOC / Erste Hilfe],MATCH($B21,tab_MinKomp[[Stanowisko / Position ]:[Stanowisko / Position ]],0)))</f>
        <v>n/a</v>
      </c>
      <c r="GD22" s="297" t="str">
        <f>IF(INDEX(tab_MinKomp[Specjalista BHP / BHP Spezialist],MATCH($B21,tab_MinKomp[[Stanowisko / Position ]:[Stanowisko / Position ]],0))="n/a","n/a",INDEX(tab_MinKomp[Specjalista BHP / BHP Spezialist],MATCH($B21,tab_MinKomp[[Stanowisko / Position ]:[Stanowisko / Position ]],0)))</f>
        <v>n/a</v>
      </c>
      <c r="GE22" s="297" t="str">
        <f>IF(INDEX(tab_MinKomp[Inspektor ochrony PPOŻ / Brandschutzinspektor],MATCH($B21,tab_MinKomp[[Stanowisko / Position ]:[Stanowisko / Position ]],0))="n/a","n/a",INDEX(tab_MinKomp[Inspektor ochrony PPOŻ / Brandschutzinspektor],MATCH($B21,tab_MinKomp[[Stanowisko / Position ]:[Stanowisko / Position ]],0)))</f>
        <v>n/a</v>
      </c>
      <c r="GF22" s="297" t="str">
        <f>IF(INDEX(tab_MinKomp[WÓZKI JEZDNIOWE / Gebelstapler],MATCH($B21,tab_MinKomp[[Stanowisko / Position ]:[Stanowisko / Position ]],0))="n/a","n/a",INDEX(tab_MinKomp[WÓZKI JEZDNIOWE / Gebelstapler],MATCH($B21,tab_MinKomp[[Stanowisko / Position ]:[Stanowisko / Position ]],0)))</f>
        <v>n/a</v>
      </c>
      <c r="GG22" s="297" t="str">
        <f>IF(INDEX(tab_MinKomp[SEP],MATCH($B21,tab_MinKomp[[Stanowisko / Position ]:[Stanowisko / Position ]],0))="n/a","n/a",INDEX(tab_MinKomp[SEP],MATCH($B21,tab_MinKomp[[Stanowisko / Position ]:[Stanowisko / Position ]],0)))</f>
        <v>n/a</v>
      </c>
      <c r="GH22" s="297" t="str">
        <f>IF(INDEX(tab_MinKomp[SEP  DOZÓR / SEP Aufsicht],MATCH($B21,tab_MinKomp[[Stanowisko / Position ]:[Stanowisko / Position ]],0))="n/a","n/a",INDEX(tab_MinKomp[SEP  DOZÓR / SEP Aufsicht],MATCH($B21,tab_MinKomp[[Stanowisko / Position ]:[Stanowisko / Position ]],0)))</f>
        <v>n/a</v>
      </c>
      <c r="GI22" s="297" t="str">
        <f>IF(INDEX(tab_MinKomp[PODNOŚNIKI / Hebevorrichtung],MATCH($B21,tab_MinKomp[[Stanowisko / Position ]:[Stanowisko / Position ]],0))="n/a","n/a",INDEX(tab_MinKomp[PODNOŚNIKI / Hebevorrichtung],MATCH($B21,tab_MinKomp[[Stanowisko / Position ]:[Stanowisko / Position ]],0)))</f>
        <v>n/a</v>
      </c>
      <c r="GJ22" s="297" t="str">
        <f>IF(INDEX(tab_MinKomp[SUWNICE / Laufkran],MATCH($B21,tab_MinKomp[[Stanowisko / Position ]:[Stanowisko / Position ]],0))="n/a","n/a",INDEX(tab_MinKomp[SUWNICE / Laufkran],MATCH($B21,tab_MinKomp[[Stanowisko / Position ]:[Stanowisko / Position ]],0)))</f>
        <v>n/a</v>
      </c>
      <c r="GK22" s="304" t="str">
        <f>IF(INDEX(tab_MinKomp[WYSOKOŚCIOWE / Höhenberechtigungen],MATCH($B21,tab_MinKomp[[Stanowisko / Position ]:[Stanowisko / Position ]],0))="n/a","n/a",INDEX(tab_MinKomp[WYSOKOŚCIOWE / Höhenberechtigungen],MATCH($B21,tab_MinKomp[[Stanowisko / Position ]:[Stanowisko / Position ]],0)))</f>
        <v>n/a</v>
      </c>
      <c r="GL22" s="305">
        <f>SUM(G22:FP22)/(GL21-(SUM(G22:FP22)))</f>
        <v>9.5652173913043481E-2</v>
      </c>
    </row>
    <row r="23" spans="1:195" ht="28.35" customHeight="1" x14ac:dyDescent="0.25">
      <c r="A23" s="135" t="s">
        <v>260</v>
      </c>
      <c r="B23" s="135" t="s">
        <v>193</v>
      </c>
      <c r="C23" s="135" t="s">
        <v>750</v>
      </c>
      <c r="D23" s="135">
        <v>788</v>
      </c>
      <c r="E23" s="565" t="s">
        <v>264</v>
      </c>
      <c r="F23" s="307" t="s">
        <v>165</v>
      </c>
      <c r="G23" s="308">
        <v>2</v>
      </c>
      <c r="H23" s="308">
        <v>2</v>
      </c>
      <c r="I23" s="308">
        <v>2</v>
      </c>
      <c r="J23" s="308">
        <v>1</v>
      </c>
      <c r="K23" s="308">
        <v>2</v>
      </c>
      <c r="L23" s="308">
        <v>1</v>
      </c>
      <c r="M23" s="308" t="s">
        <v>176</v>
      </c>
      <c r="N23" s="308" t="s">
        <v>176</v>
      </c>
      <c r="O23" s="308">
        <v>1</v>
      </c>
      <c r="P23" s="308">
        <v>1</v>
      </c>
      <c r="Q23" s="308" t="s">
        <v>176</v>
      </c>
      <c r="R23" s="308" t="s">
        <v>176</v>
      </c>
      <c r="S23" s="308" t="s">
        <v>176</v>
      </c>
      <c r="T23" s="308" t="s">
        <v>176</v>
      </c>
      <c r="U23" s="308" t="s">
        <v>176</v>
      </c>
      <c r="V23" s="308" t="s">
        <v>176</v>
      </c>
      <c r="W23" s="308" t="s">
        <v>176</v>
      </c>
      <c r="X23" s="308" t="s">
        <v>176</v>
      </c>
      <c r="Y23" s="308" t="s">
        <v>176</v>
      </c>
      <c r="Z23" s="308" t="s">
        <v>176</v>
      </c>
      <c r="AA23" s="308" t="s">
        <v>176</v>
      </c>
      <c r="AB23" s="308" t="s">
        <v>176</v>
      </c>
      <c r="AC23" s="308">
        <v>1</v>
      </c>
      <c r="AD23" s="308">
        <v>1</v>
      </c>
      <c r="AE23" s="308">
        <v>1</v>
      </c>
      <c r="AF23" s="308">
        <v>1</v>
      </c>
      <c r="AG23" s="308">
        <v>1</v>
      </c>
      <c r="AH23" s="308">
        <v>1</v>
      </c>
      <c r="AI23" s="308" t="s">
        <v>176</v>
      </c>
      <c r="AJ23" s="308" t="s">
        <v>176</v>
      </c>
      <c r="AK23" s="308" t="s">
        <v>176</v>
      </c>
      <c r="AL23" s="308">
        <v>1</v>
      </c>
      <c r="AM23" s="308" t="s">
        <v>176</v>
      </c>
      <c r="AN23" s="308" t="s">
        <v>176</v>
      </c>
      <c r="AO23" s="308">
        <v>1</v>
      </c>
      <c r="AP23" s="308">
        <v>1</v>
      </c>
      <c r="AQ23" s="308">
        <v>1</v>
      </c>
      <c r="AR23" s="308" t="s">
        <v>176</v>
      </c>
      <c r="AS23" s="308">
        <v>1</v>
      </c>
      <c r="AT23" s="308">
        <v>1</v>
      </c>
      <c r="AU23" s="308">
        <v>1</v>
      </c>
      <c r="AV23" s="308">
        <v>2</v>
      </c>
      <c r="AW23" s="308">
        <v>1</v>
      </c>
      <c r="AX23" s="308">
        <v>1</v>
      </c>
      <c r="AY23" s="308" t="s">
        <v>176</v>
      </c>
      <c r="AZ23" s="308">
        <v>1</v>
      </c>
      <c r="BA23" s="308" t="s">
        <v>176</v>
      </c>
      <c r="BB23" s="308" t="s">
        <v>176</v>
      </c>
      <c r="BC23" s="308" t="s">
        <v>176</v>
      </c>
      <c r="BD23" s="308" t="s">
        <v>176</v>
      </c>
      <c r="BE23" s="308" t="s">
        <v>176</v>
      </c>
      <c r="BF23" s="308" t="s">
        <v>176</v>
      </c>
      <c r="BG23" s="308" t="s">
        <v>176</v>
      </c>
      <c r="BH23" s="308" t="s">
        <v>176</v>
      </c>
      <c r="BI23" s="308" t="s">
        <v>176</v>
      </c>
      <c r="BJ23" s="308" t="s">
        <v>176</v>
      </c>
      <c r="BK23" s="308" t="s">
        <v>176</v>
      </c>
      <c r="BL23" s="308" t="s">
        <v>176</v>
      </c>
      <c r="BM23" s="308" t="s">
        <v>176</v>
      </c>
      <c r="BN23" s="308" t="s">
        <v>176</v>
      </c>
      <c r="BO23" s="308" t="s">
        <v>176</v>
      </c>
      <c r="BP23" s="308" t="s">
        <v>176</v>
      </c>
      <c r="BQ23" s="308" t="s">
        <v>176</v>
      </c>
      <c r="BR23" s="308" t="s">
        <v>176</v>
      </c>
      <c r="BS23" s="308" t="s">
        <v>176</v>
      </c>
      <c r="BT23" s="308" t="s">
        <v>176</v>
      </c>
      <c r="BU23" s="308" t="s">
        <v>176</v>
      </c>
      <c r="BV23" s="308" t="s">
        <v>176</v>
      </c>
      <c r="BW23" s="308" t="s">
        <v>176</v>
      </c>
      <c r="BX23" s="308" t="s">
        <v>176</v>
      </c>
      <c r="BY23" s="308" t="s">
        <v>176</v>
      </c>
      <c r="BZ23" s="308" t="s">
        <v>176</v>
      </c>
      <c r="CA23" s="308" t="s">
        <v>176</v>
      </c>
      <c r="CB23" s="308" t="s">
        <v>176</v>
      </c>
      <c r="CC23" s="308" t="s">
        <v>176</v>
      </c>
      <c r="CD23" s="308" t="s">
        <v>176</v>
      </c>
      <c r="CE23" s="308" t="s">
        <v>176</v>
      </c>
      <c r="CF23" s="308" t="s">
        <v>176</v>
      </c>
      <c r="CG23" s="308" t="s">
        <v>176</v>
      </c>
      <c r="CH23" s="308" t="s">
        <v>176</v>
      </c>
      <c r="CI23" s="308">
        <v>2</v>
      </c>
      <c r="CJ23" s="308" t="s">
        <v>176</v>
      </c>
      <c r="CK23" s="308" t="s">
        <v>176</v>
      </c>
      <c r="CL23" s="308" t="s">
        <v>176</v>
      </c>
      <c r="CM23" s="308" t="s">
        <v>176</v>
      </c>
      <c r="CN23" s="308">
        <v>1</v>
      </c>
      <c r="CO23" s="308" t="s">
        <v>176</v>
      </c>
      <c r="CP23" s="308" t="s">
        <v>176</v>
      </c>
      <c r="CQ23" s="308" t="s">
        <v>176</v>
      </c>
      <c r="CR23" s="308" t="s">
        <v>176</v>
      </c>
      <c r="CS23" s="308" t="s">
        <v>176</v>
      </c>
      <c r="CT23" s="308">
        <v>2</v>
      </c>
      <c r="CU23" s="308">
        <v>2</v>
      </c>
      <c r="CV23" s="308">
        <v>2</v>
      </c>
      <c r="CW23" s="308">
        <v>1</v>
      </c>
      <c r="CX23" s="308">
        <v>2</v>
      </c>
      <c r="CY23" s="308">
        <v>2</v>
      </c>
      <c r="CZ23" s="308">
        <v>3</v>
      </c>
      <c r="DA23" s="308">
        <v>3</v>
      </c>
      <c r="DB23" s="308">
        <v>1</v>
      </c>
      <c r="DC23" s="308">
        <v>1</v>
      </c>
      <c r="DD23" s="308" t="s">
        <v>176</v>
      </c>
      <c r="DE23" s="308">
        <v>3</v>
      </c>
      <c r="DF23" s="308">
        <v>3</v>
      </c>
      <c r="DG23" s="308">
        <v>2</v>
      </c>
      <c r="DH23" s="308">
        <v>2</v>
      </c>
      <c r="DI23" s="308">
        <v>3</v>
      </c>
      <c r="DJ23" s="308">
        <v>3</v>
      </c>
      <c r="DK23" s="308">
        <v>2</v>
      </c>
      <c r="DL23" s="308">
        <v>2</v>
      </c>
      <c r="DM23" s="308">
        <v>2</v>
      </c>
      <c r="DN23" s="308">
        <v>2</v>
      </c>
      <c r="DO23" s="308">
        <v>2</v>
      </c>
      <c r="DP23" s="308">
        <v>2</v>
      </c>
      <c r="DQ23" s="308">
        <v>2</v>
      </c>
      <c r="DR23" s="308">
        <v>2</v>
      </c>
      <c r="DS23" s="308">
        <v>1</v>
      </c>
      <c r="DT23" s="308">
        <v>1</v>
      </c>
      <c r="DU23" s="308">
        <v>2</v>
      </c>
      <c r="DV23" s="308">
        <v>3</v>
      </c>
      <c r="DW23" s="308">
        <v>3</v>
      </c>
      <c r="DX23" s="308">
        <v>3</v>
      </c>
      <c r="DY23" s="308" t="s">
        <v>176</v>
      </c>
      <c r="DZ23" s="308" t="s">
        <v>176</v>
      </c>
      <c r="EA23" s="308" t="s">
        <v>176</v>
      </c>
      <c r="EB23" s="308" t="s">
        <v>176</v>
      </c>
      <c r="EC23" s="308" t="s">
        <v>176</v>
      </c>
      <c r="ED23" s="308" t="s">
        <v>176</v>
      </c>
      <c r="EE23" s="308" t="s">
        <v>176</v>
      </c>
      <c r="EF23" s="308" t="s">
        <v>176</v>
      </c>
      <c r="EG23" s="308" t="s">
        <v>176</v>
      </c>
      <c r="EH23" s="308" t="s">
        <v>176</v>
      </c>
      <c r="EI23" s="308" t="s">
        <v>176</v>
      </c>
      <c r="EJ23" s="308" t="s">
        <v>176</v>
      </c>
      <c r="EK23" s="308" t="s">
        <v>176</v>
      </c>
      <c r="EL23" s="308" t="s">
        <v>176</v>
      </c>
      <c r="EM23" s="308" t="s">
        <v>176</v>
      </c>
      <c r="EN23" s="308" t="s">
        <v>176</v>
      </c>
      <c r="EO23" s="308">
        <v>1</v>
      </c>
      <c r="EP23" s="308" t="s">
        <v>176</v>
      </c>
      <c r="EQ23" s="308" t="s">
        <v>176</v>
      </c>
      <c r="ER23" s="308" t="s">
        <v>176</v>
      </c>
      <c r="ES23" s="308" t="s">
        <v>176</v>
      </c>
      <c r="ET23" s="308" t="s">
        <v>176</v>
      </c>
      <c r="EU23" s="308" t="s">
        <v>176</v>
      </c>
      <c r="EV23" s="308" t="s">
        <v>176</v>
      </c>
      <c r="EW23" s="308" t="s">
        <v>176</v>
      </c>
      <c r="EX23" s="308" t="s">
        <v>176</v>
      </c>
      <c r="EY23" s="308">
        <v>2</v>
      </c>
      <c r="EZ23" s="308">
        <v>2</v>
      </c>
      <c r="FA23" s="308">
        <v>1</v>
      </c>
      <c r="FB23" s="308" t="s">
        <v>176</v>
      </c>
      <c r="FC23" s="308" t="s">
        <v>176</v>
      </c>
      <c r="FD23" s="308">
        <v>2</v>
      </c>
      <c r="FE23" s="308">
        <v>2</v>
      </c>
      <c r="FF23" s="308">
        <v>2</v>
      </c>
      <c r="FG23" s="308">
        <v>2</v>
      </c>
      <c r="FH23" s="308">
        <v>3</v>
      </c>
      <c r="FI23" s="308">
        <v>3</v>
      </c>
      <c r="FJ23" s="308">
        <v>3</v>
      </c>
      <c r="FK23" s="308">
        <v>3</v>
      </c>
      <c r="FL23" s="308">
        <v>1</v>
      </c>
      <c r="FM23" s="308">
        <v>2</v>
      </c>
      <c r="FN23" s="308">
        <v>2</v>
      </c>
      <c r="FO23" s="308">
        <v>2</v>
      </c>
      <c r="FP23" s="308" t="s">
        <v>176</v>
      </c>
      <c r="FQ23" s="308" t="s">
        <v>176</v>
      </c>
      <c r="FR23" s="308"/>
      <c r="FS23" s="308" t="s">
        <v>176</v>
      </c>
      <c r="FT23" s="308" t="s">
        <v>176</v>
      </c>
      <c r="FU23" s="308" t="s">
        <v>176</v>
      </c>
      <c r="FV23" s="308" t="s">
        <v>176</v>
      </c>
      <c r="FW23" s="308" t="s">
        <v>176</v>
      </c>
      <c r="FX23" s="308" t="s">
        <v>176</v>
      </c>
      <c r="FY23" s="308" t="s">
        <v>176</v>
      </c>
      <c r="FZ23" s="308" t="s">
        <v>160</v>
      </c>
      <c r="GA23" s="308" t="s">
        <v>176</v>
      </c>
      <c r="GB23" s="308" t="s">
        <v>176</v>
      </c>
      <c r="GC23" s="308" t="s">
        <v>176</v>
      </c>
      <c r="GD23" s="308" t="s">
        <v>176</v>
      </c>
      <c r="GE23" s="308" t="s">
        <v>176</v>
      </c>
      <c r="GF23" s="308" t="s">
        <v>176</v>
      </c>
      <c r="GG23" s="308" t="s">
        <v>176</v>
      </c>
      <c r="GH23" s="308" t="s">
        <v>176</v>
      </c>
      <c r="GI23" s="308" t="s">
        <v>176</v>
      </c>
      <c r="GJ23" s="308" t="s">
        <v>176</v>
      </c>
      <c r="GK23" s="321" t="s">
        <v>176</v>
      </c>
      <c r="GL23" s="311">
        <f>SUM(G23:FP23)</f>
        <v>130</v>
      </c>
    </row>
    <row r="24" spans="1:195" ht="28.35" customHeight="1" thickBot="1" x14ac:dyDescent="0.3">
      <c r="A24" s="138" t="str">
        <f>A23</f>
        <v>Jakość-Quality Labor</v>
      </c>
      <c r="B24" s="138" t="str">
        <f>B23</f>
        <v>Inspektor jakości</v>
      </c>
      <c r="C24" s="135" t="s">
        <v>750</v>
      </c>
      <c r="D24" s="138">
        <f>D23</f>
        <v>788</v>
      </c>
      <c r="E24" s="566" t="str">
        <f>E23</f>
        <v>Serowik Joanna</v>
      </c>
      <c r="F24" s="312" t="s">
        <v>166</v>
      </c>
      <c r="G24" s="313">
        <f>IF(INDEX(tab_MinKomp[Przepisy BHP / BHP Vorschriften],MATCH($B23,tab_MinKomp[[Stanowisko / Position ]:[Stanowisko / Position ]],0))="n/a","n/a",G23-INDEX(tab_MinKomp[Przepisy BHP / BHP Vorschriften],MATCH($B23,tab_MinKomp[[Stanowisko / Position ]:[Stanowisko / Position ]],0)))</f>
        <v>0</v>
      </c>
      <c r="H24" s="314">
        <f>IF(INDEX(tab_MinKomp[Przepisy PPOŻ / Brandschutzbestimmungen],MATCH($B23,tab_MinKomp[[Stanowisko / Position ]:[Stanowisko / Position ]],0))="n/a","n/a",H23-INDEX(tab_MinKomp[Przepisy PPOŻ / Brandschutzbestimmungen],MATCH($B23,tab_MinKomp[[Stanowisko / Position ]:[Stanowisko / Position ]],0)))</f>
        <v>0</v>
      </c>
      <c r="I24" s="314">
        <f>IF(INDEX(tab_MinKomp[Ryzyko zawodowe na stanowiskach pracyv/ Berufliche Risiken an Arbeitsstellen],MATCH($B23,tab_MinKomp[[Stanowisko / Position ]:[Stanowisko / Position ]],0))="n/a","n/a",I23-INDEX(tab_MinKomp[Ryzyko zawodowe na stanowiskach pracyv/ Berufliche Risiken an Arbeitsstellen],MATCH($B23,tab_MinKomp[[Stanowisko / Position ]:[Stanowisko / Position ]],0)))</f>
        <v>0</v>
      </c>
      <c r="J24" s="314">
        <f>IF(INDEX(tab_MinKomp[Gospodarka substancjami niebezpiecznymi / Gefahrstoffmanagement],MATCH($B23,tab_MinKomp[[Stanowisko / Position ]:[Stanowisko / Position ]],0))="n/a","n/a",J23-INDEX(tab_MinKomp[Gospodarka substancjami niebezpiecznymi / Gefahrstoffmanagement],MATCH($B23,tab_MinKomp[[Stanowisko / Position ]:[Stanowisko / Position ]],0)))</f>
        <v>0</v>
      </c>
      <c r="K24" s="314">
        <f>IF(INDEX(tab_MinKomp[Gospodarka odpadami / Abfallwirtschaft],MATCH($B23,tab_MinKomp[[Stanowisko / Position ]:[Stanowisko / Position ]],0))="n/a","n/a",K23-INDEX(tab_MinKomp[Gospodarka odpadami / Abfallwirtschaft],MATCH($B23,tab_MinKomp[[Stanowisko / Position ]:[Stanowisko / Position ]],0)))</f>
        <v>0</v>
      </c>
      <c r="L24" s="315">
        <f>IF(INDEX(tab_MinKomp[Przepisy kodeksu pracy / Bestimmungen des Arbeitsgesetzes],MATCH($B23,tab_MinKomp[[Stanowisko / Position ]:[Stanowisko / Position ]],0))="n/a","n/a",L23-INDEX(tab_MinKomp[Przepisy kodeksu pracy / Bestimmungen des Arbeitsgesetzes],MATCH($B23,tab_MinKomp[[Stanowisko / Position ]:[Stanowisko / Position ]],0)))</f>
        <v>0</v>
      </c>
      <c r="M24" s="316" t="str">
        <f>IF(INDEX(tab_MinKomp[Przepisy o ub.społ. ZUS  / Sozialversicherungsvorschriften],MATCH($B23,tab_MinKomp[[Stanowisko / Position ]:[Stanowisko / Position ]],0))="n/a","n/a",M23-INDEX(tab_MinKomp[Przepisy o ub.społ. ZUS  / Sozialversicherungsvorschriften],MATCH($B23,tab_MinKomp[[Stanowisko / Position ]:[Stanowisko / Position ]],0)))</f>
        <v>n/a</v>
      </c>
      <c r="N24" s="315" t="str">
        <f>IF(INDEX(tab_MinKomp[PRZEPISY O PDOF /persönlich Einkommensteuergesetz ],MATCH($B23,tab_MinKomp[[Stanowisko / Position ]:[Stanowisko / Position ]],0))="n/a","n/a",N23-INDEX(tab_MinKomp[PRZEPISY O PDOF /persönlich Einkommensteuergesetz ],MATCH($B23,tab_MinKomp[[Stanowisko / Position ]:[Stanowisko / Position ]],0)))</f>
        <v>n/a</v>
      </c>
      <c r="O24" s="315">
        <f>IF(INDEX(tab_MinKomp[Regulamin pracy / Arbeitsordnung],MATCH($B23,tab_MinKomp[[Stanowisko / Position ]:[Stanowisko / Position ]],0))="n/a","n/a",O23-INDEX(tab_MinKomp[Regulamin pracy / Arbeitsordnung],MATCH($B23,tab_MinKomp[[Stanowisko / Position ]:[Stanowisko / Position ]],0)))</f>
        <v>0</v>
      </c>
      <c r="P24" s="315">
        <f>IF(INDEX(tab_MinKomp[Regulamin wynagradzania / Vergütungsordnung],MATCH($B23,tab_MinKomp[[Stanowisko / Position ]:[Stanowisko / Position ]],0))="n/a","n/a",P23-INDEX(tab_MinKomp[Regulamin wynagradzania / Vergütungsordnung],MATCH($B23,tab_MinKomp[[Stanowisko / Position ]:[Stanowisko / Position ]],0)))</f>
        <v>0</v>
      </c>
      <c r="Q24" s="315" t="str">
        <f>IF(INDEX(tab_MinKomp[System R2PŁATNIK PRO: Płace / Lohnabrechnung],MATCH($B23,tab_MinKomp[[Stanowisko / Position ]:[Stanowisko / Position ]],0))="n/a","n/a",Q23-INDEX(tab_MinKomp[System R2PŁATNIK PRO: Płace / Lohnabrechnung],MATCH($B23,tab_MinKomp[[Stanowisko / Position ]:[Stanowisko / Position ]],0)))</f>
        <v>n/a</v>
      </c>
      <c r="R24" s="315" t="str">
        <f>IF(INDEX(tab_MinKomp[SystemR2PŁATNIK PRO: KADRY / Personaldaten],MATCH($B23,tab_MinKomp[[Stanowisko / Position ]:[Stanowisko / Position ]],0))="n/a","n/a",R23-INDEX(tab_MinKomp[SystemR2PŁATNIK PRO: KADRY / Personaldaten],MATCH($B23,tab_MinKomp[[Stanowisko / Position ]:[Stanowisko / Position ]],0)))</f>
        <v>n/a</v>
      </c>
      <c r="S24" s="315" t="str">
        <f>IF(INDEX(tab_MinKomp[SYSTEM R2PŁATNIK PRO: zarządzanie pracownikami / Arbeitsverwaltung],MATCH($B23,tab_MinKomp[[Stanowisko / Position ]:[Stanowisko / Position ]],0))="n/a","n/a",S23-INDEX(tab_MinKomp[SYSTEM R2PŁATNIK PRO: zarządzanie pracownikami / Arbeitsverwaltung],MATCH($B23,tab_MinKomp[[Stanowisko / Position ]:[Stanowisko / Position ]],0)))</f>
        <v>n/a</v>
      </c>
      <c r="T24" s="315" t="str">
        <f>IF(INDEX(tab_MinKomp[Doradztwo, wsparcie personalne / Personalberatung und Unterstützung],MATCH($B23,tab_MinKomp[[Stanowisko / Position ]:[Stanowisko / Position ]],0))="n/a","n/a",T23-INDEX(tab_MinKomp[Doradztwo, wsparcie personalne / Personalberatung und Unterstützung],MATCH($B23,tab_MinKomp[[Stanowisko / Position ]:[Stanowisko / Position ]],0)))</f>
        <v>n/a</v>
      </c>
      <c r="U24" s="315" t="str">
        <f>IF(INDEX(tab_MinKomp[Przepisy o podatku VAT / MwSt.- Gesetz],MATCH($B23,tab_MinKomp[[Stanowisko / Position ]:[Stanowisko / Position ]],0))="n/a","n/a",U23-INDEX(tab_MinKomp[Przepisy o podatku VAT / MwSt.- Gesetz],MATCH($B23,tab_MinKomp[[Stanowisko / Position ]:[Stanowisko / Position ]],0)))</f>
        <v>n/a</v>
      </c>
      <c r="V24" s="315" t="str">
        <f>IF(INDEX(tab_MinKomp[PrzepisyPDOP / geschäftlich Einkommensteuergesetz],MATCH($B23,tab_MinKomp[[Stanowisko / Position ]:[Stanowisko / Position ]],0))="n/a","n/a",V23-INDEX(tab_MinKomp[PrzepisyPDOP / geschäftlich Einkommensteuergesetz],MATCH($B23,tab_MinKomp[[Stanowisko / Position ]:[Stanowisko / Position ]],0)))</f>
        <v>n/a</v>
      </c>
      <c r="W24" s="315" t="str">
        <f>IF(INDEX(tab_MinKomp[System BAAN / FINANSE (FIBU)],MATCH($B23,tab_MinKomp[[Stanowisko / Position ]:[Stanowisko / Position ]],0))="n/a","n/a",W23-INDEX(tab_MinKomp[System BAAN / FINANSE (FIBU)],MATCH($B23,tab_MinKomp[[Stanowisko / Position ]:[Stanowisko / Position ]],0)))</f>
        <v>n/a</v>
      </c>
      <c r="X24" s="315" t="str">
        <f>IF(INDEX(tab_MinKomp[Systemy pomocnicze / Hilfssysteme(STOCKPROGRAM, KALK2000 etc.)],MATCH($B23,tab_MinKomp[[Stanowisko / Position ]:[Stanowisko / Position ]],0))="n/a","n/a",X23-INDEX(tab_MinKomp[Systemy pomocnicze / Hilfssysteme(STOCKPROGRAM, KALK2000 etc.)],MATCH($B23,tab_MinKomp[[Stanowisko / Position ]:[Stanowisko / Position ]],0)))</f>
        <v>n/a</v>
      </c>
      <c r="Y24" s="315" t="str">
        <f>IF(INDEX(tab_MinKomp[Polityka rachunkowości / Buchführungspolitik],MATCH($B23,tab_MinKomp[[Stanowisko / Position ]:[Stanowisko / Position ]],0))="n/a","n/a",Y23-INDEX(tab_MinKomp[Polityka rachunkowości / Buchführungspolitik],MATCH($B23,tab_MinKomp[[Stanowisko / Position ]:[Stanowisko / Position ]],0)))</f>
        <v>n/a</v>
      </c>
      <c r="Z24" s="315" t="str">
        <f>IF(INDEX(tab_MinKomp[Ustawa o rachunkowości / Rechnungslegungsgesetz],MATCH($B23,tab_MinKomp[[Stanowisko / Position ]:[Stanowisko / Position ]],0))="n/a","n/a",Z23-INDEX(tab_MinKomp[Ustawa o rachunkowości / Rechnungslegungsgesetz],MATCH($B23,tab_MinKomp[[Stanowisko / Position ]:[Stanowisko / Position ]],0)))</f>
        <v>n/a</v>
      </c>
      <c r="AA24" s="315" t="str">
        <f>IF(INDEX(tab_MinKomp[WORKFLOW - TS-100],MATCH($B23,tab_MinKomp[[Stanowisko / Position ]:[Stanowisko / Position ]],0))="n/a","n/a",AA23-INDEX(tab_MinKomp[WORKFLOW - TS-100],MATCH($B23,tab_MinKomp[[Stanowisko / Position ]:[Stanowisko / Position ]],0)))</f>
        <v>n/a</v>
      </c>
      <c r="AB24" s="315" t="str">
        <f>IF(INDEX(tab_MinKomp[WORKFLOW - SFMS],MATCH($B23,tab_MinKomp[[Stanowisko / Position ]:[Stanowisko / Position ]],0))="n/a","n/a",AB23-INDEX(tab_MinKomp[WORKFLOW - SFMS],MATCH($B23,tab_MinKomp[[Stanowisko / Position ]:[Stanowisko / Position ]],0)))</f>
        <v>n/a</v>
      </c>
      <c r="AC24" s="315">
        <f>IF(INDEX(tab_MinKomp[System ISO 9001:2015],MATCH($B23,tab_MinKomp[[Stanowisko / Position ]:[Stanowisko / Position ]],0))="n/a","n/a",AC23-INDEX(tab_MinKomp[System ISO 9001:2015],MATCH($B23,tab_MinKomp[[Stanowisko / Position ]:[Stanowisko / Position ]],0)))</f>
        <v>0</v>
      </c>
      <c r="AD24" s="315">
        <f>IF(INDEX(tab_MinKomp[System IATF 16949:2016],MATCH($B23,tab_MinKomp[[Stanowisko / Position ]:[Stanowisko / Position ]],0))="n/a","n/a",AD23-INDEX(tab_MinKomp[System IATF 16949:2016],MATCH($B23,tab_MinKomp[[Stanowisko / Position ]:[Stanowisko / Position ]],0)))</f>
        <v>0</v>
      </c>
      <c r="AE24" s="315">
        <f>IF(INDEX(tab_MinKomp[System ISO 14001:2015],MATCH($B23,tab_MinKomp[[Stanowisko / Position ]:[Stanowisko / Position ]],0))="n/a","n/a",AE23-INDEX(tab_MinKomp[System ISO 14001:2015],MATCH($B23,tab_MinKomp[[Stanowisko / Position ]:[Stanowisko / Position ]],0)))</f>
        <v>0</v>
      </c>
      <c r="AF24" s="315">
        <f>IF(INDEX(tab_MinKomp[System PN-N 18001:2004 / ISO 45001:2018],MATCH($B23,tab_MinKomp[[Stanowisko / Position ]:[Stanowisko / Position ]],0))="n/a","n/a",AF23-INDEX(tab_MinKomp[System PN-N 18001:2004 / ISO 45001:2018],MATCH($B23,tab_MinKomp[[Stanowisko / Position ]:[Stanowisko / Position ]],0)))</f>
        <v>0</v>
      </c>
      <c r="AG24" s="315">
        <f>IF(INDEX(tab_MinKomp[Wymagania VDA 6.3 Process / Forderungen],MATCH($B23,tab_MinKomp[[Stanowisko / Position ]:[Stanowisko / Position ]],0))="n/a","n/a",AG23-INDEX(tab_MinKomp[Wymagania VDA 6.3 Process / Forderungen],MATCH($B23,tab_MinKomp[[Stanowisko / Position ]:[Stanowisko / Position ]],0)))</f>
        <v>0</v>
      </c>
      <c r="AH24" s="315">
        <f>IF(INDEX(tab_MinKomp[Wymagania VDA 6.5 Product / Forderungen],MATCH($B23,tab_MinKomp[[Stanowisko / Position ]:[Stanowisko / Position ]],0))="n/a","n/a",AH23-INDEX(tab_MinKomp[Wymagania VDA 6.5 Product / Forderungen],MATCH($B23,tab_MinKomp[[Stanowisko / Position ]:[Stanowisko / Position ]],0)))</f>
        <v>0</v>
      </c>
      <c r="AI24" s="315" t="str">
        <f>IF(INDEX(tab_MinKomp[PSCR (VW Product Safety &amp; Conformity Representative)],MATCH($B23,tab_MinKomp[[Stanowisko / Position ]:[Stanowisko / Position ]],0))="n/a","n/a",AI23-INDEX(tab_MinKomp[PSCR (VW Product Safety &amp; Conformity Representative)],MATCH($B23,tab_MinKomp[[Stanowisko / Position ]:[Stanowisko / Position ]],0)))</f>
        <v>n/a</v>
      </c>
      <c r="AJ24" s="315" t="str">
        <f>IF(INDEX(tab_MinKomp[Auditor systemu ISO 17025:2018],MATCH($B23,tab_MinKomp[[Stanowisko / Position ]:[Stanowisko / Position ]],0))="n/a","n/a",AJ23-INDEX(tab_MinKomp[Auditor systemu ISO 17025:2018],MATCH($B23,tab_MinKomp[[Stanowisko / Position ]:[Stanowisko / Position ]],0)))</f>
        <v>n/a</v>
      </c>
      <c r="AK24" s="315" t="str">
        <f>IF(INDEX(tab_MinKomp[Pełnomocnik systemu / Systemvertreter],MATCH($B23,tab_MinKomp[[Stanowisko / Position ]:[Stanowisko / Position ]],0))="n/a","n/a",AK23-INDEX(tab_MinKomp[Pełnomocnik systemu / Systemvertreter],MATCH($B23,tab_MinKomp[[Stanowisko / Position ]:[Stanowisko / Position ]],0)))</f>
        <v>n/a</v>
      </c>
      <c r="AL24" s="315">
        <v>0</v>
      </c>
      <c r="AM24" s="315" t="str">
        <f>IF(INDEX(tab_MinKomp[WDRAŻANIE NOWYCH PROJEKTÓW/ PROCEDURA CTM],MATCH($B23,tab_MinKomp[[Stanowisko / Position ]:[Stanowisko / Position ]],0))="n/a","n/a",AM23-INDEX(tab_MinKomp[WDRAŻANIE NOWYCH PROJEKTÓW/ PROCEDURA CTM],MATCH($B23,tab_MinKomp[[Stanowisko / Position ]:[Stanowisko / Position ]],0)))</f>
        <v>n/a</v>
      </c>
      <c r="AN24" s="315" t="str">
        <f>IF(INDEX(tab_MinKomp[KAMIENIE MILOWE MSL/PIFF],MATCH($B23,tab_MinKomp[[Stanowisko / Position ]:[Stanowisko / Position ]],0))="n/a","n/a",AN23-INDEX(tab_MinKomp[KAMIENIE MILOWE MSL/PIFF],MATCH($B23,tab_MinKomp[[Stanowisko / Position ]:[Stanowisko / Position ]],0)))</f>
        <v>n/a</v>
      </c>
      <c r="AO24" s="315">
        <f>IF(INDEX(tab_MinKomp[CP],MATCH($B23,tab_MinKomp[[Stanowisko / Position ]:[Stanowisko / Position ]],0))="n/a","n/a",AO23-INDEX(tab_MinKomp[CP],MATCH($B23,tab_MinKomp[[Stanowisko / Position ]:[Stanowisko / Position ]],0)))</f>
        <v>0</v>
      </c>
      <c r="AP24" s="315">
        <f>IF(INDEX(tab_MinKomp[FMEA],MATCH($B23,tab_MinKomp[[Stanowisko / Position ]:[Stanowisko / Position ]],0))="n/a","n/a",AP23-INDEX(tab_MinKomp[FMEA],MATCH($B23,tab_MinKomp[[Stanowisko / Position ]:[Stanowisko / Position ]],0)))</f>
        <v>0</v>
      </c>
      <c r="AQ24" s="315">
        <f>IF(INDEX(tab_MinKomp[FLOW CHART],MATCH($B23,tab_MinKomp[[Stanowisko / Position ]:[Stanowisko / Position ]],0))="n/a","n/a",AQ23-INDEX(tab_MinKomp[FLOW CHART],MATCH($B23,tab_MinKomp[[Stanowisko / Position ]:[Stanowisko / Position ]],0)))</f>
        <v>0</v>
      </c>
      <c r="AR24" s="315" t="str">
        <f>IF(INDEX(tab_MinKomp[APQP],MATCH($B23,tab_MinKomp[[Stanowisko / Position ]:[Stanowisko / Position ]],0))="n/a","n/a",AR23-INDEX(tab_MinKomp[APQP],MATCH($B23,tab_MinKomp[[Stanowisko / Position ]:[Stanowisko / Position ]],0)))</f>
        <v>n/a</v>
      </c>
      <c r="AS24" s="315">
        <f>IF(INDEX(tab_MinKomp[MSA],MATCH($B23,tab_MinKomp[[Stanowisko / Position ]:[Stanowisko / Position ]],0))="n/a","n/a",AS23-INDEX(tab_MinKomp[MSA],MATCH($B23,tab_MinKomp[[Stanowisko / Position ]:[Stanowisko / Position ]],0)))</f>
        <v>0</v>
      </c>
      <c r="AT24" s="315">
        <f>IF(INDEX(tab_MinKomp[SPC],MATCH($B23,tab_MinKomp[[Stanowisko / Position ]:[Stanowisko / Position ]],0))="n/a","n/a",AT23-INDEX(tab_MinKomp[SPC],MATCH($B23,tab_MinKomp[[Stanowisko / Position ]:[Stanowisko / Position ]],0)))</f>
        <v>0</v>
      </c>
      <c r="AU24" s="315">
        <f>IF(INDEX(tab_MinKomp[CSR (SPECYFICZNE WYMAGANIA KLIENTA)],MATCH($B23,tab_MinKomp[[Stanowisko / Position ]:[Stanowisko / Position ]],0))="n/a","n/a",AU23-INDEX(tab_MinKomp[CSR (SPECYFICZNE WYMAGANIA KLIENTA)],MATCH($B23,tab_MinKomp[[Stanowisko / Position ]:[Stanowisko / Position ]],0)))</f>
        <v>0</v>
      </c>
      <c r="AV24" s="315">
        <f>IF(INDEX(tab_MinKomp[5S],MATCH($B23,tab_MinKomp[[Stanowisko / Position ]:[Stanowisko / Position ]],0))="n/a","n/a",AV23-INDEX(tab_MinKomp[5S],MATCH($B23,tab_MinKomp[[Stanowisko / Position ]:[Stanowisko / Position ]],0)))</f>
        <v>0</v>
      </c>
      <c r="AW24" s="315">
        <f>IF(INDEX(tab_MinKomp[LEAN MANAGEMENT],MATCH($B23,tab_MinKomp[[Stanowisko / Position ]:[Stanowisko / Position ]],0))="n/a","n/a",AW23-INDEX(tab_MinKomp[LEAN MANAGEMENT],MATCH($B23,tab_MinKomp[[Stanowisko / Position ]:[Stanowisko / Position ]],0)))</f>
        <v>0</v>
      </c>
      <c r="AX24" s="315">
        <f>IF(INDEX(tab_MinKomp[5R],MATCH($B23,tab_MinKomp[[Stanowisko / Position ]:[Stanowisko / Position ]],0))="n/a","n/a",AX23-INDEX(tab_MinKomp[5R],MATCH($B23,tab_MinKomp[[Stanowisko / Position ]:[Stanowisko / Position ]],0)))</f>
        <v>-1</v>
      </c>
      <c r="AY24" s="315" t="str">
        <f>IF(INDEX(tab_MinKomp[Six Sigma],MATCH($B23,tab_MinKomp[[Stanowisko / Position ]:[Stanowisko / Position ]],0))="n/a","n/a",AY23-INDEX(tab_MinKomp[Six Sigma],MATCH($B23,tab_MinKomp[[Stanowisko / Position ]:[Stanowisko / Position ]],0)))</f>
        <v>n/a</v>
      </c>
      <c r="AZ24" s="315" t="str">
        <f>IF(INDEX(tab_MinKomp[System BAAN / Distribution &amp; Supply Chain],MATCH($B23,tab_MinKomp[[Stanowisko / Position ]:[Stanowisko / Position ]],0))="n/a","n/a",AZ23-INDEX(tab_MinKomp[System BAAN / Distribution &amp; Supply Chain],MATCH($B23,tab_MinKomp[[Stanowisko / Position ]:[Stanowisko / Position ]],0)))</f>
        <v>n/a</v>
      </c>
      <c r="BA24" s="315" t="str">
        <f>IF(INDEX(tab_MinKomp[Gospodarka magazynowa / Lagerverwaltung],MATCH($B23,tab_MinKomp[[Stanowisko / Position ]:[Stanowisko / Position ]],0))="n/a","n/a",BA23-INDEX(tab_MinKomp[Gospodarka magazynowa / Lagerverwaltung],MATCH($B23,tab_MinKomp[[Stanowisko / Position ]:[Stanowisko / Position ]],0)))</f>
        <v>n/a</v>
      </c>
      <c r="BB24" s="315" t="str">
        <f>IF(INDEX(tab_MinKomp[Inwentaryzacja - organizacja i przebieg / Inventurprozess],MATCH($B23,tab_MinKomp[[Stanowisko / Position ]:[Stanowisko / Position ]],0))="n/a","n/a",BB23-INDEX(tab_MinKomp[Inwentaryzacja - organizacja i przebieg / Inventurprozess],MATCH($B23,tab_MinKomp[[Stanowisko / Position ]:[Stanowisko / Position ]],0)))</f>
        <v>n/a</v>
      </c>
      <c r="BC24" s="315" t="str">
        <f>IF(INDEX(tab_MinKomp[Organizacja dostaw / Versorgungsorganisation],MATCH($B23,tab_MinKomp[[Stanowisko / Position ]:[Stanowisko / Position ]],0))="n/a","n/a",BC23-INDEX(tab_MinKomp[Organizacja dostaw / Versorgungsorganisation],MATCH($B23,tab_MinKomp[[Stanowisko / Position ]:[Stanowisko / Position ]],0)))</f>
        <v>n/a</v>
      </c>
      <c r="BD24" s="315" t="str">
        <f>IF(INDEX(tab_MinKomp[Organizacja wysyłek / Organisation von Lieferungen],MATCH($B23,tab_MinKomp[[Stanowisko / Position ]:[Stanowisko / Position ]],0))="n/a","n/a",BD23-INDEX(tab_MinKomp[Organizacja wysyłek / Organisation von Lieferungen],MATCH($B23,tab_MinKomp[[Stanowisko / Position ]:[Stanowisko / Position ]],0)))</f>
        <v>n/a</v>
      </c>
      <c r="BE24" s="315" t="str">
        <f>IF(INDEX(tab_MinKomp[Analiza magazynowa - Program Polen.mdb / Inventuranalyse],MATCH($B23,tab_MinKomp[[Stanowisko / Position ]:[Stanowisko / Position ]],0))="n/a","n/a",BE23-INDEX(tab_MinKomp[Analiza magazynowa - Program Polen.mdb / Inventuranalyse],MATCH($B23,tab_MinKomp[[Stanowisko / Position ]:[Stanowisko / Position ]],0)))</f>
        <v>n/a</v>
      </c>
      <c r="BF24" s="315" t="str">
        <f>IF(INDEX(tab_MinKomp[MMOG (Materials Management Operations Guidelines)],MATCH($B23,tab_MinKomp[[Stanowisko / Position ]:[Stanowisko / Position ]],0))="n/a","n/a",BF23-INDEX(tab_MinKomp[MMOG (Materials Management Operations Guidelines)],MATCH($B23,tab_MinKomp[[Stanowisko / Position ]:[Stanowisko / Position ]],0)))</f>
        <v>n/a</v>
      </c>
      <c r="BG24" s="315" t="str">
        <f>IF(INDEX(tab_MinKomp[GPP],MATCH($B23,tab_MinKomp[[Stanowisko / Position ]:[Stanowisko / Position ]],0))="n/a","n/a",BG23-INDEX(tab_MinKomp[GPP],MATCH($B23,tab_MinKomp[[Stanowisko / Position ]:[Stanowisko / Position ]],0)))</f>
        <v>n/a</v>
      </c>
      <c r="BH24" s="315" t="str">
        <f>IF(INDEX(tab_MinKomp[AIAG (Automotive Industry Action Group)],MATCH($B23,tab_MinKomp[[Stanowisko / Position ]:[Stanowisko / Position ]],0))="n/a","n/a",BH23-INDEX(tab_MinKomp[AIAG (Automotive Industry Action Group)],MATCH($B23,tab_MinKomp[[Stanowisko / Position ]:[Stanowisko / Position ]],0)))</f>
        <v>n/a</v>
      </c>
      <c r="BI24" s="315" t="str">
        <f>IF(INDEX(tab_MinKomp[Super-G disputes],MATCH($B23,tab_MinKomp[[Stanowisko / Position ]:[Stanowisko / Position ]],0))="n/a","n/a",BI23-INDEX(tab_MinKomp[Super-G disputes],MATCH($B23,tab_MinKomp[[Stanowisko / Position ]:[Stanowisko / Position ]],0)))</f>
        <v>n/a</v>
      </c>
      <c r="BJ24" s="315" t="str">
        <f>IF(INDEX(tab_MinKomp[CMMS3/eDDL (Direct Data Link)],MATCH($B23,tab_MinKomp[[Stanowisko / Position ]:[Stanowisko / Position ]],0))="n/a","n/a",BJ23-INDEX(tab_MinKomp[CMMS3/eDDL (Direct Data Link)],MATCH($B23,tab_MinKomp[[Stanowisko / Position ]:[Stanowisko / Position ]],0)))</f>
        <v>n/a</v>
      </c>
      <c r="BK24" s="315" t="str">
        <f>IF(INDEX(tab_MinKomp[MP&amp;L (Material Planning and Logistics)],MATCH($B23,tab_MinKomp[[Stanowisko / Position ]:[Stanowisko / Position ]],0))="n/a","n/a",BK23-INDEX(tab_MinKomp[MP&amp;L (Material Planning and Logistics)],MATCH($B23,tab_MinKomp[[Stanowisko / Position ]:[Stanowisko / Position ]],0)))</f>
        <v>n/a</v>
      </c>
      <c r="BL24" s="315" t="str">
        <f>IF(INDEX(tab_MinKomp[Supplier delivery rating],MATCH($B23,tab_MinKomp[[Stanowisko / Position ]:[Stanowisko / Position ]],0))="n/a","n/a",BL23-INDEX(tab_MinKomp[Supplier delivery rating],MATCH($B23,tab_MinKomp[[Stanowisko / Position ]:[Stanowisko / Position ]],0)))</f>
        <v>n/a</v>
      </c>
      <c r="BM24" s="315" t="str">
        <f>IF(INDEX(tab_MinKomp[Planowanie produkcji / Produktionsplanung],MATCH($B23,tab_MinKomp[[Stanowisko / Position ]:[Stanowisko / Position ]],0))="n/a","n/a",BM23-INDEX(tab_MinKomp[Planowanie produkcji / Produktionsplanung],MATCH($B23,tab_MinKomp[[Stanowisko / Position ]:[Stanowisko / Position ]],0)))</f>
        <v>n/a</v>
      </c>
      <c r="BN24" s="315" t="str">
        <f>IF(INDEX(tab_MinKomp[Obsługa maszyn Engel / Engel Maschinenbedienung],MATCH($B23,tab_MinKomp[[Stanowisko / Position ]:[Stanowisko / Position ]],0))="n/a","n/a",BN23-INDEX(tab_MinKomp[Obsługa maszyn Engel / Engel Maschinenbedienung],MATCH($B23,tab_MinKomp[[Stanowisko / Position ]:[Stanowisko / Position ]],0)))</f>
        <v>n/a</v>
      </c>
      <c r="BO24" s="315" t="str">
        <f>IF(INDEX(tab_MinKomp[Obsługa maszyn Novapax / Novapax Maschinenbedienung],MATCH($B23,tab_MinKomp[[Stanowisko / Position ]:[Stanowisko / Position ]],0))="n/a","n/a",BO23-INDEX(tab_MinKomp[Obsługa maszyn Novapax / Novapax Maschinenbedienung],MATCH($B23,tab_MinKomp[[Stanowisko / Position ]:[Stanowisko / Position ]],0)))</f>
        <v>n/a</v>
      </c>
      <c r="BP24" s="315" t="str">
        <f>IF(INDEX(tab_MinKomp[Obsługa maszyn KVT / KVT Maschinenbedienung],MATCH($B23,tab_MinKomp[[Stanowisko / Position ]:[Stanowisko / Position ]],0))="n/a","n/a",BP23-INDEX(tab_MinKomp[Obsługa maszyn KVT / KVT Maschinenbedienung],MATCH($B23,tab_MinKomp[[Stanowisko / Position ]:[Stanowisko / Position ]],0)))</f>
        <v>n/a</v>
      </c>
      <c r="BQ24" s="315" t="str">
        <f>IF(INDEX(tab_MinKomp[Obsługa maszyn ASL / ASL Maschinenbedienung],MATCH($B23,tab_MinKomp[[Stanowisko / Position ]:[Stanowisko / Position ]],0))="n/a","n/a",BQ23-INDEX(tab_MinKomp[Obsługa maszyn ASL / ASL Maschinenbedienung],MATCH($B23,tab_MinKomp[[Stanowisko / Position ]:[Stanowisko / Position ]],0)))</f>
        <v>n/a</v>
      </c>
      <c r="BR24" s="315" t="str">
        <f>IF(INDEX(tab_MinKomp[Obsługa maszyn Branson / Branson Maschinenbedienung],MATCH($B23,tab_MinKomp[[Stanowisko / Position ]:[Stanowisko / Position ]],0))="n/a","n/a",BR23-INDEX(tab_MinKomp[Obsługa maszyn Branson / Branson Maschinenbedienung],MATCH($B23,tab_MinKomp[[Stanowisko / Position ]:[Stanowisko / Position ]],0)))</f>
        <v>n/a</v>
      </c>
      <c r="BS24" s="315" t="str">
        <f>IF(INDEX(tab_MinKomp[Obsługa maszyn Kamtec / Kamtec Maschinenbedienung],MATCH($B23,tab_MinKomp[[Stanowisko / Position ]:[Stanowisko / Position ]],0))="n/a","n/a",BS23-INDEX(tab_MinKomp[Obsługa maszyn Kamtec / Kamtec Maschinenbedienung],MATCH($B23,tab_MinKomp[[Stanowisko / Position ]:[Stanowisko / Position ]],0)))</f>
        <v>n/a</v>
      </c>
      <c r="BT24" s="315" t="str">
        <f>IF(INDEX(tab_MinKomp[Obsługa maszyn Piovan / Piovan Maschinenbedienung],MATCH($B23,tab_MinKomp[[Stanowisko / Position ]:[Stanowisko / Position ]],0))="n/a","n/a",BT23-INDEX(tab_MinKomp[Obsługa maszyn Piovan / Piovan Maschinenbedienung],MATCH($B23,tab_MinKomp[[Stanowisko / Position ]:[Stanowisko / Position ]],0)))</f>
        <v>n/a</v>
      </c>
      <c r="BU24" s="315" t="str">
        <f>IF(INDEX(tab_MinKomp[Obsługa maszyn REP / REP Maschinenbedienung],MATCH($B23,tab_MinKomp[[Stanowisko / Position ]:[Stanowisko / Position ]],0))="n/a","n/a",BU23-INDEX(tab_MinKomp[Obsługa maszyn REP / REP Maschinenbedienung],MATCH($B23,tab_MinKomp[[Stanowisko / Position ]:[Stanowisko / Position ]],0)))</f>
        <v>n/a</v>
      </c>
      <c r="BV24" s="315" t="str">
        <f>IF(INDEX(tab_MinKomp[Eliminacja awarii / Beseitigung von Ausfällen],MATCH($B23,tab_MinKomp[[Stanowisko / Position ]:[Stanowisko / Position ]],0))="n/a","n/a",BV23-INDEX(tab_MinKomp[Eliminacja awarii / Beseitigung von Ausfällen],MATCH($B23,tab_MinKomp[[Stanowisko / Position ]:[Stanowisko / Position ]],0)))</f>
        <v>n/a</v>
      </c>
      <c r="BW24" s="315" t="str">
        <f>IF(INDEX(tab_MinKomp[Informatyka ogólna (techniczne i systemowe) / Allgemeine IT (Technik und System)],MATCH($B23,tab_MinKomp[[Stanowisko / Position ]:[Stanowisko / Position ]],0))="n/a","n/a",BW23-INDEX(tab_MinKomp[Informatyka ogólna (techniczne i systemowe) / Allgemeine IT (Technik und System)],MATCH($B23,tab_MinKomp[[Stanowisko / Position ]:[Stanowisko / Position ]],0)))</f>
        <v>n/a</v>
      </c>
      <c r="BX24" s="315" t="str">
        <f>IF(INDEX(tab_MinKomp[Sieci komputerowe / Computernetzwerke],MATCH($B23,tab_MinKomp[[Stanowisko / Position ]:[Stanowisko / Position ]],0))="n/a","n/a",BX23-INDEX(tab_MinKomp[Sieci komputerowe / Computernetzwerke],MATCH($B23,tab_MinKomp[[Stanowisko / Position ]:[Stanowisko / Position ]],0)))</f>
        <v>n/a</v>
      </c>
      <c r="BY24" s="315" t="str">
        <f>IF(INDEX(tab_MinKomp[Hardware (komputery PC, drukarki biurowe i etykietowe, telefonia stacjonarna i mobilna) (PC, Drucker, Telefpne, Handys)],MATCH($B23,tab_MinKomp[[Stanowisko / Position ]:[Stanowisko / Position ]],0))="n/a","n/a",BY23-INDEX(tab_MinKomp[Hardware (komputery PC, drukarki biurowe i etykietowe, telefonia stacjonarna i mobilna) (PC, Drucker, Telefpne, Handys)],MATCH($B23,tab_MinKomp[[Stanowisko / Position ]:[Stanowisko / Position ]],0)))</f>
        <v>n/a</v>
      </c>
      <c r="BZ24" s="315" t="str">
        <f>IF(INDEX(tab_MinKomp[Software &amp; Systems (MS Office, MS Remote Desktop)],MATCH($B23,tab_MinKomp[[Stanowisko / Position ]:[Stanowisko / Position ]],0))="n/a","n/a",BZ23-INDEX(tab_MinKomp[Software &amp; Systems (MS Office, MS Remote Desktop)],MATCH($B23,tab_MinKomp[[Stanowisko / Position ]:[Stanowisko / Position ]],0)))</f>
        <v>n/a</v>
      </c>
      <c r="CA24" s="315" t="str">
        <f>IF(INDEX(tab_MinKomp[Programowanie obiektowe (PHP) / Objektprogrammierung],MATCH($B23,tab_MinKomp[[Stanowisko / Position ]:[Stanowisko / Position ]],0))="n/a","n/a",CA23-INDEX(tab_MinKomp[Programowanie obiektowe (PHP) / Objektprogrammierung],MATCH($B23,tab_MinKomp[[Stanowisko / Position ]:[Stanowisko / Position ]],0)))</f>
        <v>n/a</v>
      </c>
      <c r="CB24" s="315" t="str">
        <f>IF(INDEX(tab_MinKomp[Scrum],MATCH($B23,tab_MinKomp[[Stanowisko / Position ]:[Stanowisko / Position ]],0))="n/a","n/a",CB23-INDEX(tab_MinKomp[Scrum],MATCH($B23,tab_MinKomp[[Stanowisko / Position ]:[Stanowisko / Position ]],0)))</f>
        <v>n/a</v>
      </c>
      <c r="CC24" s="315" t="str">
        <f>IF(INDEX(tab_MinKomp[SQL (MySQL)],MATCH($B23,tab_MinKomp[[Stanowisko / Position ]:[Stanowisko / Position ]],0))="n/a","n/a",CC23-INDEX(tab_MinKomp[SQL (MySQL)],MATCH($B23,tab_MinKomp[[Stanowisko / Position ]:[Stanowisko / Position ]],0)))</f>
        <v>n/a</v>
      </c>
      <c r="CD24" s="315" t="str">
        <f>IF(INDEX(tab_MinKomp[Javascript],MATCH($B23,tab_MinKomp[[Stanowisko / Position ]:[Stanowisko / Position ]],0))="n/a","n/a",CD23-INDEX(tab_MinKomp[Javascript],MATCH($B23,tab_MinKomp[[Stanowisko / Position ]:[Stanowisko / Position ]],0)))</f>
        <v>n/a</v>
      </c>
      <c r="CE24" s="315" t="str">
        <f>IF(INDEX(tab_MinKomp[Joomla],MATCH($B23,tab_MinKomp[[Stanowisko / Position ]:[Stanowisko / Position ]],0))="n/a","n/a",CE23-INDEX(tab_MinKomp[Joomla],MATCH($B23,tab_MinKomp[[Stanowisko / Position ]:[Stanowisko / Position ]],0)))</f>
        <v>n/a</v>
      </c>
      <c r="CF24" s="315" t="str">
        <f>IF(INDEX(tab_MinKomp[Bash],MATCH($B23,tab_MinKomp[[Stanowisko / Position ]:[Stanowisko / Position ]],0))="n/a","n/a",CF23-INDEX(tab_MinKomp[Bash],MATCH($B23,tab_MinKomp[[Stanowisko / Position ]:[Stanowisko / Position ]],0)))</f>
        <v>n/a</v>
      </c>
      <c r="CG24" s="315" t="str">
        <f>IF(INDEX(tab_MinKomp[Systemy MES (HYDRA / SFMS)],MATCH($B23,tab_MinKomp[[Stanowisko / Position ]:[Stanowisko / Position ]],0))="n/a","n/a",CG23-INDEX(tab_MinKomp[Systemy MES (HYDRA / SFMS)],MATCH($B23,tab_MinKomp[[Stanowisko / Position ]:[Stanowisko / Position ]],0)))</f>
        <v>n/a</v>
      </c>
      <c r="CH24" s="315" t="str">
        <f>IF(INDEX(tab_MinKomp[HTML / CSS],MATCH($B23,tab_MinKomp[[Stanowisko / Position ]:[Stanowisko / Position ]],0))="n/a","n/a",CH23-INDEX(tab_MinKomp[HTML / CSS],MATCH($B23,tab_MinKomp[[Stanowisko / Position ]:[Stanowisko / Position ]],0)))</f>
        <v>n/a</v>
      </c>
      <c r="CI24" s="315" t="str">
        <f>IF(INDEX(tab_MinKomp[SYSTEM PR],MATCH($B23,tab_MinKomp[[Stanowisko / Position ]:[Stanowisko / Position ]],0))="n/a","n/a",CI23-INDEX(tab_MinKomp[SYSTEM PR],MATCH($B23,tab_MinKomp[[Stanowisko / Position ]:[Stanowisko / Position ]],0)))</f>
        <v>n/a</v>
      </c>
      <c r="CJ24" s="315" t="str">
        <f>IF(INDEX(tab_MinKomp[System Einkauf XP / EBA],MATCH($B23,tab_MinKomp[[Stanowisko / Position ]:[Stanowisko / Position ]],0))="n/a","n/a",CJ23-INDEX(tab_MinKomp[System Einkauf XP / EBA],MATCH($B23,tab_MinKomp[[Stanowisko / Position ]:[Stanowisko / Position ]],0)))</f>
        <v>n/a</v>
      </c>
      <c r="CK24" s="315" t="str">
        <f>IF(INDEX(tab_MinKomp[Techniki negocjacyjne / Verhandlungstechniken],MATCH($B23,tab_MinKomp[[Stanowisko / Position ]:[Stanowisko / Position ]],0))="n/a","n/a",CK23-INDEX(tab_MinKomp[Techniki negocjacyjne / Verhandlungstechniken],MATCH($B23,tab_MinKomp[[Stanowisko / Position ]:[Stanowisko / Position ]],0)))</f>
        <v>n/a</v>
      </c>
      <c r="CL24" s="315" t="str">
        <f>IF(INDEX(tab_MinKomp[Znajomość rynku branżowego / Kenntnis des Industrie Marktes],MATCH($B23,tab_MinKomp[[Stanowisko / Position ]:[Stanowisko / Position ]],0))="n/a","n/a",CL23-INDEX(tab_MinKomp[Znajomość rynku branżowego / Kenntnis des Industrie Marktes],MATCH($B23,tab_MinKomp[[Stanowisko / Position ]:[Stanowisko / Position ]],0)))</f>
        <v>n/a</v>
      </c>
      <c r="CM24" s="315" t="str">
        <f>IF(INDEX(tab_MinKomp[SUPPLIER MANAGEMENT],MATCH($B23,tab_MinKomp[[Stanowisko / Position ]:[Stanowisko / Position ]],0))="n/a","n/a",CM23-INDEX(tab_MinKomp[SUPPLIER MANAGEMENT],MATCH($B23,tab_MinKomp[[Stanowisko / Position ]:[Stanowisko / Position ]],0)))</f>
        <v>n/a</v>
      </c>
      <c r="CN24" s="315">
        <f>IF(INDEX(tab_MinKomp[NARZĘDZIA JAKOŚCIOWE (5WHY, Ishikawa, etc) / QS-Werkzeuge],MATCH($B23,tab_MinKomp[[Stanowisko / Position ]:[Stanowisko / Position ]],0))="n/a","n/a",CN23-INDEX(tab_MinKomp[NARZĘDZIA JAKOŚCIOWE (5WHY, Ishikawa, etc) / QS-Werkzeuge],MATCH($B23,tab_MinKomp[[Stanowisko / Position ]:[Stanowisko / Position ]],0)))</f>
        <v>0</v>
      </c>
      <c r="CO24" s="315" t="str">
        <f>IF(INDEX(tab_MinKomp[SUPPLIER MANAGEMENT],MATCH($B23,tab_MinKomp[[Stanowisko / Position ]:[Stanowisko / Position ]],0))="n/a","n/a",CO23-INDEX(tab_MinKomp[SUPPLIER MANAGEMENT],MATCH($B23,tab_MinKomp[[Stanowisko / Position ]:[Stanowisko / Position ]],0)))</f>
        <v>n/a</v>
      </c>
      <c r="CP24" s="315" t="str">
        <f>IF(INDEX(tab_MinKomp[SUPPLIER MANAGEMENT],MATCH($B23,tab_MinKomp[[Stanowisko / Position ]:[Stanowisko / Position ]],0))="n/a","n/a",CP23-INDEX(tab_MinKomp[SUPPLIER MANAGEMENT],MATCH($B23,tab_MinKomp[[Stanowisko / Position ]:[Stanowisko / Position ]],0)))</f>
        <v>n/a</v>
      </c>
      <c r="CQ24" s="315" t="str">
        <f>IF(INDEX(tab_MinKomp[SUPPLIER MANAGEMENT],MATCH($B23,tab_MinKomp[[Stanowisko / Position ]:[Stanowisko / Position ]],0))="n/a","n/a",CQ23-INDEX(tab_MinKomp[SUPPLIER MANAGEMENT],MATCH($B23,tab_MinKomp[[Stanowisko / Position ]:[Stanowisko / Position ]],0)))</f>
        <v>n/a</v>
      </c>
      <c r="CR24" s="315" t="str">
        <f>IF(INDEX(tab_MinKomp[SUPPLIER MANAGEMENT],MATCH($B23,tab_MinKomp[[Stanowisko / Position ]:[Stanowisko / Position ]],0))="n/a","n/a",CR23-INDEX(tab_MinKomp[SUPPLIER MANAGEMENT],MATCH($B23,tab_MinKomp[[Stanowisko / Position ]:[Stanowisko / Position ]],0)))</f>
        <v>n/a</v>
      </c>
      <c r="CS24" s="315" t="str">
        <f>IF(INDEX(tab_MinKomp[OBSŁUGA PORTALI KLIENTA / Kundenportale],MATCH($B23,tab_MinKomp[[Stanowisko / Position ]:[Stanowisko / Position ]],0))="n/a","n/a",CS23-INDEX(tab_MinKomp[OBSŁUGA PORTALI KLIENTA / Kundenportale],MATCH($B23,tab_MinKomp[[Stanowisko / Position ]:[Stanowisko / Position ]],0)))</f>
        <v>n/a</v>
      </c>
      <c r="CT24" s="315">
        <f>IF(INDEX(tab_MinKomp[Obsługa systemu BABTECQ / BABTECQ System],MATCH($B23,tab_MinKomp[[Stanowisko / Position ]:[Stanowisko / Position ]],0))="n/a","n/a",CT23-INDEX(tab_MinKomp[Obsługa systemu BABTECQ / BABTECQ System],MATCH($B23,tab_MinKomp[[Stanowisko / Position ]:[Stanowisko / Position ]],0)))</f>
        <v>1</v>
      </c>
      <c r="CU24" s="315">
        <f>IF(INDEX(tab_MinKomp[Rysunek techniczny / technische Zeichnung],MATCH($B23,tab_MinKomp[[Stanowisko / Position ]:[Stanowisko / Position ]],0))="n/a","n/a",CU23-INDEX(tab_MinKomp[Rysunek techniczny / technische Zeichnung],MATCH($B23,tab_MinKomp[[Stanowisko / Position ]:[Stanowisko / Position ]],0)))</f>
        <v>0</v>
      </c>
      <c r="CV24" s="315">
        <f>IF(INDEX(tab_MinKomp[Obsługa systemu BABTECQ / BABTECQ System],MATCH($B23,tab_MinKomp[[Stanowisko / Position ]:[Stanowisko / Position ]],0))="n/a","n/a",CV23-INDEX(tab_MinKomp[Obsługa systemu BABTECQ / BABTECQ System],MATCH($B23,tab_MinKomp[[Stanowisko / Position ]:[Stanowisko / Position ]],0)))</f>
        <v>1</v>
      </c>
      <c r="CW24" s="315">
        <f>IF(INDEX(tab_MinKomp[Obsługa systemu BABTECQ / BABTECQ System],MATCH($B23,tab_MinKomp[[Stanowisko / Position ]:[Stanowisko / Position ]],0))="n/a","n/a",CW23-INDEX(tab_MinKomp[Obsługa systemu BABTECQ / BABTECQ System],MATCH($B23,tab_MinKomp[[Stanowisko / Position ]:[Stanowisko / Position ]],0)))</f>
        <v>0</v>
      </c>
      <c r="CX24" s="315">
        <f>IF(INDEX(tab_MinKomp[Rysunek techniczny / technische Zeichnung],MATCH($B23,tab_MinKomp[[Stanowisko / Position ]:[Stanowisko / Position ]],0))="n/a","n/a",CX23-INDEX(tab_MinKomp[Rysunek techniczny / technische Zeichnung],MATCH($B23,tab_MinKomp[[Stanowisko / Position ]:[Stanowisko / Position ]],0)))</f>
        <v>0</v>
      </c>
      <c r="CY24" s="315">
        <f>IF(INDEX(tab_MinKomp[Rysunek techniczny / technische Zeichnung],MATCH($B23,tab_MinKomp[[Stanowisko / Position ]:[Stanowisko / Position ]],0))="n/a","n/a",CY23-INDEX(tab_MinKomp[Rysunek techniczny / technische Zeichnung],MATCH($B23,tab_MinKomp[[Stanowisko / Position ]:[Stanowisko / Position ]],0)))</f>
        <v>0</v>
      </c>
      <c r="CZ24" s="315">
        <f>IF(INDEX(tab_MinKomp[Rysunek techniczny / technische Zeichnung],MATCH($B23,tab_MinKomp[[Stanowisko / Position ]:[Stanowisko / Position ]],0))="n/a","n/a",CZ23-INDEX(tab_MinKomp[Rysunek techniczny / technische Zeichnung],MATCH($B23,tab_MinKomp[[Stanowisko / Position ]:[Stanowisko / Position ]],0)))</f>
        <v>1</v>
      </c>
      <c r="DA24" s="315">
        <f>IF(INDEX(tab_MinKomp[Rysunek techniczny / technische Zeichnung],MATCH($B23,tab_MinKomp[[Stanowisko / Position ]:[Stanowisko / Position ]],0))="n/a","n/a",DA23-INDEX(tab_MinKomp[Rysunek techniczny / technische Zeichnung],MATCH($B23,tab_MinKomp[[Stanowisko / Position ]:[Stanowisko / Position ]],0)))</f>
        <v>1</v>
      </c>
      <c r="DB24" s="315">
        <f>IF(INDEX(tab_MinKomp[Obsługa systemu BABTECQ / BABTECQ System],MATCH($B23,tab_MinKomp[[Stanowisko / Position ]:[Stanowisko / Position ]],0))="n/a","n/a",DB23-INDEX(tab_MinKomp[Obsługa systemu BABTECQ / BABTECQ System],MATCH($B23,tab_MinKomp[[Stanowisko / Position ]:[Stanowisko / Position ]],0)))</f>
        <v>0</v>
      </c>
      <c r="DC24" s="315">
        <f>IF(INDEX(tab_MinKomp[Obsługa systemu BABTECQ / BABTECQ System],MATCH($B23,tab_MinKomp[[Stanowisko / Position ]:[Stanowisko / Position ]],0))="n/a","n/a",DC23-INDEX(tab_MinKomp[Obsługa systemu BABTECQ / BABTECQ System],MATCH($B23,tab_MinKomp[[Stanowisko / Position ]:[Stanowisko / Position ]],0)))</f>
        <v>0</v>
      </c>
      <c r="DD24" s="315" t="str">
        <f>IF(INDEX(tab_MinKomp[Pisanie programów / Programme schreiben],MATCH($B23,tab_MinKomp[[Stanowisko / Position ]:[Stanowisko / Position ]],0))="n/a","n/a",DD23-INDEX(tab_MinKomp[Pisanie programów / Programme schreiben],MATCH($B23,tab_MinKomp[[Stanowisko / Position ]:[Stanowisko / Position ]],0)))</f>
        <v>n/a</v>
      </c>
      <c r="DE24" s="315">
        <f>IF(INDEX(tab_MinKomp[Rysunek techniczny / technische Zeichnung],MATCH($B23,tab_MinKomp[[Stanowisko / Position ]:[Stanowisko / Position ]],0))="n/a","n/a",DE23-INDEX(tab_MinKomp[Rysunek techniczny / technische Zeichnung],MATCH($B23,tab_MinKomp[[Stanowisko / Position ]:[Stanowisko / Position ]],0)))</f>
        <v>1</v>
      </c>
      <c r="DF24" s="315">
        <f>IF(INDEX(tab_MinKomp[Rysunek techniczny / technische Zeichnung],MATCH($B23,tab_MinKomp[[Stanowisko / Position ]:[Stanowisko / Position ]],0))="n/a","n/a",DF23-INDEX(tab_MinKomp[Rysunek techniczny / technische Zeichnung],MATCH($B23,tab_MinKomp[[Stanowisko / Position ]:[Stanowisko / Position ]],0)))</f>
        <v>1</v>
      </c>
      <c r="DG24" s="315">
        <f>IF(INDEX(tab_MinKomp[Rysunek techniczny / technische Zeichnung],MATCH($B23,tab_MinKomp[[Stanowisko / Position ]:[Stanowisko / Position ]],0))="n/a","n/a",DG23-INDEX(tab_MinKomp[Rysunek techniczny / technische Zeichnung],MATCH($B23,tab_MinKomp[[Stanowisko / Position ]:[Stanowisko / Position ]],0)))</f>
        <v>0</v>
      </c>
      <c r="DH24" s="315">
        <f>IF(INDEX(tab_MinKomp[Rysunek techniczny / technische Zeichnung],MATCH($B23,tab_MinKomp[[Stanowisko / Position ]:[Stanowisko / Position ]],0))="n/a","n/a",DH23-INDEX(tab_MinKomp[Rysunek techniczny / technische Zeichnung],MATCH($B23,tab_MinKomp[[Stanowisko / Position ]:[Stanowisko / Position ]],0)))</f>
        <v>0</v>
      </c>
      <c r="DI24" s="315">
        <f>IF(INDEX(tab_MinKomp[Rysunek techniczny / technische Zeichnung],MATCH($B23,tab_MinKomp[[Stanowisko / Position ]:[Stanowisko / Position ]],0))="n/a","n/a",DI23-INDEX(tab_MinKomp[Rysunek techniczny / technische Zeichnung],MATCH($B23,tab_MinKomp[[Stanowisko / Position ]:[Stanowisko / Position ]],0)))</f>
        <v>1</v>
      </c>
      <c r="DJ24" s="315">
        <f>IF(INDEX(tab_MinKomp[Rysunek techniczny / technische Zeichnung],MATCH($B23,tab_MinKomp[[Stanowisko / Position ]:[Stanowisko / Position ]],0))="n/a","n/a",DJ23-INDEX(tab_MinKomp[Rysunek techniczny / technische Zeichnung],MATCH($B23,tab_MinKomp[[Stanowisko / Position ]:[Stanowisko / Position ]],0)))</f>
        <v>1</v>
      </c>
      <c r="DK24" s="315">
        <f>IF(INDEX(tab_MinKomp[Rysunek techniczny / technische Zeichnung],MATCH($B23,tab_MinKomp[[Stanowisko / Position ]:[Stanowisko / Position ]],0))="n/a","n/a",DK23-INDEX(tab_MinKomp[Rysunek techniczny / technische Zeichnung],MATCH($B23,tab_MinKomp[[Stanowisko / Position ]:[Stanowisko / Position ]],0)))</f>
        <v>0</v>
      </c>
      <c r="DL24" s="315">
        <f>IF(INDEX(tab_MinKomp[Rysunek techniczny / technische Zeichnung],MATCH($B23,tab_MinKomp[[Stanowisko / Position ]:[Stanowisko / Position ]],0))="n/a","n/a",DL23-INDEX(tab_MinKomp[Rysunek techniczny / technische Zeichnung],MATCH($B23,tab_MinKomp[[Stanowisko / Position ]:[Stanowisko / Position ]],0)))</f>
        <v>0</v>
      </c>
      <c r="DM24" s="315">
        <f>IF(INDEX(tab_MinKomp[Rysunek techniczny / technische Zeichnung],MATCH($B23,tab_MinKomp[[Stanowisko / Position ]:[Stanowisko / Position ]],0))="n/a","n/a",DM23-INDEX(tab_MinKomp[Rysunek techniczny / technische Zeichnung],MATCH($B23,tab_MinKomp[[Stanowisko / Position ]:[Stanowisko / Position ]],0)))</f>
        <v>0</v>
      </c>
      <c r="DN24" s="315">
        <f>IF(INDEX(tab_MinKomp[Rysunek techniczny / technische Zeichnung],MATCH($B23,tab_MinKomp[[Stanowisko / Position ]:[Stanowisko / Position ]],0))="n/a","n/a",DN23-INDEX(tab_MinKomp[Rysunek techniczny / technische Zeichnung],MATCH($B23,tab_MinKomp[[Stanowisko / Position ]:[Stanowisko / Position ]],0)))</f>
        <v>0</v>
      </c>
      <c r="DO24" s="315">
        <f>IF(INDEX(tab_MinKomp[Rysunek techniczny / technische Zeichnung],MATCH($B23,tab_MinKomp[[Stanowisko / Position ]:[Stanowisko / Position ]],0))="n/a","n/a",DO23-INDEX(tab_MinKomp[Rysunek techniczny / technische Zeichnung],MATCH($B23,tab_MinKomp[[Stanowisko / Position ]:[Stanowisko / Position ]],0)))</f>
        <v>0</v>
      </c>
      <c r="DP24" s="315">
        <f>IF(INDEX(tab_MinKomp[Rysunek techniczny / technische Zeichnung],MATCH($B23,tab_MinKomp[[Stanowisko / Position ]:[Stanowisko / Position ]],0))="n/a","n/a",DP23-INDEX(tab_MinKomp[Rysunek techniczny / technische Zeichnung],MATCH($B23,tab_MinKomp[[Stanowisko / Position ]:[Stanowisko / Position ]],0)))</f>
        <v>0</v>
      </c>
      <c r="DQ24" s="315">
        <f>IF(INDEX(tab_MinKomp[Rysunek techniczny / technische Zeichnung],MATCH($B23,tab_MinKomp[[Stanowisko / Position ]:[Stanowisko / Position ]],0))="n/a","n/a",DQ23-INDEX(tab_MinKomp[Rysunek techniczny / technische Zeichnung],MATCH($B23,tab_MinKomp[[Stanowisko / Position ]:[Stanowisko / Position ]],0)))</f>
        <v>0</v>
      </c>
      <c r="DR24" s="315">
        <f>IF(INDEX(tab_MinKomp[Rysunek techniczny / technische Zeichnung],MATCH($B23,tab_MinKomp[[Stanowisko / Position ]:[Stanowisko / Position ]],0))="n/a","n/a",DR23-INDEX(tab_MinKomp[Rysunek techniczny / technische Zeichnung],MATCH($B23,tab_MinKomp[[Stanowisko / Position ]:[Stanowisko / Position ]],0)))</f>
        <v>0</v>
      </c>
      <c r="DS24" s="315">
        <f>IF(INDEX(tab_MinKomp[Obsługa systemu BABTECQ / BABTECQ System],MATCH($B23,tab_MinKomp[[Stanowisko / Position ]:[Stanowisko / Position ]],0))="n/a","n/a",DS23-INDEX(tab_MinKomp[Obsługa systemu BABTECQ / BABTECQ System],MATCH($B23,tab_MinKomp[[Stanowisko / Position ]:[Stanowisko / Position ]],0)))</f>
        <v>0</v>
      </c>
      <c r="DT24" s="315">
        <f>IF(INDEX(tab_MinKomp[Obsługa systemu BABTECQ / BABTECQ System],MATCH($B23,tab_MinKomp[[Stanowisko / Position ]:[Stanowisko / Position ]],0))="n/a","n/a",DT23-INDEX(tab_MinKomp[Obsługa systemu BABTECQ / BABTECQ System],MATCH($B23,tab_MinKomp[[Stanowisko / Position ]:[Stanowisko / Position ]],0)))</f>
        <v>0</v>
      </c>
      <c r="DU24" s="315">
        <f>IF(INDEX(tab_MinKomp[Obsługa systemu BABTECQ / BABTECQ System],MATCH($B23,tab_MinKomp[[Stanowisko / Position ]:[Stanowisko / Position ]],0))="n/a","n/a",DU23-INDEX(tab_MinKomp[Obsługa systemu BABTECQ / BABTECQ System],MATCH($B23,tab_MinKomp[[Stanowisko / Position ]:[Stanowisko / Position ]],0)))</f>
        <v>1</v>
      </c>
      <c r="DV24" s="315">
        <f>IF(INDEX(tab_MinKomp[Rysunek techniczny / technische Zeichnung],MATCH($B23,tab_MinKomp[[Stanowisko / Position ]:[Stanowisko / Position ]],0))="n/a","n/a",DV23-INDEX(tab_MinKomp[Rysunek techniczny / technische Zeichnung],MATCH($B23,tab_MinKomp[[Stanowisko / Position ]:[Stanowisko / Position ]],0)))</f>
        <v>1</v>
      </c>
      <c r="DW24" s="315">
        <f>IF(INDEX(tab_MinKomp[Rysunek techniczny / technische Zeichnung],MATCH($B23,tab_MinKomp[[Stanowisko / Position ]:[Stanowisko / Position ]],0))="n/a","n/a",DW23-INDEX(tab_MinKomp[Rysunek techniczny / technische Zeichnung],MATCH($B23,tab_MinKomp[[Stanowisko / Position ]:[Stanowisko / Position ]],0)))</f>
        <v>1</v>
      </c>
      <c r="DX24" s="315">
        <f>IF(INDEX(tab_MinKomp[Rysunek techniczny / technische Zeichnung],MATCH($B23,tab_MinKomp[[Stanowisko / Position ]:[Stanowisko / Position ]],0))="n/a","n/a",DX23-INDEX(tab_MinKomp[Rysunek techniczny / technische Zeichnung],MATCH($B23,tab_MinKomp[[Stanowisko / Position ]:[Stanowisko / Position ]],0)))</f>
        <v>1</v>
      </c>
      <c r="DY24" s="315" t="str">
        <f>IF(INDEX(tab_MinKomp[Konserwacja Rep],MATCH($B23,tab_MinKomp[[Stanowisko / Position ]:[Stanowisko / Position ]],0))="n/a","n/a",DY23-INDEX(tab_MinKomp[Konserwacja Rep],MATCH($B23,tab_MinKomp[[Stanowisko / Position ]:[Stanowisko / Position ]],0)))</f>
        <v>n/a</v>
      </c>
      <c r="DZ24" s="315" t="str">
        <f>IF(INDEX(tab_MinKomp[[Konserwacja Engel ]],MATCH($B23,tab_MinKomp[[Stanowisko / Position ]:[Stanowisko / Position ]],0))="n/a","n/a",DZ23-INDEX(tab_MinKomp[[Konserwacja Engel ]],MATCH($B23,tab_MinKomp[[Stanowisko / Position ]:[Stanowisko / Position ]],0)))</f>
        <v>n/a</v>
      </c>
      <c r="EA24" s="315" t="str">
        <f>IF(INDEX(tab_MinKomp[Konserwacja B 50],MATCH($B23,tab_MinKomp[[Stanowisko / Position ]:[Stanowisko / Position ]],0))="n/a","n/a",EA23-INDEX(tab_MinKomp[Konserwacja B 50],MATCH($B23,tab_MinKomp[[Stanowisko / Position ]:[Stanowisko / Position ]],0)))</f>
        <v>n/a</v>
      </c>
      <c r="EB24" s="315" t="str">
        <f>IF(INDEX(tab_MinKomp[[Konserwacja EOL ]],MATCH($B23,tab_MinKomp[[Stanowisko / Position ]:[Stanowisko / Position ]],0))="n/a","n/a",EB23-INDEX(tab_MinKomp[[Konserwacja EOL ]],MATCH($B23,tab_MinKomp[[Stanowisko / Position ]:[Stanowisko / Position ]],0)))</f>
        <v>n/a</v>
      </c>
      <c r="EC24" s="315" t="str">
        <f>IF(INDEX(tab_MinKomp[Konserwacja Branson],MATCH($B23,tab_MinKomp[[Stanowisko / Position ]:[Stanowisko / Position ]],0))="n/a","n/a",EC23-INDEX(tab_MinKomp[Konserwacja Branson],MATCH($B23,tab_MinKomp[[Stanowisko / Position ]:[Stanowisko / Position ]],0)))</f>
        <v>n/a</v>
      </c>
      <c r="ED24" s="315" t="str">
        <f>IF(INDEX(tab_MinKomp[Konserwacja coolery],MATCH($B23,tab_MinKomp[[Stanowisko / Position ]:[Stanowisko / Position ]],0))="n/a","n/a",ED23-INDEX(tab_MinKomp[Konserwacja coolery],MATCH($B23,tab_MinKomp[[Stanowisko / Position ]:[Stanowisko / Position ]],0)))</f>
        <v>n/a</v>
      </c>
      <c r="EE24" s="315" t="str">
        <f>IF(INDEX(tab_MinKomp[Konserwacja piecy],MATCH($B23,tab_MinKomp[[Stanowisko / Position ]:[Stanowisko / Position ]],0))="n/a","n/a",EE23-INDEX(tab_MinKomp[Konserwacja piecy],MATCH($B23,tab_MinKomp[[Stanowisko / Position ]:[Stanowisko / Position ]],0)))</f>
        <v>n/a</v>
      </c>
      <c r="EF24" s="315" t="str">
        <f>IF(INDEX(tab_MinKomp[Rysunek techniczny- czytanie],MATCH($B23,tab_MinKomp[[Stanowisko / Position ]:[Stanowisko / Position ]],0))="n/a","n/a",EF23-INDEX(tab_MinKomp[Rysunek techniczny- czytanie],MATCH($B23,tab_MinKomp[[Stanowisko / Position ]:[Stanowisko / Position ]],0)))</f>
        <v>n/a</v>
      </c>
      <c r="EG24" s="315" t="str">
        <f>IF(INDEX(tab_MinKomp[Elektryka],MATCH($B23,tab_MinKomp[[Stanowisko / Position ]:[Stanowisko / Position ]],0))="n/a","n/a",EG23-INDEX(tab_MinKomp[Elektryka],MATCH($B23,tab_MinKomp[[Stanowisko / Position ]:[Stanowisko / Position ]],0)))</f>
        <v>n/a</v>
      </c>
      <c r="EH24" s="315" t="str">
        <f>IF(INDEX(tab_MinKomp[Pneumatyka],MATCH($B23,tab_MinKomp[[Stanowisko / Position ]:[Stanowisko / Position ]],0))="n/a","n/a",EH23-INDEX(tab_MinKomp[Pneumatyka],MATCH($B23,tab_MinKomp[[Stanowisko / Position ]:[Stanowisko / Position ]],0)))</f>
        <v>n/a</v>
      </c>
      <c r="EI24" s="315" t="str">
        <f>IF(INDEX(tab_MinKomp[[Hydraulika ]],MATCH($B23,tab_MinKomp[[Stanowisko / Position ]:[Stanowisko / Position ]],0))="n/a","n/a",EI23-INDEX(tab_MinKomp[[Hydraulika ]],MATCH($B23,tab_MinKomp[[Stanowisko / Position ]:[Stanowisko / Position ]],0)))</f>
        <v>n/a</v>
      </c>
      <c r="EJ24" s="315" t="str">
        <f>IF(INDEX(tab_MinKomp[Podciśnienie],MATCH($B23,tab_MinKomp[[Stanowisko / Position ]:[Stanowisko / Position ]],0))="n/a","n/a",EJ23-INDEX(tab_MinKomp[Podciśnienie],MATCH($B23,tab_MinKomp[[Stanowisko / Position ]:[Stanowisko / Position ]],0)))</f>
        <v>n/a</v>
      </c>
      <c r="EK24" s="315" t="str">
        <f>IF(INDEX(tab_MinKomp[Usuwanie awarii],MATCH($B23,tab_MinKomp[[Stanowisko / Position ]:[Stanowisko / Position ]],0))="n/a","n/a",EK23-INDEX(tab_MinKomp[Usuwanie awarii],MATCH($B23,tab_MinKomp[[Stanowisko / Position ]:[Stanowisko / Position ]],0)))</f>
        <v>n/a</v>
      </c>
      <c r="EL24" s="315" t="str">
        <f>IF(INDEX(tab_MinKomp[Obsługa robotów],MATCH($B23,tab_MinKomp[[Stanowisko / Position ]:[Stanowisko / Position ]],0))="n/a","n/a",EL23-INDEX(tab_MinKomp[Obsługa robotów],MATCH($B23,tab_MinKomp[[Stanowisko / Position ]:[Stanowisko / Position ]],0)))</f>
        <v>n/a</v>
      </c>
      <c r="EM24" s="315" t="str">
        <f>IF(INDEX(tab_MinKomp[Obsługa sterowania maszyny],MATCH($B23,tab_MinKomp[[Stanowisko / Position ]:[Stanowisko / Position ]],0))="n/a","n/a",EM23-INDEX(tab_MinKomp[Obsługa sterowania maszyny],MATCH($B23,tab_MinKomp[[Stanowisko / Position ]:[Stanowisko / Position ]],0)))</f>
        <v>n/a</v>
      </c>
      <c r="EN24" s="315" t="str">
        <f>IF(INDEX(tab_MinKomp[Usuwanie przyczyn żródłowych],MATCH($B23,tab_MinKomp[[Stanowisko / Position ]:[Stanowisko / Position ]],0))="n/a","n/a",EN23-INDEX(tab_MinKomp[Usuwanie przyczyn żródłowych],MATCH($B23,tab_MinKomp[[Stanowisko / Position ]:[Stanowisko / Position ]],0)))</f>
        <v>n/a</v>
      </c>
      <c r="EO24" s="315" t="str">
        <f>IF(INDEX(tab_MinKomp[Cmms stosowanie],MATCH($B23,tab_MinKomp[[Stanowisko / Position ]:[Stanowisko / Position ]],0))="n/a","n/a",EO23-INDEX(tab_MinKomp[Cmms stosowanie],MATCH($B23,tab_MinKomp[[Stanowisko / Position ]:[Stanowisko / Position ]],0)))</f>
        <v>n/a</v>
      </c>
      <c r="EP24" s="315" t="str">
        <f>IF(INDEX(tab_MinKomp[[Czyszczenie form gumowych ]],MATCH($B23,tab_MinKomp[[Stanowisko / Position ]:[Stanowisko / Position ]],0))="n/a","n/a",EP23-INDEX(tab_MinKomp[[Czyszczenie form gumowych ]],MATCH($B23,tab_MinKomp[[Stanowisko / Position ]:[Stanowisko / Position ]],0)))</f>
        <v>n/a</v>
      </c>
      <c r="EQ24" s="315" t="str">
        <f>IF(INDEX(tab_MinKomp[Czyszczenie form plastikowych],MATCH($B23,tab_MinKomp[[Stanowisko / Position ]:[Stanowisko / Position ]],0))="n/a","n/a",EQ23-INDEX(tab_MinKomp[Czyszczenie form plastikowych],MATCH($B23,tab_MinKomp[[Stanowisko / Position ]:[Stanowisko / Position ]],0)))</f>
        <v>n/a</v>
      </c>
      <c r="ER24" s="315" t="str">
        <f>IF(INDEX(tab_MinKomp[Wymiana form plastik],MATCH($B23,tab_MinKomp[[Stanowisko / Position ]:[Stanowisko / Position ]],0))="n/a","n/a",ER23-INDEX(tab_MinKomp[Wymiana form plastik],MATCH($B23,tab_MinKomp[[Stanowisko / Position ]:[Stanowisko / Position ]],0)))</f>
        <v>n/a</v>
      </c>
      <c r="ES24" s="315" t="str">
        <f>IF(INDEX(tab_MinKomp[Wymiana form guma],MATCH($B23,tab_MinKomp[[Stanowisko / Position ]:[Stanowisko / Position ]],0))="n/a","n/a",ES23-INDEX(tab_MinKomp[Wymiana form guma],MATCH($B23,tab_MinKomp[[Stanowisko / Position ]:[Stanowisko / Position ]],0)))</f>
        <v>n/a</v>
      </c>
      <c r="ET24" s="315" t="str">
        <f>IF(INDEX(tab_MinKomp[Konserwacja KK],MATCH($B23,tab_MinKomp[[Stanowisko / Position ]:[Stanowisko / Position ]],0))="n/a","n/a",ET23-INDEX(tab_MinKomp[Konserwacja KK],MATCH($B23,tab_MinKomp[[Stanowisko / Position ]:[Stanowisko / Position ]],0)))</f>
        <v>n/a</v>
      </c>
      <c r="EU24" s="315" t="str">
        <f>IF(INDEX(tab_MinKomp[Konserwacja form guma],MATCH($B23,tab_MinKomp[[Stanowisko / Position ]:[Stanowisko / Position ]],0))="n/a","n/a",EU23-INDEX(tab_MinKomp[Konserwacja form guma],MATCH($B23,tab_MinKomp[[Stanowisko / Position ]:[Stanowisko / Position ]],0)))</f>
        <v>n/a</v>
      </c>
      <c r="EV24" s="315" t="str">
        <f>IF(INDEX(tab_MinKomp[Konserwacja form plastiki],MATCH($B23,tab_MinKomp[[Stanowisko / Position ]:[Stanowisko / Position ]],0))="n/a","n/a",EV23-INDEX(tab_MinKomp[Konserwacja form plastiki],MATCH($B23,tab_MinKomp[[Stanowisko / Position ]:[Stanowisko / Position ]],0)))</f>
        <v>n/a</v>
      </c>
      <c r="EW24" s="330" t="str">
        <f>IF(INDEX(tab_MinKomp[Konserwacja form plastiki],MATCH($B23,tab_MinKomp[[Stanowisko / Position ]:[Stanowisko / Position ]],0))="n/a","n/a",EW23-INDEX(tab_MinKomp[Konserwacja form plastiki],MATCH($B23,tab_MinKomp[[Stanowisko / Position ]:[Stanowisko / Position ]],0)))</f>
        <v>n/a</v>
      </c>
      <c r="EX24" s="315" t="str">
        <f>IF(INDEX(tab_MinKomp[Konserwacja Gorącego Kanału],MATCH($B23,tab_MinKomp[[Stanowisko / Position ]:[Stanowisko / Position ]],0))="n/a","n/a",EX23-INDEX(tab_MinKomp[Konserwacja Gorącego Kanału],MATCH($B23,tab_MinKomp[[Stanowisko / Position ]:[Stanowisko / Position ]],0)))</f>
        <v>n/a</v>
      </c>
      <c r="EY24" s="315">
        <f>IF(INDEX(tab_MinKomp[MS Office (Excel)],MATCH($B23,tab_MinKomp[[Stanowisko / Position ]:[Stanowisko / Position ]],0))="n/a","n/a",EY23-INDEX(tab_MinKomp[MS Office (Excel)],MATCH($B23,tab_MinKomp[[Stanowisko / Position ]:[Stanowisko / Position ]],0)))</f>
        <v>0</v>
      </c>
      <c r="EZ24" s="315">
        <f>IF(INDEX(tab_MinKomp[MS Office (Word)],MATCH($B23,tab_MinKomp[[Stanowisko / Position ]:[Stanowisko / Position ]],0))="n/a","n/a",EZ23-INDEX(tab_MinKomp[MS Office (Word)],MATCH($B23,tab_MinKomp[[Stanowisko / Position ]:[Stanowisko / Position ]],0)))</f>
        <v>0</v>
      </c>
      <c r="FA24" s="315">
        <f>IF(INDEX(tab_MinKomp[MS Office (Power Point)],MATCH($B23,tab_MinKomp[[Stanowisko / Position ]:[Stanowisko / Position ]],0))="n/a","n/a",FA23-INDEX(tab_MinKomp[MS Office (Power Point)],MATCH($B23,tab_MinKomp[[Stanowisko / Position ]:[Stanowisko / Position ]],0)))</f>
        <v>0</v>
      </c>
      <c r="FB24" s="315" t="str">
        <f>IF(INDEX(tab_MinKomp[Język angielski / Englisch],MATCH($B23,tab_MinKomp[[Stanowisko / Position ]:[Stanowisko / Position ]],0))="n/a","n/a",FB23-INDEX(tab_MinKomp[Język angielski / Englisch],MATCH($B23,tab_MinKomp[[Stanowisko / Position ]:[Stanowisko / Position ]],0)))</f>
        <v>n/a</v>
      </c>
      <c r="FC24" s="315" t="str">
        <f>IF(INDEX(tab_MinKomp[Język niemiecki / Deutsch],MATCH($B23,tab_MinKomp[[Stanowisko / Position ]:[Stanowisko / Position ]],0))="n/a","n/a",FC23-INDEX(tab_MinKomp[Język niemiecki / Deutsch],MATCH($B23,tab_MinKomp[[Stanowisko / Position ]:[Stanowisko / Position ]],0)))</f>
        <v>n/a</v>
      </c>
      <c r="FD24" s="315">
        <f>IF(INDEX(tab_MinKomp[Zarządzanie dokumentacją procesową / Process dokumentation management],MATCH($B23,tab_MinKomp[[Stanowisko / Position ]:[Stanowisko / Position ]],0))="n/a","n/a",FD23-INDEX(tab_MinKomp[Zarządzanie dokumentacją procesową / Process dokumentation management],MATCH($B23,tab_MinKomp[[Stanowisko / Position ]:[Stanowisko / Position ]],0)))</f>
        <v>0</v>
      </c>
      <c r="FE24" s="315">
        <f>IF(INDEX(tab_MinKomp[Znajomość procesów z obszaru / Kenntiss der prozesse in dem Bereich],MATCH($B23,tab_MinKomp[[Stanowisko / Position ]:[Stanowisko / Position ]],0))="n/a","n/a",FE23-INDEX(tab_MinKomp[Znajomość procesów z obszaru / Kenntiss der prozesse in dem Bereich],MATCH($B23,tab_MinKomp[[Stanowisko / Position ]:[Stanowisko / Position ]],0)))</f>
        <v>0</v>
      </c>
      <c r="FF24" s="315" t="str">
        <f>IF(INDEX(tab_MinKomp[optymalizacja procesów / Prozessoptymalisierung],MATCH($B23,tab_MinKomp[[Stanowisko / Position ]:[Stanowisko / Position ]],0))="n/a","n/a",FF23-INDEX(tab_MinKomp[optymalizacja procesów / Prozessoptymalisierung],MATCH($B23,tab_MinKomp[[Stanowisko / Position ]:[Stanowisko / Position ]],0)))</f>
        <v>n/a</v>
      </c>
      <c r="FG24" s="315">
        <f>IF(INDEX(tab_MinKomp[Umiejętności szkoleniowe / Trainingsfähigkeiten],MATCH($B23,tab_MinKomp[[Stanowisko / Position ]:[Stanowisko / Position ]],0))="n/a","n/a",FG23-INDEX(tab_MinKomp[Umiejętności szkoleniowe / Trainingsfähigkeiten],MATCH($B23,tab_MinKomp[[Stanowisko / Position ]:[Stanowisko / Position ]],0)))</f>
        <v>0</v>
      </c>
      <c r="FH24" s="315">
        <f>IF(INDEX(tab_MinKomp[Analityczne myślenie, podejście / Analitysches Denken, Einstellung],MATCH($B23,tab_MinKomp[[Stanowisko / Position ]:[Stanowisko / Position ]],0))="n/a","n/a",FH23-INDEX(tab_MinKomp[Analityczne myślenie, podejście / Analitysches Denken, Einstellung],MATCH($B23,tab_MinKomp[[Stanowisko / Position ]:[Stanowisko / Position ]],0)))</f>
        <v>1</v>
      </c>
      <c r="FI24" s="315">
        <f>IF(INDEX(tab_MinKomp[Dokładność, precyzja w dzialaniu / Genauigkeit, Präzision in die Arbeit],MATCH($B23,tab_MinKomp[[Stanowisko / Position ]:[Stanowisko / Position ]],0))="n/a","n/a",FI23-INDEX(tab_MinKomp[Dokładność, precyzja w dzialaniu / Genauigkeit, Präzision in die Arbeit],MATCH($B23,tab_MinKomp[[Stanowisko / Position ]:[Stanowisko / Position ]],0)))</f>
        <v>1</v>
      </c>
      <c r="FJ24" s="315">
        <f>IF(INDEX(tab_MinKomp[Dyspozycyjność / Verfügbarkeit],MATCH($B23,tab_MinKomp[[Stanowisko / Position ]:[Stanowisko / Position ]],0))="n/a","n/a",FJ23-INDEX(tab_MinKomp[Dyspozycyjność / Verfügbarkeit],MATCH($B23,tab_MinKomp[[Stanowisko / Position ]:[Stanowisko / Position ]],0)))</f>
        <v>1</v>
      </c>
      <c r="FK24" s="315">
        <f>IF(INDEX(tab_MinKomp[Zaangażowanie / 
Engagement],MATCH($B23,tab_MinKomp[[Stanowisko / Position ]:[Stanowisko / Position ]],0))="n/a","n/a",FK23-INDEX(tab_MinKomp[Zaangażowanie / 
Engagement],MATCH($B23,tab_MinKomp[[Stanowisko / Position ]:[Stanowisko / Position ]],0)))</f>
        <v>1</v>
      </c>
      <c r="FL24" s="315" t="str">
        <f>IF(INDEX(tab_MinKomp[Planowanie strategiczne / Strategische Planung],MATCH($B23,tab_MinKomp[[Stanowisko / Position ]:[Stanowisko / Position ]],0))="n/a","n/a",FL23-INDEX(tab_MinKomp[Planowanie strategiczne / Strategische Planung],MATCH($B23,tab_MinKomp[[Stanowisko / Position ]:[Stanowisko / Position ]],0)))</f>
        <v>n/a</v>
      </c>
      <c r="FM24" s="315" t="str">
        <f>IF(INDEX(tab_MinKomp[Konsekwentne i dynamiczne działanie],MATCH($B23,tab_MinKomp[[Stanowisko / Position ]:[Stanowisko / Position ]],0))="n/a","n/a",FM23-INDEX(tab_MinKomp[Konsekwentne i dynamiczne działanie],MATCH($B23,tab_MinKomp[[Stanowisko / Position ]:[Stanowisko / Position ]],0)))</f>
        <v>n/a</v>
      </c>
      <c r="FN24" s="315" t="str">
        <f>IF(INDEX(tab_MinKomp[Elastyczność w działaniu],MATCH($B23,tab_MinKomp[[Stanowisko / Position ]:[Stanowisko / Position ]],0))="n/a","n/a",FN23-INDEX(tab_MinKomp[Elastyczność w działaniu],MATCH($B23,tab_MinKomp[[Stanowisko / Position ]:[Stanowisko / Position ]],0)))</f>
        <v>n/a</v>
      </c>
      <c r="FO24" s="315">
        <f>IF(INDEX(tab_MinKomp[Komunikatywność],MATCH($B23,tab_MinKomp[[Stanowisko / Position ]:[Stanowisko / Position ]],0))="n/a","n/a",FO23-INDEX(tab_MinKomp[Komunikatywność],MATCH($B23,tab_MinKomp[[Stanowisko / Position ]:[Stanowisko / Position ]],0)))</f>
        <v>0</v>
      </c>
      <c r="FP24" s="314" t="str">
        <f>IF(INDEX(tab_MinKomp[Motywowanie i budowanie zaangażowania zespołu],MATCH($B23,tab_MinKomp[[Stanowisko / Position ]:[Stanowisko / Position ]],0))="n/a","n/a",FP23-INDEX(tab_MinKomp[Motywowanie i budowanie zaangażowania zespołu],MATCH($B23,tab_MinKomp[[Stanowisko / Position ]:[Stanowisko / Position ]],0)))</f>
        <v>n/a</v>
      </c>
      <c r="FQ24" s="318" t="str">
        <f>IFERROR(IF(INDEX(tab_MinKomp[BRAK / Keine],MATCH($B23,tab_MinKomp[[Stanowisko / Position ]:[Stanowisko / Position ]],0))="n/a","n/a",INDEX(tab_MinKomp[BRAK / Keine],MATCH($B23,tab_MinKomp[[Stanowisko / Position ]:[Stanowisko / Position ]],0))-FQ23),"")</f>
        <v>n/a</v>
      </c>
      <c r="FR24" s="315" t="str">
        <f>IF(INDEX(tab_MinKomp[MINIMUM 1 ROK / min. 1 Jahr],MATCH($B23,tab_MinKomp[[Stanowisko / Position ]:[Stanowisko / Position ]],0))="n/a","n/a",INDEX(tab_MinKomp[MINIMUM 1 ROK / min. 1 Jahr],MATCH($B23,tab_MinKomp[[Stanowisko / Position ]:[Stanowisko / Position ]],0)))</f>
        <v>X</v>
      </c>
      <c r="FS24" s="315" t="str">
        <f>IF(INDEX(tab_MinKomp[MINIMUM 2 LATA / min. 2 Jahre],MATCH($B23,tab_MinKomp[[Stanowisko / Position ]:[Stanowisko / Position ]],0))="n/a","n/a",INDEX(tab_MinKomp[MINIMUM 2 LATA / min. 2 Jahre],MATCH($B23,tab_MinKomp[[Stanowisko / Position ]:[Stanowisko / Position ]],0)))</f>
        <v>n/a</v>
      </c>
      <c r="FT24" s="315" t="str">
        <f>IF(INDEX(tab_MinKomp[MINIMUM 3 LATA / min. 3 Jahre],MATCH($B23,tab_MinKomp[[Stanowisko / Position ]:[Stanowisko / Position ]],0))="n/a","n/a",INDEX(tab_MinKomp[MINIMUM 3 LATA / min. 3 Jahre],MATCH($B23,tab_MinKomp[[Stanowisko / Position ]:[Stanowisko / Position ]],0)))</f>
        <v>n/a</v>
      </c>
      <c r="FU24" s="315" t="str">
        <f>IF(INDEX(tab_MinKomp[MINIMUM 4 LATA / min. 4 Jahre],MATCH($B23,tab_MinKomp[[Stanowisko / Position ]:[Stanowisko / Position ]],0))="n/a","n/a",INDEX(tab_MinKomp[MINIMUM 4 LATA / min. 4 Jahre],MATCH($B23,tab_MinKomp[[Stanowisko / Position ]:[Stanowisko / Position ]],0)))</f>
        <v>n/a</v>
      </c>
      <c r="FV24" s="319" t="str">
        <f>IF(INDEX(tab_MinKomp[MINIMUM 5 LAT / min. 5 Jahre],MATCH($B23,tab_MinKomp[[Stanowisko / Position ]:[Stanowisko / Position ]],0))="n/a","n/a",INDEX(tab_MinKomp[MINIMUM 5 LAT / min. 5 Jahre],MATCH($B23,tab_MinKomp[[Stanowisko / Position ]:[Stanowisko / Position ]],0)))</f>
        <v>n/a</v>
      </c>
      <c r="FW24" s="318" t="str">
        <f>IF(INDEX(tab_MinKomp[BRAK / Keine9],MATCH($B23,tab_MinKomp[[Stanowisko / Position ]:[Stanowisko / Position ]],0))="n/a","n/a",INDEX(tab_MinKomp[BRAK / Keine9],MATCH($B23,tab_MinKomp[[Stanowisko / Position ]:[Stanowisko / Position ]],0)))</f>
        <v>n/a</v>
      </c>
      <c r="FX24" s="315" t="str">
        <f>IF(INDEX(tab_MinKomp[ŚREDNIE OGÓLNE / Abitur allgemeine],MATCH($B23,tab_MinKomp[[Stanowisko / Position ]:[Stanowisko / Position ]],0))="n/a","n/a",INDEX(tab_MinKomp[ŚREDNIE OGÓLNE / Abitur allgemeine],MATCH($B23,tab_MinKomp[[Stanowisko / Position ]:[Stanowisko / Position ]],0)))</f>
        <v>n/a</v>
      </c>
      <c r="FY24" s="315" t="str">
        <f>IF(INDEX(tab_MinKomp[ŚREDNIE OGÓLNE / Abitur allgemeine],MATCH($B23,tab_MinKomp[[Stanowisko / Position ]:[Stanowisko / Position ]],0))="n/a","n/a",INDEX(tab_MinKomp[ŚREDNIE OGÓLNE / Abitur allgemeine],MATCH($B23,tab_MinKomp[[Stanowisko / Position ]:[Stanowisko / Position ]],0)))</f>
        <v>n/a</v>
      </c>
      <c r="FZ24" s="315" t="str">
        <f>IF(INDEX(tab_MinKomp[ŚREDNIE KIERUNKOWE / berufliches Gymnasium],MATCH($B23,tab_MinKomp[[Stanowisko / Position ]:[Stanowisko / Position ]],0))="n/a","n/a",INDEX(tab_MinKomp[ŚREDNIE KIERUNKOWE / berufliches Gymnasium],MATCH($B23,tab_MinKomp[[Stanowisko / Position ]:[Stanowisko / Position ]],0)))</f>
        <v>n/a</v>
      </c>
      <c r="GA24" s="315" t="str">
        <f>IF(INDEX(tab_MinKomp[WYŻSZE OGÓLNE / Hochschule allgemeine],MATCH($B23,tab_MinKomp[[Stanowisko / Position ]:[Stanowisko / Position ]],0))="n/a","n/a",INDEX(tab_MinKomp[WYŻSZE OGÓLNE / Hochschule allgemeine],MATCH($B23,tab_MinKomp[[Stanowisko / Position ]:[Stanowisko / Position ]],0)))</f>
        <v>n/a</v>
      </c>
      <c r="GB24" s="319" t="str">
        <f>IF(INDEX(tab_MinKomp[WYŻSZE KIERUNKOWE / Hochschule berufliche],MATCH($B23,tab_MinKomp[[Stanowisko / Position ]:[Stanowisko / Position ]],0))="n/a","n/a",INDEX(tab_MinKomp[WYŻSZE KIERUNKOWE / Hochschule berufliche],MATCH($B23,tab_MinKomp[[Stanowisko / Position ]:[Stanowisko / Position ]],0)))</f>
        <v>n/a</v>
      </c>
      <c r="GC24" s="318" t="str">
        <f>IF(INDEX(tab_MinKomp[PIERWSZA POMOC / Erste Hilfe],MATCH($B23,tab_MinKomp[[Stanowisko / Position ]:[Stanowisko / Position ]],0))="n/a","n/a",INDEX(tab_MinKomp[PIERWSZA POMOC / Erste Hilfe],MATCH($B23,tab_MinKomp[[Stanowisko / Position ]:[Stanowisko / Position ]],0)))</f>
        <v>n/a</v>
      </c>
      <c r="GD24" s="315" t="str">
        <f>IF(INDEX(tab_MinKomp[Specjalista BHP / BHP Spezialist],MATCH($B23,tab_MinKomp[[Stanowisko / Position ]:[Stanowisko / Position ]],0))="n/a","n/a",INDEX(tab_MinKomp[Specjalista BHP / BHP Spezialist],MATCH($B23,tab_MinKomp[[Stanowisko / Position ]:[Stanowisko / Position ]],0)))</f>
        <v>n/a</v>
      </c>
      <c r="GE24" s="315" t="str">
        <f>IF(INDEX(tab_MinKomp[Inspektor ochrony PPOŻ / Brandschutzinspektor],MATCH($B23,tab_MinKomp[[Stanowisko / Position ]:[Stanowisko / Position ]],0))="n/a","n/a",INDEX(tab_MinKomp[Inspektor ochrony PPOŻ / Brandschutzinspektor],MATCH($B23,tab_MinKomp[[Stanowisko / Position ]:[Stanowisko / Position ]],0)))</f>
        <v>n/a</v>
      </c>
      <c r="GF24" s="315" t="str">
        <f>IF(INDEX(tab_MinKomp[WÓZKI JEZDNIOWE / Gebelstapler],MATCH($B23,tab_MinKomp[[Stanowisko / Position ]:[Stanowisko / Position ]],0))="n/a","n/a",INDEX(tab_MinKomp[WÓZKI JEZDNIOWE / Gebelstapler],MATCH($B23,tab_MinKomp[[Stanowisko / Position ]:[Stanowisko / Position ]],0)))</f>
        <v>n/a</v>
      </c>
      <c r="GG24" s="315" t="str">
        <f>IF(INDEX(tab_MinKomp[SEP],MATCH($B23,tab_MinKomp[[Stanowisko / Position ]:[Stanowisko / Position ]],0))="n/a","n/a",INDEX(tab_MinKomp[SEP],MATCH($B23,tab_MinKomp[[Stanowisko / Position ]:[Stanowisko / Position ]],0)))</f>
        <v>n/a</v>
      </c>
      <c r="GH24" s="315" t="str">
        <f>IF(INDEX(tab_MinKomp[SEP  DOZÓR / SEP Aufsicht],MATCH($B23,tab_MinKomp[[Stanowisko / Position ]:[Stanowisko / Position ]],0))="n/a","n/a",INDEX(tab_MinKomp[SEP  DOZÓR / SEP Aufsicht],MATCH($B23,tab_MinKomp[[Stanowisko / Position ]:[Stanowisko / Position ]],0)))</f>
        <v>n/a</v>
      </c>
      <c r="GI24" s="315" t="str">
        <f>IF(INDEX(tab_MinKomp[PODNOŚNIKI / Hebevorrichtung],MATCH($B23,tab_MinKomp[[Stanowisko / Position ]:[Stanowisko / Position ]],0))="n/a","n/a",INDEX(tab_MinKomp[PODNOŚNIKI / Hebevorrichtung],MATCH($B23,tab_MinKomp[[Stanowisko / Position ]:[Stanowisko / Position ]],0)))</f>
        <v>n/a</v>
      </c>
      <c r="GJ24" s="315" t="str">
        <f>IF(INDEX(tab_MinKomp[SUWNICE / Laufkran],MATCH($B23,tab_MinKomp[[Stanowisko / Position ]:[Stanowisko / Position ]],0))="n/a","n/a",INDEX(tab_MinKomp[SUWNICE / Laufkran],MATCH($B23,tab_MinKomp[[Stanowisko / Position ]:[Stanowisko / Position ]],0)))</f>
        <v>n/a</v>
      </c>
      <c r="GK24" s="319" t="str">
        <f>IF(INDEX(tab_MinKomp[WYSOKOŚCIOWE / Höhenberechtigungen],MATCH($B23,tab_MinKomp[[Stanowisko / Position ]:[Stanowisko / Position ]],0))="n/a","n/a",INDEX(tab_MinKomp[WYSOKOŚCIOWE / Höhenberechtigungen],MATCH($B23,tab_MinKomp[[Stanowisko / Position ]:[Stanowisko / Position ]],0)))</f>
        <v>n/a</v>
      </c>
      <c r="GL24" s="320">
        <f>SUM(G24:FP24)/(GL23-(SUM(G24:FP24)))</f>
        <v>0.13043478260869565</v>
      </c>
    </row>
    <row r="25" spans="1:195" ht="28.35" customHeight="1" x14ac:dyDescent="0.25">
      <c r="A25" s="135" t="s">
        <v>260</v>
      </c>
      <c r="B25" s="135" t="s">
        <v>760</v>
      </c>
      <c r="C25" s="135" t="s">
        <v>750</v>
      </c>
      <c r="D25" s="135">
        <v>522</v>
      </c>
      <c r="E25" s="565" t="s">
        <v>262</v>
      </c>
      <c r="F25" s="307" t="s">
        <v>165</v>
      </c>
      <c r="G25" s="308">
        <v>2</v>
      </c>
      <c r="H25" s="308">
        <v>2</v>
      </c>
      <c r="I25" s="308">
        <v>2</v>
      </c>
      <c r="J25" s="308">
        <v>1</v>
      </c>
      <c r="K25" s="308">
        <v>1</v>
      </c>
      <c r="L25" s="308">
        <v>2</v>
      </c>
      <c r="M25" s="308" t="s">
        <v>176</v>
      </c>
      <c r="N25" s="308" t="s">
        <v>176</v>
      </c>
      <c r="O25" s="308">
        <v>1</v>
      </c>
      <c r="P25" s="308">
        <v>1</v>
      </c>
      <c r="Q25" s="308" t="s">
        <v>176</v>
      </c>
      <c r="R25" s="308" t="s">
        <v>176</v>
      </c>
      <c r="S25" s="308">
        <v>1</v>
      </c>
      <c r="T25" s="308">
        <v>1</v>
      </c>
      <c r="U25" s="308" t="s">
        <v>176</v>
      </c>
      <c r="V25" s="308" t="s">
        <v>176</v>
      </c>
      <c r="W25" s="308" t="s">
        <v>176</v>
      </c>
      <c r="X25" s="308" t="s">
        <v>176</v>
      </c>
      <c r="Y25" s="308" t="s">
        <v>176</v>
      </c>
      <c r="Z25" s="308" t="s">
        <v>176</v>
      </c>
      <c r="AA25" s="308" t="s">
        <v>176</v>
      </c>
      <c r="AB25" s="308">
        <v>1</v>
      </c>
      <c r="AC25" s="308">
        <v>2</v>
      </c>
      <c r="AD25" s="308">
        <v>2</v>
      </c>
      <c r="AE25" s="308">
        <v>2</v>
      </c>
      <c r="AF25" s="308">
        <v>2</v>
      </c>
      <c r="AG25" s="308">
        <v>2</v>
      </c>
      <c r="AH25" s="308">
        <v>2</v>
      </c>
      <c r="AI25" s="308">
        <v>1</v>
      </c>
      <c r="AJ25" s="308">
        <v>1</v>
      </c>
      <c r="AK25" s="308" t="s">
        <v>176</v>
      </c>
      <c r="AL25" s="308">
        <v>2</v>
      </c>
      <c r="AM25" s="308">
        <v>2</v>
      </c>
      <c r="AN25" s="308">
        <v>1</v>
      </c>
      <c r="AO25" s="308">
        <v>2</v>
      </c>
      <c r="AP25" s="308">
        <v>1</v>
      </c>
      <c r="AQ25" s="308">
        <v>2</v>
      </c>
      <c r="AR25" s="308">
        <v>2</v>
      </c>
      <c r="AS25" s="308">
        <v>1</v>
      </c>
      <c r="AT25" s="308">
        <v>1</v>
      </c>
      <c r="AU25" s="308">
        <v>1</v>
      </c>
      <c r="AV25" s="308">
        <v>1</v>
      </c>
      <c r="AW25" s="308">
        <v>1</v>
      </c>
      <c r="AX25" s="308">
        <v>1</v>
      </c>
      <c r="AY25" s="308">
        <v>1</v>
      </c>
      <c r="AZ25" s="308">
        <v>1</v>
      </c>
      <c r="BA25" s="308">
        <v>1</v>
      </c>
      <c r="BB25" s="308">
        <v>1</v>
      </c>
      <c r="BC25" s="308">
        <v>1</v>
      </c>
      <c r="BD25" s="308">
        <v>1</v>
      </c>
      <c r="BE25" s="308">
        <v>1</v>
      </c>
      <c r="BF25" s="308" t="s">
        <v>176</v>
      </c>
      <c r="BG25" s="308">
        <v>1</v>
      </c>
      <c r="BH25" s="308" t="s">
        <v>176</v>
      </c>
      <c r="BI25" s="308" t="s">
        <v>176</v>
      </c>
      <c r="BJ25" s="308" t="s">
        <v>176</v>
      </c>
      <c r="BK25" s="308" t="s">
        <v>176</v>
      </c>
      <c r="BL25" s="308" t="s">
        <v>176</v>
      </c>
      <c r="BM25" s="308" t="s">
        <v>176</v>
      </c>
      <c r="BN25" s="308" t="s">
        <v>176</v>
      </c>
      <c r="BO25" s="308" t="s">
        <v>176</v>
      </c>
      <c r="BP25" s="308" t="s">
        <v>176</v>
      </c>
      <c r="BQ25" s="308" t="s">
        <v>176</v>
      </c>
      <c r="BR25" s="308" t="s">
        <v>176</v>
      </c>
      <c r="BS25" s="308" t="s">
        <v>176</v>
      </c>
      <c r="BT25" s="308" t="s">
        <v>176</v>
      </c>
      <c r="BU25" s="308" t="s">
        <v>176</v>
      </c>
      <c r="BV25" s="308" t="s">
        <v>176</v>
      </c>
      <c r="BW25" s="308" t="s">
        <v>176</v>
      </c>
      <c r="BX25" s="308" t="s">
        <v>176</v>
      </c>
      <c r="BY25" s="308" t="s">
        <v>176</v>
      </c>
      <c r="BZ25" s="308" t="s">
        <v>176</v>
      </c>
      <c r="CA25" s="308" t="s">
        <v>176</v>
      </c>
      <c r="CB25" s="308" t="s">
        <v>176</v>
      </c>
      <c r="CC25" s="308" t="s">
        <v>176</v>
      </c>
      <c r="CD25" s="308" t="s">
        <v>176</v>
      </c>
      <c r="CE25" s="308" t="s">
        <v>176</v>
      </c>
      <c r="CF25" s="308" t="s">
        <v>176</v>
      </c>
      <c r="CG25" s="308" t="s">
        <v>176</v>
      </c>
      <c r="CH25" s="308" t="s">
        <v>176</v>
      </c>
      <c r="CI25" s="308">
        <v>1</v>
      </c>
      <c r="CJ25" s="308">
        <v>1</v>
      </c>
      <c r="CK25" s="308" t="s">
        <v>176</v>
      </c>
      <c r="CL25" s="308" t="s">
        <v>176</v>
      </c>
      <c r="CM25" s="308">
        <v>1</v>
      </c>
      <c r="CN25" s="308">
        <v>1</v>
      </c>
      <c r="CO25" s="308">
        <v>1</v>
      </c>
      <c r="CP25" s="308">
        <v>1</v>
      </c>
      <c r="CQ25" s="308">
        <v>1</v>
      </c>
      <c r="CR25" s="308">
        <v>1</v>
      </c>
      <c r="CS25" s="308">
        <v>1</v>
      </c>
      <c r="CT25" s="308">
        <v>2</v>
      </c>
      <c r="CU25" s="308">
        <v>3</v>
      </c>
      <c r="CV25" s="308">
        <v>2</v>
      </c>
      <c r="CW25" s="308">
        <v>2</v>
      </c>
      <c r="CX25" s="308">
        <v>2</v>
      </c>
      <c r="CY25" s="308">
        <v>2</v>
      </c>
      <c r="CZ25" s="308">
        <v>2</v>
      </c>
      <c r="DA25" s="308">
        <v>2</v>
      </c>
      <c r="DB25" s="308">
        <v>3</v>
      </c>
      <c r="DC25" s="308">
        <v>3</v>
      </c>
      <c r="DD25" s="308">
        <v>3</v>
      </c>
      <c r="DE25" s="308">
        <v>2</v>
      </c>
      <c r="DF25" s="308">
        <v>2</v>
      </c>
      <c r="DG25" s="308">
        <v>3</v>
      </c>
      <c r="DH25" s="308">
        <v>3</v>
      </c>
      <c r="DI25" s="308">
        <v>3</v>
      </c>
      <c r="DJ25" s="308">
        <v>3</v>
      </c>
      <c r="DK25" s="308">
        <v>3</v>
      </c>
      <c r="DL25" s="308">
        <v>3</v>
      </c>
      <c r="DM25" s="308">
        <v>3</v>
      </c>
      <c r="DN25" s="308">
        <v>3</v>
      </c>
      <c r="DO25" s="308">
        <v>3</v>
      </c>
      <c r="DP25" s="308">
        <v>3</v>
      </c>
      <c r="DQ25" s="308">
        <v>3</v>
      </c>
      <c r="DR25" s="308">
        <v>3</v>
      </c>
      <c r="DS25" s="308">
        <v>3</v>
      </c>
      <c r="DT25" s="308">
        <v>3</v>
      </c>
      <c r="DU25" s="308">
        <v>3</v>
      </c>
      <c r="DV25" s="308">
        <v>3</v>
      </c>
      <c r="DW25" s="308">
        <v>3</v>
      </c>
      <c r="DX25" s="308">
        <v>3</v>
      </c>
      <c r="DY25" s="308" t="s">
        <v>176</v>
      </c>
      <c r="DZ25" s="308" t="s">
        <v>176</v>
      </c>
      <c r="EA25" s="308" t="s">
        <v>176</v>
      </c>
      <c r="EB25" s="308" t="s">
        <v>176</v>
      </c>
      <c r="EC25" s="308" t="s">
        <v>176</v>
      </c>
      <c r="ED25" s="308" t="s">
        <v>176</v>
      </c>
      <c r="EE25" s="308" t="s">
        <v>176</v>
      </c>
      <c r="EF25" s="308" t="s">
        <v>176</v>
      </c>
      <c r="EG25" s="308" t="s">
        <v>176</v>
      </c>
      <c r="EH25" s="308" t="s">
        <v>176</v>
      </c>
      <c r="EI25" s="308" t="s">
        <v>176</v>
      </c>
      <c r="EJ25" s="308" t="s">
        <v>176</v>
      </c>
      <c r="EK25" s="308" t="s">
        <v>176</v>
      </c>
      <c r="EL25" s="308" t="s">
        <v>176</v>
      </c>
      <c r="EM25" s="308" t="s">
        <v>176</v>
      </c>
      <c r="EN25" s="308" t="s">
        <v>176</v>
      </c>
      <c r="EO25" s="308"/>
      <c r="EP25" s="308" t="s">
        <v>176</v>
      </c>
      <c r="EQ25" s="308" t="s">
        <v>176</v>
      </c>
      <c r="ER25" s="308" t="s">
        <v>176</v>
      </c>
      <c r="ES25" s="308" t="s">
        <v>176</v>
      </c>
      <c r="ET25" s="308" t="s">
        <v>176</v>
      </c>
      <c r="EU25" s="308" t="s">
        <v>176</v>
      </c>
      <c r="EV25" s="308" t="s">
        <v>176</v>
      </c>
      <c r="EW25" s="308" t="s">
        <v>176</v>
      </c>
      <c r="EX25" s="308" t="s">
        <v>176</v>
      </c>
      <c r="EY25" s="308"/>
      <c r="EZ25" s="308"/>
      <c r="FA25" s="308"/>
      <c r="FB25" s="308"/>
      <c r="FC25" s="308"/>
      <c r="FD25" s="308"/>
      <c r="FE25" s="308"/>
      <c r="FF25" s="308"/>
      <c r="FG25" s="308"/>
      <c r="FH25" s="308"/>
      <c r="FI25" s="308"/>
      <c r="FJ25" s="308"/>
      <c r="FK25" s="308"/>
      <c r="FL25" s="308"/>
      <c r="FM25" s="308"/>
      <c r="FN25" s="308"/>
      <c r="FO25" s="308"/>
      <c r="FP25" s="308"/>
      <c r="FQ25" s="308" t="s">
        <v>176</v>
      </c>
      <c r="FR25" s="308" t="s">
        <v>176</v>
      </c>
      <c r="FS25" s="308" t="s">
        <v>176</v>
      </c>
      <c r="FT25" s="308" t="s">
        <v>176</v>
      </c>
      <c r="FU25" s="308" t="s">
        <v>160</v>
      </c>
      <c r="FV25" s="308" t="s">
        <v>176</v>
      </c>
      <c r="FW25" s="308" t="s">
        <v>176</v>
      </c>
      <c r="FX25" s="308" t="s">
        <v>176</v>
      </c>
      <c r="FY25" s="308" t="s">
        <v>176</v>
      </c>
      <c r="FZ25" s="308" t="s">
        <v>176</v>
      </c>
      <c r="GA25" s="308" t="s">
        <v>176</v>
      </c>
      <c r="GB25" s="308" t="s">
        <v>160</v>
      </c>
      <c r="GC25" s="308" t="s">
        <v>176</v>
      </c>
      <c r="GD25" s="308" t="s">
        <v>176</v>
      </c>
      <c r="GE25" s="308" t="s">
        <v>176</v>
      </c>
      <c r="GF25" s="308" t="s">
        <v>176</v>
      </c>
      <c r="GG25" s="308" t="s">
        <v>176</v>
      </c>
      <c r="GH25" s="308" t="s">
        <v>176</v>
      </c>
      <c r="GI25" s="308" t="s">
        <v>176</v>
      </c>
      <c r="GJ25" s="308" t="s">
        <v>176</v>
      </c>
      <c r="GK25" s="308" t="s">
        <v>176</v>
      </c>
      <c r="GL25" s="311">
        <f>SUM(G25:FP25)</f>
        <v>148</v>
      </c>
    </row>
    <row r="26" spans="1:195" ht="28.35" customHeight="1" thickBot="1" x14ac:dyDescent="0.3">
      <c r="A26" s="138" t="str">
        <f>A25</f>
        <v>Jakość-Quality Labor</v>
      </c>
      <c r="B26" s="138" t="str">
        <f>B25</f>
        <v>Lider Laboratorium Pomiarowego</v>
      </c>
      <c r="C26" s="135" t="s">
        <v>750</v>
      </c>
      <c r="D26" s="138">
        <f>D25</f>
        <v>522</v>
      </c>
      <c r="E26" s="566" t="str">
        <f>E25</f>
        <v>Dudziak Michał</v>
      </c>
      <c r="F26" s="312" t="s">
        <v>166</v>
      </c>
      <c r="G26" s="313">
        <f>IF(INDEX(tab_MinKomp[Przepisy BHP / BHP Vorschriften],MATCH($B25,tab_MinKomp[[Stanowisko / Position ]:[Stanowisko / Position ]],0))="n/a","n/a",G25-INDEX(tab_MinKomp[Przepisy BHP / BHP Vorschriften],MATCH($B25,tab_MinKomp[[Stanowisko / Position ]:[Stanowisko / Position ]],0)))</f>
        <v>0</v>
      </c>
      <c r="H26" s="313">
        <f>IF(INDEX(tab_MinKomp[Przepisy PPOŻ / Brandschutzbestimmungen],MATCH($B25,tab_MinKomp[[Stanowisko / Position ]:[Stanowisko / Position ]],0))="n/a","n/a",H25-INDEX(tab_MinKomp[Przepisy PPOŻ / Brandschutzbestimmungen],MATCH($B25,tab_MinKomp[[Stanowisko / Position ]:[Stanowisko / Position ]],0)))</f>
        <v>0</v>
      </c>
      <c r="I26" s="313">
        <f>IF(INDEX(tab_MinKomp[Ryzyko zawodowe na stanowiskach pracyv/ Berufliche Risiken an Arbeitsstellen],MATCH($B25,tab_MinKomp[[Stanowisko / Position ]:[Stanowisko / Position ]],0))="n/a","n/a",I25-INDEX(tab_MinKomp[Ryzyko zawodowe na stanowiskach pracyv/ Berufliche Risiken an Arbeitsstellen],MATCH($B25,tab_MinKomp[[Stanowisko / Position ]:[Stanowisko / Position ]],0)))</f>
        <v>0</v>
      </c>
      <c r="J26" s="313">
        <f>IF(INDEX(tab_MinKomp[Gospodarka substancjami niebezpiecznymi / Gefahrstoffmanagement],MATCH($B25,tab_MinKomp[[Stanowisko / Position ]:[Stanowisko / Position ]],0))="n/a","n/a",J25-INDEX(tab_MinKomp[Gospodarka substancjami niebezpiecznymi / Gefahrstoffmanagement],MATCH($B25,tab_MinKomp[[Stanowisko / Position ]:[Stanowisko / Position ]],0)))</f>
        <v>-1</v>
      </c>
      <c r="K26" s="313">
        <f>IF(INDEX(tab_MinKomp[Gospodarka odpadami / Abfallwirtschaft],MATCH($B25,tab_MinKomp[[Stanowisko / Position ]:[Stanowisko / Position ]],0))="n/a","n/a",K25-INDEX(tab_MinKomp[Gospodarka odpadami / Abfallwirtschaft],MATCH($B25,tab_MinKomp[[Stanowisko / Position ]:[Stanowisko / Position ]],0)))</f>
        <v>-1</v>
      </c>
      <c r="L26" s="313">
        <f>IF(INDEX(tab_MinKomp[Przepisy kodeksu pracy / Bestimmungen des Arbeitsgesetzes],MATCH($B25,tab_MinKomp[[Stanowisko / Position ]:[Stanowisko / Position ]],0))="n/a","n/a",L25-INDEX(tab_MinKomp[Przepisy kodeksu pracy / Bestimmungen des Arbeitsgesetzes],MATCH($B25,tab_MinKomp[[Stanowisko / Position ]:[Stanowisko / Position ]],0)))</f>
        <v>1</v>
      </c>
      <c r="M26" s="313" t="str">
        <f>IF(INDEX(tab_MinKomp[Przepisy o ub.społ. ZUS  / Sozialversicherungsvorschriften],MATCH($B25,tab_MinKomp[[Stanowisko / Position ]:[Stanowisko / Position ]],0))="n/a","n/a",M25-INDEX(tab_MinKomp[Przepisy o ub.społ. ZUS  / Sozialversicherungsvorschriften],MATCH($B25,tab_MinKomp[[Stanowisko / Position ]:[Stanowisko / Position ]],0)))</f>
        <v>n/a</v>
      </c>
      <c r="N26" s="313" t="str">
        <f>IF(INDEX(tab_MinKomp[PRZEPISY O PDOF /persönlich Einkommensteuergesetz ],MATCH($B25,tab_MinKomp[[Stanowisko / Position ]:[Stanowisko / Position ]],0))="n/a","n/a",N25-INDEX(tab_MinKomp[PRZEPISY O PDOF /persönlich Einkommensteuergesetz ],MATCH($B25,tab_MinKomp[[Stanowisko / Position ]:[Stanowisko / Position ]],0)))</f>
        <v>n/a</v>
      </c>
      <c r="O26" s="313">
        <f>IF(INDEX(tab_MinKomp[Regulamin pracy / Arbeitsordnung],MATCH($B25,tab_MinKomp[[Stanowisko / Position ]:[Stanowisko / Position ]],0))="n/a","n/a",O25-INDEX(tab_MinKomp[Regulamin pracy / Arbeitsordnung],MATCH($B25,tab_MinKomp[[Stanowisko / Position ]:[Stanowisko / Position ]],0)))</f>
        <v>-1</v>
      </c>
      <c r="P26" s="313">
        <f>IF(INDEX(tab_MinKomp[Regulamin wynagradzania / Vergütungsordnung],MATCH($B25,tab_MinKomp[[Stanowisko / Position ]:[Stanowisko / Position ]],0))="n/a","n/a",P25-INDEX(tab_MinKomp[Regulamin wynagradzania / Vergütungsordnung],MATCH($B25,tab_MinKomp[[Stanowisko / Position ]:[Stanowisko / Position ]],0)))</f>
        <v>-1</v>
      </c>
      <c r="Q26" s="313" t="str">
        <f>IF(INDEX(tab_MinKomp[System R2PŁATNIK PRO: Płace / Lohnabrechnung],MATCH($B25,tab_MinKomp[[Stanowisko / Position ]:[Stanowisko / Position ]],0))="n/a","n/a",Q25-INDEX(tab_MinKomp[System R2PŁATNIK PRO: Płace / Lohnabrechnung],MATCH($B25,tab_MinKomp[[Stanowisko / Position ]:[Stanowisko / Position ]],0)))</f>
        <v>n/a</v>
      </c>
      <c r="R26" s="313" t="str">
        <f>IF(INDEX(tab_MinKomp[SystemR2PŁATNIK PRO: KADRY / Personaldaten],MATCH($B25,tab_MinKomp[[Stanowisko / Position ]:[Stanowisko / Position ]],0))="n/a","n/a",R25-INDEX(tab_MinKomp[SystemR2PŁATNIK PRO: KADRY / Personaldaten],MATCH($B25,tab_MinKomp[[Stanowisko / Position ]:[Stanowisko / Position ]],0)))</f>
        <v>n/a</v>
      </c>
      <c r="S26" s="313">
        <f>IF(INDEX(tab_MinKomp[SYSTEM R2PŁATNIK PRO: zarządzanie pracownikami / Arbeitsverwaltung],MATCH($B25,tab_MinKomp[[Stanowisko / Position ]:[Stanowisko / Position ]],0))="n/a","n/a",S25-INDEX(tab_MinKomp[SYSTEM R2PŁATNIK PRO: zarządzanie pracownikami / Arbeitsverwaltung],MATCH($B25,tab_MinKomp[[Stanowisko / Position ]:[Stanowisko / Position ]],0)))</f>
        <v>-1</v>
      </c>
      <c r="T26" s="313">
        <f>IF(INDEX(tab_MinKomp[Doradztwo, wsparcie personalne / Personalberatung und Unterstützung],MATCH($B25,tab_MinKomp[[Stanowisko / Position ]:[Stanowisko / Position ]],0))="n/a","n/a",T25-INDEX(tab_MinKomp[Doradztwo, wsparcie personalne / Personalberatung und Unterstützung],MATCH($B25,tab_MinKomp[[Stanowisko / Position ]:[Stanowisko / Position ]],0)))</f>
        <v>-1</v>
      </c>
      <c r="U26" s="313" t="str">
        <f>IF(INDEX(tab_MinKomp[Przepisy o podatku VAT / MwSt.- Gesetz],MATCH($B25,tab_MinKomp[[Stanowisko / Position ]:[Stanowisko / Position ]],0))="n/a","n/a",U25-INDEX(tab_MinKomp[Przepisy o podatku VAT / MwSt.- Gesetz],MATCH($B25,tab_MinKomp[[Stanowisko / Position ]:[Stanowisko / Position ]],0)))</f>
        <v>n/a</v>
      </c>
      <c r="V26" s="315" t="str">
        <f>IF(INDEX(tab_MinKomp[PrzepisyPDOP / geschäftlich Einkommensteuergesetz],MATCH($B25,tab_MinKomp[[Stanowisko / Position ]:[Stanowisko / Position ]],0))="n/a","n/a",V25-INDEX(tab_MinKomp[PrzepisyPDOP / geschäftlich Einkommensteuergesetz],MATCH($B25,tab_MinKomp[[Stanowisko / Position ]:[Stanowisko / Position ]],0)))</f>
        <v>n/a</v>
      </c>
      <c r="W26" s="315" t="str">
        <f>IF(INDEX(tab_MinKomp[System BAAN / FINANSE (FIBU)],MATCH($B25,tab_MinKomp[[Stanowisko / Position ]:[Stanowisko / Position ]],0))="n/a","n/a",W25-INDEX(tab_MinKomp[System BAAN / FINANSE (FIBU)],MATCH($B25,tab_MinKomp[[Stanowisko / Position ]:[Stanowisko / Position ]],0)))</f>
        <v>n/a</v>
      </c>
      <c r="X26" s="315" t="str">
        <f>IF(INDEX(tab_MinKomp[Systemy pomocnicze / Hilfssysteme(STOCKPROGRAM, KALK2000 etc.)],MATCH($B25,tab_MinKomp[[Stanowisko / Position ]:[Stanowisko / Position ]],0))="n/a","n/a",X25-INDEX(tab_MinKomp[Systemy pomocnicze / Hilfssysteme(STOCKPROGRAM, KALK2000 etc.)],MATCH($B25,tab_MinKomp[[Stanowisko / Position ]:[Stanowisko / Position ]],0)))</f>
        <v>n/a</v>
      </c>
      <c r="Y26" s="315" t="str">
        <f>IF(INDEX(tab_MinKomp[Polityka rachunkowości / Buchführungspolitik],MATCH($B25,tab_MinKomp[[Stanowisko / Position ]:[Stanowisko / Position ]],0))="n/a","n/a",Y25-INDEX(tab_MinKomp[Polityka rachunkowości / Buchführungspolitik],MATCH($B25,tab_MinKomp[[Stanowisko / Position ]:[Stanowisko / Position ]],0)))</f>
        <v>n/a</v>
      </c>
      <c r="Z26" s="315" t="str">
        <f>IF(INDEX(tab_MinKomp[Ustawa o rachunkowości / Rechnungslegungsgesetz],MATCH($B25,tab_MinKomp[[Stanowisko / Position ]:[Stanowisko / Position ]],0))="n/a","n/a",Z25-INDEX(tab_MinKomp[Ustawa o rachunkowości / Rechnungslegungsgesetz],MATCH($B25,tab_MinKomp[[Stanowisko / Position ]:[Stanowisko / Position ]],0)))</f>
        <v>n/a</v>
      </c>
      <c r="AA26" s="315" t="str">
        <f>IF(INDEX(tab_MinKomp[WORKFLOW - TS-100],MATCH($B25,tab_MinKomp[[Stanowisko / Position ]:[Stanowisko / Position ]],0))="n/a","n/a",AA25-INDEX(tab_MinKomp[WORKFLOW - TS-100],MATCH($B25,tab_MinKomp[[Stanowisko / Position ]:[Stanowisko / Position ]],0)))</f>
        <v>n/a</v>
      </c>
      <c r="AB26" s="315">
        <f>IF(INDEX(tab_MinKomp[WORKFLOW - SFMS],MATCH($B25,tab_MinKomp[[Stanowisko / Position ]:[Stanowisko / Position ]],0))="n/a","n/a",AB25-INDEX(tab_MinKomp[WORKFLOW - SFMS],MATCH($B25,tab_MinKomp[[Stanowisko / Position ]:[Stanowisko / Position ]],0)))</f>
        <v>-1</v>
      </c>
      <c r="AC26" s="315">
        <f>IF(INDEX(tab_MinKomp[System ISO 9001:2015],MATCH($B25,tab_MinKomp[[Stanowisko / Position ]:[Stanowisko / Position ]],0))="n/a","n/a",AC25-INDEX(tab_MinKomp[System ISO 9001:2015],MATCH($B25,tab_MinKomp[[Stanowisko / Position ]:[Stanowisko / Position ]],0)))</f>
        <v>0</v>
      </c>
      <c r="AD26" s="315">
        <f>IF(INDEX(tab_MinKomp[System IATF 16949:2016],MATCH($B25,tab_MinKomp[[Stanowisko / Position ]:[Stanowisko / Position ]],0))="n/a","n/a",AD25-INDEX(tab_MinKomp[System IATF 16949:2016],MATCH($B25,tab_MinKomp[[Stanowisko / Position ]:[Stanowisko / Position ]],0)))</f>
        <v>-1</v>
      </c>
      <c r="AE26" s="315">
        <f>IF(INDEX(tab_MinKomp[System ISO 14001:2015],MATCH($B25,tab_MinKomp[[Stanowisko / Position ]:[Stanowisko / Position ]],0))="n/a","n/a",AE25-INDEX(tab_MinKomp[System ISO 14001:2015],MATCH($B25,tab_MinKomp[[Stanowisko / Position ]:[Stanowisko / Position ]],0)))</f>
        <v>0</v>
      </c>
      <c r="AF26" s="315">
        <f>IF(INDEX(tab_MinKomp[System PN-N 18001:2004 / ISO 45001:2018],MATCH($B25,tab_MinKomp[[Stanowisko / Position ]:[Stanowisko / Position ]],0))="n/a","n/a",AF25-INDEX(tab_MinKomp[System PN-N 18001:2004 / ISO 45001:2018],MATCH($B25,tab_MinKomp[[Stanowisko / Position ]:[Stanowisko / Position ]],0)))</f>
        <v>0</v>
      </c>
      <c r="AG26" s="315">
        <f>IF(INDEX(tab_MinKomp[Wymagania VDA 6.3 Process / Forderungen],MATCH($B25,tab_MinKomp[[Stanowisko / Position ]:[Stanowisko / Position ]],0))="n/a","n/a",AG25-INDEX(tab_MinKomp[Wymagania VDA 6.3 Process / Forderungen],MATCH($B25,tab_MinKomp[[Stanowisko / Position ]:[Stanowisko / Position ]],0)))</f>
        <v>-1</v>
      </c>
      <c r="AH26" s="315">
        <f>IF(INDEX(tab_MinKomp[Wymagania VDA 6.5 Product / Forderungen],MATCH($B25,tab_MinKomp[[Stanowisko / Position ]:[Stanowisko / Position ]],0))="n/a","n/a",AH25-INDEX(tab_MinKomp[Wymagania VDA 6.5 Product / Forderungen],MATCH($B25,tab_MinKomp[[Stanowisko / Position ]:[Stanowisko / Position ]],0)))</f>
        <v>-1</v>
      </c>
      <c r="AI26" s="315">
        <f>IF(INDEX(tab_MinKomp[PSCR (VW Product Safety &amp; Conformity Representative)],MATCH($B25,tab_MinKomp[[Stanowisko / Position ]:[Stanowisko / Position ]],0))="n/a","n/a",AI25-INDEX(tab_MinKomp[PSCR (VW Product Safety &amp; Conformity Representative)],MATCH($B25,tab_MinKomp[[Stanowisko / Position ]:[Stanowisko / Position ]],0)))</f>
        <v>-1</v>
      </c>
      <c r="AJ26" s="315">
        <f>IF(INDEX(tab_MinKomp[Auditor systemu ISO 17025:2018],MATCH($B25,tab_MinKomp[[Stanowisko / Position ]:[Stanowisko / Position ]],0))="n/a","n/a",AJ25-INDEX(tab_MinKomp[Auditor systemu ISO 17025:2018],MATCH($B25,tab_MinKomp[[Stanowisko / Position ]:[Stanowisko / Position ]],0)))</f>
        <v>0</v>
      </c>
      <c r="AK26" s="315" t="str">
        <f>IF(INDEX(tab_MinKomp[Pełnomocnik systemu / Systemvertreter],MATCH($B25,tab_MinKomp[[Stanowisko / Position ]:[Stanowisko / Position ]],0))="n/a","n/a",AK25-INDEX(tab_MinKomp[Pełnomocnik systemu / Systemvertreter],MATCH($B25,tab_MinKomp[[Stanowisko / Position ]:[Stanowisko / Position ]],0)))</f>
        <v>n/a</v>
      </c>
      <c r="AL26" s="315">
        <f>IF(INDEX(tab_MinKomp[Polityka Etyczna - Compliance],MATCH($B25,tab_MinKomp[[Stanowisko / Position ]:[Stanowisko / Position ]],0))="n/a","n/a",AL25-INDEX(tab_MinKomp[Polityka Etyczna - Compliance],MATCH($B25,tab_MinKomp[[Stanowisko / Position ]:[Stanowisko / Position ]],0)))</f>
        <v>-1</v>
      </c>
      <c r="AM26" s="315">
        <f>IF(INDEX(tab_MinKomp[WDRAŻANIE NOWYCH PROJEKTÓW/ PROCEDURA CTM],MATCH($B25,tab_MinKomp[[Stanowisko / Position ]:[Stanowisko / Position ]],0))="n/a","n/a",AM25-INDEX(tab_MinKomp[WDRAŻANIE NOWYCH PROJEKTÓW/ PROCEDURA CTM],MATCH($B25,tab_MinKomp[[Stanowisko / Position ]:[Stanowisko / Position ]],0)))</f>
        <v>0</v>
      </c>
      <c r="AN26" s="315">
        <f>IF(INDEX(tab_MinKomp[KAMIENIE MILOWE MSL/PIFF],MATCH($B25,tab_MinKomp[[Stanowisko / Position ]:[Stanowisko / Position ]],0))="n/a","n/a",AN25-INDEX(tab_MinKomp[KAMIENIE MILOWE MSL/PIFF],MATCH($B25,tab_MinKomp[[Stanowisko / Position ]:[Stanowisko / Position ]],0)))</f>
        <v>-1</v>
      </c>
      <c r="AO26" s="315">
        <f>IF(INDEX(tab_MinKomp[CP],MATCH($B25,tab_MinKomp[[Stanowisko / Position ]:[Stanowisko / Position ]],0))="n/a","n/a",AO25-INDEX(tab_MinKomp[CP],MATCH($B25,tab_MinKomp[[Stanowisko / Position ]:[Stanowisko / Position ]],0)))</f>
        <v>0</v>
      </c>
      <c r="AP26" s="315">
        <f>IF(INDEX(tab_MinKomp[FMEA],MATCH($B25,tab_MinKomp[[Stanowisko / Position ]:[Stanowisko / Position ]],0))="n/a","n/a",AP25-INDEX(tab_MinKomp[FMEA],MATCH($B25,tab_MinKomp[[Stanowisko / Position ]:[Stanowisko / Position ]],0)))</f>
        <v>-1</v>
      </c>
      <c r="AQ26" s="315">
        <f>IF(INDEX(tab_MinKomp[FLOW CHART],MATCH($B25,tab_MinKomp[[Stanowisko / Position ]:[Stanowisko / Position ]],0))="n/a","n/a",AQ25-INDEX(tab_MinKomp[FLOW CHART],MATCH($B25,tab_MinKomp[[Stanowisko / Position ]:[Stanowisko / Position ]],0)))</f>
        <v>-1</v>
      </c>
      <c r="AR26" s="315">
        <f>IF(INDEX(tab_MinKomp[APQP],MATCH($B25,tab_MinKomp[[Stanowisko / Position ]:[Stanowisko / Position ]],0))="n/a","n/a",AR25-INDEX(tab_MinKomp[APQP],MATCH($B25,tab_MinKomp[[Stanowisko / Position ]:[Stanowisko / Position ]],0)))</f>
        <v>-1</v>
      </c>
      <c r="AS26" s="315">
        <f>IF(INDEX(tab_MinKomp[MSA],MATCH($B25,tab_MinKomp[[Stanowisko / Position ]:[Stanowisko / Position ]],0))="n/a","n/a",AS25-INDEX(tab_MinKomp[MSA],MATCH($B25,tab_MinKomp[[Stanowisko / Position ]:[Stanowisko / Position ]],0)))</f>
        <v>-2</v>
      </c>
      <c r="AT26" s="315">
        <f>IF(INDEX(tab_MinKomp[SPC],MATCH($B25,tab_MinKomp[[Stanowisko / Position ]:[Stanowisko / Position ]],0))="n/a","n/a",AT25-INDEX(tab_MinKomp[SPC],MATCH($B25,tab_MinKomp[[Stanowisko / Position ]:[Stanowisko / Position ]],0)))</f>
        <v>-2</v>
      </c>
      <c r="AU26" s="315">
        <f>IF(INDEX(tab_MinKomp[CSR (SPECYFICZNE WYMAGANIA KLIENTA)],MATCH($B25,tab_MinKomp[[Stanowisko / Position ]:[Stanowisko / Position ]],0))="n/a","n/a",AU25-INDEX(tab_MinKomp[CSR (SPECYFICZNE WYMAGANIA KLIENTA)],MATCH($B25,tab_MinKomp[[Stanowisko / Position ]:[Stanowisko / Position ]],0)))</f>
        <v>-2</v>
      </c>
      <c r="AV26" s="315">
        <f>IF(INDEX(tab_MinKomp[5S],MATCH($B25,tab_MinKomp[[Stanowisko / Position ]:[Stanowisko / Position ]],0))="n/a","n/a",AV25-INDEX(tab_MinKomp[5S],MATCH($B25,tab_MinKomp[[Stanowisko / Position ]:[Stanowisko / Position ]],0)))</f>
        <v>-2</v>
      </c>
      <c r="AW26" s="315">
        <f>IF(INDEX(tab_MinKomp[LEAN MANAGEMENT],MATCH($B25,tab_MinKomp[[Stanowisko / Position ]:[Stanowisko / Position ]],0))="n/a","n/a",AW25-INDEX(tab_MinKomp[LEAN MANAGEMENT],MATCH($B25,tab_MinKomp[[Stanowisko / Position ]:[Stanowisko / Position ]],0)))</f>
        <v>-1</v>
      </c>
      <c r="AX26" s="315">
        <f>IF(INDEX(tab_MinKomp[5R],MATCH($B25,tab_MinKomp[[Stanowisko / Position ]:[Stanowisko / Position ]],0))="n/a","n/a",AX25-INDEX(tab_MinKomp[5R],MATCH($B25,tab_MinKomp[[Stanowisko / Position ]:[Stanowisko / Position ]],0)))</f>
        <v>-1</v>
      </c>
      <c r="AY26" s="315">
        <f>IF(INDEX(tab_MinKomp[Six Sigma],MATCH($B25,tab_MinKomp[[Stanowisko / Position ]:[Stanowisko / Position ]],0))="n/a","n/a",AY25-INDEX(tab_MinKomp[Six Sigma],MATCH($B25,tab_MinKomp[[Stanowisko / Position ]:[Stanowisko / Position ]],0)))</f>
        <v>0</v>
      </c>
      <c r="AZ26" s="315">
        <f>IF(INDEX(tab_MinKomp[System BAAN / Distribution &amp; Supply Chain],MATCH($B25,tab_MinKomp[[Stanowisko / Position ]:[Stanowisko / Position ]],0))="n/a","n/a",AZ25-INDEX(tab_MinKomp[System BAAN / Distribution &amp; Supply Chain],MATCH($B25,tab_MinKomp[[Stanowisko / Position ]:[Stanowisko / Position ]],0)))</f>
        <v>0</v>
      </c>
      <c r="BA26" s="315">
        <f>IF(INDEX(tab_MinKomp[Gospodarka magazynowa / Lagerverwaltung],MATCH($B25,tab_MinKomp[[Stanowisko / Position ]:[Stanowisko / Position ]],0))="n/a","n/a",BA25-INDEX(tab_MinKomp[Gospodarka magazynowa / Lagerverwaltung],MATCH($B25,tab_MinKomp[[Stanowisko / Position ]:[Stanowisko / Position ]],0)))</f>
        <v>0</v>
      </c>
      <c r="BB26" s="315">
        <f>IF(INDEX(tab_MinKomp[Inwentaryzacja - organizacja i przebieg / Inventurprozess],MATCH($B25,tab_MinKomp[[Stanowisko / Position ]:[Stanowisko / Position ]],0))="n/a","n/a",BB25-INDEX(tab_MinKomp[Inwentaryzacja - organizacja i przebieg / Inventurprozess],MATCH($B25,tab_MinKomp[[Stanowisko / Position ]:[Stanowisko / Position ]],0)))</f>
        <v>0</v>
      </c>
      <c r="BC26" s="315">
        <f>IF(INDEX(tab_MinKomp[Organizacja dostaw / Versorgungsorganisation],MATCH($B25,tab_MinKomp[[Stanowisko / Position ]:[Stanowisko / Position ]],0))="n/a","n/a",BC25-INDEX(tab_MinKomp[Organizacja dostaw / Versorgungsorganisation],MATCH($B25,tab_MinKomp[[Stanowisko / Position ]:[Stanowisko / Position ]],0)))</f>
        <v>0</v>
      </c>
      <c r="BD26" s="315">
        <f>IF(INDEX(tab_MinKomp[Organizacja wysyłek / Organisation von Lieferungen],MATCH($B25,tab_MinKomp[[Stanowisko / Position ]:[Stanowisko / Position ]],0))="n/a","n/a",BD25-INDEX(tab_MinKomp[Organizacja wysyłek / Organisation von Lieferungen],MATCH($B25,tab_MinKomp[[Stanowisko / Position ]:[Stanowisko / Position ]],0)))</f>
        <v>0</v>
      </c>
      <c r="BE26" s="315">
        <f>IF(INDEX(tab_MinKomp[Analiza magazynowa - Program Polen.mdb / Inventuranalyse],MATCH($B25,tab_MinKomp[[Stanowisko / Position ]:[Stanowisko / Position ]],0))="n/a","n/a",BE25-INDEX(tab_MinKomp[Analiza magazynowa - Program Polen.mdb / Inventuranalyse],MATCH($B25,tab_MinKomp[[Stanowisko / Position ]:[Stanowisko / Position ]],0)))</f>
        <v>0</v>
      </c>
      <c r="BF26" s="315" t="str">
        <f>IF(INDEX(tab_MinKomp[MMOG (Materials Management Operations Guidelines)],MATCH($B25,tab_MinKomp[[Stanowisko / Position ]:[Stanowisko / Position ]],0))="n/a","n/a",BF25-INDEX(tab_MinKomp[MMOG (Materials Management Operations Guidelines)],MATCH($B25,tab_MinKomp[[Stanowisko / Position ]:[Stanowisko / Position ]],0)))</f>
        <v>n/a</v>
      </c>
      <c r="BG26" s="315" t="str">
        <f>IF(INDEX(tab_MinKomp[DETC],MATCH($B25,tab_MinKomp[[Stanowisko / Position ]:[Stanowisko / Position ]],0))="n/a","n/a",BG25-INDEX(tab_MinKomp[DETC],MATCH($B25,tab_MinKomp[[Stanowisko / Position ]:[Stanowisko / Position ]],0)))</f>
        <v>n/a</v>
      </c>
      <c r="BH26" s="315" t="str">
        <f>IF(INDEX(tab_MinKomp[GPP],MATCH($B25,tab_MinKomp[[Stanowisko / Position ]:[Stanowisko / Position ]],0))="n/a","n/a",BH25-INDEX(tab_MinKomp[GPP],MATCH($B25,tab_MinKomp[[Stanowisko / Position ]:[Stanowisko / Position ]],0)))</f>
        <v>n/a</v>
      </c>
      <c r="BI26" s="315" t="str">
        <f>IF(INDEX(tab_MinKomp[AIAG (Automotive Industry Action Group)],MATCH($B25,tab_MinKomp[[Stanowisko / Position ]:[Stanowisko / Position ]],0))="n/a","n/a",BI25-INDEX(tab_MinKomp[AIAG (Automotive Industry Action Group)],MATCH($B25,tab_MinKomp[[Stanowisko / Position ]:[Stanowisko / Position ]],0)))</f>
        <v>n/a</v>
      </c>
      <c r="BJ26" s="315" t="str">
        <f>IF(INDEX(tab_MinKomp[Super-G disputes],MATCH($B25,tab_MinKomp[[Stanowisko / Position ]:[Stanowisko / Position ]],0))="n/a","n/a",BJ25-INDEX(tab_MinKomp[Super-G disputes],MATCH($B25,tab_MinKomp[[Stanowisko / Position ]:[Stanowisko / Position ]],0)))</f>
        <v>n/a</v>
      </c>
      <c r="BK26" s="315" t="str">
        <f>IF(INDEX(tab_MinKomp[CMMS3/eDDL (Direct Data Link)],MATCH($B25,tab_MinKomp[[Stanowisko / Position ]:[Stanowisko / Position ]],0))="n/a","n/a",BK25-INDEX(tab_MinKomp[CMMS3/eDDL (Direct Data Link)],MATCH($B25,tab_MinKomp[[Stanowisko / Position ]:[Stanowisko / Position ]],0)))</f>
        <v>n/a</v>
      </c>
      <c r="BL26" s="315" t="str">
        <f>IF(INDEX(tab_MinKomp[MP&amp;L (Material Planning and Logistics)],MATCH($B25,tab_MinKomp[[Stanowisko / Position ]:[Stanowisko / Position ]],0))="n/a","n/a",BL25-INDEX(tab_MinKomp[MP&amp;L (Material Planning and Logistics)],MATCH($B25,tab_MinKomp[[Stanowisko / Position ]:[Stanowisko / Position ]],0)))</f>
        <v>n/a</v>
      </c>
      <c r="BM26" s="315" t="str">
        <f>IF(INDEX(tab_MinKomp[Planowanie produkcji / Produktionsplanung],MATCH($B25,tab_MinKomp[[Stanowisko / Position ]:[Stanowisko / Position ]],0))="n/a","n/a",BM25-INDEX(tab_MinKomp[Planowanie produkcji / Produktionsplanung],MATCH($B25,tab_MinKomp[[Stanowisko / Position ]:[Stanowisko / Position ]],0)))</f>
        <v>n/a</v>
      </c>
      <c r="BN26" s="315" t="str">
        <f>IF(INDEX(tab_MinKomp[Obsługa maszyn Engel / Engel Maschinenbedienung],MATCH($B25,tab_MinKomp[[Stanowisko / Position ]:[Stanowisko / Position ]],0))="n/a","n/a",BN25-INDEX(tab_MinKomp[Obsługa maszyn Engel / Engel Maschinenbedienung],MATCH($B25,tab_MinKomp[[Stanowisko / Position ]:[Stanowisko / Position ]],0)))</f>
        <v>n/a</v>
      </c>
      <c r="BO26" s="315" t="str">
        <f>IF(INDEX(tab_MinKomp[Obsługa maszyn Novapax / Novapax Maschinenbedienung],MATCH($B25,tab_MinKomp[[Stanowisko / Position ]:[Stanowisko / Position ]],0))="n/a","n/a",BO25-INDEX(tab_MinKomp[Obsługa maszyn Novapax / Novapax Maschinenbedienung],MATCH($B25,tab_MinKomp[[Stanowisko / Position ]:[Stanowisko / Position ]],0)))</f>
        <v>n/a</v>
      </c>
      <c r="BP26" s="315" t="str">
        <f>IF(INDEX(tab_MinKomp[Obsługa maszyn KVT / KVT Maschinenbedienung],MATCH($B25,tab_MinKomp[[Stanowisko / Position ]:[Stanowisko / Position ]],0))="n/a","n/a",BP25-INDEX(tab_MinKomp[Obsługa maszyn KVT / KVT Maschinenbedienung],MATCH($B25,tab_MinKomp[[Stanowisko / Position ]:[Stanowisko / Position ]],0)))</f>
        <v>n/a</v>
      </c>
      <c r="BQ26" s="315" t="str">
        <f>IF(INDEX(tab_MinKomp[Obsługa maszyn ASL / ASL Maschinenbedienung],MATCH($B25,tab_MinKomp[[Stanowisko / Position ]:[Stanowisko / Position ]],0))="n/a","n/a",BQ25-INDEX(tab_MinKomp[Obsługa maszyn ASL / ASL Maschinenbedienung],MATCH($B25,tab_MinKomp[[Stanowisko / Position ]:[Stanowisko / Position ]],0)))</f>
        <v>n/a</v>
      </c>
      <c r="BR26" s="315" t="str">
        <f>IF(INDEX(tab_MinKomp[Obsługa maszyn Branson / Branson Maschinenbedienung],MATCH($B25,tab_MinKomp[[Stanowisko / Position ]:[Stanowisko / Position ]],0))="n/a","n/a",BR25-INDEX(tab_MinKomp[Obsługa maszyn Branson / Branson Maschinenbedienung],MATCH($B25,tab_MinKomp[[Stanowisko / Position ]:[Stanowisko / Position ]],0)))</f>
        <v>n/a</v>
      </c>
      <c r="BS26" s="315" t="str">
        <f>IF(INDEX(tab_MinKomp[Obsługa maszyn Kamtec / Kamtec Maschinenbedienung],MATCH($B25,tab_MinKomp[[Stanowisko / Position ]:[Stanowisko / Position ]],0))="n/a","n/a",BS25-INDEX(tab_MinKomp[Obsługa maszyn Kamtec / Kamtec Maschinenbedienung],MATCH($B25,tab_MinKomp[[Stanowisko / Position ]:[Stanowisko / Position ]],0)))</f>
        <v>n/a</v>
      </c>
      <c r="BT26" s="315" t="str">
        <f>IF(INDEX(tab_MinKomp[Obsługa maszyn Piovan / Piovan Maschinenbedienung],MATCH($B25,tab_MinKomp[[Stanowisko / Position ]:[Stanowisko / Position ]],0))="n/a","n/a",BT25-INDEX(tab_MinKomp[Obsługa maszyn Piovan / Piovan Maschinenbedienung],MATCH($B25,tab_MinKomp[[Stanowisko / Position ]:[Stanowisko / Position ]],0)))</f>
        <v>n/a</v>
      </c>
      <c r="BU26" s="315" t="str">
        <f>IF(INDEX(tab_MinKomp[Obsługa maszyn REP / REP Maschinenbedienung],MATCH($B25,tab_MinKomp[[Stanowisko / Position ]:[Stanowisko / Position ]],0))="n/a","n/a",BU25-INDEX(tab_MinKomp[Obsługa maszyn REP / REP Maschinenbedienung],MATCH($B25,tab_MinKomp[[Stanowisko / Position ]:[Stanowisko / Position ]],0)))</f>
        <v>n/a</v>
      </c>
      <c r="BV26" s="315" t="str">
        <f>IF(INDEX(tab_MinKomp[Eliminacja awarii / Beseitigung von Ausfällen],MATCH($B25,tab_MinKomp[[Stanowisko / Position ]:[Stanowisko / Position ]],0))="n/a","n/a",BV25-INDEX(tab_MinKomp[Eliminacja awarii / Beseitigung von Ausfällen],MATCH($B25,tab_MinKomp[[Stanowisko / Position ]:[Stanowisko / Position ]],0)))</f>
        <v>n/a</v>
      </c>
      <c r="BW26" s="315" t="str">
        <f>IF(INDEX(tab_MinKomp[Informatyka ogólna (techniczne i systemowe) / Allgemeine IT (Technik und System)],MATCH($B25,tab_MinKomp[[Stanowisko / Position ]:[Stanowisko / Position ]],0))="n/a","n/a",BW25-INDEX(tab_MinKomp[Informatyka ogólna (techniczne i systemowe) / Allgemeine IT (Technik und System)],MATCH($B25,tab_MinKomp[[Stanowisko / Position ]:[Stanowisko / Position ]],0)))</f>
        <v>n/a</v>
      </c>
      <c r="BX26" s="315" t="str">
        <f>IF(INDEX(tab_MinKomp[Sieci komputerowe / Computernetzwerke],MATCH($B25,tab_MinKomp[[Stanowisko / Position ]:[Stanowisko / Position ]],0))="n/a","n/a",BX25-INDEX(tab_MinKomp[Sieci komputerowe / Computernetzwerke],MATCH($B25,tab_MinKomp[[Stanowisko / Position ]:[Stanowisko / Position ]],0)))</f>
        <v>n/a</v>
      </c>
      <c r="BY26" s="315" t="str">
        <f>IF(INDEX(tab_MinKomp[Hardware (komputery PC, drukarki biurowe i etykietowe, telefonia stacjonarna i mobilna) (PC, Drucker, Telefpne, Handys)],MATCH($B25,tab_MinKomp[[Stanowisko / Position ]:[Stanowisko / Position ]],0))="n/a","n/a",BY25-INDEX(tab_MinKomp[Hardware (komputery PC, drukarki biurowe i etykietowe, telefonia stacjonarna i mobilna) (PC, Drucker, Telefpne, Handys)],MATCH($B25,tab_MinKomp[[Stanowisko / Position ]:[Stanowisko / Position ]],0)))</f>
        <v>n/a</v>
      </c>
      <c r="BZ26" s="315" t="str">
        <f>IF(INDEX(tab_MinKomp[Software &amp; Systems (MS Office, MS Remote Desktop)],MATCH($B25,tab_MinKomp[[Stanowisko / Position ]:[Stanowisko / Position ]],0))="n/a","n/a",BZ25-INDEX(tab_MinKomp[Software &amp; Systems (MS Office, MS Remote Desktop)],MATCH($B25,tab_MinKomp[[Stanowisko / Position ]:[Stanowisko / Position ]],0)))</f>
        <v>n/a</v>
      </c>
      <c r="CA26" s="315" t="str">
        <f>IF(INDEX(tab_MinKomp[Programowanie obiektowe (PHP) / Objektprogrammierung],MATCH($B25,tab_MinKomp[[Stanowisko / Position ]:[Stanowisko / Position ]],0))="n/a","n/a",CA25-INDEX(tab_MinKomp[Programowanie obiektowe (PHP) / Objektprogrammierung],MATCH($B25,tab_MinKomp[[Stanowisko / Position ]:[Stanowisko / Position ]],0)))</f>
        <v>n/a</v>
      </c>
      <c r="CB26" s="315" t="str">
        <f>IF(INDEX(tab_MinKomp[Scrum],MATCH($B25,tab_MinKomp[[Stanowisko / Position ]:[Stanowisko / Position ]],0))="n/a","n/a",CB25-INDEX(tab_MinKomp[Scrum],MATCH($B25,tab_MinKomp[[Stanowisko / Position ]:[Stanowisko / Position ]],0)))</f>
        <v>n/a</v>
      </c>
      <c r="CC26" s="315" t="str">
        <f>IF(INDEX(tab_MinKomp[SQL (MySQL)],MATCH($B25,tab_MinKomp[[Stanowisko / Position ]:[Stanowisko / Position ]],0))="n/a","n/a",CC25-INDEX(tab_MinKomp[SQL (MySQL)],MATCH($B25,tab_MinKomp[[Stanowisko / Position ]:[Stanowisko / Position ]],0)))</f>
        <v>n/a</v>
      </c>
      <c r="CD26" s="315" t="str">
        <f>IF(INDEX(tab_MinKomp[Javascript],MATCH($B25,tab_MinKomp[[Stanowisko / Position ]:[Stanowisko / Position ]],0))="n/a","n/a",CD25-INDEX(tab_MinKomp[Javascript],MATCH($B25,tab_MinKomp[[Stanowisko / Position ]:[Stanowisko / Position ]],0)))</f>
        <v>n/a</v>
      </c>
      <c r="CE26" s="315" t="str">
        <f>IF(INDEX(tab_MinKomp[Joomla],MATCH($B25,tab_MinKomp[[Stanowisko / Position ]:[Stanowisko / Position ]],0))="n/a","n/a",CE25-INDEX(tab_MinKomp[Joomla],MATCH($B25,tab_MinKomp[[Stanowisko / Position ]:[Stanowisko / Position ]],0)))</f>
        <v>n/a</v>
      </c>
      <c r="CF26" s="315" t="str">
        <f>IF(INDEX(tab_MinKomp[Bash],MATCH($B25,tab_MinKomp[[Stanowisko / Position ]:[Stanowisko / Position ]],0))="n/a","n/a",CF25-INDEX(tab_MinKomp[Bash],MATCH($B25,tab_MinKomp[[Stanowisko / Position ]:[Stanowisko / Position ]],0)))</f>
        <v>n/a</v>
      </c>
      <c r="CG26" s="315" t="str">
        <f>IF(INDEX(tab_MinKomp[Systemy MES (HYDRA / SFMS)],MATCH($B25,tab_MinKomp[[Stanowisko / Position ]:[Stanowisko / Position ]],0))="n/a","n/a",CG25-INDEX(tab_MinKomp[Systemy MES (HYDRA / SFMS)],MATCH($B25,tab_MinKomp[[Stanowisko / Position ]:[Stanowisko / Position ]],0)))</f>
        <v>n/a</v>
      </c>
      <c r="CH26" s="315" t="str">
        <f>IF(INDEX(tab_MinKomp[HTML / CSS],MATCH($B25,tab_MinKomp[[Stanowisko / Position ]:[Stanowisko / Position ]],0))="n/a","n/a",CH25-INDEX(tab_MinKomp[HTML / CSS],MATCH($B25,tab_MinKomp[[Stanowisko / Position ]:[Stanowisko / Position ]],0)))</f>
        <v>n/a</v>
      </c>
      <c r="CI26" s="315">
        <f>IF(INDEX(tab_MinKomp[SYSTEM PR],MATCH($B25,tab_MinKomp[[Stanowisko / Position ]:[Stanowisko / Position ]],0))="n/a","n/a",CI25-INDEX(tab_MinKomp[SYSTEM PR],MATCH($B25,tab_MinKomp[[Stanowisko / Position ]:[Stanowisko / Position ]],0)))</f>
        <v>-1</v>
      </c>
      <c r="CJ26" s="315">
        <f>IF(INDEX(tab_MinKomp[System Einkauf XP / EBA],MATCH($B25,tab_MinKomp[[Stanowisko / Position ]:[Stanowisko / Position ]],0))="n/a","n/a",CJ25-INDEX(tab_MinKomp[System Einkauf XP / EBA],MATCH($B25,tab_MinKomp[[Stanowisko / Position ]:[Stanowisko / Position ]],0)))</f>
        <v>-1</v>
      </c>
      <c r="CK26" s="315" t="str">
        <f>IF(INDEX(tab_MinKomp[Techniki negocjacyjne / Verhandlungstechniken],MATCH($B25,tab_MinKomp[[Stanowisko / Position ]:[Stanowisko / Position ]],0))="n/a","n/a",CK25-INDEX(tab_MinKomp[Techniki negocjacyjne / Verhandlungstechniken],MATCH($B25,tab_MinKomp[[Stanowisko / Position ]:[Stanowisko / Position ]],0)))</f>
        <v>n/a</v>
      </c>
      <c r="CL26" s="315" t="str">
        <f>IF(INDEX(tab_MinKomp[Znajomość rynku branżowego / Kenntnis des Industrie Marktes],MATCH($B25,tab_MinKomp[[Stanowisko / Position ]:[Stanowisko / Position ]],0))="n/a","n/a",CL25-INDEX(tab_MinKomp[Znajomość rynku branżowego / Kenntnis des Industrie Marktes],MATCH($B25,tab_MinKomp[[Stanowisko / Position ]:[Stanowisko / Position ]],0)))</f>
        <v>n/a</v>
      </c>
      <c r="CM26" s="315">
        <f>IF(INDEX(tab_MinKomp[RAPORTY 8D / 8D Berichten],MATCH($B25,tab_MinKomp[[Stanowisko / Position ]:[Stanowisko / Position ]],0))="n/a","n/a",CM25-INDEX(tab_MinKomp[RAPORTY 8D / 8D Berichten],MATCH($B25,tab_MinKomp[[Stanowisko / Position ]:[Stanowisko / Position ]],0)))</f>
        <v>-1</v>
      </c>
      <c r="CN26" s="315">
        <f>IF(INDEX(tab_MinKomp[NARZĘDZIA JAKOŚCIOWE (5WHY, Ishikawa, etc) / QS-Werkzeuge],MATCH($B25,tab_MinKomp[[Stanowisko / Position ]:[Stanowisko / Position ]],0))="n/a","n/a",CN25-INDEX(tab_MinKomp[NARZĘDZIA JAKOŚCIOWE (5WHY, Ishikawa, etc) / QS-Werkzeuge],MATCH($B25,tab_MinKomp[[Stanowisko / Position ]:[Stanowisko / Position ]],0)))</f>
        <v>-1</v>
      </c>
      <c r="CO26" s="315">
        <f>IF(INDEX(tab_MinKomp[PDCA],MATCH($B25,tab_MinKomp[[Stanowisko / Position ]:[Stanowisko / Position ]],0))="n/a","n/a",CO25-INDEX(tab_MinKomp[PDCA],MATCH($B25,tab_MinKomp[[Stanowisko / Position ]:[Stanowisko / Position ]],0)))</f>
        <v>-1</v>
      </c>
      <c r="CP26" s="315">
        <f>IF(INDEX(tab_MinKomp[Pareto],MATCH($B25,tab_MinKomp[[Stanowisko / Position ]:[Stanowisko / Position ]],0))="n/a","n/a",CP25-INDEX(tab_MinKomp[Pareto],MATCH($B25,tab_MinKomp[[Stanowisko / Position ]:[Stanowisko / Position ]],0)))</f>
        <v>-1</v>
      </c>
      <c r="CQ26" s="315">
        <f>IF(INDEX(tab_MinKomp[PPAP/PSW],MATCH($B25,tab_MinKomp[[Stanowisko / Position ]:[Stanowisko / Position ]],0))="n/a","n/a",CQ25-INDEX(tab_MinKomp[PPAP/PSW],MATCH($B25,tab_MinKomp[[Stanowisko / Position ]:[Stanowisko / Position ]],0)))</f>
        <v>-1</v>
      </c>
      <c r="CR26" s="315">
        <f>IF(INDEX(tab_MinKomp[SUPPLIER MANAGEMENT],MATCH($B25,tab_MinKomp[[Stanowisko / Position ]:[Stanowisko / Position ]],0))="n/a","n/a",CR25-INDEX(tab_MinKomp[SUPPLIER MANAGEMENT],MATCH($B25,tab_MinKomp[[Stanowisko / Position ]:[Stanowisko / Position ]],0)))</f>
        <v>0</v>
      </c>
      <c r="CS26" s="315">
        <f>IF(INDEX(tab_MinKomp[OBSŁUGA PORTALI KLIENTA / Kundenportale],MATCH($B25,tab_MinKomp[[Stanowisko / Position ]:[Stanowisko / Position ]],0))="n/a","n/a",CS25-INDEX(tab_MinKomp[OBSŁUGA PORTALI KLIENTA / Kundenportale],MATCH($B25,tab_MinKomp[[Stanowisko / Position ]:[Stanowisko / Position ]],0)))</f>
        <v>0</v>
      </c>
      <c r="CT26" s="315">
        <f>IF(INDEX(tab_MinKomp[Obsługa systemu BABTECQ / BABTECQ System],MATCH($B25,tab_MinKomp[[Stanowisko / Position ]:[Stanowisko / Position ]],0))="n/a","n/a",CT25-INDEX(tab_MinKomp[Obsługa systemu BABTECQ / BABTECQ System],MATCH($B25,tab_MinKomp[[Stanowisko / Position ]:[Stanowisko / Position ]],0)))</f>
        <v>0</v>
      </c>
      <c r="CU26" s="315">
        <f>IF(INDEX(tab_MinKomp[Rysunek techniczny / technische Zeichnung],MATCH($B25,tab_MinKomp[[Stanowisko / Position ]:[Stanowisko / Position ]],0))="n/a","n/a",CU25-INDEX(tab_MinKomp[Rysunek techniczny / technische Zeichnung],MATCH($B25,tab_MinKomp[[Stanowisko / Position ]:[Stanowisko / Position ]],0)))</f>
        <v>0</v>
      </c>
      <c r="CV26" s="315">
        <f>IF(INDEX(tab_MinKomp[Kalibracja / Kalibrierung],MATCH($B25,tab_MinKomp[[Stanowisko / Position ]:[Stanowisko / Position ]],0))="n/a","n/a",CV25-INDEX(tab_MinKomp[Kalibracja / Kalibrierung],MATCH($B25,tab_MinKomp[[Stanowisko / Position ]:[Stanowisko / Position ]],0)))</f>
        <v>0</v>
      </c>
      <c r="CW26" s="315">
        <f>IF(INDEX(tab_MinKomp[Rekwalifikacja / Requalifizierung],MATCH($B25,tab_MinKomp[[Stanowisko / Position ]:[Stanowisko / Position ]],0))="n/a","n/a",CW25-INDEX(tab_MinKomp[Rekwalifikacja / Requalifizierung],MATCH($B25,tab_MinKomp[[Stanowisko / Position ]:[Stanowisko / Position ]],0)))</f>
        <v>0</v>
      </c>
      <c r="CX26" s="315">
        <f>IF(INDEX(tab_MinKomp[Obsługa mikroskopu optycznego / Bedienung eines optischen Mikroskops],MATCH($B25,tab_MinKomp[[Stanowisko / Position ]:[Stanowisko / Position ]],0))="n/a","n/a",CX25-INDEX(tab_MinKomp[Obsługa mikroskopu optycznego / Bedienung eines optischen Mikroskops],MATCH($B25,tab_MinKomp[[Stanowisko / Position ]:[Stanowisko / Position ]],0)))</f>
        <v>0</v>
      </c>
      <c r="CY26" s="315">
        <f>IF(INDEX(tab_MinKomp[Wykonywanie pomiarów optycznych - ocena wizualna / Optische Messungen durchführen – visuelle Beurteilung],MATCH($B25,tab_MinKomp[[Stanowisko / Position ]:[Stanowisko / Position ]],0))="n/a","n/a",CY25-INDEX(tab_MinKomp[Wykonywanie pomiarów optycznych - ocena wizualna / Optische Messungen durchführen – visuelle Beurteilung],MATCH($B25,tab_MinKomp[[Stanowisko / Position ]:[Stanowisko / Position ]],0)))</f>
        <v>0</v>
      </c>
      <c r="CZ26" s="315">
        <f>IF(INDEX(tab_MinKomp[Obsługa Rheometra / Rheometra-Unterstützung],MATCH($B25,tab_MinKomp[[Stanowisko / Position ]:[Stanowisko / Position ]],0))="n/a","n/a",CZ25-INDEX(tab_MinKomp[Obsługa Rheometra / Rheometra-Unterstützung],MATCH($B25,tab_MinKomp[[Stanowisko / Position ]:[Stanowisko / Position ]],0)))</f>
        <v>0</v>
      </c>
      <c r="DA26" s="315">
        <f>IF(INDEX(tab_MinKomp[Testy właściwości Rheometra mieszanki gumy],MATCH($B25,tab_MinKomp[[Stanowisko / Position ]:[Stanowisko / Position ]],0))="n/a","n/a",DA25-INDEX(tab_MinKomp[Testy właściwości Rheometra mieszanki gumy],MATCH($B25,tab_MinKomp[[Stanowisko / Position ]:[Stanowisko / Position ]],0)))</f>
        <v>0</v>
      </c>
      <c r="DB26" s="315">
        <f>IF(INDEX(tab_MinKomp[CMM - Contura Zeiss],MATCH($B25,tab_MinKomp[[Stanowisko / Position ]:[Stanowisko / Position ]],0))="n/a","n/a",DB25-INDEX(tab_MinKomp[CMM - Contura Zeiss],MATCH($B25,tab_MinKomp[[Stanowisko / Position ]:[Stanowisko / Position ]],0)))</f>
        <v>0</v>
      </c>
      <c r="DC26" s="315">
        <f>IF(INDEX(tab_MinKomp[Wykonywanie precyzyjnych pomiarów metrycznych, pomiary 3D],MATCH($B25,tab_MinKomp[[Stanowisko / Position ]:[Stanowisko / Position ]],0))="n/a","n/a",DC25-INDEX(tab_MinKomp[Wykonywanie precyzyjnych pomiarów metrycznych, pomiary 3D],MATCH($B25,tab_MinKomp[[Stanowisko / Position ]:[Stanowisko / Position ]],0)))</f>
        <v>0</v>
      </c>
      <c r="DD26" s="315">
        <f>IF(INDEX(tab_MinKomp[Pisanie programów / Programme schreiben],MATCH($B25,tab_MinKomp[[Stanowisko / Position ]:[Stanowisko / Position ]],0))="n/a","n/a",DD25-INDEX(tab_MinKomp[Pisanie programów / Programme schreiben],MATCH($B25,tab_MinKomp[[Stanowisko / Position ]:[Stanowisko / Position ]],0)))</f>
        <v>0</v>
      </c>
      <c r="DE26" s="315">
        <f>IF(INDEX(tab_MinKomp[Obsługa wyposażenia do testów czystości (myjka + analizator) / Betrieb von Sauberkeitsprüfgeräten (Waschmaschine + Analysegerät)],MATCH($B25,tab_MinKomp[[Stanowisko / Position ]:[Stanowisko / Position ]],0))="n/a","n/a",DE25-INDEX(tab_MinKomp[Obsługa wyposażenia do testów czystości (myjka + analizator) / Betrieb von Sauberkeitsprüfgeräten (Waschmaschine + Analysegerät)],MATCH($B25,tab_MinKomp[[Stanowisko / Position ]:[Stanowisko / Position ]],0)))</f>
        <v>0</v>
      </c>
      <c r="DF26" s="315">
        <f>IF(INDEX(tab_MinKomp[Testy czystości / Reinheitstests],MATCH($B25,tab_MinKomp[[Stanowisko / Position ]:[Stanowisko / Position ]],0))="n/a","n/a",DF25-INDEX(tab_MinKomp[Testy czystości / Reinheitstests],MATCH($B25,tab_MinKomp[[Stanowisko / Position ]:[Stanowisko / Position ]],0)))</f>
        <v>0</v>
      </c>
      <c r="DG26" s="315">
        <f>IF(INDEX(tab_MinKomp[Obsługa wysokościomierza / Unterstützung für Höhenmesser],MATCH($B25,tab_MinKomp[[Stanowisko / Position ]:[Stanowisko / Position ]],0))="n/a","n/a",DG25-INDEX(tab_MinKomp[Obsługa wysokościomierza / Unterstützung für Höhenmesser],MATCH($B25,tab_MinKomp[[Stanowisko / Position ]:[Stanowisko / Position ]],0)))</f>
        <v>0</v>
      </c>
      <c r="DH26" s="315">
        <f>IF(INDEX(tab_MinKomp[Pomiary wysokości materiału / Materialhöhenmessungen],MATCH($B25,tab_MinKomp[[Stanowisko / Position ]:[Stanowisko / Position ]],0))="n/a","n/a",DH25-INDEX(tab_MinKomp[Pomiary wysokości materiału / Materialhöhenmessungen],MATCH($B25,tab_MinKomp[[Stanowisko / Position ]:[Stanowisko / Position ]],0)))</f>
        <v>0</v>
      </c>
      <c r="DI26" s="315">
        <f>IF(INDEX(tab_MinKomp[Obsługa okrągłościomierza / Unterstützung für Rundheitsmessgeräte],MATCH($B25,tab_MinKomp[[Stanowisko / Position ]:[Stanowisko / Position ]],0))="n/a","n/a",DI25-INDEX(tab_MinKomp[Obsługa okrągłościomierza / Unterstützung für Rundheitsmessgeräte],MATCH($B25,tab_MinKomp[[Stanowisko / Position ]:[Stanowisko / Position ]],0)))</f>
        <v>0</v>
      </c>
      <c r="DJ26" s="315">
        <f>IF(INDEX(tab_MinKomp[Wykonywania pomiarów owalności, srednicy materiału / Messung der Ovalität und des Durchmessers des Materials],MATCH($B25,tab_MinKomp[[Stanowisko / Position ]:[Stanowisko / Position ]],0))="n/a","n/a",DJ25-INDEX(tab_MinKomp[Wykonywania pomiarów owalności, srednicy materiału / Messung der Ovalität und des Durchmessers des Materials],MATCH($B25,tab_MinKomp[[Stanowisko / Position ]:[Stanowisko / Position ]],0)))</f>
        <v>0</v>
      </c>
      <c r="DK26" s="315">
        <f>IF(INDEX(tab_MinKomp[Obsługa urządzenia do pomiarów chropowoatości powierzchni materiału],MATCH($B25,tab_MinKomp[[Stanowisko / Position ]:[Stanowisko / Position ]],0))="n/a","n/a",DK25-INDEX(tab_MinKomp[Obsługa urządzenia do pomiarów chropowoatości powierzchni materiału],MATCH($B25,tab_MinKomp[[Stanowisko / Position ]:[Stanowisko / Position ]],0)))</f>
        <v>0</v>
      </c>
      <c r="DL26" s="315">
        <f>IF(INDEX(tab_MinKomp[Wykonywanie pomiarów chropowatości powierzchni materiału / Durchführung von Messungen der Materialoberflächenrauheit],MATCH($B25,tab_MinKomp[[Stanowisko / Position ]:[Stanowisko / Position ]],0))="n/a","n/a",DL25-INDEX(tab_MinKomp[Wykonywanie pomiarów chropowatości powierzchni materiału / Durchführung von Messungen der Materialoberflächenrauheit],MATCH($B25,tab_MinKomp[[Stanowisko / Position ]:[Stanowisko / Position ]],0)))</f>
        <v>0</v>
      </c>
      <c r="DM26" s="315">
        <f>IF(INDEX(tab_MinKomp[Obsługa urządzenia do pomiaru siły radialnej części - postępowanie z trzpieniami. / Funktionsweise des Geräts zur Messung der Radialkraft von Teilen – Handhabungsstifte.],MATCH($B25,tab_MinKomp[[Stanowisko / Position ]:[Stanowisko / Position ]],0))="n/a","n/a",DM25-INDEX(tab_MinKomp[Obsługa urządzenia do pomiaru siły radialnej części - postępowanie z trzpieniami. / Funktionsweise des Geräts zur Messung der Radialkraft von Teilen – Handhabungsstifte.],MATCH($B25,tab_MinKomp[[Stanowisko / Position ]:[Stanowisko / Position ]],0)))</f>
        <v>0</v>
      </c>
      <c r="DN26" s="315">
        <f>IF(INDEX(tab_MinKomp[Wykonywanie pomiarów siły radialnej części / Führen Sie Radialkraftmessungen an Teilen durch],MATCH($B25,tab_MinKomp[[Stanowisko / Position ]:[Stanowisko / Position ]],0))="n/a","n/a",DN25-INDEX(tab_MinKomp[Wykonywanie pomiarów siły radialnej części / Führen Sie Radialkraftmessungen an Teilen durch],MATCH($B25,tab_MinKomp[[Stanowisko / Position ]:[Stanowisko / Position ]],0)))</f>
        <v>0</v>
      </c>
      <c r="DO26" s="315">
        <f>IF(INDEX(tab_MinKomp[Obsługa komory do testów wybuchwych / Betrieb einer Explosionsprüfkammer],MATCH($B25,tab_MinKomp[[Stanowisko / Position ]:[Stanowisko / Position ]],0))="n/a","n/a",DO25-INDEX(tab_MinKomp[Obsługa komory do testów wybuchwych / Betrieb einer Explosionsprüfkammer],MATCH($B25,tab_MinKomp[[Stanowisko / Position ]:[Stanowisko / Position ]],0)))</f>
        <v>0</v>
      </c>
      <c r="DP26" s="315">
        <f>IF(INDEX(tab_MinKomp[Wykonywanie testów wybuchowych części / Durchführung von Explosionstests an Teilen],MATCH($B25,tab_MinKomp[[Stanowisko / Position ]:[Stanowisko / Position ]],0))="n/a","n/a",DP25-INDEX(tab_MinKomp[Wykonywanie testów wybuchowych części / Durchführung von Explosionstests an Teilen],MATCH($B25,tab_MinKomp[[Stanowisko / Position ]:[Stanowisko / Position ]],0)))</f>
        <v>0</v>
      </c>
      <c r="DQ26" s="315">
        <f>IF(INDEX(tab_MinKomp[Obsługa urządzeń do mierzenia siły trzymania i/lub rozciągania / Betrieb von Geräten zur Messung der Halte- und/oder Dehnkraft],MATCH($B25,tab_MinKomp[[Stanowisko / Position ]:[Stanowisko / Position ]],0))="n/a","n/a",DQ25-INDEX(tab_MinKomp[Obsługa urządzeń do mierzenia siły trzymania i/lub rozciągania / Betrieb von Geräten zur Messung der Halte- und/oder Dehnkraft],MATCH($B25,tab_MinKomp[[Stanowisko / Position ]:[Stanowisko / Position ]],0)))</f>
        <v>0</v>
      </c>
      <c r="DR26" s="315">
        <f>IF(INDEX(tab_MinKomp[Wykonywanie testów mierzenia siły trzymania i/lub rozciągania / Durchführung von Tests zur Messung der Halte- und/oder Streckkraft],MATCH($B25,tab_MinKomp[[Stanowisko / Position ]:[Stanowisko / Position ]],0))="n/a","n/a",DR25-INDEX(tab_MinKomp[Wykonywanie testów mierzenia siły trzymania i/lub rozciągania / Durchführung von Tests zur Messung der Halte- und/oder Streckkraft],MATCH($B25,tab_MinKomp[[Stanowisko / Position ]:[Stanowisko / Position ]],0)))</f>
        <v>0</v>
      </c>
      <c r="DS26" s="315">
        <f>IF(INDEX(tab_MinKomp[Obsługa multimetru do pomiarów środowiskowych (temperatura, wilgotność, hałas, oświetlenie, przepływ powietrza) / Betrieb eines Multimeters für Umweltmessungen (Temperatur, Luftfeuchtigkeit, Lärm, Beleuchtung, Luftstrom)],MATCH($B25,tab_MinKomp[[Stanowisko / Position ]:[Stanowisko / Position ]],0))="n/a","n/a",DS25-INDEX(tab_MinKomp[Obsługa multimetru do pomiarów środowiskowych (temperatura, wilgotność, hałas, oświetlenie, przepływ powietrza) / Betrieb eines Multimeters für Umweltmessungen (Temperatur, Luftfeuchtigkeit, Lärm, Beleuchtung, Luftstrom)],MATCH($B25,tab_MinKomp[[Stanowisko / Position ]:[Stanowisko / Position ]],0)))</f>
        <v>0</v>
      </c>
      <c r="DT26" s="315">
        <f>IF(INDEX(tab_MinKomp[Kontrola warunków środowiskowych pracy (temperatura, wilgotność, hałas, oświetlenie, przepływ powietrza) / Kontrolle der Arbeitsumgebungsbedingungen (Temperatur, Luftfeuchtigkeit, Lärm, Beleuchtung, Luftstrom)],MATCH($B25,tab_MinKomp[[Stanowisko / Position ]:[Stanowisko / Position ]],0))="n/a","n/a",DT25-INDEX(tab_MinKomp[Kontrola warunków środowiskowych pracy (temperatura, wilgotność, hałas, oświetlenie, przepływ powietrza) / Kontrolle der Arbeitsumgebungsbedingungen (Temperatur, Luftfeuchtigkeit, Lärm, Beleuchtung, Luftstrom)],MATCH($B25,tab_MinKomp[[Stanowisko / Position ]:[Stanowisko / Position ]],0)))</f>
        <v>0</v>
      </c>
      <c r="DU26" s="315">
        <f>IF(INDEX(tab_MinKomp[MSA i SPC],MATCH($B25,tab_MinKomp[[Stanowisko / Position ]:[Stanowisko / Position ]],0))="n/a","n/a",DU25-INDEX(tab_MinKomp[MSA i SPC],MATCH($B25,tab_MinKomp[[Stanowisko / Position ]:[Stanowisko / Position ]],0)))</f>
        <v>0</v>
      </c>
      <c r="DV26" s="315">
        <f>IF(INDEX(tab_MinKomp[Kontrola wejściowa komponentów/ Eingangskontrolle],MATCH($B25,tab_MinKomp[[Stanowisko / Position ]:[Stanowisko / Position ]],0))="n/a","n/a",DV25-INDEX(tab_MinKomp[Kontrola wejściowa komponentów/ Eingangskontrolle],MATCH($B25,tab_MinKomp[[Stanowisko / Position ]:[Stanowisko / Position ]],0)))</f>
        <v>0</v>
      </c>
      <c r="DW26" s="315">
        <f>IF(INDEX(tab_MinKomp[Kontrola wyjściowa produktu / Ausgangskontrolle],MATCH($B25,tab_MinKomp[[Stanowisko / Position ]:[Stanowisko / Position ]],0))="n/a","n/a",DW25-INDEX(tab_MinKomp[Kontrola wyjściowa produktu / Ausgangskontrolle],MATCH($B25,tab_MinKomp[[Stanowisko / Position ]:[Stanowisko / Position ]],0)))</f>
        <v>0</v>
      </c>
      <c r="DX26" s="315">
        <f>IF(INDEX(tab_MinKomp[Kontrola codzienna produkcji / Tägliche Produktionskontrolle],MATCH($B25,tab_MinKomp[[Stanowisko / Position ]:[Stanowisko / Position ]],0))="n/a","n/a",DX25-INDEX(tab_MinKomp[Kontrola codzienna produkcji / Tägliche Produktionskontrolle],MATCH($B25,tab_MinKomp[[Stanowisko / Position ]:[Stanowisko / Position ]],0)))</f>
        <v>0</v>
      </c>
      <c r="DY26" s="315" t="str">
        <f>IF(INDEX(tab_MinKomp[Konserwacja Rep],MATCH($B25,tab_MinKomp[[Stanowisko / Position ]:[Stanowisko / Position ]],0))="n/a","n/a",DY25-INDEX(tab_MinKomp[Konserwacja Rep],MATCH($B25,tab_MinKomp[[Stanowisko / Position ]:[Stanowisko / Position ]],0)))</f>
        <v>n/a</v>
      </c>
      <c r="DZ26" s="315" t="str">
        <f>IF(INDEX(tab_MinKomp[[Konserwacja Engel ]],MATCH($B25,tab_MinKomp[[Stanowisko / Position ]:[Stanowisko / Position ]],0))="n/a","n/a",DZ25-INDEX(tab_MinKomp[[Konserwacja Engel ]],MATCH($B25,tab_MinKomp[[Stanowisko / Position ]:[Stanowisko / Position ]],0)))</f>
        <v>n/a</v>
      </c>
      <c r="EA26" s="315" t="str">
        <f>IF(INDEX(tab_MinKomp[Konserwacja B 50],MATCH($B25,tab_MinKomp[[Stanowisko / Position ]:[Stanowisko / Position ]],0))="n/a","n/a",EA25-INDEX(tab_MinKomp[Konserwacja B 50],MATCH($B25,tab_MinKomp[[Stanowisko / Position ]:[Stanowisko / Position ]],0)))</f>
        <v>n/a</v>
      </c>
      <c r="EB26" s="315" t="str">
        <f>IF(INDEX(tab_MinKomp[[Konserwacja EOL ]],MATCH($B25,tab_MinKomp[[Stanowisko / Position ]:[Stanowisko / Position ]],0))="n/a","n/a",EB25-INDEX(tab_MinKomp[[Konserwacja EOL ]],MATCH($B25,tab_MinKomp[[Stanowisko / Position ]:[Stanowisko / Position ]],0)))</f>
        <v>n/a</v>
      </c>
      <c r="EC26" s="315" t="str">
        <f>IF(INDEX(tab_MinKomp[Konserwacja Branson],MATCH($B25,tab_MinKomp[[Stanowisko / Position ]:[Stanowisko / Position ]],0))="n/a","n/a",EC25-INDEX(tab_MinKomp[Konserwacja Branson],MATCH($B25,tab_MinKomp[[Stanowisko / Position ]:[Stanowisko / Position ]],0)))</f>
        <v>n/a</v>
      </c>
      <c r="ED26" s="315" t="str">
        <f>IF(INDEX(tab_MinKomp[Konserwacja coolery],MATCH($B25,tab_MinKomp[[Stanowisko / Position ]:[Stanowisko / Position ]],0))="n/a","n/a",ED25-INDEX(tab_MinKomp[Konserwacja coolery],MATCH($B25,tab_MinKomp[[Stanowisko / Position ]:[Stanowisko / Position ]],0)))</f>
        <v>n/a</v>
      </c>
      <c r="EE26" s="315" t="str">
        <f>IF(INDEX(tab_MinKomp[Konserwacja piecy],MATCH($B25,tab_MinKomp[[Stanowisko / Position ]:[Stanowisko / Position ]],0))="n/a","n/a",EE25-INDEX(tab_MinKomp[Konserwacja piecy],MATCH($B25,tab_MinKomp[[Stanowisko / Position ]:[Stanowisko / Position ]],0)))</f>
        <v>n/a</v>
      </c>
      <c r="EF26" s="315" t="str">
        <f>IF(INDEX(tab_MinKomp[Rysunek techniczny- czytanie],MATCH($B25,tab_MinKomp[[Stanowisko / Position ]:[Stanowisko / Position ]],0))="n/a","n/a",EF25-INDEX(tab_MinKomp[Rysunek techniczny- czytanie],MATCH($B25,tab_MinKomp[[Stanowisko / Position ]:[Stanowisko / Position ]],0)))</f>
        <v>n/a</v>
      </c>
      <c r="EG26" s="315" t="str">
        <f>IF(INDEX(tab_MinKomp[Elektryka],MATCH($B25,tab_MinKomp[[Stanowisko / Position ]:[Stanowisko / Position ]],0))="n/a","n/a",EG25-INDEX(tab_MinKomp[Elektryka],MATCH($B25,tab_MinKomp[[Stanowisko / Position ]:[Stanowisko / Position ]],0)))</f>
        <v>n/a</v>
      </c>
      <c r="EH26" s="315" t="str">
        <f>IF(INDEX(tab_MinKomp[Pneumatyka],MATCH($B25,tab_MinKomp[[Stanowisko / Position ]:[Stanowisko / Position ]],0))="n/a","n/a",EH25-INDEX(tab_MinKomp[Pneumatyka],MATCH($B25,tab_MinKomp[[Stanowisko / Position ]:[Stanowisko / Position ]],0)))</f>
        <v>n/a</v>
      </c>
      <c r="EI26" s="315" t="str">
        <f>IF(INDEX(tab_MinKomp[[Hydraulika ]],MATCH($B25,tab_MinKomp[[Stanowisko / Position ]:[Stanowisko / Position ]],0))="n/a","n/a",EI25-INDEX(tab_MinKomp[[Hydraulika ]],MATCH($B25,tab_MinKomp[[Stanowisko / Position ]:[Stanowisko / Position ]],0)))</f>
        <v>n/a</v>
      </c>
      <c r="EJ26" s="315" t="str">
        <f>IF(INDEX(tab_MinKomp[Podciśnienie],MATCH($B25,tab_MinKomp[[Stanowisko / Position ]:[Stanowisko / Position ]],0))="n/a","n/a",EJ25-INDEX(tab_MinKomp[Podciśnienie],MATCH($B25,tab_MinKomp[[Stanowisko / Position ]:[Stanowisko / Position ]],0)))</f>
        <v>n/a</v>
      </c>
      <c r="EK26" s="315" t="str">
        <f>IF(INDEX(tab_MinKomp[Usuwanie awarii],MATCH($B25,tab_MinKomp[[Stanowisko / Position ]:[Stanowisko / Position ]],0))="n/a","n/a",EK25-INDEX(tab_MinKomp[Usuwanie awarii],MATCH($B25,tab_MinKomp[[Stanowisko / Position ]:[Stanowisko / Position ]],0)))</f>
        <v>n/a</v>
      </c>
      <c r="EL26" s="315" t="str">
        <f>IF(INDEX(tab_MinKomp[Obsługa robotów],MATCH($B25,tab_MinKomp[[Stanowisko / Position ]:[Stanowisko / Position ]],0))="n/a","n/a",EL25-INDEX(tab_MinKomp[Obsługa robotów],MATCH($B25,tab_MinKomp[[Stanowisko / Position ]:[Stanowisko / Position ]],0)))</f>
        <v>n/a</v>
      </c>
      <c r="EM26" s="315" t="str">
        <f>IF(INDEX(tab_MinKomp[Obsługa sterowania maszyny],MATCH($B25,tab_MinKomp[[Stanowisko / Position ]:[Stanowisko / Position ]],0))="n/a","n/a",EM25-INDEX(tab_MinKomp[Obsługa sterowania maszyny],MATCH($B25,tab_MinKomp[[Stanowisko / Position ]:[Stanowisko / Position ]],0)))</f>
        <v>n/a</v>
      </c>
      <c r="EN26" s="315" t="str">
        <f>IF(INDEX(tab_MinKomp[Usuwanie przyczyn żródłowych],MATCH($B25,tab_MinKomp[[Stanowisko / Position ]:[Stanowisko / Position ]],0))="n/a","n/a",EN25-INDEX(tab_MinKomp[Usuwanie przyczyn żródłowych],MATCH($B25,tab_MinKomp[[Stanowisko / Position ]:[Stanowisko / Position ]],0)))</f>
        <v>n/a</v>
      </c>
      <c r="EO26" s="315">
        <f>IF(INDEX(tab_MinKomp[Cmms stosowanie],MATCH($B25,tab_MinKomp[[Stanowisko / Position ]:[Stanowisko / Position ]],0))="n/a","n/a",EO25-INDEX(tab_MinKomp[Cmms stosowanie],MATCH($B25,tab_MinKomp[[Stanowisko / Position ]:[Stanowisko / Position ]],0)))</f>
        <v>-1</v>
      </c>
      <c r="EP26" s="315" t="str">
        <f>IF(INDEX(tab_MinKomp[[Czyszczenie form gumowych ]],MATCH($B25,tab_MinKomp[[Stanowisko / Position ]:[Stanowisko / Position ]],0))="n/a","n/a",EP25-INDEX(tab_MinKomp[[Czyszczenie form gumowych ]],MATCH($B25,tab_MinKomp[[Stanowisko / Position ]:[Stanowisko / Position ]],0)))</f>
        <v>n/a</v>
      </c>
      <c r="EQ26" s="315" t="str">
        <f>IF(INDEX(tab_MinKomp[Czyszczenie form plastikowych],MATCH($B25,tab_MinKomp[[Stanowisko / Position ]:[Stanowisko / Position ]],0))="n/a","n/a",EQ25-INDEX(tab_MinKomp[Czyszczenie form plastikowych],MATCH($B25,tab_MinKomp[[Stanowisko / Position ]:[Stanowisko / Position ]],0)))</f>
        <v>n/a</v>
      </c>
      <c r="ER26" s="315" t="str">
        <f>IF(INDEX(tab_MinKomp[Wymiana form plastik],MATCH($B25,tab_MinKomp[[Stanowisko / Position ]:[Stanowisko / Position ]],0))="n/a","n/a",ER25-INDEX(tab_MinKomp[Wymiana form plastik],MATCH($B25,tab_MinKomp[[Stanowisko / Position ]:[Stanowisko / Position ]],0)))</f>
        <v>n/a</v>
      </c>
      <c r="ES26" s="315" t="str">
        <f>IF(INDEX(tab_MinKomp[Wymiana form guma],MATCH($B25,tab_MinKomp[[Stanowisko / Position ]:[Stanowisko / Position ]],0))="n/a","n/a",ES25-INDEX(tab_MinKomp[Wymiana form guma],MATCH($B25,tab_MinKomp[[Stanowisko / Position ]:[Stanowisko / Position ]],0)))</f>
        <v>n/a</v>
      </c>
      <c r="ET26" s="315" t="str">
        <f>IF(INDEX(tab_MinKomp[Konserwacja KK],MATCH($B25,tab_MinKomp[[Stanowisko / Position ]:[Stanowisko / Position ]],0))="n/a","n/a",ET25-INDEX(tab_MinKomp[Konserwacja KK],MATCH($B25,tab_MinKomp[[Stanowisko / Position ]:[Stanowisko / Position ]],0)))</f>
        <v>n/a</v>
      </c>
      <c r="EU26" s="315" t="str">
        <f>IF(INDEX(tab_MinKomp[Konserwacja form guma],MATCH($B25,tab_MinKomp[[Stanowisko / Position ]:[Stanowisko / Position ]],0))="n/a","n/a",EU25-INDEX(tab_MinKomp[Konserwacja form guma],MATCH($B25,tab_MinKomp[[Stanowisko / Position ]:[Stanowisko / Position ]],0)))</f>
        <v>n/a</v>
      </c>
      <c r="EV26" s="315" t="str">
        <f>IF(INDEX(tab_MinKomp[Konserwacja form plastiki],MATCH($B25,tab_MinKomp[[Stanowisko / Position ]:[Stanowisko / Position ]],0))="n/a","n/a",EV25-INDEX(tab_MinKomp[Konserwacja form plastiki],MATCH($B25,tab_MinKomp[[Stanowisko / Position ]:[Stanowisko / Position ]],0)))</f>
        <v>n/a</v>
      </c>
      <c r="EW26" s="330" t="str">
        <f>IF(INDEX(tab_MinKomp[Konserwacja form plastiki],MATCH($B25,tab_MinKomp[[Stanowisko / Position ]:[Stanowisko / Position ]],0))="n/a","n/a",EW25-INDEX(tab_MinKomp[Konserwacja form plastiki],MATCH($B25,tab_MinKomp[[Stanowisko / Position ]:[Stanowisko / Position ]],0)))</f>
        <v>n/a</v>
      </c>
      <c r="EX26" s="315" t="str">
        <f>IF(INDEX(tab_MinKomp[Konserwacja Gorącego Kanału],MATCH($B25,tab_MinKomp[[Stanowisko / Position ]:[Stanowisko / Position ]],0))="n/a","n/a",EX25-INDEX(tab_MinKomp[Konserwacja Gorącego Kanału],MATCH($B25,tab_MinKomp[[Stanowisko / Position ]:[Stanowisko / Position ]],0)))</f>
        <v>n/a</v>
      </c>
      <c r="EY26" s="315">
        <f>IF(INDEX(tab_MinKomp[MS Office (Excel)],MATCH($B25,tab_MinKomp[[Stanowisko / Position ]:[Stanowisko / Position ]],0))="n/a","n/a",EY25-INDEX(tab_MinKomp[MS Office (Excel)],MATCH($B25,tab_MinKomp[[Stanowisko / Position ]:[Stanowisko / Position ]],0)))</f>
        <v>-2</v>
      </c>
      <c r="EZ26" s="315">
        <f>IF(INDEX(tab_MinKomp[MS Office (Word)],MATCH($B25,tab_MinKomp[[Stanowisko / Position ]:[Stanowisko / Position ]],0))="n/a","n/a",EZ25-INDEX(tab_MinKomp[MS Office (Word)],MATCH($B25,tab_MinKomp[[Stanowisko / Position ]:[Stanowisko / Position ]],0)))</f>
        <v>-2</v>
      </c>
      <c r="FA26" s="315">
        <f>IF(INDEX(tab_MinKomp[MS Office (Power Point)],MATCH($B25,tab_MinKomp[[Stanowisko / Position ]:[Stanowisko / Position ]],0))="n/a","n/a",FA25-INDEX(tab_MinKomp[MS Office (Power Point)],MATCH($B25,tab_MinKomp[[Stanowisko / Position ]:[Stanowisko / Position ]],0)))</f>
        <v>-2</v>
      </c>
      <c r="FB26" s="315">
        <f>IF(INDEX(tab_MinKomp[Język angielski / Englisch],MATCH($B25,tab_MinKomp[[Stanowisko / Position ]:[Stanowisko / Position ]],0))="n/a","n/a",FB25-INDEX(tab_MinKomp[Język angielski / Englisch],MATCH($B25,tab_MinKomp[[Stanowisko / Position ]:[Stanowisko / Position ]],0)))</f>
        <v>-2</v>
      </c>
      <c r="FC26" s="315" t="str">
        <f>IF(INDEX(tab_MinKomp[Język niemiecki / Deutsch],MATCH($B25,tab_MinKomp[[Stanowisko / Position ]:[Stanowisko / Position ]],0))="n/a","n/a",FC25-INDEX(tab_MinKomp[Język niemiecki / Deutsch],MATCH($B25,tab_MinKomp[[Stanowisko / Position ]:[Stanowisko / Position ]],0)))</f>
        <v>n/a</v>
      </c>
      <c r="FD26" s="315">
        <f>IF(INDEX(tab_MinKomp[Zarządzanie dokumentacją procesową / Process dokumentation management],MATCH($B25,tab_MinKomp[[Stanowisko / Position ]:[Stanowisko / Position ]],0))="n/a","n/a",FD25-INDEX(tab_MinKomp[Zarządzanie dokumentacją procesową / Process dokumentation management],MATCH($B25,tab_MinKomp[[Stanowisko / Position ]:[Stanowisko / Position ]],0)))</f>
        <v>-3</v>
      </c>
      <c r="FE26" s="315">
        <f>IF(INDEX(tab_MinKomp[Znajomość procesów z obszaru / Kenntiss der prozesse in dem Bereich],MATCH($B25,tab_MinKomp[[Stanowisko / Position ]:[Stanowisko / Position ]],0))="n/a","n/a",FE25-INDEX(tab_MinKomp[Znajomość procesów z obszaru / Kenntiss der prozesse in dem Bereich],MATCH($B25,tab_MinKomp[[Stanowisko / Position ]:[Stanowisko / Position ]],0)))</f>
        <v>-3</v>
      </c>
      <c r="FF26" s="315">
        <f>IF(INDEX(tab_MinKomp[optymalizacja procesów / Prozessoptymalisierung],MATCH($B25,tab_MinKomp[[Stanowisko / Position ]:[Stanowisko / Position ]],0))="n/a","n/a",FF25-INDEX(tab_MinKomp[optymalizacja procesów / Prozessoptymalisierung],MATCH($B25,tab_MinKomp[[Stanowisko / Position ]:[Stanowisko / Position ]],0)))</f>
        <v>-3</v>
      </c>
      <c r="FG26" s="315">
        <f>IF(INDEX(tab_MinKomp[Umiejętności szkoleniowe / Trainingsfähigkeiten],MATCH($B25,tab_MinKomp[[Stanowisko / Position ]:[Stanowisko / Position ]],0))="n/a","n/a",FG25-INDEX(tab_MinKomp[Umiejętności szkoleniowe / Trainingsfähigkeiten],MATCH($B25,tab_MinKomp[[Stanowisko / Position ]:[Stanowisko / Position ]],0)))</f>
        <v>-3</v>
      </c>
      <c r="FH26" s="315">
        <f>IF(INDEX(tab_MinKomp[Analityczne myślenie, podejście / Analitysches Denken, Einstellung],MATCH($B25,tab_MinKomp[[Stanowisko / Position ]:[Stanowisko / Position ]],0))="n/a","n/a",FH25-INDEX(tab_MinKomp[Analityczne myślenie, podejście / Analitysches Denken, Einstellung],MATCH($B25,tab_MinKomp[[Stanowisko / Position ]:[Stanowisko / Position ]],0)))</f>
        <v>-3</v>
      </c>
      <c r="FI26" s="315">
        <f>IF(INDEX(tab_MinKomp[Dokładność, precyzja w dzialaniu / Genauigkeit, Präzision in die Arbeit],MATCH($B25,tab_MinKomp[[Stanowisko / Position ]:[Stanowisko / Position ]],0))="n/a","n/a",FI25-INDEX(tab_MinKomp[Dokładność, precyzja w dzialaniu / Genauigkeit, Präzision in die Arbeit],MATCH($B25,tab_MinKomp[[Stanowisko / Position ]:[Stanowisko / Position ]],0)))</f>
        <v>-3</v>
      </c>
      <c r="FJ26" s="315">
        <f>IF(INDEX(tab_MinKomp[Dyspozycyjność / Verfügbarkeit],MATCH($B25,tab_MinKomp[[Stanowisko / Position ]:[Stanowisko / Position ]],0))="n/a","n/a",FJ25-INDEX(tab_MinKomp[Dyspozycyjność / Verfügbarkeit],MATCH($B25,tab_MinKomp[[Stanowisko / Position ]:[Stanowisko / Position ]],0)))</f>
        <v>-3</v>
      </c>
      <c r="FK26" s="315">
        <f>IF(INDEX(tab_MinKomp[Zaangażowanie / 
Engagement],MATCH($B25,tab_MinKomp[[Stanowisko / Position ]:[Stanowisko / Position ]],0))="n/a","n/a",FK25-INDEX(tab_MinKomp[Zaangażowanie / 
Engagement],MATCH($B25,tab_MinKomp[[Stanowisko / Position ]:[Stanowisko / Position ]],0)))</f>
        <v>-3</v>
      </c>
      <c r="FL26" s="315">
        <f>IF(INDEX(tab_MinKomp[Planowanie strategiczne / Strategische Planung],MATCH($B25,tab_MinKomp[[Stanowisko / Position ]:[Stanowisko / Position ]],0))="n/a","n/a",FL25-INDEX(tab_MinKomp[Planowanie strategiczne / Strategische Planung],MATCH($B25,tab_MinKomp[[Stanowisko / Position ]:[Stanowisko / Position ]],0)))</f>
        <v>-3</v>
      </c>
      <c r="FM26" s="315">
        <f>IF(INDEX(tab_MinKomp[Konsekwentne i dynamiczne działanie],MATCH($B25,tab_MinKomp[[Stanowisko / Position ]:[Stanowisko / Position ]],0))="n/a","n/a",FM25-INDEX(tab_MinKomp[Konsekwentne i dynamiczne działanie],MATCH($B25,tab_MinKomp[[Stanowisko / Position ]:[Stanowisko / Position ]],0)))</f>
        <v>-3</v>
      </c>
      <c r="FN26" s="315">
        <f>IF(INDEX(tab_MinKomp[Elastyczność w działaniu],MATCH($B25,tab_MinKomp[[Stanowisko / Position ]:[Stanowisko / Position ]],0))="n/a","n/a",FN25-INDEX(tab_MinKomp[Elastyczność w działaniu],MATCH($B25,tab_MinKomp[[Stanowisko / Position ]:[Stanowisko / Position ]],0)))</f>
        <v>-3</v>
      </c>
      <c r="FO26" s="315">
        <f>IF(INDEX(tab_MinKomp[Komunikatywność],MATCH($B25,tab_MinKomp[[Stanowisko / Position ]:[Stanowisko / Position ]],0))="n/a","n/a",FO25-INDEX(tab_MinKomp[Komunikatywność],MATCH($B25,tab_MinKomp[[Stanowisko / Position ]:[Stanowisko / Position ]],0)))</f>
        <v>-3</v>
      </c>
      <c r="FP26" s="315">
        <f>IF(INDEX(tab_MinKomp[Motywowanie i budowanie zaangażowania zespołu],MATCH($B25,tab_MinKomp[[Stanowisko / Position ]:[Stanowisko / Position ]],0))="n/a","n/a",FP25-INDEX(tab_MinKomp[Motywowanie i budowanie zaangażowania zespołu],MATCH($B25,tab_MinKomp[[Stanowisko / Position ]:[Stanowisko / Position ]],0)))</f>
        <v>-3</v>
      </c>
      <c r="FQ26" s="315" t="str">
        <f>IF(INDEX(tab_MinKomp[BRAK / Keine],MATCH($B25,tab_MinKomp[[Stanowisko / Position ]:[Stanowisko / Position ]],0))="n/a","n/a",FQ25-INDEX(tab_MinKomp[BRAK / Keine],MATCH($B25,tab_MinKomp[[Stanowisko / Position ]:[Stanowisko / Position ]],0)))</f>
        <v>n/a</v>
      </c>
      <c r="FR26" s="315" t="str">
        <f>IF(INDEX(tab_MinKomp[MINIMUM 1 ROK / min. 1 Jahr],MATCH($B25,tab_MinKomp[[Stanowisko / Position ]:[Stanowisko / Position ]],0))="n/a","n/a",FR25-INDEX(tab_MinKomp[MINIMUM 1 ROK / min. 1 Jahr],MATCH($B25,tab_MinKomp[[Stanowisko / Position ]:[Stanowisko / Position ]],0)))</f>
        <v>n/a</v>
      </c>
      <c r="FS26" s="315" t="str">
        <f>IF(INDEX(tab_MinKomp[MINIMUM 2 LATA / min. 2 Jahre],MATCH($B25,tab_MinKomp[[Stanowisko / Position ]:[Stanowisko / Position ]],0))="n/a","n/a",FS25-INDEX(tab_MinKomp[MINIMUM 2 LATA / min. 2 Jahre],MATCH($B25,tab_MinKomp[[Stanowisko / Position ]:[Stanowisko / Position ]],0)))</f>
        <v>n/a</v>
      </c>
      <c r="FT26" s="315" t="s">
        <v>176</v>
      </c>
      <c r="FU26" s="308" t="s">
        <v>160</v>
      </c>
      <c r="FV26" s="315" t="str">
        <f>IF(INDEX(tab_MinKomp[MINIMUM 5 LAT / min. 5 Jahre],MATCH($B25,tab_MinKomp[[Stanowisko / Position ]:[Stanowisko / Position ]],0))="n/a","n/a",FV25-INDEX(tab_MinKomp[MINIMUM 5 LAT / min. 5 Jahre],MATCH($B25,tab_MinKomp[[Stanowisko / Position ]:[Stanowisko / Position ]],0)))</f>
        <v>n/a</v>
      </c>
      <c r="FW26" s="315" t="str">
        <f>IF(INDEX(tab_MinKomp[BRAK / Keine9],MATCH($B25,tab_MinKomp[[Stanowisko / Position ]:[Stanowisko / Position ]],0))="n/a","n/a",FW25-INDEX(tab_MinKomp[BRAK / Keine9],MATCH($B25,tab_MinKomp[[Stanowisko / Position ]:[Stanowisko / Position ]],0)))</f>
        <v>n/a</v>
      </c>
      <c r="FX26" s="315" t="str">
        <f>IF(INDEX(tab_MinKomp[ZAWODOWE / Berufsausbildung],MATCH($B25,tab_MinKomp[[Stanowisko / Position ]:[Stanowisko / Position ]],0))="n/a","n/a",FX25-INDEX(tab_MinKomp[ZAWODOWE / Berufsausbildung],MATCH($B25,tab_MinKomp[[Stanowisko / Position ]:[Stanowisko / Position ]],0)))</f>
        <v>n/a</v>
      </c>
      <c r="FY26" s="315" t="str">
        <f>IF(INDEX(tab_MinKomp[ŚREDNIE OGÓLNE / Abitur allgemeine],MATCH($B25,tab_MinKomp[[Stanowisko / Position ]:[Stanowisko / Position ]],0))="n/a","n/a",FY25-INDEX(tab_MinKomp[ŚREDNIE OGÓLNE / Abitur allgemeine],MATCH($B25,tab_MinKomp[[Stanowisko / Position ]:[Stanowisko / Position ]],0)))</f>
        <v>n/a</v>
      </c>
      <c r="FZ26" s="315" t="str">
        <f>IF(INDEX(tab_MinKomp[ŚREDNIE KIERUNKOWE / berufliches Gymnasium],MATCH($B25,tab_MinKomp[[Stanowisko / Position ]:[Stanowisko / Position ]],0))="n/a","n/a",FZ25-INDEX(tab_MinKomp[ŚREDNIE KIERUNKOWE / berufliches Gymnasium],MATCH($B25,tab_MinKomp[[Stanowisko / Position ]:[Stanowisko / Position ]],0)))</f>
        <v>n/a</v>
      </c>
      <c r="GA26" s="315" t="str">
        <f>IF(INDEX(tab_MinKomp[WYŻSZE OGÓLNE / Hochschule allgemeine],MATCH($B25,tab_MinKomp[[Stanowisko / Position ]:[Stanowisko / Position ]],0))="n/a","n/a",GA25-INDEX(tab_MinKomp[WYŻSZE OGÓLNE / Hochschule allgemeine],MATCH($B25,tab_MinKomp[[Stanowisko / Position ]:[Stanowisko / Position ]],0)))</f>
        <v>n/a</v>
      </c>
      <c r="GB26" s="308" t="s">
        <v>160</v>
      </c>
      <c r="GC26" s="315" t="str">
        <f>IF(INDEX(tab_MinKomp[PIERWSZA POMOC / Erste Hilfe],MATCH($B25,tab_MinKomp[[Stanowisko / Position ]:[Stanowisko / Position ]],0))="n/a","n/a",GC25-INDEX(tab_MinKomp[PIERWSZA POMOC / Erste Hilfe],MATCH($B25,tab_MinKomp[[Stanowisko / Position ]:[Stanowisko / Position ]],0)))</f>
        <v>n/a</v>
      </c>
      <c r="GD26" s="315" t="str">
        <f>IF(INDEX(tab_MinKomp[Specjalista BHP / BHP Spezialist],MATCH($B25,tab_MinKomp[[Stanowisko / Position ]:[Stanowisko / Position ]],0))="n/a","n/a",GD25-INDEX(tab_MinKomp[Specjalista BHP / BHP Spezialist],MATCH($B25,tab_MinKomp[[Stanowisko / Position ]:[Stanowisko / Position ]],0)))</f>
        <v>n/a</v>
      </c>
      <c r="GE26" s="315" t="str">
        <f>IF(INDEX(tab_MinKomp[Inspektor ochrony PPOŻ / Brandschutzinspektor],MATCH($B25,tab_MinKomp[[Stanowisko / Position ]:[Stanowisko / Position ]],0))="n/a","n/a",GE25-INDEX(tab_MinKomp[Inspektor ochrony PPOŻ / Brandschutzinspektor],MATCH($B25,tab_MinKomp[[Stanowisko / Position ]:[Stanowisko / Position ]],0)))</f>
        <v>n/a</v>
      </c>
      <c r="GF26" s="315" t="str">
        <f>IF(INDEX(tab_MinKomp[WÓZKI JEZDNIOWE / Gebelstapler],MATCH($B25,tab_MinKomp[[Stanowisko / Position ]:[Stanowisko / Position ]],0))="n/a","n/a",GF25-INDEX(tab_MinKomp[WÓZKI JEZDNIOWE / Gebelstapler],MATCH($B25,tab_MinKomp[[Stanowisko / Position ]:[Stanowisko / Position ]],0)))</f>
        <v>n/a</v>
      </c>
      <c r="GG26" s="315" t="str">
        <f>IF(INDEX(tab_MinKomp[SEP],MATCH($B25,tab_MinKomp[[Stanowisko / Position ]:[Stanowisko / Position ]],0))="n/a","n/a",GG25-INDEX(tab_MinKomp[SEP],MATCH($B25,tab_MinKomp[[Stanowisko / Position ]:[Stanowisko / Position ]],0)))</f>
        <v>n/a</v>
      </c>
      <c r="GH26" s="315" t="str">
        <f>IF(INDEX(tab_MinKomp[SEP  DOZÓR / SEP Aufsicht],MATCH($B25,tab_MinKomp[[Stanowisko / Position ]:[Stanowisko / Position ]],0))="n/a","n/a",GH25-INDEX(tab_MinKomp[SEP  DOZÓR / SEP Aufsicht],MATCH($B25,tab_MinKomp[[Stanowisko / Position ]:[Stanowisko / Position ]],0)))</f>
        <v>n/a</v>
      </c>
      <c r="GI26" s="315" t="str">
        <f>IF(INDEX(tab_MinKomp[PODNOŚNIKI / Hebevorrichtung],MATCH($B25,tab_MinKomp[[Stanowisko / Position ]:[Stanowisko / Position ]],0))="n/a","n/a",GI25-INDEX(tab_MinKomp[PODNOŚNIKI / Hebevorrichtung],MATCH($B25,tab_MinKomp[[Stanowisko / Position ]:[Stanowisko / Position ]],0)))</f>
        <v>n/a</v>
      </c>
      <c r="GJ26" s="315" t="str">
        <f>IF(INDEX(tab_MinKomp[SUWNICE / Laufkran],MATCH($B25,tab_MinKomp[[Stanowisko / Position ]:[Stanowisko / Position ]],0))="n/a","n/a",GJ25-INDEX(tab_MinKomp[SUWNICE / Laufkran],MATCH($B25,tab_MinKomp[[Stanowisko / Position ]:[Stanowisko / Position ]],0)))</f>
        <v>n/a</v>
      </c>
      <c r="GK26" s="315" t="str">
        <f>IF(INDEX(tab_MinKomp[WYSOKOŚCIOWE / Höhenberechtigungen],MATCH($B25,tab_MinKomp[[Stanowisko / Position ]:[Stanowisko / Position ]],0))="n/a","n/a",GK25-INDEX(tab_MinKomp[WYSOKOŚCIOWE / Höhenberechtigungen],MATCH($B25,tab_MinKomp[[Stanowisko / Position ]:[Stanowisko / Position ]],0)))</f>
        <v>n/a</v>
      </c>
      <c r="GL26" s="320">
        <f>SUM(G26:FP26)/(GL25-(SUM(G26:FP26)))</f>
        <v>-0.35087719298245612</v>
      </c>
    </row>
    <row r="27" spans="1:195" ht="28.35" customHeight="1" x14ac:dyDescent="0.25">
      <c r="A27" s="135" t="s">
        <v>260</v>
      </c>
      <c r="B27" s="135" t="s">
        <v>196</v>
      </c>
      <c r="C27" s="135" t="s">
        <v>750</v>
      </c>
      <c r="D27" s="135">
        <v>514</v>
      </c>
      <c r="E27" s="565" t="s">
        <v>265</v>
      </c>
      <c r="F27" s="307" t="s">
        <v>165</v>
      </c>
      <c r="G27" s="308">
        <v>2</v>
      </c>
      <c r="H27" s="308">
        <v>2</v>
      </c>
      <c r="I27" s="308">
        <v>2</v>
      </c>
      <c r="J27" s="308">
        <v>1</v>
      </c>
      <c r="K27" s="308">
        <v>2</v>
      </c>
      <c r="L27" s="308">
        <v>1</v>
      </c>
      <c r="M27" s="308" t="s">
        <v>176</v>
      </c>
      <c r="N27" s="308" t="s">
        <v>176</v>
      </c>
      <c r="O27" s="308">
        <v>1</v>
      </c>
      <c r="P27" s="308">
        <v>1</v>
      </c>
      <c r="Q27" s="308" t="s">
        <v>176</v>
      </c>
      <c r="R27" s="308" t="s">
        <v>176</v>
      </c>
      <c r="S27" s="308" t="s">
        <v>176</v>
      </c>
      <c r="T27" s="308" t="s">
        <v>176</v>
      </c>
      <c r="U27" s="308" t="s">
        <v>176</v>
      </c>
      <c r="V27" s="308" t="s">
        <v>176</v>
      </c>
      <c r="W27" s="308" t="s">
        <v>176</v>
      </c>
      <c r="X27" s="308" t="s">
        <v>176</v>
      </c>
      <c r="Y27" s="308" t="s">
        <v>176</v>
      </c>
      <c r="Z27" s="308" t="s">
        <v>176</v>
      </c>
      <c r="AA27" s="308" t="s">
        <v>176</v>
      </c>
      <c r="AB27" s="308">
        <v>1</v>
      </c>
      <c r="AC27" s="308">
        <v>1</v>
      </c>
      <c r="AD27" s="308">
        <v>2</v>
      </c>
      <c r="AE27" s="308">
        <v>1</v>
      </c>
      <c r="AF27" s="308">
        <v>1</v>
      </c>
      <c r="AG27" s="308">
        <v>1</v>
      </c>
      <c r="AH27" s="308">
        <v>2</v>
      </c>
      <c r="AI27" s="308" t="s">
        <v>176</v>
      </c>
      <c r="AJ27" s="308" t="s">
        <v>176</v>
      </c>
      <c r="AK27" s="308" t="s">
        <v>176</v>
      </c>
      <c r="AL27" s="308">
        <v>2</v>
      </c>
      <c r="AM27" s="308">
        <v>2</v>
      </c>
      <c r="AN27" s="308">
        <v>1</v>
      </c>
      <c r="AO27" s="308">
        <v>2</v>
      </c>
      <c r="AP27" s="308">
        <v>1</v>
      </c>
      <c r="AQ27" s="308">
        <v>2</v>
      </c>
      <c r="AR27" s="308" t="s">
        <v>176</v>
      </c>
      <c r="AS27" s="308">
        <v>2</v>
      </c>
      <c r="AT27" s="308">
        <v>2</v>
      </c>
      <c r="AU27" s="308">
        <v>2</v>
      </c>
      <c r="AV27" s="308">
        <v>2</v>
      </c>
      <c r="AW27" s="308">
        <v>1</v>
      </c>
      <c r="AX27" s="308">
        <v>1</v>
      </c>
      <c r="AY27" s="308" t="s">
        <v>176</v>
      </c>
      <c r="AZ27" s="308">
        <v>1</v>
      </c>
      <c r="BA27" s="308" t="s">
        <v>176</v>
      </c>
      <c r="BB27" s="308" t="s">
        <v>176</v>
      </c>
      <c r="BC27" s="308" t="s">
        <v>176</v>
      </c>
      <c r="BD27" s="308" t="s">
        <v>176</v>
      </c>
      <c r="BE27" s="308"/>
      <c r="BF27" s="308" t="s">
        <v>176</v>
      </c>
      <c r="BG27" s="308" t="s">
        <v>176</v>
      </c>
      <c r="BH27" s="308" t="s">
        <v>176</v>
      </c>
      <c r="BI27" s="308" t="s">
        <v>176</v>
      </c>
      <c r="BJ27" s="308" t="s">
        <v>176</v>
      </c>
      <c r="BK27" s="308" t="s">
        <v>176</v>
      </c>
      <c r="BL27" s="308" t="s">
        <v>176</v>
      </c>
      <c r="BM27" s="308" t="s">
        <v>176</v>
      </c>
      <c r="BN27" s="308" t="s">
        <v>176</v>
      </c>
      <c r="BO27" s="308" t="s">
        <v>176</v>
      </c>
      <c r="BP27" s="308" t="s">
        <v>176</v>
      </c>
      <c r="BQ27" s="308" t="s">
        <v>176</v>
      </c>
      <c r="BR27" s="308" t="s">
        <v>176</v>
      </c>
      <c r="BS27" s="308" t="s">
        <v>176</v>
      </c>
      <c r="BT27" s="308" t="s">
        <v>176</v>
      </c>
      <c r="BU27" s="308" t="s">
        <v>176</v>
      </c>
      <c r="BV27" s="308" t="s">
        <v>176</v>
      </c>
      <c r="BW27" s="308" t="s">
        <v>176</v>
      </c>
      <c r="BX27" s="308" t="s">
        <v>176</v>
      </c>
      <c r="BY27" s="308" t="s">
        <v>176</v>
      </c>
      <c r="BZ27" s="308" t="s">
        <v>176</v>
      </c>
      <c r="CA27" s="308" t="s">
        <v>176</v>
      </c>
      <c r="CB27" s="308" t="s">
        <v>176</v>
      </c>
      <c r="CC27" s="308" t="s">
        <v>176</v>
      </c>
      <c r="CD27" s="308" t="s">
        <v>176</v>
      </c>
      <c r="CE27" s="308" t="s">
        <v>176</v>
      </c>
      <c r="CF27" s="308" t="s">
        <v>176</v>
      </c>
      <c r="CG27" s="308" t="s">
        <v>176</v>
      </c>
      <c r="CH27" s="308" t="s">
        <v>176</v>
      </c>
      <c r="CI27" s="308">
        <v>3</v>
      </c>
      <c r="CJ27" s="308" t="s">
        <v>176</v>
      </c>
      <c r="CK27" s="308" t="s">
        <v>176</v>
      </c>
      <c r="CL27" s="308" t="s">
        <v>176</v>
      </c>
      <c r="CM27" s="308" t="s">
        <v>176</v>
      </c>
      <c r="CN27" s="308">
        <v>2</v>
      </c>
      <c r="CO27" s="308">
        <v>1</v>
      </c>
      <c r="CP27" s="308">
        <v>1</v>
      </c>
      <c r="CQ27" s="308">
        <v>1</v>
      </c>
      <c r="CR27" s="308" t="s">
        <v>176</v>
      </c>
      <c r="CS27" s="308" t="s">
        <v>176</v>
      </c>
      <c r="CT27" s="308">
        <v>2</v>
      </c>
      <c r="CU27" s="308">
        <v>3</v>
      </c>
      <c r="CV27" s="308">
        <v>3</v>
      </c>
      <c r="CW27" s="308">
        <v>2</v>
      </c>
      <c r="CX27" s="308">
        <v>3</v>
      </c>
      <c r="CY27" s="308">
        <v>3</v>
      </c>
      <c r="CZ27" s="308">
        <v>3</v>
      </c>
      <c r="DA27" s="308">
        <v>3</v>
      </c>
      <c r="DB27" s="308">
        <v>3</v>
      </c>
      <c r="DC27" s="308">
        <v>3</v>
      </c>
      <c r="DD27" s="308">
        <v>3</v>
      </c>
      <c r="DE27" s="308">
        <v>3</v>
      </c>
      <c r="DF27" s="308">
        <v>3</v>
      </c>
      <c r="DG27" s="308">
        <v>3</v>
      </c>
      <c r="DH27" s="308">
        <v>3</v>
      </c>
      <c r="DI27" s="308">
        <v>3</v>
      </c>
      <c r="DJ27" s="308">
        <v>3</v>
      </c>
      <c r="DK27" s="308">
        <v>3</v>
      </c>
      <c r="DL27" s="308">
        <v>3</v>
      </c>
      <c r="DM27" s="308">
        <v>3</v>
      </c>
      <c r="DN27" s="308">
        <v>3</v>
      </c>
      <c r="DO27" s="308">
        <v>3</v>
      </c>
      <c r="DP27" s="308">
        <v>3</v>
      </c>
      <c r="DQ27" s="308">
        <v>3</v>
      </c>
      <c r="DR27" s="308">
        <v>3</v>
      </c>
      <c r="DS27" s="308">
        <v>3</v>
      </c>
      <c r="DT27" s="308">
        <v>3</v>
      </c>
      <c r="DU27" s="308">
        <v>3</v>
      </c>
      <c r="DV27" s="308">
        <v>3</v>
      </c>
      <c r="DW27" s="308">
        <v>3</v>
      </c>
      <c r="DX27" s="308">
        <v>3</v>
      </c>
      <c r="DY27" s="308" t="s">
        <v>176</v>
      </c>
      <c r="DZ27" s="308" t="s">
        <v>176</v>
      </c>
      <c r="EA27" s="308" t="s">
        <v>176</v>
      </c>
      <c r="EB27" s="308" t="s">
        <v>176</v>
      </c>
      <c r="EC27" s="308" t="s">
        <v>176</v>
      </c>
      <c r="ED27" s="308" t="s">
        <v>176</v>
      </c>
      <c r="EE27" s="308" t="s">
        <v>176</v>
      </c>
      <c r="EF27" s="308" t="s">
        <v>176</v>
      </c>
      <c r="EG27" s="308" t="s">
        <v>176</v>
      </c>
      <c r="EH27" s="308" t="s">
        <v>176</v>
      </c>
      <c r="EI27" s="308" t="s">
        <v>176</v>
      </c>
      <c r="EJ27" s="308" t="s">
        <v>176</v>
      </c>
      <c r="EK27" s="308" t="s">
        <v>176</v>
      </c>
      <c r="EL27" s="308" t="s">
        <v>176</v>
      </c>
      <c r="EM27" s="308" t="s">
        <v>176</v>
      </c>
      <c r="EN27" s="308" t="s">
        <v>176</v>
      </c>
      <c r="EO27" s="308">
        <v>2</v>
      </c>
      <c r="EP27" s="308" t="s">
        <v>176</v>
      </c>
      <c r="EQ27" s="308" t="s">
        <v>176</v>
      </c>
      <c r="ER27" s="308" t="s">
        <v>176</v>
      </c>
      <c r="ES27" s="308" t="s">
        <v>176</v>
      </c>
      <c r="ET27" s="308" t="s">
        <v>176</v>
      </c>
      <c r="EU27" s="308" t="s">
        <v>176</v>
      </c>
      <c r="EV27" s="308" t="s">
        <v>176</v>
      </c>
      <c r="EW27" s="308" t="s">
        <v>176</v>
      </c>
      <c r="EX27" s="308" t="s">
        <v>176</v>
      </c>
      <c r="EY27" s="308">
        <v>2</v>
      </c>
      <c r="EZ27" s="308">
        <v>2</v>
      </c>
      <c r="FA27" s="308">
        <v>1</v>
      </c>
      <c r="FB27" s="308">
        <v>2</v>
      </c>
      <c r="FC27" s="308" t="s">
        <v>176</v>
      </c>
      <c r="FD27" s="308">
        <v>2</v>
      </c>
      <c r="FE27" s="308">
        <v>2</v>
      </c>
      <c r="FF27" s="308">
        <v>3</v>
      </c>
      <c r="FG27" s="308">
        <v>2</v>
      </c>
      <c r="FH27" s="308">
        <v>2</v>
      </c>
      <c r="FI27" s="308">
        <v>3</v>
      </c>
      <c r="FJ27" s="308">
        <v>2</v>
      </c>
      <c r="FK27" s="308">
        <v>2</v>
      </c>
      <c r="FL27" s="308">
        <v>1</v>
      </c>
      <c r="FM27" s="308">
        <v>1</v>
      </c>
      <c r="FN27" s="308">
        <v>1</v>
      </c>
      <c r="FO27" s="308">
        <v>2</v>
      </c>
      <c r="FP27" s="308">
        <v>1</v>
      </c>
      <c r="FQ27" s="308" t="s">
        <v>176</v>
      </c>
      <c r="FR27" s="308" t="s">
        <v>160</v>
      </c>
      <c r="FS27" s="308" t="s">
        <v>176</v>
      </c>
      <c r="FT27" s="308" t="s">
        <v>176</v>
      </c>
      <c r="FU27" s="308" t="s">
        <v>176</v>
      </c>
      <c r="FV27" s="308" t="s">
        <v>176</v>
      </c>
      <c r="FW27" s="308" t="s">
        <v>176</v>
      </c>
      <c r="FX27" s="308" t="s">
        <v>176</v>
      </c>
      <c r="FY27" s="308" t="s">
        <v>176</v>
      </c>
      <c r="FZ27" s="308" t="s">
        <v>176</v>
      </c>
      <c r="GA27" s="308" t="s">
        <v>176</v>
      </c>
      <c r="GB27" s="308" t="s">
        <v>160</v>
      </c>
      <c r="GC27" s="308" t="s">
        <v>176</v>
      </c>
      <c r="GD27" s="308" t="s">
        <v>176</v>
      </c>
      <c r="GE27" s="308" t="s">
        <v>176</v>
      </c>
      <c r="GF27" s="308" t="s">
        <v>176</v>
      </c>
      <c r="GG27" s="308" t="s">
        <v>176</v>
      </c>
      <c r="GH27" s="308" t="s">
        <v>176</v>
      </c>
      <c r="GI27" s="308" t="s">
        <v>176</v>
      </c>
      <c r="GJ27" s="308" t="s">
        <v>176</v>
      </c>
      <c r="GK27" s="321" t="s">
        <v>176</v>
      </c>
      <c r="GL27" s="311">
        <f>SUM(G27:FP27)</f>
        <v>174</v>
      </c>
    </row>
    <row r="28" spans="1:195" ht="28.35" customHeight="1" thickBot="1" x14ac:dyDescent="0.3">
      <c r="A28" s="138" t="str">
        <f>A27</f>
        <v>Jakość-Quality Labor</v>
      </c>
      <c r="B28" s="138" t="str">
        <f>B27</f>
        <v>Metrolog</v>
      </c>
      <c r="C28" s="135" t="s">
        <v>750</v>
      </c>
      <c r="D28" s="138">
        <f>D27</f>
        <v>514</v>
      </c>
      <c r="E28" s="566" t="str">
        <f>E27</f>
        <v>Studziński Piotr</v>
      </c>
      <c r="F28" s="312" t="s">
        <v>166</v>
      </c>
      <c r="G28" s="313">
        <f>IF(INDEX(tab_MinKomp[Przepisy BHP / BHP Vorschriften],MATCH($B27,tab_MinKomp[[Stanowisko / Position ]:[Stanowisko / Position ]],0))="n/a","n/a",G27-INDEX(tab_MinKomp[Przepisy BHP / BHP Vorschriften],MATCH($B27,tab_MinKomp[[Stanowisko / Position ]:[Stanowisko / Position ]],0)))</f>
        <v>1</v>
      </c>
      <c r="H28" s="313">
        <f>IF(INDEX(tab_MinKomp[Przepisy PPOŻ / Brandschutzbestimmungen],MATCH($B27,tab_MinKomp[[Stanowisko / Position ]:[Stanowisko / Position ]],0))="n/a","n/a",H27-INDEX(tab_MinKomp[Przepisy PPOŻ / Brandschutzbestimmungen],MATCH($B27,tab_MinKomp[[Stanowisko / Position ]:[Stanowisko / Position ]],0)))</f>
        <v>1</v>
      </c>
      <c r="I28" s="313" t="str">
        <f>IF(INDEX(tab_MinKomp[Ryzyko zawodowe na stanowiskach pracyv/ Berufliche Risiken an Arbeitsstellen],MATCH($B27,tab_MinKomp[[Stanowisko / Position ]:[Stanowisko / Position ]],0))="n/a","n/a",I27-INDEX(tab_MinKomp[Ryzyko zawodowe na stanowiskach pracyv/ Berufliche Risiken an Arbeitsstellen],MATCH($B27,tab_MinKomp[[Stanowisko / Position ]:[Stanowisko / Position ]],0)))</f>
        <v>n/a</v>
      </c>
      <c r="J28" s="313">
        <f>IF(INDEX(tab_MinKomp[Gospodarka substancjami niebezpiecznymi / Gefahrstoffmanagement],MATCH($B27,tab_MinKomp[[Stanowisko / Position ]:[Stanowisko / Position ]],0))="n/a","n/a",J27-INDEX(tab_MinKomp[Gospodarka substancjami niebezpiecznymi / Gefahrstoffmanagement],MATCH($B27,tab_MinKomp[[Stanowisko / Position ]:[Stanowisko / Position ]],0)))</f>
        <v>0</v>
      </c>
      <c r="K28" s="313">
        <f>IF(INDEX(tab_MinKomp[Gospodarka odpadami / Abfallwirtschaft],MATCH($B27,tab_MinKomp[[Stanowisko / Position ]:[Stanowisko / Position ]],0))="n/a","n/a",K27-INDEX(tab_MinKomp[Gospodarka odpadami / Abfallwirtschaft],MATCH($B27,tab_MinKomp[[Stanowisko / Position ]:[Stanowisko / Position ]],0)))</f>
        <v>1</v>
      </c>
      <c r="L28" s="315">
        <f>IF(INDEX(tab_MinKomp[Przepisy kodeksu pracy / Bestimmungen des Arbeitsgesetzes],MATCH($B27,tab_MinKomp[[Stanowisko / Position ]:[Stanowisko / Position ]],0))="n/a","n/a",L27-INDEX(tab_MinKomp[Przepisy kodeksu pracy / Bestimmungen des Arbeitsgesetzes],MATCH($B27,tab_MinKomp[[Stanowisko / Position ]:[Stanowisko / Position ]],0)))</f>
        <v>0</v>
      </c>
      <c r="M28" s="315" t="str">
        <f>IF(INDEX(tab_MinKomp[Przepisy o ub.społ. ZUS  / Sozialversicherungsvorschriften],MATCH($B27,tab_MinKomp[[Stanowisko / Position ]:[Stanowisko / Position ]],0))="n/a","n/a",M27-INDEX(tab_MinKomp[Przepisy o ub.społ. ZUS  / Sozialversicherungsvorschriften],MATCH($B27,tab_MinKomp[[Stanowisko / Position ]:[Stanowisko / Position ]],0)))</f>
        <v>n/a</v>
      </c>
      <c r="N28" s="315" t="str">
        <f>IF(INDEX(tab_MinKomp[PRZEPISY O PDOF /persönlich Einkommensteuergesetz ],MATCH($B27,tab_MinKomp[[Stanowisko / Position ]:[Stanowisko / Position ]],0))="n/a","n/a",N27-INDEX(tab_MinKomp[PRZEPISY O PDOF /persönlich Einkommensteuergesetz ],MATCH($B27,tab_MinKomp[[Stanowisko / Position ]:[Stanowisko / Position ]],0)))</f>
        <v>n/a</v>
      </c>
      <c r="O28" s="315">
        <f>IF(INDEX(tab_MinKomp[Regulamin pracy / Arbeitsordnung],MATCH($B27,tab_MinKomp[[Stanowisko / Position ]:[Stanowisko / Position ]],0))="n/a","n/a",O27-INDEX(tab_MinKomp[Regulamin pracy / Arbeitsordnung],MATCH($B27,tab_MinKomp[[Stanowisko / Position ]:[Stanowisko / Position ]],0)))</f>
        <v>0</v>
      </c>
      <c r="P28" s="315">
        <f>IF(INDEX(tab_MinKomp[Regulamin wynagradzania / Vergütungsordnung],MATCH($B27,tab_MinKomp[[Stanowisko / Position ]:[Stanowisko / Position ]],0))="n/a","n/a",P27-INDEX(tab_MinKomp[Regulamin wynagradzania / Vergütungsordnung],MATCH($B27,tab_MinKomp[[Stanowisko / Position ]:[Stanowisko / Position ]],0)))</f>
        <v>0</v>
      </c>
      <c r="Q28" s="315" t="str">
        <f>IF(INDEX(tab_MinKomp[System R2PŁATNIK PRO: Płace / Lohnabrechnung],MATCH($B27,tab_MinKomp[[Stanowisko / Position ]:[Stanowisko / Position ]],0))="n/a","n/a",Q27-INDEX(tab_MinKomp[System R2PŁATNIK PRO: Płace / Lohnabrechnung],MATCH($B27,tab_MinKomp[[Stanowisko / Position ]:[Stanowisko / Position ]],0)))</f>
        <v>n/a</v>
      </c>
      <c r="R28" s="315" t="str">
        <f>IF(INDEX(tab_MinKomp[SystemR2PŁATNIK PRO: KADRY / Personaldaten],MATCH($B27,tab_MinKomp[[Stanowisko / Position ]:[Stanowisko / Position ]],0))="n/a","n/a",R27-INDEX(tab_MinKomp[SystemR2PŁATNIK PRO: KADRY / Personaldaten],MATCH($B27,tab_MinKomp[[Stanowisko / Position ]:[Stanowisko / Position ]],0)))</f>
        <v>n/a</v>
      </c>
      <c r="S28" s="315" t="str">
        <f>IF(INDEX(tab_MinKomp[SYSTEM R2PŁATNIK PRO: zarządzanie pracownikami / Arbeitsverwaltung],MATCH($B27,tab_MinKomp[[Stanowisko / Position ]:[Stanowisko / Position ]],0))="n/a","n/a",S27-INDEX(tab_MinKomp[SYSTEM R2PŁATNIK PRO: zarządzanie pracownikami / Arbeitsverwaltung],MATCH($B27,tab_MinKomp[[Stanowisko / Position ]:[Stanowisko / Position ]],0)))</f>
        <v>n/a</v>
      </c>
      <c r="T28" s="315" t="str">
        <f>IF(INDEX(tab_MinKomp[Doradztwo, wsparcie personalne / Personalberatung und Unterstützung],MATCH($B27,tab_MinKomp[[Stanowisko / Position ]:[Stanowisko / Position ]],0))="n/a","n/a",T27-INDEX(tab_MinKomp[Doradztwo, wsparcie personalne / Personalberatung und Unterstützung],MATCH($B27,tab_MinKomp[[Stanowisko / Position ]:[Stanowisko / Position ]],0)))</f>
        <v>n/a</v>
      </c>
      <c r="U28" s="315" t="str">
        <f>IF(INDEX(tab_MinKomp[Przepisy o podatku VAT / MwSt.- Gesetz],MATCH($B27,tab_MinKomp[[Stanowisko / Position ]:[Stanowisko / Position ]],0))="n/a","n/a",U27-INDEX(tab_MinKomp[Przepisy o podatku VAT / MwSt.- Gesetz],MATCH($B27,tab_MinKomp[[Stanowisko / Position ]:[Stanowisko / Position ]],0)))</f>
        <v>n/a</v>
      </c>
      <c r="V28" s="315" t="str">
        <f>IF(INDEX(tab_MinKomp[PrzepisyPDOP / geschäftlich Einkommensteuergesetz],MATCH($B27,tab_MinKomp[[Stanowisko / Position ]:[Stanowisko / Position ]],0))="n/a","n/a",V27-INDEX(tab_MinKomp[PrzepisyPDOP / geschäftlich Einkommensteuergesetz],MATCH($B27,tab_MinKomp[[Stanowisko / Position ]:[Stanowisko / Position ]],0)))</f>
        <v>n/a</v>
      </c>
      <c r="W28" s="315" t="str">
        <f>IF(INDEX(tab_MinKomp[System BAAN / FINANSE (FIBU)],MATCH($B27,tab_MinKomp[[Stanowisko / Position ]:[Stanowisko / Position ]],0))="n/a","n/a",W27-INDEX(tab_MinKomp[System BAAN / FINANSE (FIBU)],MATCH($B27,tab_MinKomp[[Stanowisko / Position ]:[Stanowisko / Position ]],0)))</f>
        <v>n/a</v>
      </c>
      <c r="X28" s="315" t="str">
        <f>IF(INDEX(tab_MinKomp[Systemy pomocnicze / Hilfssysteme(STOCKPROGRAM, KALK2000 etc.)],MATCH($B27,tab_MinKomp[[Stanowisko / Position ]:[Stanowisko / Position ]],0))="n/a","n/a",X27-INDEX(tab_MinKomp[Systemy pomocnicze / Hilfssysteme(STOCKPROGRAM, KALK2000 etc.)],MATCH($B27,tab_MinKomp[[Stanowisko / Position ]:[Stanowisko / Position ]],0)))</f>
        <v>n/a</v>
      </c>
      <c r="Y28" s="315" t="str">
        <f>IF(INDEX(tab_MinKomp[Polityka rachunkowości / Buchführungspolitik],MATCH($B27,tab_MinKomp[[Stanowisko / Position ]:[Stanowisko / Position ]],0))="n/a","n/a",Y27-INDEX(tab_MinKomp[Polityka rachunkowości / Buchführungspolitik],MATCH($B27,tab_MinKomp[[Stanowisko / Position ]:[Stanowisko / Position ]],0)))</f>
        <v>n/a</v>
      </c>
      <c r="Z28" s="315" t="str">
        <f>IF(INDEX(tab_MinKomp[Ustawa o rachunkowości / Rechnungslegungsgesetz],MATCH($B27,tab_MinKomp[[Stanowisko / Position ]:[Stanowisko / Position ]],0))="n/a","n/a",Z27-INDEX(tab_MinKomp[Ustawa o rachunkowości / Rechnungslegungsgesetz],MATCH($B27,tab_MinKomp[[Stanowisko / Position ]:[Stanowisko / Position ]],0)))</f>
        <v>n/a</v>
      </c>
      <c r="AA28" s="315" t="str">
        <f>IF(INDEX(tab_MinKomp[WORKFLOW - TS-100],MATCH($B27,tab_MinKomp[[Stanowisko / Position ]:[Stanowisko / Position ]],0))="n/a","n/a",AA27-INDEX(tab_MinKomp[WORKFLOW - TS-100],MATCH($B27,tab_MinKomp[[Stanowisko / Position ]:[Stanowisko / Position ]],0)))</f>
        <v>n/a</v>
      </c>
      <c r="AB28" s="315">
        <f>IF(INDEX(tab_MinKomp[WORKFLOW - SFMS],MATCH($B27,tab_MinKomp[[Stanowisko / Position ]:[Stanowisko / Position ]],0))="n/a","n/a",AB27-INDEX(tab_MinKomp[WORKFLOW - SFMS],MATCH($B27,tab_MinKomp[[Stanowisko / Position ]:[Stanowisko / Position ]],0)))</f>
        <v>0</v>
      </c>
      <c r="AC28" s="315">
        <f>IF(INDEX(tab_MinKomp[System ISO 9001:2015],MATCH($B27,tab_MinKomp[[Stanowisko / Position ]:[Stanowisko / Position ]],0))="n/a","n/a",AC27-INDEX(tab_MinKomp[System ISO 9001:2015],MATCH($B27,tab_MinKomp[[Stanowisko / Position ]:[Stanowisko / Position ]],0)))</f>
        <v>0</v>
      </c>
      <c r="AD28" s="315">
        <f>IF(INDEX(tab_MinKomp[System IATF 16949:2016],MATCH($B27,tab_MinKomp[[Stanowisko / Position ]:[Stanowisko / Position ]],0))="n/a","n/a",AD27-INDEX(tab_MinKomp[System IATF 16949:2016],MATCH($B27,tab_MinKomp[[Stanowisko / Position ]:[Stanowisko / Position ]],0)))</f>
        <v>0</v>
      </c>
      <c r="AE28" s="315">
        <f>IF(INDEX(tab_MinKomp[System ISO 14001:2015],MATCH($B27,tab_MinKomp[[Stanowisko / Position ]:[Stanowisko / Position ]],0))="n/a","n/a",AE27-INDEX(tab_MinKomp[System ISO 14001:2015],MATCH($B27,tab_MinKomp[[Stanowisko / Position ]:[Stanowisko / Position ]],0)))</f>
        <v>0</v>
      </c>
      <c r="AF28" s="315">
        <f>IF(INDEX(tab_MinKomp[System PN-N 18001:2004 / ISO 45001:2018],MATCH($B27,tab_MinKomp[[Stanowisko / Position ]:[Stanowisko / Position ]],0))="n/a","n/a",AF27-INDEX(tab_MinKomp[System PN-N 18001:2004 / ISO 45001:2018],MATCH($B27,tab_MinKomp[[Stanowisko / Position ]:[Stanowisko / Position ]],0)))</f>
        <v>0</v>
      </c>
      <c r="AG28" s="315">
        <f>IF(INDEX(tab_MinKomp[Wymagania VDA 6.3 Process / Forderungen],MATCH($B27,tab_MinKomp[[Stanowisko / Position ]:[Stanowisko / Position ]],0))="n/a","n/a",AG27-INDEX(tab_MinKomp[Wymagania VDA 6.3 Process / Forderungen],MATCH($B27,tab_MinKomp[[Stanowisko / Position ]:[Stanowisko / Position ]],0)))</f>
        <v>0</v>
      </c>
      <c r="AH28" s="315">
        <f>IF(INDEX(tab_MinKomp[Wymagania VDA 6.5 Product / Forderungen],MATCH($B27,tab_MinKomp[[Stanowisko / Position ]:[Stanowisko / Position ]],0))="n/a","n/a",AH27-INDEX(tab_MinKomp[Wymagania VDA 6.5 Product / Forderungen],MATCH($B27,tab_MinKomp[[Stanowisko / Position ]:[Stanowisko / Position ]],0)))</f>
        <v>0</v>
      </c>
      <c r="AI28" s="315" t="str">
        <f>IF(INDEX(tab_MinKomp[PSCR (VW Product Safety &amp; Conformity Representative)],MATCH($B27,tab_MinKomp[[Stanowisko / Position ]:[Stanowisko / Position ]],0))="n/a","n/a",AI27-INDEX(tab_MinKomp[PSCR (VW Product Safety &amp; Conformity Representative)],MATCH($B27,tab_MinKomp[[Stanowisko / Position ]:[Stanowisko / Position ]],0)))</f>
        <v>n/a</v>
      </c>
      <c r="AJ28" s="315" t="str">
        <f>IF(INDEX(tab_MinKomp[Auditor systemu ISO 17025:2018],MATCH($B27,tab_MinKomp[[Stanowisko / Position ]:[Stanowisko / Position ]],0))="n/a","n/a",AJ27-INDEX(tab_MinKomp[Auditor systemu ISO 17025:2018],MATCH($B27,tab_MinKomp[[Stanowisko / Position ]:[Stanowisko / Position ]],0)))</f>
        <v>n/a</v>
      </c>
      <c r="AK28" s="315" t="str">
        <f>IF(INDEX(tab_MinKomp[Pełnomocnik systemu / Systemvertreter],MATCH($B27,tab_MinKomp[[Stanowisko / Position ]:[Stanowisko / Position ]],0))="n/a","n/a",AK27-INDEX(tab_MinKomp[Pełnomocnik systemu / Systemvertreter],MATCH($B27,tab_MinKomp[[Stanowisko / Position ]:[Stanowisko / Position ]],0)))</f>
        <v>n/a</v>
      </c>
      <c r="AL28" s="315">
        <f>IF(INDEX(tab_MinKomp[Polityka Etyczna - Compliance],MATCH($B27,tab_MinKomp[[Stanowisko / Position ]:[Stanowisko / Position ]],0))="n/a","n/a",AL27-INDEX(tab_MinKomp[Polityka Etyczna - Compliance],MATCH($B27,tab_MinKomp[[Stanowisko / Position ]:[Stanowisko / Position ]],0)))</f>
        <v>0</v>
      </c>
      <c r="AM28" s="315">
        <f>IF(INDEX(tab_MinKomp[WDRAŻANIE NOWYCH PROJEKTÓW/ PROCEDURA CTM],MATCH($B27,tab_MinKomp[[Stanowisko / Position ]:[Stanowisko / Position ]],0))="n/a","n/a",AM27-INDEX(tab_MinKomp[WDRAŻANIE NOWYCH PROJEKTÓW/ PROCEDURA CTM],MATCH($B27,tab_MinKomp[[Stanowisko / Position ]:[Stanowisko / Position ]],0)))</f>
        <v>1</v>
      </c>
      <c r="AN28" s="315">
        <f>IF(INDEX(tab_MinKomp[KAMIENIE MILOWE MSL/PIFF],MATCH($B27,tab_MinKomp[[Stanowisko / Position ]:[Stanowisko / Position ]],0))="n/a","n/a",AN27-INDEX(tab_MinKomp[KAMIENIE MILOWE MSL/PIFF],MATCH($B27,tab_MinKomp[[Stanowisko / Position ]:[Stanowisko / Position ]],0)))</f>
        <v>0</v>
      </c>
      <c r="AO28" s="315">
        <f>IF(INDEX(tab_MinKomp[CP],MATCH($B27,tab_MinKomp[[Stanowisko / Position ]:[Stanowisko / Position ]],0))="n/a","n/a",AO27-INDEX(tab_MinKomp[CP],MATCH($B27,tab_MinKomp[[Stanowisko / Position ]:[Stanowisko / Position ]],0)))</f>
        <v>0</v>
      </c>
      <c r="AP28" s="315">
        <f>IF(INDEX(tab_MinKomp[FMEA],MATCH($B27,tab_MinKomp[[Stanowisko / Position ]:[Stanowisko / Position ]],0))="n/a","n/a",AP27-INDEX(tab_MinKomp[FMEA],MATCH($B27,tab_MinKomp[[Stanowisko / Position ]:[Stanowisko / Position ]],0)))</f>
        <v>0</v>
      </c>
      <c r="AQ28" s="315">
        <f>IF(INDEX(tab_MinKomp[FLOW CHART],MATCH($B27,tab_MinKomp[[Stanowisko / Position ]:[Stanowisko / Position ]],0))="n/a","n/a",AQ27-INDEX(tab_MinKomp[FLOW CHART],MATCH($B27,tab_MinKomp[[Stanowisko / Position ]:[Stanowisko / Position ]],0)))</f>
        <v>1</v>
      </c>
      <c r="AR28" s="315" t="str">
        <f>IF(INDEX(tab_MinKomp[APQP],MATCH($B27,tab_MinKomp[[Stanowisko / Position ]:[Stanowisko / Position ]],0))="n/a","n/a",AR27-INDEX(tab_MinKomp[APQP],MATCH($B27,tab_MinKomp[[Stanowisko / Position ]:[Stanowisko / Position ]],0)))</f>
        <v>n/a</v>
      </c>
      <c r="AS28" s="315">
        <f>IF(INDEX(tab_MinKomp[MSA],MATCH($B27,tab_MinKomp[[Stanowisko / Position ]:[Stanowisko / Position ]],0))="n/a","n/a",AS27-INDEX(tab_MinKomp[MSA],MATCH($B27,tab_MinKomp[[Stanowisko / Position ]:[Stanowisko / Position ]],0)))</f>
        <v>0</v>
      </c>
      <c r="AT28" s="315">
        <f>IF(INDEX(tab_MinKomp[SPC],MATCH($B27,tab_MinKomp[[Stanowisko / Position ]:[Stanowisko / Position ]],0))="n/a","n/a",AT27-INDEX(tab_MinKomp[SPC],MATCH($B27,tab_MinKomp[[Stanowisko / Position ]:[Stanowisko / Position ]],0)))</f>
        <v>0</v>
      </c>
      <c r="AU28" s="315">
        <f>IF(INDEX(tab_MinKomp[CSR (SPECYFICZNE WYMAGANIA KLIENTA)],MATCH($B27,tab_MinKomp[[Stanowisko / Position ]:[Stanowisko / Position ]],0))="n/a","n/a",AU27-INDEX(tab_MinKomp[CSR (SPECYFICZNE WYMAGANIA KLIENTA)],MATCH($B27,tab_MinKomp[[Stanowisko / Position ]:[Stanowisko / Position ]],0)))</f>
        <v>0</v>
      </c>
      <c r="AV28" s="315">
        <f>IF(INDEX(tab_MinKomp[5S],MATCH($B27,tab_MinKomp[[Stanowisko / Position ]:[Stanowisko / Position ]],0))="n/a","n/a",AV27-INDEX(tab_MinKomp[5S],MATCH($B27,tab_MinKomp[[Stanowisko / Position ]:[Stanowisko / Position ]],0)))</f>
        <v>1</v>
      </c>
      <c r="AW28" s="315">
        <f>IF(INDEX(tab_MinKomp[LEAN MANAGEMENT],MATCH($B27,tab_MinKomp[[Stanowisko / Position ]:[Stanowisko / Position ]],0))="n/a","n/a",AW27-INDEX(tab_MinKomp[LEAN MANAGEMENT],MATCH($B27,tab_MinKomp[[Stanowisko / Position ]:[Stanowisko / Position ]],0)))</f>
        <v>0</v>
      </c>
      <c r="AX28" s="315">
        <f>IF(INDEX(tab_MinKomp[5R],MATCH($B27,tab_MinKomp[[Stanowisko / Position ]:[Stanowisko / Position ]],0))="n/a","n/a",AX27-INDEX(tab_MinKomp[5R],MATCH($B27,tab_MinKomp[[Stanowisko / Position ]:[Stanowisko / Position ]],0)))</f>
        <v>0</v>
      </c>
      <c r="AY28" s="315" t="str">
        <f>IF(INDEX(tab_MinKomp[Six Sigma],MATCH($B27,tab_MinKomp[[Stanowisko / Position ]:[Stanowisko / Position ]],0))="n/a","n/a",AY27-INDEX(tab_MinKomp[Six Sigma],MATCH($B27,tab_MinKomp[[Stanowisko / Position ]:[Stanowisko / Position ]],0)))</f>
        <v>n/a</v>
      </c>
      <c r="AZ28" s="315">
        <f>IF(INDEX(tab_MinKomp[System BAAN / Distribution &amp; Supply Chain],MATCH($B27,tab_MinKomp[[Stanowisko / Position ]:[Stanowisko / Position ]],0))="n/a","n/a",AZ27-INDEX(tab_MinKomp[System BAAN / Distribution &amp; Supply Chain],MATCH($B27,tab_MinKomp[[Stanowisko / Position ]:[Stanowisko / Position ]],0)))</f>
        <v>0</v>
      </c>
      <c r="BA28" s="315" t="str">
        <f>IF(INDEX(tab_MinKomp[Gospodarka magazynowa / Lagerverwaltung],MATCH($B27,tab_MinKomp[[Stanowisko / Position ]:[Stanowisko / Position ]],0))="n/a","n/a",BA27-INDEX(tab_MinKomp[Gospodarka magazynowa / Lagerverwaltung],MATCH($B27,tab_MinKomp[[Stanowisko / Position ]:[Stanowisko / Position ]],0)))</f>
        <v>n/a</v>
      </c>
      <c r="BB28" s="315" t="str">
        <f>IF(INDEX(tab_MinKomp[Inwentaryzacja - organizacja i przebieg / Inventurprozess],MATCH($B27,tab_MinKomp[[Stanowisko / Position ]:[Stanowisko / Position ]],0))="n/a","n/a",BB27-INDEX(tab_MinKomp[Inwentaryzacja - organizacja i przebieg / Inventurprozess],MATCH($B27,tab_MinKomp[[Stanowisko / Position ]:[Stanowisko / Position ]],0)))</f>
        <v>n/a</v>
      </c>
      <c r="BC28" s="315" t="str">
        <f>IF(INDEX(tab_MinKomp[Organizacja dostaw / Versorgungsorganisation],MATCH($B27,tab_MinKomp[[Stanowisko / Position ]:[Stanowisko / Position ]],0))="n/a","n/a",BC27-INDEX(tab_MinKomp[Organizacja dostaw / Versorgungsorganisation],MATCH($B27,tab_MinKomp[[Stanowisko / Position ]:[Stanowisko / Position ]],0)))</f>
        <v>n/a</v>
      </c>
      <c r="BD28" s="315" t="str">
        <f>IF(INDEX(tab_MinKomp[Organizacja wysyłek / Organisation von Lieferungen],MATCH($B27,tab_MinKomp[[Stanowisko / Position ]:[Stanowisko / Position ]],0))="n/a","n/a",BD27-INDEX(tab_MinKomp[Organizacja wysyłek / Organisation von Lieferungen],MATCH($B27,tab_MinKomp[[Stanowisko / Position ]:[Stanowisko / Position ]],0)))</f>
        <v>n/a</v>
      </c>
      <c r="BE28" s="315">
        <f>IF(INDEX(tab_MinKomp[Analiza magazynowa - Program Polen.mdb / Inventuranalyse],MATCH($B27,tab_MinKomp[[Stanowisko / Position ]:[Stanowisko / Position ]],0))="n/a","n/a",BE27-INDEX(tab_MinKomp[Analiza magazynowa - Program Polen.mdb / Inventuranalyse],MATCH($B27,tab_MinKomp[[Stanowisko / Position ]:[Stanowisko / Position ]],0)))</f>
        <v>-1</v>
      </c>
      <c r="BF28" s="315" t="str">
        <f>IF(INDEX(tab_MinKomp[MMOG (Materials Management Operations Guidelines)],MATCH($B27,tab_MinKomp[[Stanowisko / Position ]:[Stanowisko / Position ]],0))="n/a","n/a",BF27-INDEX(tab_MinKomp[MMOG (Materials Management Operations Guidelines)],MATCH($B27,tab_MinKomp[[Stanowisko / Position ]:[Stanowisko / Position ]],0)))</f>
        <v>n/a</v>
      </c>
      <c r="BG28" s="315" t="str">
        <f>IF(INDEX(tab_MinKomp[DETC],MATCH($B27,tab_MinKomp[[Stanowisko / Position ]:[Stanowisko / Position ]],0))="n/a","n/a",BG27-INDEX(tab_MinKomp[DETC],MATCH($B27,tab_MinKomp[[Stanowisko / Position ]:[Stanowisko / Position ]],0)))</f>
        <v>n/a</v>
      </c>
      <c r="BH28" s="315" t="str">
        <f>IF(INDEX(tab_MinKomp[GPP],MATCH($B27,tab_MinKomp[[Stanowisko / Position ]:[Stanowisko / Position ]],0))="n/a","n/a",BH27-INDEX(tab_MinKomp[GPP],MATCH($B27,tab_MinKomp[[Stanowisko / Position ]:[Stanowisko / Position ]],0)))</f>
        <v>n/a</v>
      </c>
      <c r="BI28" s="315" t="str">
        <f>IF(INDEX(tab_MinKomp[AIAG (Automotive Industry Action Group)],MATCH($B27,tab_MinKomp[[Stanowisko / Position ]:[Stanowisko / Position ]],0))="n/a","n/a",BI27-INDEX(tab_MinKomp[AIAG (Automotive Industry Action Group)],MATCH($B27,tab_MinKomp[[Stanowisko / Position ]:[Stanowisko / Position ]],0)))</f>
        <v>n/a</v>
      </c>
      <c r="BJ28" s="315" t="str">
        <f>IF(INDEX(tab_MinKomp[Super-G disputes],MATCH($B27,tab_MinKomp[[Stanowisko / Position ]:[Stanowisko / Position ]],0))="n/a","n/a",BJ27-INDEX(tab_MinKomp[Super-G disputes],MATCH($B27,tab_MinKomp[[Stanowisko / Position ]:[Stanowisko / Position ]],0)))</f>
        <v>n/a</v>
      </c>
      <c r="BK28" s="315" t="str">
        <f>IF(INDEX(tab_MinKomp[CMMS3/eDDL (Direct Data Link)],MATCH($B27,tab_MinKomp[[Stanowisko / Position ]:[Stanowisko / Position ]],0))="n/a","n/a",BK27-INDEX(tab_MinKomp[CMMS3/eDDL (Direct Data Link)],MATCH($B27,tab_MinKomp[[Stanowisko / Position ]:[Stanowisko / Position ]],0)))</f>
        <v>n/a</v>
      </c>
      <c r="BL28" s="315" t="str">
        <f>IF(INDEX(tab_MinKomp[MP&amp;L (Material Planning and Logistics)],MATCH($B27,tab_MinKomp[[Stanowisko / Position ]:[Stanowisko / Position ]],0))="n/a","n/a",BL27-INDEX(tab_MinKomp[MP&amp;L (Material Planning and Logistics)],MATCH($B27,tab_MinKomp[[Stanowisko / Position ]:[Stanowisko / Position ]],0)))</f>
        <v>n/a</v>
      </c>
      <c r="BM28" s="315" t="str">
        <f>IF(INDEX(tab_MinKomp[Planowanie produkcji / Produktionsplanung],MATCH($B27,tab_MinKomp[[Stanowisko / Position ]:[Stanowisko / Position ]],0))="n/a","n/a",BM27-INDEX(tab_MinKomp[Planowanie produkcji / Produktionsplanung],MATCH($B27,tab_MinKomp[[Stanowisko / Position ]:[Stanowisko / Position ]],0)))</f>
        <v>n/a</v>
      </c>
      <c r="BN28" s="315" t="str">
        <f>IF(INDEX(tab_MinKomp[Obsługa maszyn Engel / Engel Maschinenbedienung],MATCH($B27,tab_MinKomp[[Stanowisko / Position ]:[Stanowisko / Position ]],0))="n/a","n/a",BN27-INDEX(tab_MinKomp[Obsługa maszyn Engel / Engel Maschinenbedienung],MATCH($B27,tab_MinKomp[[Stanowisko / Position ]:[Stanowisko / Position ]],0)))</f>
        <v>n/a</v>
      </c>
      <c r="BO28" s="315" t="str">
        <f>IF(INDEX(tab_MinKomp[Obsługa maszyn Novapax / Novapax Maschinenbedienung],MATCH($B27,tab_MinKomp[[Stanowisko / Position ]:[Stanowisko / Position ]],0))="n/a","n/a",BO27-INDEX(tab_MinKomp[Obsługa maszyn Novapax / Novapax Maschinenbedienung],MATCH($B27,tab_MinKomp[[Stanowisko / Position ]:[Stanowisko / Position ]],0)))</f>
        <v>n/a</v>
      </c>
      <c r="BP28" s="315" t="str">
        <f>IF(INDEX(tab_MinKomp[Obsługa maszyn KVT / KVT Maschinenbedienung],MATCH($B27,tab_MinKomp[[Stanowisko / Position ]:[Stanowisko / Position ]],0))="n/a","n/a",BP27-INDEX(tab_MinKomp[Obsługa maszyn KVT / KVT Maschinenbedienung],MATCH($B27,tab_MinKomp[[Stanowisko / Position ]:[Stanowisko / Position ]],0)))</f>
        <v>n/a</v>
      </c>
      <c r="BQ28" s="315" t="str">
        <f>IF(INDEX(tab_MinKomp[Obsługa maszyn ASL / ASL Maschinenbedienung],MATCH($B27,tab_MinKomp[[Stanowisko / Position ]:[Stanowisko / Position ]],0))="n/a","n/a",BQ27-INDEX(tab_MinKomp[Obsługa maszyn ASL / ASL Maschinenbedienung],MATCH($B27,tab_MinKomp[[Stanowisko / Position ]:[Stanowisko / Position ]],0)))</f>
        <v>n/a</v>
      </c>
      <c r="BR28" s="315" t="str">
        <f>IF(INDEX(tab_MinKomp[Obsługa maszyn Branson / Branson Maschinenbedienung],MATCH($B27,tab_MinKomp[[Stanowisko / Position ]:[Stanowisko / Position ]],0))="n/a","n/a",BR27-INDEX(tab_MinKomp[Obsługa maszyn Branson / Branson Maschinenbedienung],MATCH($B27,tab_MinKomp[[Stanowisko / Position ]:[Stanowisko / Position ]],0)))</f>
        <v>n/a</v>
      </c>
      <c r="BS28" s="315" t="str">
        <f>IF(INDEX(tab_MinKomp[Obsługa maszyn Kamtec / Kamtec Maschinenbedienung],MATCH($B27,tab_MinKomp[[Stanowisko / Position ]:[Stanowisko / Position ]],0))="n/a","n/a",BS27-INDEX(tab_MinKomp[Obsługa maszyn Kamtec / Kamtec Maschinenbedienung],MATCH($B27,tab_MinKomp[[Stanowisko / Position ]:[Stanowisko / Position ]],0)))</f>
        <v>n/a</v>
      </c>
      <c r="BT28" s="315" t="str">
        <f>IF(INDEX(tab_MinKomp[Obsługa maszyn Piovan / Piovan Maschinenbedienung],MATCH($B27,tab_MinKomp[[Stanowisko / Position ]:[Stanowisko / Position ]],0))="n/a","n/a",BT27-INDEX(tab_MinKomp[Obsługa maszyn Piovan / Piovan Maschinenbedienung],MATCH($B27,tab_MinKomp[[Stanowisko / Position ]:[Stanowisko / Position ]],0)))</f>
        <v>n/a</v>
      </c>
      <c r="BU28" s="315" t="str">
        <f>IF(INDEX(tab_MinKomp[Obsługa maszyn REP / REP Maschinenbedienung],MATCH($B27,tab_MinKomp[[Stanowisko / Position ]:[Stanowisko / Position ]],0))="n/a","n/a",BU27-INDEX(tab_MinKomp[Obsługa maszyn REP / REP Maschinenbedienung],MATCH($B27,tab_MinKomp[[Stanowisko / Position ]:[Stanowisko / Position ]],0)))</f>
        <v>n/a</v>
      </c>
      <c r="BV28" s="315" t="str">
        <f>IF(INDEX(tab_MinKomp[Eliminacja awarii / Beseitigung von Ausfällen],MATCH($B27,tab_MinKomp[[Stanowisko / Position ]:[Stanowisko / Position ]],0))="n/a","n/a",BV27-INDEX(tab_MinKomp[Eliminacja awarii / Beseitigung von Ausfällen],MATCH($B27,tab_MinKomp[[Stanowisko / Position ]:[Stanowisko / Position ]],0)))</f>
        <v>n/a</v>
      </c>
      <c r="BW28" s="315" t="str">
        <f>IF(INDEX(tab_MinKomp[Informatyka ogólna (techniczne i systemowe) / Allgemeine IT (Technik und System)],MATCH($B27,tab_MinKomp[[Stanowisko / Position ]:[Stanowisko / Position ]],0))="n/a","n/a",BW27-INDEX(tab_MinKomp[Informatyka ogólna (techniczne i systemowe) / Allgemeine IT (Technik und System)],MATCH($B27,tab_MinKomp[[Stanowisko / Position ]:[Stanowisko / Position ]],0)))</f>
        <v>n/a</v>
      </c>
      <c r="BX28" s="315" t="str">
        <f>IF(INDEX(tab_MinKomp[Sieci komputerowe / Computernetzwerke],MATCH($B27,tab_MinKomp[[Stanowisko / Position ]:[Stanowisko / Position ]],0))="n/a","n/a",BX27-INDEX(tab_MinKomp[Sieci komputerowe / Computernetzwerke],MATCH($B27,tab_MinKomp[[Stanowisko / Position ]:[Stanowisko / Position ]],0)))</f>
        <v>n/a</v>
      </c>
      <c r="BY28" s="315" t="str">
        <f>IF(INDEX(tab_MinKomp[Hardware (komputery PC, drukarki biurowe i etykietowe, telefonia stacjonarna i mobilna) (PC, Drucker, Telefpne, Handys)],MATCH($B27,tab_MinKomp[[Stanowisko / Position ]:[Stanowisko / Position ]],0))="n/a","n/a",BY27-INDEX(tab_MinKomp[Hardware (komputery PC, drukarki biurowe i etykietowe, telefonia stacjonarna i mobilna) (PC, Drucker, Telefpne, Handys)],MATCH($B27,tab_MinKomp[[Stanowisko / Position ]:[Stanowisko / Position ]],0)))</f>
        <v>n/a</v>
      </c>
      <c r="BZ28" s="315" t="str">
        <f>IF(INDEX(tab_MinKomp[Software &amp; Systems (MS Office, MS Remote Desktop)],MATCH($B27,tab_MinKomp[[Stanowisko / Position ]:[Stanowisko / Position ]],0))="n/a","n/a",BZ27-INDEX(tab_MinKomp[Software &amp; Systems (MS Office, MS Remote Desktop)],MATCH($B27,tab_MinKomp[[Stanowisko / Position ]:[Stanowisko / Position ]],0)))</f>
        <v>n/a</v>
      </c>
      <c r="CA28" s="315" t="str">
        <f>IF(INDEX(tab_MinKomp[Programowanie obiektowe (PHP) / Objektprogrammierung],MATCH($B27,tab_MinKomp[[Stanowisko / Position ]:[Stanowisko / Position ]],0))="n/a","n/a",CA27-INDEX(tab_MinKomp[Programowanie obiektowe (PHP) / Objektprogrammierung],MATCH($B27,tab_MinKomp[[Stanowisko / Position ]:[Stanowisko / Position ]],0)))</f>
        <v>n/a</v>
      </c>
      <c r="CB28" s="315" t="str">
        <f>IF(INDEX(tab_MinKomp[Scrum],MATCH($B27,tab_MinKomp[[Stanowisko / Position ]:[Stanowisko / Position ]],0))="n/a","n/a",CB27-INDEX(tab_MinKomp[Scrum],MATCH($B27,tab_MinKomp[[Stanowisko / Position ]:[Stanowisko / Position ]],0)))</f>
        <v>n/a</v>
      </c>
      <c r="CC28" s="315" t="str">
        <f>IF(INDEX(tab_MinKomp[SQL (MySQL)],MATCH($B27,tab_MinKomp[[Stanowisko / Position ]:[Stanowisko / Position ]],0))="n/a","n/a",CC27-INDEX(tab_MinKomp[SQL (MySQL)],MATCH($B27,tab_MinKomp[[Stanowisko / Position ]:[Stanowisko / Position ]],0)))</f>
        <v>n/a</v>
      </c>
      <c r="CD28" s="315" t="str">
        <f>IF(INDEX(tab_MinKomp[Javascript],MATCH($B27,tab_MinKomp[[Stanowisko / Position ]:[Stanowisko / Position ]],0))="n/a","n/a",CD27-INDEX(tab_MinKomp[Javascript],MATCH($B27,tab_MinKomp[[Stanowisko / Position ]:[Stanowisko / Position ]],0)))</f>
        <v>n/a</v>
      </c>
      <c r="CE28" s="315" t="str">
        <f>IF(INDEX(tab_MinKomp[Joomla],MATCH($B27,tab_MinKomp[[Stanowisko / Position ]:[Stanowisko / Position ]],0))="n/a","n/a",CE27-INDEX(tab_MinKomp[Joomla],MATCH($B27,tab_MinKomp[[Stanowisko / Position ]:[Stanowisko / Position ]],0)))</f>
        <v>n/a</v>
      </c>
      <c r="CF28" s="315" t="str">
        <f>IF(INDEX(tab_MinKomp[Bash],MATCH($B27,tab_MinKomp[[Stanowisko / Position ]:[Stanowisko / Position ]],0))="n/a","n/a",CF27-INDEX(tab_MinKomp[Bash],MATCH($B27,tab_MinKomp[[Stanowisko / Position ]:[Stanowisko / Position ]],0)))</f>
        <v>n/a</v>
      </c>
      <c r="CG28" s="315" t="str">
        <f>IF(INDEX(tab_MinKomp[Systemy MES (HYDRA / SFMS)],MATCH($B27,tab_MinKomp[[Stanowisko / Position ]:[Stanowisko / Position ]],0))="n/a","n/a",CG27-INDEX(tab_MinKomp[Systemy MES (HYDRA / SFMS)],MATCH($B27,tab_MinKomp[[Stanowisko / Position ]:[Stanowisko / Position ]],0)))</f>
        <v>n/a</v>
      </c>
      <c r="CH28" s="315" t="str">
        <f>IF(INDEX(tab_MinKomp[HTML / CSS],MATCH($B27,tab_MinKomp[[Stanowisko / Position ]:[Stanowisko / Position ]],0))="n/a","n/a",CH27-INDEX(tab_MinKomp[HTML / CSS],MATCH($B27,tab_MinKomp[[Stanowisko / Position ]:[Stanowisko / Position ]],0)))</f>
        <v>n/a</v>
      </c>
      <c r="CI28" s="315">
        <f>IF(INDEX(tab_MinKomp[SYSTEM PR],MATCH($B27,tab_MinKomp[[Stanowisko / Position ]:[Stanowisko / Position ]],0))="n/a","n/a",CI27-INDEX(tab_MinKomp[SYSTEM PR],MATCH($B27,tab_MinKomp[[Stanowisko / Position ]:[Stanowisko / Position ]],0)))</f>
        <v>1</v>
      </c>
      <c r="CJ28" s="315" t="str">
        <f>IF(INDEX(tab_MinKomp[System Einkauf XP / EBA],MATCH($B27,tab_MinKomp[[Stanowisko / Position ]:[Stanowisko / Position ]],0))="n/a","n/a",CJ27-INDEX(tab_MinKomp[System Einkauf XP / EBA],MATCH($B27,tab_MinKomp[[Stanowisko / Position ]:[Stanowisko / Position ]],0)))</f>
        <v>n/a</v>
      </c>
      <c r="CK28" s="315" t="str">
        <f>IF(INDEX(tab_MinKomp[Techniki negocjacyjne / Verhandlungstechniken],MATCH($B27,tab_MinKomp[[Stanowisko / Position ]:[Stanowisko / Position ]],0))="n/a","n/a",CK27-INDEX(tab_MinKomp[Techniki negocjacyjne / Verhandlungstechniken],MATCH($B27,tab_MinKomp[[Stanowisko / Position ]:[Stanowisko / Position ]],0)))</f>
        <v>n/a</v>
      </c>
      <c r="CL28" s="315" t="str">
        <f>IF(INDEX(tab_MinKomp[Znajomość rynku branżowego / Kenntnis des Industrie Marktes],MATCH($B27,tab_MinKomp[[Stanowisko / Position ]:[Stanowisko / Position ]],0))="n/a","n/a",CL27-INDEX(tab_MinKomp[Znajomość rynku branżowego / Kenntnis des Industrie Marktes],MATCH($B27,tab_MinKomp[[Stanowisko / Position ]:[Stanowisko / Position ]],0)))</f>
        <v>n/a</v>
      </c>
      <c r="CM28" s="315" t="str">
        <f>IF(INDEX(tab_MinKomp[RAPORTY 8D / 8D Berichten],MATCH($B27,tab_MinKomp[[Stanowisko / Position ]:[Stanowisko / Position ]],0))="n/a","n/a",CM27-INDEX(tab_MinKomp[RAPORTY 8D / 8D Berichten],MATCH($B27,tab_MinKomp[[Stanowisko / Position ]:[Stanowisko / Position ]],0)))</f>
        <v>n/a</v>
      </c>
      <c r="CN28" s="315">
        <f>IF(INDEX(tab_MinKomp[NARZĘDZIA JAKOŚCIOWE (5WHY, Ishikawa, etc) / QS-Werkzeuge],MATCH($B27,tab_MinKomp[[Stanowisko / Position ]:[Stanowisko / Position ]],0))="n/a","n/a",CN27-INDEX(tab_MinKomp[NARZĘDZIA JAKOŚCIOWE (5WHY, Ishikawa, etc) / QS-Werkzeuge],MATCH($B27,tab_MinKomp[[Stanowisko / Position ]:[Stanowisko / Position ]],0)))</f>
        <v>0</v>
      </c>
      <c r="CO28" s="315">
        <f>IF(INDEX(tab_MinKomp[PDCA],MATCH($B27,tab_MinKomp[[Stanowisko / Position ]:[Stanowisko / Position ]],0))="n/a","n/a",CO27-INDEX(tab_MinKomp[PDCA],MATCH($B27,tab_MinKomp[[Stanowisko / Position ]:[Stanowisko / Position ]],0)))</f>
        <v>0</v>
      </c>
      <c r="CP28" s="315">
        <f>IF(INDEX(tab_MinKomp[Pareto],MATCH($B27,tab_MinKomp[[Stanowisko / Position ]:[Stanowisko / Position ]],0))="n/a","n/a",CP27-INDEX(tab_MinKomp[Pareto],MATCH($B27,tab_MinKomp[[Stanowisko / Position ]:[Stanowisko / Position ]],0)))</f>
        <v>0</v>
      </c>
      <c r="CQ28" s="315">
        <f>IF(INDEX(tab_MinKomp[PPAP/PSW],MATCH($B27,tab_MinKomp[[Stanowisko / Position ]:[Stanowisko / Position ]],0))="n/a","n/a",CQ27-INDEX(tab_MinKomp[PPAP/PSW],MATCH($B27,tab_MinKomp[[Stanowisko / Position ]:[Stanowisko / Position ]],0)))</f>
        <v>0</v>
      </c>
      <c r="CR28" s="315" t="str">
        <f>IF(INDEX(tab_MinKomp[SUPPLIER MANAGEMENT],MATCH($B27,tab_MinKomp[[Stanowisko / Position ]:[Stanowisko / Position ]],0))="n/a","n/a",CR27-INDEX(tab_MinKomp[SUPPLIER MANAGEMENT],MATCH($B27,tab_MinKomp[[Stanowisko / Position ]:[Stanowisko / Position ]],0)))</f>
        <v>n/a</v>
      </c>
      <c r="CS28" s="315" t="str">
        <f>IF(INDEX(tab_MinKomp[OBSŁUGA PORTALI KLIENTA / Kundenportale],MATCH($B27,tab_MinKomp[[Stanowisko / Position ]:[Stanowisko / Position ]],0))="n/a","n/a",CS27-INDEX(tab_MinKomp[OBSŁUGA PORTALI KLIENTA / Kundenportale],MATCH($B27,tab_MinKomp[[Stanowisko / Position ]:[Stanowisko / Position ]],0)))</f>
        <v>n/a</v>
      </c>
      <c r="CT28" s="315">
        <f>IF(INDEX(tab_MinKomp[Obsługa systemu BABTECQ / BABTECQ System],MATCH($B27,tab_MinKomp[[Stanowisko / Position ]:[Stanowisko / Position ]],0))="n/a","n/a",CT27-INDEX(tab_MinKomp[Obsługa systemu BABTECQ / BABTECQ System],MATCH($B27,tab_MinKomp[[Stanowisko / Position ]:[Stanowisko / Position ]],0)))</f>
        <v>1</v>
      </c>
      <c r="CU28" s="315">
        <f>IF(INDEX(tab_MinKomp[Rysunek techniczny / technische Zeichnung],MATCH($B27,tab_MinKomp[[Stanowisko / Position ]:[Stanowisko / Position ]],0))="n/a","n/a",CU27-INDEX(tab_MinKomp[Rysunek techniczny / technische Zeichnung],MATCH($B27,tab_MinKomp[[Stanowisko / Position ]:[Stanowisko / Position ]],0)))</f>
        <v>1</v>
      </c>
      <c r="CV28" s="315">
        <f>IF(INDEX(tab_MinKomp[Kalibracja / Kalibrierung],MATCH($B27,tab_MinKomp[[Stanowisko / Position ]:[Stanowisko / Position ]],0))="n/a","n/a",CV27-INDEX(tab_MinKomp[Kalibracja / Kalibrierung],MATCH($B27,tab_MinKomp[[Stanowisko / Position ]:[Stanowisko / Position ]],0)))</f>
        <v>1</v>
      </c>
      <c r="CW28" s="315">
        <f>IF(INDEX(tab_MinKomp[Rekwalifikacja / Requalifizierung],MATCH($B27,tab_MinKomp[[Stanowisko / Position ]:[Stanowisko / Position ]],0))="n/a","n/a",CW27-INDEX(tab_MinKomp[Rekwalifikacja / Requalifizierung],MATCH($B27,tab_MinKomp[[Stanowisko / Position ]:[Stanowisko / Position ]],0)))</f>
        <v>1</v>
      </c>
      <c r="CX28" s="315">
        <f>IF(INDEX(tab_MinKomp[Obsługa mikroskopu optycznego / Bedienung eines optischen Mikroskops],MATCH($B27,tab_MinKomp[[Stanowisko / Position ]:[Stanowisko / Position ]],0))="n/a","n/a",CX27-INDEX(tab_MinKomp[Obsługa mikroskopu optycznego / Bedienung eines optischen Mikroskops],MATCH($B27,tab_MinKomp[[Stanowisko / Position ]:[Stanowisko / Position ]],0)))</f>
        <v>1</v>
      </c>
      <c r="CY28" s="315">
        <f>IF(INDEX(tab_MinKomp[Wykonywanie pomiarów optycznych - ocena wizualna / Optische Messungen durchführen – visuelle Beurteilung],MATCH($B27,tab_MinKomp[[Stanowisko / Position ]:[Stanowisko / Position ]],0))="n/a","n/a",CY27-INDEX(tab_MinKomp[Wykonywanie pomiarów optycznych - ocena wizualna / Optische Messungen durchführen – visuelle Beurteilung],MATCH($B27,tab_MinKomp[[Stanowisko / Position ]:[Stanowisko / Position ]],0)))</f>
        <v>1</v>
      </c>
      <c r="CZ28" s="315">
        <f>IF(INDEX(tab_MinKomp[Obsługa Rheometra / Rheometra-Unterstützung],MATCH($B27,tab_MinKomp[[Stanowisko / Position ]:[Stanowisko / Position ]],0))="n/a","n/a",CZ27-INDEX(tab_MinKomp[Obsługa Rheometra / Rheometra-Unterstützung],MATCH($B27,tab_MinKomp[[Stanowisko / Position ]:[Stanowisko / Position ]],0)))</f>
        <v>1</v>
      </c>
      <c r="DA28" s="315">
        <f>IF(INDEX(tab_MinKomp[Testy właściwości Rheometra mieszanki gumy],MATCH($B27,tab_MinKomp[[Stanowisko / Position ]:[Stanowisko / Position ]],0))="n/a","n/a",DA27-INDEX(tab_MinKomp[Testy właściwości Rheometra mieszanki gumy],MATCH($B27,tab_MinKomp[[Stanowisko / Position ]:[Stanowisko / Position ]],0)))</f>
        <v>1</v>
      </c>
      <c r="DB28" s="315">
        <f>IF(INDEX(tab_MinKomp[CMM - Contura Zeiss],MATCH($B27,tab_MinKomp[[Stanowisko / Position ]:[Stanowisko / Position ]],0))="n/a","n/a",DB27-INDEX(tab_MinKomp[CMM - Contura Zeiss],MATCH($B27,tab_MinKomp[[Stanowisko / Position ]:[Stanowisko / Position ]],0)))</f>
        <v>1</v>
      </c>
      <c r="DC28" s="315">
        <f>IF(INDEX(tab_MinKomp[Wykonywanie precyzyjnych pomiarów metrycznych, pomiary 3D],MATCH($B27,tab_MinKomp[[Stanowisko / Position ]:[Stanowisko / Position ]],0))="n/a","n/a",DC27-INDEX(tab_MinKomp[Wykonywanie precyzyjnych pomiarów metrycznych, pomiary 3D],MATCH($B27,tab_MinKomp[[Stanowisko / Position ]:[Stanowisko / Position ]],0)))</f>
        <v>1</v>
      </c>
      <c r="DD28" s="315">
        <f>IF(INDEX(tab_MinKomp[Pisanie programów / Programme schreiben],MATCH($B27,tab_MinKomp[[Stanowisko / Position ]:[Stanowisko / Position ]],0))="n/a","n/a",DD27-INDEX(tab_MinKomp[Pisanie programów / Programme schreiben],MATCH($B27,tab_MinKomp[[Stanowisko / Position ]:[Stanowisko / Position ]],0)))</f>
        <v>1</v>
      </c>
      <c r="DE28" s="315" t="str">
        <f>IF(INDEX(tab_MinKomp[Obsługa wyposażenia do testów czystości (myjka + analizator) / Betrieb von Sauberkeitsprüfgeräten (Waschmaschine + Analysegerät)],MATCH($B27,tab_MinKomp[[Stanowisko / Position ]:[Stanowisko / Position ]],0))="n/a","n/a",DE27-INDEX(tab_MinKomp[Obsługa wyposażenia do testów czystości (myjka + analizator) / Betrieb von Sauberkeitsprüfgeräten (Waschmaschine + Analysegerät)],MATCH($B27,tab_MinKomp[[Stanowisko / Position ]:[Stanowisko / Position ]],0)))</f>
        <v>n/a</v>
      </c>
      <c r="DF28" s="315" t="str">
        <f>IF(INDEX(tab_MinKomp[Testy czystości / Reinheitstests],MATCH($B27,tab_MinKomp[[Stanowisko / Position ]:[Stanowisko / Position ]],0))="n/a","n/a",DF27-INDEX(tab_MinKomp[Testy czystości / Reinheitstests],MATCH($B27,tab_MinKomp[[Stanowisko / Position ]:[Stanowisko / Position ]],0)))</f>
        <v>n/a</v>
      </c>
      <c r="DG28" s="315">
        <f>IF(INDEX(tab_MinKomp[Obsługa wysokościomierza / Unterstützung für Höhenmesser],MATCH($B27,tab_MinKomp[[Stanowisko / Position ]:[Stanowisko / Position ]],0))="n/a","n/a",DG27-INDEX(tab_MinKomp[Obsługa wysokościomierza / Unterstützung für Höhenmesser],MATCH($B27,tab_MinKomp[[Stanowisko / Position ]:[Stanowisko / Position ]],0)))</f>
        <v>1</v>
      </c>
      <c r="DH28" s="315">
        <f>IF(INDEX(tab_MinKomp[Pomiary wysokości materiału / Materialhöhenmessungen],MATCH($B27,tab_MinKomp[[Stanowisko / Position ]:[Stanowisko / Position ]],0))="n/a","n/a",DH27-INDEX(tab_MinKomp[Pomiary wysokości materiału / Materialhöhenmessungen],MATCH($B27,tab_MinKomp[[Stanowisko / Position ]:[Stanowisko / Position ]],0)))</f>
        <v>1</v>
      </c>
      <c r="DI28" s="315">
        <f>IF(INDEX(tab_MinKomp[Obsługa okrągłościomierza / Unterstützung für Rundheitsmessgeräte],MATCH($B27,tab_MinKomp[[Stanowisko / Position ]:[Stanowisko / Position ]],0))="n/a","n/a",DI27-INDEX(tab_MinKomp[Obsługa okrągłościomierza / Unterstützung für Rundheitsmessgeräte],MATCH($B27,tab_MinKomp[[Stanowisko / Position ]:[Stanowisko / Position ]],0)))</f>
        <v>1</v>
      </c>
      <c r="DJ28" s="315">
        <f>IF(INDEX(tab_MinKomp[Wykonywania pomiarów owalności, srednicy materiału / Messung der Ovalität und des Durchmessers des Materials],MATCH($B27,tab_MinKomp[[Stanowisko / Position ]:[Stanowisko / Position ]],0))="n/a","n/a",DJ27-INDEX(tab_MinKomp[Wykonywania pomiarów owalności, srednicy materiału / Messung der Ovalität und des Durchmessers des Materials],MATCH($B27,tab_MinKomp[[Stanowisko / Position ]:[Stanowisko / Position ]],0)))</f>
        <v>1</v>
      </c>
      <c r="DK28" s="315">
        <f>IF(INDEX(tab_MinKomp[Obsługa urządzenia do pomiarów chropowoatości powierzchni materiału],MATCH($B27,tab_MinKomp[[Stanowisko / Position ]:[Stanowisko / Position ]],0))="n/a","n/a",DK27-INDEX(tab_MinKomp[Obsługa urządzenia do pomiarów chropowoatości powierzchni materiału],MATCH($B27,tab_MinKomp[[Stanowisko / Position ]:[Stanowisko / Position ]],0)))</f>
        <v>1</v>
      </c>
      <c r="DL28" s="315">
        <f>IF(INDEX(tab_MinKomp[Wykonywanie pomiarów chropowatości powierzchni materiału / Durchführung von Messungen der Materialoberflächenrauheit],MATCH($B27,tab_MinKomp[[Stanowisko / Position ]:[Stanowisko / Position ]],0))="n/a","n/a",DL27-INDEX(tab_MinKomp[Wykonywanie pomiarów chropowatości powierzchni materiału / Durchführung von Messungen der Materialoberflächenrauheit],MATCH($B27,tab_MinKomp[[Stanowisko / Position ]:[Stanowisko / Position ]],0)))</f>
        <v>1</v>
      </c>
      <c r="DM28" s="315">
        <f>IF(INDEX(tab_MinKomp[Obsługa urządzenia do pomiaru siły radialnej części - postępowanie z trzpieniami. / Funktionsweise des Geräts zur Messung der Radialkraft von Teilen – Handhabungsstifte.],MATCH($B27,tab_MinKomp[[Stanowisko / Position ]:[Stanowisko / Position ]],0))="n/a","n/a",DM27-INDEX(tab_MinKomp[Obsługa urządzenia do pomiaru siły radialnej części - postępowanie z trzpieniami. / Funktionsweise des Geräts zur Messung der Radialkraft von Teilen – Handhabungsstifte.],MATCH($B27,tab_MinKomp[[Stanowisko / Position ]:[Stanowisko / Position ]],0)))</f>
        <v>1</v>
      </c>
      <c r="DN28" s="315">
        <f>IF(INDEX(tab_MinKomp[Wykonywanie pomiarów siły radialnej części / Führen Sie Radialkraftmessungen an Teilen durch],MATCH($B27,tab_MinKomp[[Stanowisko / Position ]:[Stanowisko / Position ]],0))="n/a","n/a",DN27-INDEX(tab_MinKomp[Wykonywanie pomiarów siły radialnej części / Führen Sie Radialkraftmessungen an Teilen durch],MATCH($B27,tab_MinKomp[[Stanowisko / Position ]:[Stanowisko / Position ]],0)))</f>
        <v>1</v>
      </c>
      <c r="DO28" s="315">
        <f>IF(INDEX(tab_MinKomp[Obsługa komory do testów wybuchwych / Betrieb einer Explosionsprüfkammer],MATCH($B27,tab_MinKomp[[Stanowisko / Position ]:[Stanowisko / Position ]],0))="n/a","n/a",DO27-INDEX(tab_MinKomp[Obsługa komory do testów wybuchwych / Betrieb einer Explosionsprüfkammer],MATCH($B27,tab_MinKomp[[Stanowisko / Position ]:[Stanowisko / Position ]],0)))</f>
        <v>1</v>
      </c>
      <c r="DP28" s="315">
        <f>IF(INDEX(tab_MinKomp[Wykonywanie testów wybuchowych części / Durchführung von Explosionstests an Teilen],MATCH($B27,tab_MinKomp[[Stanowisko / Position ]:[Stanowisko / Position ]],0))="n/a","n/a",DP27-INDEX(tab_MinKomp[Wykonywanie testów wybuchowych części / Durchführung von Explosionstests an Teilen],MATCH($B27,tab_MinKomp[[Stanowisko / Position ]:[Stanowisko / Position ]],0)))</f>
        <v>1</v>
      </c>
      <c r="DQ28" s="315">
        <f>IF(INDEX(tab_MinKomp[Obsługa urządzeń do mierzenia siły trzymania i/lub rozciągania / Betrieb von Geräten zur Messung der Halte- und/oder Dehnkraft],MATCH($B27,tab_MinKomp[[Stanowisko / Position ]:[Stanowisko / Position ]],0))="n/a","n/a",DQ27-INDEX(tab_MinKomp[Obsługa urządzeń do mierzenia siły trzymania i/lub rozciągania / Betrieb von Geräten zur Messung der Halte- und/oder Dehnkraft],MATCH($B27,tab_MinKomp[[Stanowisko / Position ]:[Stanowisko / Position ]],0)))</f>
        <v>1</v>
      </c>
      <c r="DR28" s="315">
        <f>IF(INDEX(tab_MinKomp[Wykonywanie testów mierzenia siły trzymania i/lub rozciągania / Durchführung von Tests zur Messung der Halte- und/oder Streckkraft],MATCH($B27,tab_MinKomp[[Stanowisko / Position ]:[Stanowisko / Position ]],0))="n/a","n/a",DR27-INDEX(tab_MinKomp[Wykonywanie testów mierzenia siły trzymania i/lub rozciągania / Durchführung von Tests zur Messung der Halte- und/oder Streckkraft],MATCH($B27,tab_MinKomp[[Stanowisko / Position ]:[Stanowisko / Position ]],0)))</f>
        <v>1</v>
      </c>
      <c r="DS28" s="315">
        <f>IF(INDEX(tab_MinKomp[Obsługa multimetru do pomiarów środowiskowych (temperatura, wilgotność, hałas, oświetlenie, przepływ powietrza) / Betrieb eines Multimeters für Umweltmessungen (Temperatur, Luftfeuchtigkeit, Lärm, Beleuchtung, Luftstrom)],MATCH($B27,tab_MinKomp[[Stanowisko / Position ]:[Stanowisko / Position ]],0))="n/a","n/a",DS27-INDEX(tab_MinKomp[Obsługa multimetru do pomiarów środowiskowych (temperatura, wilgotność, hałas, oświetlenie, przepływ powietrza) / Betrieb eines Multimeters für Umweltmessungen (Temperatur, Luftfeuchtigkeit, Lärm, Beleuchtung, Luftstrom)],MATCH($B27,tab_MinKomp[[Stanowisko / Position ]:[Stanowisko / Position ]],0)))</f>
        <v>1</v>
      </c>
      <c r="DT28" s="315">
        <f>IF(INDEX(tab_MinKomp[Kontrola warunków środowiskowych pracy (temperatura, wilgotność, hałas, oświetlenie, przepływ powietrza) / Kontrolle der Arbeitsumgebungsbedingungen (Temperatur, Luftfeuchtigkeit, Lärm, Beleuchtung, Luftstrom)],MATCH($B27,tab_MinKomp[[Stanowisko / Position ]:[Stanowisko / Position ]],0))="n/a","n/a",DT27-INDEX(tab_MinKomp[Kontrola warunków środowiskowych pracy (temperatura, wilgotność, hałas, oświetlenie, przepływ powietrza) / Kontrolle der Arbeitsumgebungsbedingungen (Temperatur, Luftfeuchtigkeit, Lärm, Beleuchtung, Luftstrom)],MATCH($B27,tab_MinKomp[[Stanowisko / Position ]:[Stanowisko / Position ]],0)))</f>
        <v>1</v>
      </c>
      <c r="DU28" s="315">
        <f>IF(INDEX(tab_MinKomp[MSA i SPC],MATCH($B27,tab_MinKomp[[Stanowisko / Position ]:[Stanowisko / Position ]],0))="n/a","n/a",DU27-INDEX(tab_MinKomp[MSA i SPC],MATCH($B27,tab_MinKomp[[Stanowisko / Position ]:[Stanowisko / Position ]],0)))</f>
        <v>2</v>
      </c>
      <c r="DV28" s="315">
        <f>IF(INDEX(tab_MinKomp[Kontrola wejściowa komponentów/ Eingangskontrolle],MATCH($B27,tab_MinKomp[[Stanowisko / Position ]:[Stanowisko / Position ]],0))="n/a","n/a",DV27-INDEX(tab_MinKomp[Kontrola wejściowa komponentów/ Eingangskontrolle],MATCH($B27,tab_MinKomp[[Stanowisko / Position ]:[Stanowisko / Position ]],0)))</f>
        <v>1</v>
      </c>
      <c r="DW28" s="315">
        <f>IF(INDEX(tab_MinKomp[Kontrola wyjściowa produktu / Ausgangskontrolle],MATCH($B27,tab_MinKomp[[Stanowisko / Position ]:[Stanowisko / Position ]],0))="n/a","n/a",DW27-INDEX(tab_MinKomp[Kontrola wyjściowa produktu / Ausgangskontrolle],MATCH($B27,tab_MinKomp[[Stanowisko / Position ]:[Stanowisko / Position ]],0)))</f>
        <v>1</v>
      </c>
      <c r="DX28" s="315">
        <f>IF(INDEX(tab_MinKomp[Kontrola codzienna produkcji / Tägliche Produktionskontrolle],MATCH($B27,tab_MinKomp[[Stanowisko / Position ]:[Stanowisko / Position ]],0))="n/a","n/a",DX27-INDEX(tab_MinKomp[Kontrola codzienna produkcji / Tägliche Produktionskontrolle],MATCH($B27,tab_MinKomp[[Stanowisko / Position ]:[Stanowisko / Position ]],0)))</f>
        <v>1</v>
      </c>
      <c r="DY28" s="315" t="str">
        <f>IF(INDEX(tab_MinKomp[Konserwacja Rep],MATCH($B27,tab_MinKomp[[Stanowisko / Position ]:[Stanowisko / Position ]],0))="n/a","n/a",DY27-INDEX(tab_MinKomp[Konserwacja Rep],MATCH($B27,tab_MinKomp[[Stanowisko / Position ]:[Stanowisko / Position ]],0)))</f>
        <v>n/a</v>
      </c>
      <c r="DZ28" s="315" t="str">
        <f>IF(INDEX(tab_MinKomp[[Konserwacja Engel ]],MATCH($B27,tab_MinKomp[[Stanowisko / Position ]:[Stanowisko / Position ]],0))="n/a","n/a",DZ27-INDEX(tab_MinKomp[[Konserwacja Engel ]],MATCH($B27,tab_MinKomp[[Stanowisko / Position ]:[Stanowisko / Position ]],0)))</f>
        <v>n/a</v>
      </c>
      <c r="EA28" s="315" t="str">
        <f>IF(INDEX(tab_MinKomp[Konserwacja B 50],MATCH($B27,tab_MinKomp[[Stanowisko / Position ]:[Stanowisko / Position ]],0))="n/a","n/a",EA27-INDEX(tab_MinKomp[Konserwacja B 50],MATCH($B27,tab_MinKomp[[Stanowisko / Position ]:[Stanowisko / Position ]],0)))</f>
        <v>n/a</v>
      </c>
      <c r="EB28" s="315" t="str">
        <f>IF(INDEX(tab_MinKomp[[Konserwacja EOL ]],MATCH($B27,tab_MinKomp[[Stanowisko / Position ]:[Stanowisko / Position ]],0))="n/a","n/a",EB27-INDEX(tab_MinKomp[[Konserwacja EOL ]],MATCH($B27,tab_MinKomp[[Stanowisko / Position ]:[Stanowisko / Position ]],0)))</f>
        <v>n/a</v>
      </c>
      <c r="EC28" s="315" t="str">
        <f>IF(INDEX(tab_MinKomp[Konserwacja Branson],MATCH($B27,tab_MinKomp[[Stanowisko / Position ]:[Stanowisko / Position ]],0))="n/a","n/a",EC27-INDEX(tab_MinKomp[Konserwacja Branson],MATCH($B27,tab_MinKomp[[Stanowisko / Position ]:[Stanowisko / Position ]],0)))</f>
        <v>n/a</v>
      </c>
      <c r="ED28" s="315" t="str">
        <f>IF(INDEX(tab_MinKomp[Konserwacja coolery],MATCH($B27,tab_MinKomp[[Stanowisko / Position ]:[Stanowisko / Position ]],0))="n/a","n/a",ED27-INDEX(tab_MinKomp[Konserwacja coolery],MATCH($B27,tab_MinKomp[[Stanowisko / Position ]:[Stanowisko / Position ]],0)))</f>
        <v>n/a</v>
      </c>
      <c r="EE28" s="315" t="str">
        <f>IF(INDEX(tab_MinKomp[Konserwacja piecy],MATCH($B27,tab_MinKomp[[Stanowisko / Position ]:[Stanowisko / Position ]],0))="n/a","n/a",EE27-INDEX(tab_MinKomp[Konserwacja piecy],MATCH($B27,tab_MinKomp[[Stanowisko / Position ]:[Stanowisko / Position ]],0)))</f>
        <v>n/a</v>
      </c>
      <c r="EF28" s="315" t="str">
        <f>IF(INDEX(tab_MinKomp[Rysunek techniczny- czytanie],MATCH($B27,tab_MinKomp[[Stanowisko / Position ]:[Stanowisko / Position ]],0))="n/a","n/a",EF27-INDEX(tab_MinKomp[Rysunek techniczny- czytanie],MATCH($B27,tab_MinKomp[[Stanowisko / Position ]:[Stanowisko / Position ]],0)))</f>
        <v>n/a</v>
      </c>
      <c r="EG28" s="315" t="str">
        <f>IF(INDEX(tab_MinKomp[Elektryka],MATCH($B27,tab_MinKomp[[Stanowisko / Position ]:[Stanowisko / Position ]],0))="n/a","n/a",EG27-INDEX(tab_MinKomp[Elektryka],MATCH($B27,tab_MinKomp[[Stanowisko / Position ]:[Stanowisko / Position ]],0)))</f>
        <v>n/a</v>
      </c>
      <c r="EH28" s="315" t="str">
        <f>IF(INDEX(tab_MinKomp[Pneumatyka],MATCH($B27,tab_MinKomp[[Stanowisko / Position ]:[Stanowisko / Position ]],0))="n/a","n/a",EH27-INDEX(tab_MinKomp[Pneumatyka],MATCH($B27,tab_MinKomp[[Stanowisko / Position ]:[Stanowisko / Position ]],0)))</f>
        <v>n/a</v>
      </c>
      <c r="EI28" s="315" t="str">
        <f>IF(INDEX(tab_MinKomp[[Hydraulika ]],MATCH($B27,tab_MinKomp[[Stanowisko / Position ]:[Stanowisko / Position ]],0))="n/a","n/a",EI27-INDEX(tab_MinKomp[[Hydraulika ]],MATCH($B27,tab_MinKomp[[Stanowisko / Position ]:[Stanowisko / Position ]],0)))</f>
        <v>n/a</v>
      </c>
      <c r="EJ28" s="315" t="str">
        <f>IF(INDEX(tab_MinKomp[Podciśnienie],MATCH($B27,tab_MinKomp[[Stanowisko / Position ]:[Stanowisko / Position ]],0))="n/a","n/a",EJ27-INDEX(tab_MinKomp[Podciśnienie],MATCH($B27,tab_MinKomp[[Stanowisko / Position ]:[Stanowisko / Position ]],0)))</f>
        <v>n/a</v>
      </c>
      <c r="EK28" s="315" t="str">
        <f>IF(INDEX(tab_MinKomp[Usuwanie awarii],MATCH($B27,tab_MinKomp[[Stanowisko / Position ]:[Stanowisko / Position ]],0))="n/a","n/a",EK27-INDEX(tab_MinKomp[Usuwanie awarii],MATCH($B27,tab_MinKomp[[Stanowisko / Position ]:[Stanowisko / Position ]],0)))</f>
        <v>n/a</v>
      </c>
      <c r="EL28" s="315" t="str">
        <f>IF(INDEX(tab_MinKomp[Obsługa robotów],MATCH($B27,tab_MinKomp[[Stanowisko / Position ]:[Stanowisko / Position ]],0))="n/a","n/a",EL27-INDEX(tab_MinKomp[Obsługa robotów],MATCH($B27,tab_MinKomp[[Stanowisko / Position ]:[Stanowisko / Position ]],0)))</f>
        <v>n/a</v>
      </c>
      <c r="EM28" s="315" t="str">
        <f>IF(INDEX(tab_MinKomp[Obsługa sterowania maszyny],MATCH($B27,tab_MinKomp[[Stanowisko / Position ]:[Stanowisko / Position ]],0))="n/a","n/a",EM27-INDEX(tab_MinKomp[Obsługa sterowania maszyny],MATCH($B27,tab_MinKomp[[Stanowisko / Position ]:[Stanowisko / Position ]],0)))</f>
        <v>n/a</v>
      </c>
      <c r="EN28" s="315" t="str">
        <f>IF(INDEX(tab_MinKomp[Usuwanie przyczyn żródłowych],MATCH($B27,tab_MinKomp[[Stanowisko / Position ]:[Stanowisko / Position ]],0))="n/a","n/a",EN27-INDEX(tab_MinKomp[Usuwanie przyczyn żródłowych],MATCH($B27,tab_MinKomp[[Stanowisko / Position ]:[Stanowisko / Position ]],0)))</f>
        <v>n/a</v>
      </c>
      <c r="EO28" s="315">
        <f>IF(INDEX(tab_MinKomp[Cmms stosowanie],MATCH($B27,tab_MinKomp[[Stanowisko / Position ]:[Stanowisko / Position ]],0))="n/a","n/a",EO27-INDEX(tab_MinKomp[Cmms stosowanie],MATCH($B27,tab_MinKomp[[Stanowisko / Position ]:[Stanowisko / Position ]],0)))</f>
        <v>1</v>
      </c>
      <c r="EP28" s="315" t="str">
        <f>IF(INDEX(tab_MinKomp[[Czyszczenie form gumowych ]],MATCH($B27,tab_MinKomp[[Stanowisko / Position ]:[Stanowisko / Position ]],0))="n/a","n/a",EP27-INDEX(tab_MinKomp[[Czyszczenie form gumowych ]],MATCH($B27,tab_MinKomp[[Stanowisko / Position ]:[Stanowisko / Position ]],0)))</f>
        <v>n/a</v>
      </c>
      <c r="EQ28" s="315" t="str">
        <f>IF(INDEX(tab_MinKomp[Czyszczenie form plastikowych],MATCH($B27,tab_MinKomp[[Stanowisko / Position ]:[Stanowisko / Position ]],0))="n/a","n/a",EQ27-INDEX(tab_MinKomp[Czyszczenie form plastikowych],MATCH($B27,tab_MinKomp[[Stanowisko / Position ]:[Stanowisko / Position ]],0)))</f>
        <v>n/a</v>
      </c>
      <c r="ER28" s="315" t="str">
        <f>IF(INDEX(tab_MinKomp[Wymiana form plastik],MATCH($B27,tab_MinKomp[[Stanowisko / Position ]:[Stanowisko / Position ]],0))="n/a","n/a",ER27-INDEX(tab_MinKomp[Wymiana form plastik],MATCH($B27,tab_MinKomp[[Stanowisko / Position ]:[Stanowisko / Position ]],0)))</f>
        <v>n/a</v>
      </c>
      <c r="ES28" s="315" t="str">
        <f>IF(INDEX(tab_MinKomp[Wymiana form guma],MATCH($B27,tab_MinKomp[[Stanowisko / Position ]:[Stanowisko / Position ]],0))="n/a","n/a",ES27-INDEX(tab_MinKomp[Wymiana form guma],MATCH($B27,tab_MinKomp[[Stanowisko / Position ]:[Stanowisko / Position ]],0)))</f>
        <v>n/a</v>
      </c>
      <c r="ET28" s="315" t="str">
        <f>IF(INDEX(tab_MinKomp[Konserwacja KK],MATCH($B27,tab_MinKomp[[Stanowisko / Position ]:[Stanowisko / Position ]],0))="n/a","n/a",ET27-INDEX(tab_MinKomp[Konserwacja KK],MATCH($B27,tab_MinKomp[[Stanowisko / Position ]:[Stanowisko / Position ]],0)))</f>
        <v>n/a</v>
      </c>
      <c r="EU28" s="315" t="str">
        <f>IF(INDEX(tab_MinKomp[Konserwacja form guma],MATCH($B27,tab_MinKomp[[Stanowisko / Position ]:[Stanowisko / Position ]],0))="n/a","n/a",EU27-INDEX(tab_MinKomp[Konserwacja form guma],MATCH($B27,tab_MinKomp[[Stanowisko / Position ]:[Stanowisko / Position ]],0)))</f>
        <v>n/a</v>
      </c>
      <c r="EV28" s="315" t="str">
        <f>IF(INDEX(tab_MinKomp[Konserwacja form plastiki],MATCH($B27,tab_MinKomp[[Stanowisko / Position ]:[Stanowisko / Position ]],0))="n/a","n/a",EV27-INDEX(tab_MinKomp[Konserwacja form plastiki],MATCH($B27,tab_MinKomp[[Stanowisko / Position ]:[Stanowisko / Position ]],0)))</f>
        <v>n/a</v>
      </c>
      <c r="EW28" s="330" t="str">
        <f>IF(INDEX(tab_MinKomp[Konserwacja form plastiki],MATCH($B27,tab_MinKomp[[Stanowisko / Position ]:[Stanowisko / Position ]],0))="n/a","n/a",EW27-INDEX(tab_MinKomp[Konserwacja form plastiki],MATCH($B27,tab_MinKomp[[Stanowisko / Position ]:[Stanowisko / Position ]],0)))</f>
        <v>n/a</v>
      </c>
      <c r="EX28" s="315" t="str">
        <f>IF(INDEX(tab_MinKomp[Konserwacja Gorącego Kanału],MATCH($B27,tab_MinKomp[[Stanowisko / Position ]:[Stanowisko / Position ]],0))="n/a","n/a",EX27-INDEX(tab_MinKomp[Konserwacja Gorącego Kanału],MATCH($B27,tab_MinKomp[[Stanowisko / Position ]:[Stanowisko / Position ]],0)))</f>
        <v>n/a</v>
      </c>
      <c r="EY28" s="315">
        <f>IF(INDEX(tab_MinKomp[MS Office (Excel)],MATCH($B27,tab_MinKomp[[Stanowisko / Position ]:[Stanowisko / Position ]],0))="n/a","n/a",EY27-INDEX(tab_MinKomp[MS Office (Excel)],MATCH($B27,tab_MinKomp[[Stanowisko / Position ]:[Stanowisko / Position ]],0)))</f>
        <v>0</v>
      </c>
      <c r="EZ28" s="315">
        <f>IF(INDEX(tab_MinKomp[MS Office (Word)],MATCH($B27,tab_MinKomp[[Stanowisko / Position ]:[Stanowisko / Position ]],0))="n/a","n/a",EZ27-INDEX(tab_MinKomp[MS Office (Word)],MATCH($B27,tab_MinKomp[[Stanowisko / Position ]:[Stanowisko / Position ]],0)))</f>
        <v>0</v>
      </c>
      <c r="FA28" s="315">
        <f>IF(INDEX(tab_MinKomp[MS Office (Power Point)],MATCH($B27,tab_MinKomp[[Stanowisko / Position ]:[Stanowisko / Position ]],0))="n/a","n/a",FA27-INDEX(tab_MinKomp[MS Office (Power Point)],MATCH($B27,tab_MinKomp[[Stanowisko / Position ]:[Stanowisko / Position ]],0)))</f>
        <v>0</v>
      </c>
      <c r="FB28" s="315">
        <f>IF(INDEX(tab_MinKomp[Język angielski / Englisch],MATCH($B27,tab_MinKomp[[Stanowisko / Position ]:[Stanowisko / Position ]],0))="n/a","n/a",FB27-INDEX(tab_MinKomp[Język angielski / Englisch],MATCH($B27,tab_MinKomp[[Stanowisko / Position ]:[Stanowisko / Position ]],0)))</f>
        <v>0</v>
      </c>
      <c r="FC28" s="315" t="str">
        <f>IF(INDEX(tab_MinKomp[Język niemiecki / Deutsch],MATCH($B27,tab_MinKomp[[Stanowisko / Position ]:[Stanowisko / Position ]],0))="n/a","n/a",FC27-INDEX(tab_MinKomp[Język niemiecki / Deutsch],MATCH($B27,tab_MinKomp[[Stanowisko / Position ]:[Stanowisko / Position ]],0)))</f>
        <v>n/a</v>
      </c>
      <c r="FD28" s="315">
        <f>IF(INDEX(tab_MinKomp[Zarządzanie dokumentacją procesową / Process dokumentation management],MATCH($B27,tab_MinKomp[[Stanowisko / Position ]:[Stanowisko / Position ]],0))="n/a","n/a",FD27-INDEX(tab_MinKomp[Zarządzanie dokumentacją procesową / Process dokumentation management],MATCH($B27,tab_MinKomp[[Stanowisko / Position ]:[Stanowisko / Position ]],0)))</f>
        <v>0</v>
      </c>
      <c r="FE28" s="315">
        <f>IF(INDEX(tab_MinKomp[Znajomość procesów z obszaru / Kenntiss der prozesse in dem Bereich],MATCH($B27,tab_MinKomp[[Stanowisko / Position ]:[Stanowisko / Position ]],0))="n/a","n/a",FE27-INDEX(tab_MinKomp[Znajomość procesów z obszaru / Kenntiss der prozesse in dem Bereich],MATCH($B27,tab_MinKomp[[Stanowisko / Position ]:[Stanowisko / Position ]],0)))</f>
        <v>0</v>
      </c>
      <c r="FF28" s="315">
        <f>IF(INDEX(tab_MinKomp[optymalizacja procesów / Prozessoptymalisierung],MATCH($B27,tab_MinKomp[[Stanowisko / Position ]:[Stanowisko / Position ]],0))="n/a","n/a",FF27-INDEX(tab_MinKomp[optymalizacja procesów / Prozessoptymalisierung],MATCH($B27,tab_MinKomp[[Stanowisko / Position ]:[Stanowisko / Position ]],0)))</f>
        <v>1</v>
      </c>
      <c r="FG28" s="315">
        <f>IF(INDEX(tab_MinKomp[Umiejętności szkoleniowe / Trainingsfähigkeiten],MATCH($B27,tab_MinKomp[[Stanowisko / Position ]:[Stanowisko / Position ]],0))="n/a","n/a",FG27-INDEX(tab_MinKomp[Umiejętności szkoleniowe / Trainingsfähigkeiten],MATCH($B27,tab_MinKomp[[Stanowisko / Position ]:[Stanowisko / Position ]],0)))</f>
        <v>0</v>
      </c>
      <c r="FH28" s="315">
        <f>IF(INDEX(tab_MinKomp[Analityczne myślenie, podejście / Analitysches Denken, Einstellung],MATCH($B27,tab_MinKomp[[Stanowisko / Position ]:[Stanowisko / Position ]],0))="n/a","n/a",FH27-INDEX(tab_MinKomp[Analityczne myślenie, podejście / Analitysches Denken, Einstellung],MATCH($B27,tab_MinKomp[[Stanowisko / Position ]:[Stanowisko / Position ]],0)))</f>
        <v>0</v>
      </c>
      <c r="FI28" s="315">
        <f>IF(INDEX(tab_MinKomp[Dokładność, precyzja w dzialaniu / Genauigkeit, Präzision in die Arbeit],MATCH($B27,tab_MinKomp[[Stanowisko / Position ]:[Stanowisko / Position ]],0))="n/a","n/a",FI27-INDEX(tab_MinKomp[Dokładność, precyzja w dzialaniu / Genauigkeit, Präzision in die Arbeit],MATCH($B27,tab_MinKomp[[Stanowisko / Position ]:[Stanowisko / Position ]],0)))</f>
        <v>1</v>
      </c>
      <c r="FJ28" s="315">
        <f>IF(INDEX(tab_MinKomp[Dyspozycyjność / Verfügbarkeit],MATCH($B27,tab_MinKomp[[Stanowisko / Position ]:[Stanowisko / Position ]],0))="n/a","n/a",FJ27-INDEX(tab_MinKomp[Dyspozycyjność / Verfügbarkeit],MATCH($B27,tab_MinKomp[[Stanowisko / Position ]:[Stanowisko / Position ]],0)))</f>
        <v>0</v>
      </c>
      <c r="FK28" s="315">
        <f>IF(INDEX(tab_MinKomp[Zaangażowanie / 
Engagement],MATCH($B27,tab_MinKomp[[Stanowisko / Position ]:[Stanowisko / Position ]],0))="n/a","n/a",FK27-INDEX(tab_MinKomp[Zaangażowanie / 
Engagement],MATCH($B27,tab_MinKomp[[Stanowisko / Position ]:[Stanowisko / Position ]],0)))</f>
        <v>0</v>
      </c>
      <c r="FL28" s="315">
        <f>IF(INDEX(tab_MinKomp[Planowanie strategiczne / Strategische Planung],MATCH($B27,tab_MinKomp[[Stanowisko / Position ]:[Stanowisko / Position ]],0))="n/a","n/a",FL27-INDEX(tab_MinKomp[Planowanie strategiczne / Strategische Planung],MATCH($B27,tab_MinKomp[[Stanowisko / Position ]:[Stanowisko / Position ]],0)))</f>
        <v>0</v>
      </c>
      <c r="FM28" s="315">
        <f>IF(INDEX(tab_MinKomp[Konsekwentne i dynamiczne działanie],MATCH($B27,tab_MinKomp[[Stanowisko / Position ]:[Stanowisko / Position ]],0))="n/a","n/a",FM27-INDEX(tab_MinKomp[Konsekwentne i dynamiczne działanie],MATCH($B27,tab_MinKomp[[Stanowisko / Position ]:[Stanowisko / Position ]],0)))</f>
        <v>0</v>
      </c>
      <c r="FN28" s="315">
        <f>IF(INDEX(tab_MinKomp[Elastyczność w działaniu],MATCH($B27,tab_MinKomp[[Stanowisko / Position ]:[Stanowisko / Position ]],0))="n/a","n/a",FN27-INDEX(tab_MinKomp[Elastyczność w działaniu],MATCH($B27,tab_MinKomp[[Stanowisko / Position ]:[Stanowisko / Position ]],0)))</f>
        <v>0</v>
      </c>
      <c r="FO28" s="315">
        <f>IF(INDEX(tab_MinKomp[Komunikatywność],MATCH($B27,tab_MinKomp[[Stanowisko / Position ]:[Stanowisko / Position ]],0))="n/a","n/a",FO27-INDEX(tab_MinKomp[Komunikatywność],MATCH($B27,tab_MinKomp[[Stanowisko / Position ]:[Stanowisko / Position ]],0)))</f>
        <v>0</v>
      </c>
      <c r="FP28" s="315">
        <f>IF(INDEX(tab_MinKomp[Motywowanie i budowanie zaangażowania zespołu],MATCH($B27,tab_MinKomp[[Stanowisko / Position ]:[Stanowisko / Position ]],0))="n/a","n/a",FP27-INDEX(tab_MinKomp[Motywowanie i budowanie zaangażowania zespołu],MATCH($B27,tab_MinKomp[[Stanowisko / Position ]:[Stanowisko / Position ]],0)))</f>
        <v>-1</v>
      </c>
      <c r="FQ28" s="318" t="str">
        <f>IFERROR(IF(INDEX(tab_MinKomp[BRAK / Keine],MATCH($B27,tab_MinKomp[[Stanowisko / Position ]:[Stanowisko / Position ]],0))="n/a","n/a",INDEX(tab_MinKomp[BRAK / Keine],MATCH($B27,tab_MinKomp[[Stanowisko / Position ]:[Stanowisko / Position ]],0))-FQ27),"")</f>
        <v>n/a</v>
      </c>
      <c r="FR28" s="315" t="s">
        <v>160</v>
      </c>
      <c r="FS28" s="315" t="s">
        <v>176</v>
      </c>
      <c r="FT28" s="315" t="str">
        <f>IF(INDEX(tab_MinKomp[MINIMUM 3 LATA / min. 3 Jahre],MATCH($B27,tab_MinKomp[[Stanowisko / Position ]:[Stanowisko / Position ]],0))="n/a","n/a",INDEX(tab_MinKomp[MINIMUM 3 LATA / min. 3 Jahre],MATCH($B27,tab_MinKomp[[Stanowisko / Position ]:[Stanowisko / Position ]],0)))</f>
        <v>n/a</v>
      </c>
      <c r="FU28" s="315" t="s">
        <v>176</v>
      </c>
      <c r="FV28" s="319" t="str">
        <f>IF(INDEX(tab_MinKomp[MINIMUM 5 LAT / min. 5 Jahre],MATCH($B27,tab_MinKomp[[Stanowisko / Position ]:[Stanowisko / Position ]],0))="n/a","n/a",INDEX(tab_MinKomp[MINIMUM 5 LAT / min. 5 Jahre],MATCH($B27,tab_MinKomp[[Stanowisko / Position ]:[Stanowisko / Position ]],0)))</f>
        <v>n/a</v>
      </c>
      <c r="FW28" s="318" t="str">
        <f>IF(INDEX(tab_MinKomp[BRAK / Keine9],MATCH($B27,tab_MinKomp[[Stanowisko / Position ]:[Stanowisko / Position ]],0))="n/a","n/a",INDEX(tab_MinKomp[BRAK / Keine9],MATCH($B27,tab_MinKomp[[Stanowisko / Position ]:[Stanowisko / Position ]],0)))</f>
        <v>n/a</v>
      </c>
      <c r="FX28" s="315" t="str">
        <f>IF(INDEX(tab_MinKomp[ZAWODOWE / Berufsausbildung],MATCH($B27,tab_MinKomp[[Stanowisko / Position ]:[Stanowisko / Position ]],0))="n/a","n/a",INDEX(tab_MinKomp[ZAWODOWE / Berufsausbildung],MATCH($B27,tab_MinKomp[[Stanowisko / Position ]:[Stanowisko / Position ]],0)))</f>
        <v>n/a</v>
      </c>
      <c r="FY28" s="315" t="str">
        <f>IF(INDEX(tab_MinKomp[ŚREDNIE OGÓLNE / Abitur allgemeine],MATCH($B27,tab_MinKomp[[Stanowisko / Position ]:[Stanowisko / Position ]],0))="n/a","n/a",INDEX(tab_MinKomp[ŚREDNIE OGÓLNE / Abitur allgemeine],MATCH($B27,tab_MinKomp[[Stanowisko / Position ]:[Stanowisko / Position ]],0)))</f>
        <v>n/a</v>
      </c>
      <c r="FZ28" s="315" t="str">
        <f>IF(INDEX(tab_MinKomp[ŚREDNIE KIERUNKOWE / berufliches Gymnasium],MATCH($B27,tab_MinKomp[[Stanowisko / Position ]:[Stanowisko / Position ]],0))="n/a","n/a",INDEX(tab_MinKomp[ŚREDNIE KIERUNKOWE / berufliches Gymnasium],MATCH($B27,tab_MinKomp[[Stanowisko / Position ]:[Stanowisko / Position ]],0)))</f>
        <v>X</v>
      </c>
      <c r="GA28" s="315" t="str">
        <f>IF(INDEX(tab_MinKomp[WYŻSZE OGÓLNE / Hochschule allgemeine],MATCH($B27,tab_MinKomp[[Stanowisko / Position ]:[Stanowisko / Position ]],0))="n/a","n/a",INDEX(tab_MinKomp[WYŻSZE OGÓLNE / Hochschule allgemeine],MATCH($B27,tab_MinKomp[[Stanowisko / Position ]:[Stanowisko / Position ]],0)))</f>
        <v>n/a</v>
      </c>
      <c r="GB28" s="319" t="str">
        <f>IF(INDEX(tab_MinKomp[WYŻSZE KIERUNKOWE / Hochschule berufliche],MATCH($B27,tab_MinKomp[[Stanowisko / Position ]:[Stanowisko / Position ]],0))="n/a","n/a",INDEX(tab_MinKomp[WYŻSZE KIERUNKOWE / Hochschule berufliche],MATCH($B27,tab_MinKomp[[Stanowisko / Position ]:[Stanowisko / Position ]],0)))</f>
        <v>X</v>
      </c>
      <c r="GC28" s="318" t="str">
        <f>IF(INDEX(tab_MinKomp[PIERWSZA POMOC / Erste Hilfe],MATCH($B27,tab_MinKomp[[Stanowisko / Position ]:[Stanowisko / Position ]],0))="n/a","n/a",INDEX(tab_MinKomp[PIERWSZA POMOC / Erste Hilfe],MATCH($B27,tab_MinKomp[[Stanowisko / Position ]:[Stanowisko / Position ]],0)))</f>
        <v>n/a</v>
      </c>
      <c r="GD28" s="315" t="str">
        <f>IF(INDEX(tab_MinKomp[Specjalista BHP / BHP Spezialist],MATCH($B27,tab_MinKomp[[Stanowisko / Position ]:[Stanowisko / Position ]],0))="n/a","n/a",INDEX(tab_MinKomp[Specjalista BHP / BHP Spezialist],MATCH($B27,tab_MinKomp[[Stanowisko / Position ]:[Stanowisko / Position ]],0)))</f>
        <v>n/a</v>
      </c>
      <c r="GE28" s="315" t="str">
        <f>IF(INDEX(tab_MinKomp[Inspektor ochrony PPOŻ / Brandschutzinspektor],MATCH($B27,tab_MinKomp[[Stanowisko / Position ]:[Stanowisko / Position ]],0))="n/a","n/a",INDEX(tab_MinKomp[Inspektor ochrony PPOŻ / Brandschutzinspektor],MATCH($B27,tab_MinKomp[[Stanowisko / Position ]:[Stanowisko / Position ]],0)))</f>
        <v>n/a</v>
      </c>
      <c r="GF28" s="315" t="str">
        <f>IF(INDEX(tab_MinKomp[WÓZKI JEZDNIOWE / Gebelstapler],MATCH($B27,tab_MinKomp[[Stanowisko / Position ]:[Stanowisko / Position ]],0))="n/a","n/a",INDEX(tab_MinKomp[WÓZKI JEZDNIOWE / Gebelstapler],MATCH($B27,tab_MinKomp[[Stanowisko / Position ]:[Stanowisko / Position ]],0)))</f>
        <v>n/a</v>
      </c>
      <c r="GG28" s="315" t="str">
        <f>IF(INDEX(tab_MinKomp[SEP],MATCH($B27,tab_MinKomp[[Stanowisko / Position ]:[Stanowisko / Position ]],0))="n/a","n/a",INDEX(tab_MinKomp[SEP],MATCH($B27,tab_MinKomp[[Stanowisko / Position ]:[Stanowisko / Position ]],0)))</f>
        <v>n/a</v>
      </c>
      <c r="GH28" s="315" t="str">
        <f>IF(INDEX(tab_MinKomp[SEP  DOZÓR / SEP Aufsicht],MATCH($B27,tab_MinKomp[[Stanowisko / Position ]:[Stanowisko / Position ]],0))="n/a","n/a",INDEX(tab_MinKomp[SEP  DOZÓR / SEP Aufsicht],MATCH($B27,tab_MinKomp[[Stanowisko / Position ]:[Stanowisko / Position ]],0)))</f>
        <v>n/a</v>
      </c>
      <c r="GI28" s="315" t="str">
        <f>IF(INDEX(tab_MinKomp[PODNOŚNIKI / Hebevorrichtung],MATCH($B27,tab_MinKomp[[Stanowisko / Position ]:[Stanowisko / Position ]],0))="n/a","n/a",INDEX(tab_MinKomp[PODNOŚNIKI / Hebevorrichtung],MATCH($B27,tab_MinKomp[[Stanowisko / Position ]:[Stanowisko / Position ]],0)))</f>
        <v>n/a</v>
      </c>
      <c r="GJ28" s="315" t="str">
        <f>IF(INDEX(tab_MinKomp[SUWNICE / Laufkran],MATCH($B27,tab_MinKomp[[Stanowisko / Position ]:[Stanowisko / Position ]],0))="n/a","n/a",INDEX(tab_MinKomp[SUWNICE / Laufkran],MATCH($B27,tab_MinKomp[[Stanowisko / Position ]:[Stanowisko / Position ]],0)))</f>
        <v>n/a</v>
      </c>
      <c r="GK28" s="319" t="str">
        <f>IF(INDEX(tab_MinKomp[WYSOKOŚCIOWE / Höhenberechtigungen],MATCH($B27,tab_MinKomp[[Stanowisko / Position ]:[Stanowisko / Position ]],0))="n/a","n/a",INDEX(tab_MinKomp[WYSOKOŚCIOWE / Höhenberechtigungen],MATCH($B27,tab_MinKomp[[Stanowisko / Position ]:[Stanowisko / Position ]],0)))</f>
        <v>n/a</v>
      </c>
      <c r="GL28" s="320">
        <f>SUM(G28:FP28)/(GL27-(SUM(G28:FP28)))</f>
        <v>0.27941176470588236</v>
      </c>
    </row>
    <row r="29" spans="1:195" ht="28.35" customHeight="1" x14ac:dyDescent="0.25">
      <c r="A29" s="135" t="s">
        <v>260</v>
      </c>
      <c r="B29" s="135" t="s">
        <v>217</v>
      </c>
      <c r="C29" s="135" t="s">
        <v>750</v>
      </c>
      <c r="D29" s="135">
        <v>925</v>
      </c>
      <c r="E29" s="565" t="s">
        <v>647</v>
      </c>
      <c r="F29" s="307" t="s">
        <v>165</v>
      </c>
      <c r="G29" s="308">
        <v>2</v>
      </c>
      <c r="H29" s="308">
        <v>2</v>
      </c>
      <c r="I29" s="308">
        <v>2</v>
      </c>
      <c r="J29" s="308">
        <v>1</v>
      </c>
      <c r="K29" s="308">
        <v>2</v>
      </c>
      <c r="L29" s="308">
        <v>1</v>
      </c>
      <c r="M29" s="308" t="s">
        <v>176</v>
      </c>
      <c r="N29" s="308" t="s">
        <v>176</v>
      </c>
      <c r="O29" s="308">
        <v>1</v>
      </c>
      <c r="P29" s="308">
        <v>1</v>
      </c>
      <c r="Q29" s="308" t="s">
        <v>176</v>
      </c>
      <c r="R29" s="308" t="s">
        <v>176</v>
      </c>
      <c r="S29" s="308" t="s">
        <v>176</v>
      </c>
      <c r="T29" s="308" t="s">
        <v>176</v>
      </c>
      <c r="U29" s="308" t="s">
        <v>176</v>
      </c>
      <c r="V29" s="308" t="s">
        <v>176</v>
      </c>
      <c r="W29" s="308" t="s">
        <v>176</v>
      </c>
      <c r="X29" s="308" t="s">
        <v>176</v>
      </c>
      <c r="Y29" s="308" t="s">
        <v>176</v>
      </c>
      <c r="Z29" s="308" t="s">
        <v>176</v>
      </c>
      <c r="AA29" s="308" t="s">
        <v>176</v>
      </c>
      <c r="AB29" s="308"/>
      <c r="AC29" s="308">
        <v>1</v>
      </c>
      <c r="AD29" s="308">
        <v>1</v>
      </c>
      <c r="AE29" s="308">
        <v>1</v>
      </c>
      <c r="AF29" s="308">
        <v>1</v>
      </c>
      <c r="AG29" s="308">
        <v>1</v>
      </c>
      <c r="AH29" s="308">
        <v>1</v>
      </c>
      <c r="AI29" s="308" t="s">
        <v>176</v>
      </c>
      <c r="AJ29" s="308" t="s">
        <v>176</v>
      </c>
      <c r="AK29" s="308" t="s">
        <v>176</v>
      </c>
      <c r="AL29" s="308">
        <v>2</v>
      </c>
      <c r="AM29" s="308"/>
      <c r="AN29" s="308"/>
      <c r="AO29" s="308">
        <v>2</v>
      </c>
      <c r="AP29" s="308">
        <v>1</v>
      </c>
      <c r="AQ29" s="308">
        <v>1</v>
      </c>
      <c r="AR29" s="308" t="s">
        <v>176</v>
      </c>
      <c r="AS29" s="308">
        <v>2</v>
      </c>
      <c r="AT29" s="308">
        <v>1</v>
      </c>
      <c r="AU29" s="308">
        <v>1</v>
      </c>
      <c r="AV29" s="308">
        <v>1</v>
      </c>
      <c r="AW29" s="308">
        <v>1</v>
      </c>
      <c r="AX29" s="308">
        <v>1</v>
      </c>
      <c r="AY29" s="308" t="s">
        <v>176</v>
      </c>
      <c r="AZ29" s="308">
        <v>1</v>
      </c>
      <c r="BA29" s="308" t="s">
        <v>176</v>
      </c>
      <c r="BB29" s="308" t="s">
        <v>176</v>
      </c>
      <c r="BC29" s="308" t="s">
        <v>176</v>
      </c>
      <c r="BD29" s="308" t="s">
        <v>176</v>
      </c>
      <c r="BE29" s="308"/>
      <c r="BF29" s="308" t="s">
        <v>176</v>
      </c>
      <c r="BG29" s="308" t="s">
        <v>176</v>
      </c>
      <c r="BH29" s="308" t="s">
        <v>176</v>
      </c>
      <c r="BI29" s="308" t="s">
        <v>176</v>
      </c>
      <c r="BJ29" s="308" t="s">
        <v>176</v>
      </c>
      <c r="BK29" s="308" t="s">
        <v>176</v>
      </c>
      <c r="BL29" s="308" t="s">
        <v>176</v>
      </c>
      <c r="BM29" s="308" t="s">
        <v>176</v>
      </c>
      <c r="BN29" s="308" t="s">
        <v>176</v>
      </c>
      <c r="BO29" s="308" t="s">
        <v>176</v>
      </c>
      <c r="BP29" s="308" t="s">
        <v>176</v>
      </c>
      <c r="BQ29" s="308" t="s">
        <v>176</v>
      </c>
      <c r="BR29" s="308" t="s">
        <v>176</v>
      </c>
      <c r="BS29" s="308" t="s">
        <v>176</v>
      </c>
      <c r="BT29" s="308" t="s">
        <v>176</v>
      </c>
      <c r="BU29" s="308" t="s">
        <v>176</v>
      </c>
      <c r="BV29" s="308" t="s">
        <v>176</v>
      </c>
      <c r="BW29" s="308" t="s">
        <v>176</v>
      </c>
      <c r="BX29" s="308" t="s">
        <v>176</v>
      </c>
      <c r="BY29" s="308" t="s">
        <v>176</v>
      </c>
      <c r="BZ29" s="308" t="s">
        <v>176</v>
      </c>
      <c r="CA29" s="308" t="s">
        <v>176</v>
      </c>
      <c r="CB29" s="308" t="s">
        <v>176</v>
      </c>
      <c r="CC29" s="308" t="s">
        <v>176</v>
      </c>
      <c r="CD29" s="308" t="s">
        <v>176</v>
      </c>
      <c r="CE29" s="308" t="s">
        <v>176</v>
      </c>
      <c r="CF29" s="308" t="s">
        <v>176</v>
      </c>
      <c r="CG29" s="308" t="s">
        <v>176</v>
      </c>
      <c r="CH29" s="308" t="s">
        <v>176</v>
      </c>
      <c r="CI29" s="308">
        <v>1</v>
      </c>
      <c r="CJ29" s="308" t="s">
        <v>176</v>
      </c>
      <c r="CK29" s="308" t="s">
        <v>176</v>
      </c>
      <c r="CL29" s="308" t="s">
        <v>176</v>
      </c>
      <c r="CM29" s="308" t="s">
        <v>176</v>
      </c>
      <c r="CN29" s="308">
        <v>1</v>
      </c>
      <c r="CO29" s="308"/>
      <c r="CP29" s="308"/>
      <c r="CQ29" s="308"/>
      <c r="CR29" s="308" t="s">
        <v>176</v>
      </c>
      <c r="CS29" s="308" t="s">
        <v>176</v>
      </c>
      <c r="CT29" s="308">
        <v>1</v>
      </c>
      <c r="CU29" s="308">
        <v>3</v>
      </c>
      <c r="CV29" s="308">
        <v>3</v>
      </c>
      <c r="CW29" s="308">
        <v>1</v>
      </c>
      <c r="CX29" s="308">
        <v>3</v>
      </c>
      <c r="CY29" s="308">
        <v>3</v>
      </c>
      <c r="CZ29" s="308">
        <v>2</v>
      </c>
      <c r="DA29" s="308">
        <v>2</v>
      </c>
      <c r="DB29" s="308">
        <v>2</v>
      </c>
      <c r="DC29" s="308">
        <v>2</v>
      </c>
      <c r="DD29" s="308">
        <v>1</v>
      </c>
      <c r="DE29" s="308">
        <v>1</v>
      </c>
      <c r="DF29" s="308">
        <v>1</v>
      </c>
      <c r="DG29" s="308">
        <v>3</v>
      </c>
      <c r="DH29" s="308">
        <v>3</v>
      </c>
      <c r="DI29" s="308">
        <v>2</v>
      </c>
      <c r="DJ29" s="308">
        <v>2</v>
      </c>
      <c r="DK29" s="308">
        <v>2</v>
      </c>
      <c r="DL29" s="308">
        <v>2</v>
      </c>
      <c r="DM29" s="308">
        <v>3</v>
      </c>
      <c r="DN29" s="308">
        <v>3</v>
      </c>
      <c r="DO29" s="308">
        <v>2</v>
      </c>
      <c r="DP29" s="308">
        <v>2</v>
      </c>
      <c r="DQ29" s="308">
        <v>2</v>
      </c>
      <c r="DR29" s="308">
        <v>2</v>
      </c>
      <c r="DS29" s="308">
        <v>1</v>
      </c>
      <c r="DT29" s="308">
        <v>1</v>
      </c>
      <c r="DU29" s="308">
        <v>2</v>
      </c>
      <c r="DV29" s="308">
        <v>3</v>
      </c>
      <c r="DW29" s="308">
        <v>3</v>
      </c>
      <c r="DX29" s="308">
        <v>3</v>
      </c>
      <c r="DY29" s="308" t="s">
        <v>176</v>
      </c>
      <c r="DZ29" s="308" t="s">
        <v>176</v>
      </c>
      <c r="EA29" s="308" t="s">
        <v>176</v>
      </c>
      <c r="EB29" s="308" t="s">
        <v>176</v>
      </c>
      <c r="EC29" s="308" t="s">
        <v>176</v>
      </c>
      <c r="ED29" s="308" t="s">
        <v>176</v>
      </c>
      <c r="EE29" s="308" t="s">
        <v>176</v>
      </c>
      <c r="EF29" s="308" t="s">
        <v>176</v>
      </c>
      <c r="EG29" s="308" t="s">
        <v>176</v>
      </c>
      <c r="EH29" s="308" t="s">
        <v>176</v>
      </c>
      <c r="EI29" s="308" t="s">
        <v>176</v>
      </c>
      <c r="EJ29" s="308" t="s">
        <v>176</v>
      </c>
      <c r="EK29" s="308" t="s">
        <v>176</v>
      </c>
      <c r="EL29" s="308" t="s">
        <v>176</v>
      </c>
      <c r="EM29" s="308" t="s">
        <v>176</v>
      </c>
      <c r="EN29" s="308" t="s">
        <v>176</v>
      </c>
      <c r="EO29" s="308">
        <v>1</v>
      </c>
      <c r="EP29" s="308" t="s">
        <v>176</v>
      </c>
      <c r="EQ29" s="308" t="s">
        <v>176</v>
      </c>
      <c r="ER29" s="308" t="s">
        <v>176</v>
      </c>
      <c r="ES29" s="308" t="s">
        <v>176</v>
      </c>
      <c r="ET29" s="308" t="s">
        <v>176</v>
      </c>
      <c r="EU29" s="308" t="s">
        <v>176</v>
      </c>
      <c r="EV29" s="308" t="s">
        <v>176</v>
      </c>
      <c r="EW29" s="308" t="s">
        <v>176</v>
      </c>
      <c r="EX29" s="308" t="s">
        <v>176</v>
      </c>
      <c r="EY29" s="308">
        <v>2</v>
      </c>
      <c r="EZ29" s="308">
        <v>2</v>
      </c>
      <c r="FA29" s="308">
        <v>2</v>
      </c>
      <c r="FB29" s="308"/>
      <c r="FC29" s="308"/>
      <c r="FD29" s="308">
        <v>1</v>
      </c>
      <c r="FE29" s="308">
        <v>1</v>
      </c>
      <c r="FF29" s="308"/>
      <c r="FG29" s="308">
        <v>2</v>
      </c>
      <c r="FH29" s="308">
        <v>2</v>
      </c>
      <c r="FI29" s="308">
        <v>2</v>
      </c>
      <c r="FJ29" s="308">
        <v>2</v>
      </c>
      <c r="FK29" s="308">
        <v>2</v>
      </c>
      <c r="FL29" s="308"/>
      <c r="FM29" s="308"/>
      <c r="FN29" s="308"/>
      <c r="FO29" s="308">
        <v>2</v>
      </c>
      <c r="FP29" s="308"/>
      <c r="FQ29" s="308" t="s">
        <v>176</v>
      </c>
      <c r="FR29" s="308" t="s">
        <v>160</v>
      </c>
      <c r="FS29" s="308" t="s">
        <v>176</v>
      </c>
      <c r="FT29" s="308" t="s">
        <v>176</v>
      </c>
      <c r="FU29" s="308" t="s">
        <v>176</v>
      </c>
      <c r="FV29" s="308" t="s">
        <v>176</v>
      </c>
      <c r="FW29" s="308" t="s">
        <v>176</v>
      </c>
      <c r="FX29" s="308" t="s">
        <v>176</v>
      </c>
      <c r="FY29" s="308" t="s">
        <v>176</v>
      </c>
      <c r="FZ29" s="308" t="s">
        <v>176</v>
      </c>
      <c r="GA29" s="308" t="s">
        <v>176</v>
      </c>
      <c r="GB29" s="308" t="s">
        <v>160</v>
      </c>
      <c r="GC29" s="308" t="s">
        <v>176</v>
      </c>
      <c r="GD29" s="308" t="s">
        <v>176</v>
      </c>
      <c r="GE29" s="308" t="s">
        <v>176</v>
      </c>
      <c r="GF29" s="308" t="s">
        <v>176</v>
      </c>
      <c r="GG29" s="308" t="s">
        <v>176</v>
      </c>
      <c r="GH29" s="308" t="s">
        <v>176</v>
      </c>
      <c r="GI29" s="308" t="s">
        <v>176</v>
      </c>
      <c r="GJ29" s="308" t="s">
        <v>176</v>
      </c>
      <c r="GK29" s="321" t="s">
        <v>176</v>
      </c>
      <c r="GL29" s="311">
        <f>SUM(G29:FP29)</f>
        <v>121</v>
      </c>
    </row>
    <row r="30" spans="1:195" ht="28.35" customHeight="1" thickBot="1" x14ac:dyDescent="0.3">
      <c r="A30" s="138" t="str">
        <f>A29</f>
        <v>Jakość-Quality Labor</v>
      </c>
      <c r="B30" s="138" t="str">
        <f>B29</f>
        <v>Młodszy metrolog</v>
      </c>
      <c r="C30" s="135" t="s">
        <v>750</v>
      </c>
      <c r="D30" s="138">
        <f>D29</f>
        <v>925</v>
      </c>
      <c r="E30" s="566" t="str">
        <f>E29</f>
        <v>Paczkowski Paweł</v>
      </c>
      <c r="F30" s="312" t="s">
        <v>166</v>
      </c>
      <c r="G30" s="313">
        <f>IF(INDEX(tab_MinKomp[Przepisy BHP / BHP Vorschriften],MATCH($B29,tab_MinKomp[[Stanowisko / Position ]:[Stanowisko / Position ]],0))="n/a","n/a",G29-INDEX(tab_MinKomp[Przepisy BHP / BHP Vorschriften],MATCH($B29,tab_MinKomp[[Stanowisko / Position ]:[Stanowisko / Position ]],0)))</f>
        <v>1</v>
      </c>
      <c r="H30" s="313">
        <f>IF(INDEX(tab_MinKomp[Przepisy PPOŻ / Brandschutzbestimmungen],MATCH($B29,tab_MinKomp[[Stanowisko / Position ]:[Stanowisko / Position ]],0))="n/a","n/a",H29-INDEX(tab_MinKomp[Przepisy PPOŻ / Brandschutzbestimmungen],MATCH($B29,tab_MinKomp[[Stanowisko / Position ]:[Stanowisko / Position ]],0)))</f>
        <v>1</v>
      </c>
      <c r="I30" s="313" t="str">
        <f>IF(INDEX(tab_MinKomp[Ryzyko zawodowe na stanowiskach pracyv/ Berufliche Risiken an Arbeitsstellen],MATCH($B29,tab_MinKomp[[Stanowisko / Position ]:[Stanowisko / Position ]],0))="n/a","n/a",I29-INDEX(tab_MinKomp[Ryzyko zawodowe na stanowiskach pracyv/ Berufliche Risiken an Arbeitsstellen],MATCH($B29,tab_MinKomp[[Stanowisko / Position ]:[Stanowisko / Position ]],0)))</f>
        <v>n/a</v>
      </c>
      <c r="J30" s="313">
        <f>IF(INDEX(tab_MinKomp[Gospodarka substancjami niebezpiecznymi / Gefahrstoffmanagement],MATCH($B29,tab_MinKomp[[Stanowisko / Position ]:[Stanowisko / Position ]],0))="n/a","n/a",J29-INDEX(tab_MinKomp[Gospodarka substancjami niebezpiecznymi / Gefahrstoffmanagement],MATCH($B29,tab_MinKomp[[Stanowisko / Position ]:[Stanowisko / Position ]],0)))</f>
        <v>0</v>
      </c>
      <c r="K30" s="313">
        <f>IF(INDEX(tab_MinKomp[Gospodarka odpadami / Abfallwirtschaft],MATCH($B29,tab_MinKomp[[Stanowisko / Position ]:[Stanowisko / Position ]],0))="n/a","n/a",K29-INDEX(tab_MinKomp[Gospodarka odpadami / Abfallwirtschaft],MATCH($B29,tab_MinKomp[[Stanowisko / Position ]:[Stanowisko / Position ]],0)))</f>
        <v>1</v>
      </c>
      <c r="L30" s="315">
        <f>IF(INDEX(tab_MinKomp[Przepisy kodeksu pracy / Bestimmungen des Arbeitsgesetzes],MATCH($B29,tab_MinKomp[[Stanowisko / Position ]:[Stanowisko / Position ]],0))="n/a","n/a",L29-INDEX(tab_MinKomp[Przepisy kodeksu pracy / Bestimmungen des Arbeitsgesetzes],MATCH($B29,tab_MinKomp[[Stanowisko / Position ]:[Stanowisko / Position ]],0)))</f>
        <v>0</v>
      </c>
      <c r="M30" s="315" t="str">
        <f>IF(INDEX(tab_MinKomp[Przepisy o ub.społ. ZUS  / Sozialversicherungsvorschriften],MATCH($B29,tab_MinKomp[[Stanowisko / Position ]:[Stanowisko / Position ]],0))="n/a","n/a",M29-INDEX(tab_MinKomp[Przepisy o ub.społ. ZUS  / Sozialversicherungsvorschriften],MATCH($B29,tab_MinKomp[[Stanowisko / Position ]:[Stanowisko / Position ]],0)))</f>
        <v>n/a</v>
      </c>
      <c r="N30" s="315" t="str">
        <f>IF(INDEX(tab_MinKomp[PRZEPISY O PDOF /persönlich Einkommensteuergesetz ],MATCH($B29,tab_MinKomp[[Stanowisko / Position ]:[Stanowisko / Position ]],0))="n/a","n/a",N29-INDEX(tab_MinKomp[PRZEPISY O PDOF /persönlich Einkommensteuergesetz ],MATCH($B29,tab_MinKomp[[Stanowisko / Position ]:[Stanowisko / Position ]],0)))</f>
        <v>n/a</v>
      </c>
      <c r="O30" s="315">
        <f>IF(INDEX(tab_MinKomp[Regulamin pracy / Arbeitsordnung],MATCH($B29,tab_MinKomp[[Stanowisko / Position ]:[Stanowisko / Position ]],0))="n/a","n/a",O29-INDEX(tab_MinKomp[Regulamin pracy / Arbeitsordnung],MATCH($B29,tab_MinKomp[[Stanowisko / Position ]:[Stanowisko / Position ]],0)))</f>
        <v>0</v>
      </c>
      <c r="P30" s="315">
        <f>IF(INDEX(tab_MinKomp[Regulamin wynagradzania / Vergütungsordnung],MATCH($B29,tab_MinKomp[[Stanowisko / Position ]:[Stanowisko / Position ]],0))="n/a","n/a",P29-INDEX(tab_MinKomp[Regulamin wynagradzania / Vergütungsordnung],MATCH($B29,tab_MinKomp[[Stanowisko / Position ]:[Stanowisko / Position ]],0)))</f>
        <v>0</v>
      </c>
      <c r="Q30" s="315" t="str">
        <f>IF(INDEX(tab_MinKomp[System R2PŁATNIK PRO: Płace / Lohnabrechnung],MATCH($B29,tab_MinKomp[[Stanowisko / Position ]:[Stanowisko / Position ]],0))="n/a","n/a",Q29-INDEX(tab_MinKomp[System R2PŁATNIK PRO: Płace / Lohnabrechnung],MATCH($B29,tab_MinKomp[[Stanowisko / Position ]:[Stanowisko / Position ]],0)))</f>
        <v>n/a</v>
      </c>
      <c r="R30" s="315" t="str">
        <f>IF(INDEX(tab_MinKomp[SystemR2PŁATNIK PRO: KADRY / Personaldaten],MATCH($B29,tab_MinKomp[[Stanowisko / Position ]:[Stanowisko / Position ]],0))="n/a","n/a",R29-INDEX(tab_MinKomp[SystemR2PŁATNIK PRO: KADRY / Personaldaten],MATCH($B29,tab_MinKomp[[Stanowisko / Position ]:[Stanowisko / Position ]],0)))</f>
        <v>n/a</v>
      </c>
      <c r="S30" s="315" t="str">
        <f>IF(INDEX(tab_MinKomp[SYSTEM R2PŁATNIK PRO: zarządzanie pracownikami / Arbeitsverwaltung],MATCH($B29,tab_MinKomp[[Stanowisko / Position ]:[Stanowisko / Position ]],0))="n/a","n/a",S29-INDEX(tab_MinKomp[SYSTEM R2PŁATNIK PRO: zarządzanie pracownikami / Arbeitsverwaltung],MATCH($B29,tab_MinKomp[[Stanowisko / Position ]:[Stanowisko / Position ]],0)))</f>
        <v>n/a</v>
      </c>
      <c r="T30" s="315" t="str">
        <f>IF(INDEX(tab_MinKomp[Doradztwo, wsparcie personalne / Personalberatung und Unterstützung],MATCH($B29,tab_MinKomp[[Stanowisko / Position ]:[Stanowisko / Position ]],0))="n/a","n/a",T29-INDEX(tab_MinKomp[Doradztwo, wsparcie personalne / Personalberatung und Unterstützung],MATCH($B29,tab_MinKomp[[Stanowisko / Position ]:[Stanowisko / Position ]],0)))</f>
        <v>n/a</v>
      </c>
      <c r="U30" s="315" t="str">
        <f>IF(INDEX(tab_MinKomp[Przepisy o podatku VAT / MwSt.- Gesetz],MATCH($B29,tab_MinKomp[[Stanowisko / Position ]:[Stanowisko / Position ]],0))="n/a","n/a",U29-INDEX(tab_MinKomp[Przepisy o podatku VAT / MwSt.- Gesetz],MATCH($B29,tab_MinKomp[[Stanowisko / Position ]:[Stanowisko / Position ]],0)))</f>
        <v>n/a</v>
      </c>
      <c r="V30" s="315" t="str">
        <f>IF(INDEX(tab_MinKomp[PrzepisyPDOP / geschäftlich Einkommensteuergesetz],MATCH($B29,tab_MinKomp[[Stanowisko / Position ]:[Stanowisko / Position ]],0))="n/a","n/a",V29-INDEX(tab_MinKomp[PrzepisyPDOP / geschäftlich Einkommensteuergesetz],MATCH($B29,tab_MinKomp[[Stanowisko / Position ]:[Stanowisko / Position ]],0)))</f>
        <v>n/a</v>
      </c>
      <c r="W30" s="315" t="str">
        <f>IF(INDEX(tab_MinKomp[System BAAN / FINANSE (FIBU)],MATCH($B29,tab_MinKomp[[Stanowisko / Position ]:[Stanowisko / Position ]],0))="n/a","n/a",W29-INDEX(tab_MinKomp[System BAAN / FINANSE (FIBU)],MATCH($B29,tab_MinKomp[[Stanowisko / Position ]:[Stanowisko / Position ]],0)))</f>
        <v>n/a</v>
      </c>
      <c r="X30" s="315" t="str">
        <f>IF(INDEX(tab_MinKomp[Systemy pomocnicze / Hilfssysteme(STOCKPROGRAM, KALK2000 etc.)],MATCH($B29,tab_MinKomp[[Stanowisko / Position ]:[Stanowisko / Position ]],0))="n/a","n/a",X29-INDEX(tab_MinKomp[Systemy pomocnicze / Hilfssysteme(STOCKPROGRAM, KALK2000 etc.)],MATCH($B29,tab_MinKomp[[Stanowisko / Position ]:[Stanowisko / Position ]],0)))</f>
        <v>n/a</v>
      </c>
      <c r="Y30" s="315" t="str">
        <f>IF(INDEX(tab_MinKomp[Polityka rachunkowości / Buchführungspolitik],MATCH($B29,tab_MinKomp[[Stanowisko / Position ]:[Stanowisko / Position ]],0))="n/a","n/a",Y29-INDEX(tab_MinKomp[Polityka rachunkowości / Buchführungspolitik],MATCH($B29,tab_MinKomp[[Stanowisko / Position ]:[Stanowisko / Position ]],0)))</f>
        <v>n/a</v>
      </c>
      <c r="Z30" s="315" t="str">
        <f>IF(INDEX(tab_MinKomp[Ustawa o rachunkowości / Rechnungslegungsgesetz],MATCH($B29,tab_MinKomp[[Stanowisko / Position ]:[Stanowisko / Position ]],0))="n/a","n/a",Z29-INDEX(tab_MinKomp[Ustawa o rachunkowości / Rechnungslegungsgesetz],MATCH($B29,tab_MinKomp[[Stanowisko / Position ]:[Stanowisko / Position ]],0)))</f>
        <v>n/a</v>
      </c>
      <c r="AA30" s="315" t="str">
        <f>IF(INDEX(tab_MinKomp[WORKFLOW - TS-100],MATCH($B29,tab_MinKomp[[Stanowisko / Position ]:[Stanowisko / Position ]],0))="n/a","n/a",AA29-INDEX(tab_MinKomp[WORKFLOW - TS-100],MATCH($B29,tab_MinKomp[[Stanowisko / Position ]:[Stanowisko / Position ]],0)))</f>
        <v>n/a</v>
      </c>
      <c r="AB30" s="315">
        <f>IF(INDEX(tab_MinKomp[WORKFLOW - SFMS],MATCH($B29,tab_MinKomp[[Stanowisko / Position ]:[Stanowisko / Position ]],0))="n/a","n/a",AB29-INDEX(tab_MinKomp[WORKFLOW - SFMS],MATCH($B29,tab_MinKomp[[Stanowisko / Position ]:[Stanowisko / Position ]],0)))</f>
        <v>-1</v>
      </c>
      <c r="AC30" s="315">
        <f>IF(INDEX(tab_MinKomp[System ISO 9001:2015],MATCH($B29,tab_MinKomp[[Stanowisko / Position ]:[Stanowisko / Position ]],0))="n/a","n/a",AC29-INDEX(tab_MinKomp[System ISO 9001:2015],MATCH($B29,tab_MinKomp[[Stanowisko / Position ]:[Stanowisko / Position ]],0)))</f>
        <v>0</v>
      </c>
      <c r="AD30" s="315">
        <f>IF(INDEX(tab_MinKomp[System IATF 16949:2016],MATCH($B29,tab_MinKomp[[Stanowisko / Position ]:[Stanowisko / Position ]],0))="n/a","n/a",AD29-INDEX(tab_MinKomp[System IATF 16949:2016],MATCH($B29,tab_MinKomp[[Stanowisko / Position ]:[Stanowisko / Position ]],0)))</f>
        <v>-1</v>
      </c>
      <c r="AE30" s="315">
        <f>IF(INDEX(tab_MinKomp[System ISO 14001:2015],MATCH($B29,tab_MinKomp[[Stanowisko / Position ]:[Stanowisko / Position ]],0))="n/a","n/a",AE29-INDEX(tab_MinKomp[System ISO 14001:2015],MATCH($B29,tab_MinKomp[[Stanowisko / Position ]:[Stanowisko / Position ]],0)))</f>
        <v>0</v>
      </c>
      <c r="AF30" s="315">
        <f>IF(INDEX(tab_MinKomp[System PN-N 18001:2004 / ISO 45001:2018],MATCH($B29,tab_MinKomp[[Stanowisko / Position ]:[Stanowisko / Position ]],0))="n/a","n/a",AF29-INDEX(tab_MinKomp[System PN-N 18001:2004 / ISO 45001:2018],MATCH($B29,tab_MinKomp[[Stanowisko / Position ]:[Stanowisko / Position ]],0)))</f>
        <v>0</v>
      </c>
      <c r="AG30" s="315">
        <f>IF(INDEX(tab_MinKomp[Wymagania VDA 6.3 Process / Forderungen],MATCH($B29,tab_MinKomp[[Stanowisko / Position ]:[Stanowisko / Position ]],0))="n/a","n/a",AG29-INDEX(tab_MinKomp[Wymagania VDA 6.3 Process / Forderungen],MATCH($B29,tab_MinKomp[[Stanowisko / Position ]:[Stanowisko / Position ]],0)))</f>
        <v>0</v>
      </c>
      <c r="AH30" s="315">
        <f>IF(INDEX(tab_MinKomp[Wymagania VDA 6.5 Product / Forderungen],MATCH($B29,tab_MinKomp[[Stanowisko / Position ]:[Stanowisko / Position ]],0))="n/a","n/a",AH29-INDEX(tab_MinKomp[Wymagania VDA 6.5 Product / Forderungen],MATCH($B29,tab_MinKomp[[Stanowisko / Position ]:[Stanowisko / Position ]],0)))</f>
        <v>-1</v>
      </c>
      <c r="AI30" s="315" t="str">
        <f>IF(INDEX(tab_MinKomp[PSCR (VW Product Safety &amp; Conformity Representative)],MATCH($B29,tab_MinKomp[[Stanowisko / Position ]:[Stanowisko / Position ]],0))="n/a","n/a",AI29-INDEX(tab_MinKomp[PSCR (VW Product Safety &amp; Conformity Representative)],MATCH($B29,tab_MinKomp[[Stanowisko / Position ]:[Stanowisko / Position ]],0)))</f>
        <v>n/a</v>
      </c>
      <c r="AJ30" s="315" t="str">
        <f>IF(INDEX(tab_MinKomp[Auditor systemu ISO 17025:2018],MATCH($B29,tab_MinKomp[[Stanowisko / Position ]:[Stanowisko / Position ]],0))="n/a","n/a",AJ29-INDEX(tab_MinKomp[Auditor systemu ISO 17025:2018],MATCH($B29,tab_MinKomp[[Stanowisko / Position ]:[Stanowisko / Position ]],0)))</f>
        <v>n/a</v>
      </c>
      <c r="AK30" s="315" t="str">
        <f>IF(INDEX(tab_MinKomp[Pełnomocnik systemu / Systemvertreter],MATCH($B29,tab_MinKomp[[Stanowisko / Position ]:[Stanowisko / Position ]],0))="n/a","n/a",AK29-INDEX(tab_MinKomp[Pełnomocnik systemu / Systemvertreter],MATCH($B29,tab_MinKomp[[Stanowisko / Position ]:[Stanowisko / Position ]],0)))</f>
        <v>n/a</v>
      </c>
      <c r="AL30" s="315">
        <f>IF(INDEX(tab_MinKomp[Polityka Etyczna - Compliance],MATCH($B29,tab_MinKomp[[Stanowisko / Position ]:[Stanowisko / Position ]],0))="n/a","n/a",AL29-INDEX(tab_MinKomp[Polityka Etyczna - Compliance],MATCH($B29,tab_MinKomp[[Stanowisko / Position ]:[Stanowisko / Position ]],0)))</f>
        <v>0</v>
      </c>
      <c r="AM30" s="315">
        <f>IF(INDEX(tab_MinKomp[WDRAŻANIE NOWYCH PROJEKTÓW/ PROCEDURA CTM],MATCH($B29,tab_MinKomp[[Stanowisko / Position ]:[Stanowisko / Position ]],0))="n/a","n/a",AM29-INDEX(tab_MinKomp[WDRAŻANIE NOWYCH PROJEKTÓW/ PROCEDURA CTM],MATCH($B29,tab_MinKomp[[Stanowisko / Position ]:[Stanowisko / Position ]],0)))</f>
        <v>-1</v>
      </c>
      <c r="AN30" s="315" t="str">
        <f>IF(INDEX(tab_MinKomp[KAMIENIE MILOWE MSL/PIFF],MATCH($B29,tab_MinKomp[[Stanowisko / Position ]:[Stanowisko / Position ]],0))="n/a","n/a",AN29-INDEX(tab_MinKomp[KAMIENIE MILOWE MSL/PIFF],MATCH($B29,tab_MinKomp[[Stanowisko / Position ]:[Stanowisko / Position ]],0)))</f>
        <v>n/a</v>
      </c>
      <c r="AO30" s="315">
        <f>IF(INDEX(tab_MinKomp[CP],MATCH($B29,tab_MinKomp[[Stanowisko / Position ]:[Stanowisko / Position ]],0))="n/a","n/a",AO29-INDEX(tab_MinKomp[CP],MATCH($B29,tab_MinKomp[[Stanowisko / Position ]:[Stanowisko / Position ]],0)))</f>
        <v>0</v>
      </c>
      <c r="AP30" s="315">
        <f>IF(INDEX(tab_MinKomp[FMEA],MATCH($B29,tab_MinKomp[[Stanowisko / Position ]:[Stanowisko / Position ]],0))="n/a","n/a",AP29-INDEX(tab_MinKomp[FMEA],MATCH($B29,tab_MinKomp[[Stanowisko / Position ]:[Stanowisko / Position ]],0)))</f>
        <v>0</v>
      </c>
      <c r="AQ30" s="315">
        <f>IF(INDEX(tab_MinKomp[FLOW CHART],MATCH($B29,tab_MinKomp[[Stanowisko / Position ]:[Stanowisko / Position ]],0))="n/a","n/a",AQ29-INDEX(tab_MinKomp[FLOW CHART],MATCH($B29,tab_MinKomp[[Stanowisko / Position ]:[Stanowisko / Position ]],0)))</f>
        <v>0</v>
      </c>
      <c r="AR30" s="315" t="str">
        <f>IF(INDEX(tab_MinKomp[APQP],MATCH($B29,tab_MinKomp[[Stanowisko / Position ]:[Stanowisko / Position ]],0))="n/a","n/a",AR29-INDEX(tab_MinKomp[APQP],MATCH($B29,tab_MinKomp[[Stanowisko / Position ]:[Stanowisko / Position ]],0)))</f>
        <v>n/a</v>
      </c>
      <c r="AS30" s="315">
        <f>IF(INDEX(tab_MinKomp[MSA],MATCH($B29,tab_MinKomp[[Stanowisko / Position ]:[Stanowisko / Position ]],0))="n/a","n/a",AS29-INDEX(tab_MinKomp[MSA],MATCH($B29,tab_MinKomp[[Stanowisko / Position ]:[Stanowisko / Position ]],0)))</f>
        <v>1</v>
      </c>
      <c r="AT30" s="315">
        <f>IF(INDEX(tab_MinKomp[SPC],MATCH($B29,tab_MinKomp[[Stanowisko / Position ]:[Stanowisko / Position ]],0))="n/a","n/a",AT29-INDEX(tab_MinKomp[SPC],MATCH($B29,tab_MinKomp[[Stanowisko / Position ]:[Stanowisko / Position ]],0)))</f>
        <v>0</v>
      </c>
      <c r="AU30" s="315">
        <f>IF(INDEX(tab_MinKomp[CSR (SPECYFICZNE WYMAGANIA KLIENTA)],MATCH($B29,tab_MinKomp[[Stanowisko / Position ]:[Stanowisko / Position ]],0))="n/a","n/a",AU29-INDEX(tab_MinKomp[CSR (SPECYFICZNE WYMAGANIA KLIENTA)],MATCH($B29,tab_MinKomp[[Stanowisko / Position ]:[Stanowisko / Position ]],0)))</f>
        <v>0</v>
      </c>
      <c r="AV30" s="315">
        <f>IF(INDEX(tab_MinKomp[5S],MATCH($B29,tab_MinKomp[[Stanowisko / Position ]:[Stanowisko / Position ]],0))="n/a","n/a",AV29-INDEX(tab_MinKomp[5S],MATCH($B29,tab_MinKomp[[Stanowisko / Position ]:[Stanowisko / Position ]],0)))</f>
        <v>0</v>
      </c>
      <c r="AW30" s="315">
        <f>IF(INDEX(tab_MinKomp[LEAN MANAGEMENT],MATCH($B29,tab_MinKomp[[Stanowisko / Position ]:[Stanowisko / Position ]],0))="n/a","n/a",AW29-INDEX(tab_MinKomp[LEAN MANAGEMENT],MATCH($B29,tab_MinKomp[[Stanowisko / Position ]:[Stanowisko / Position ]],0)))</f>
        <v>0</v>
      </c>
      <c r="AX30" s="315">
        <f>IF(INDEX(tab_MinKomp[5R],MATCH($B29,tab_MinKomp[[Stanowisko / Position ]:[Stanowisko / Position ]],0))="n/a","n/a",AX29-INDEX(tab_MinKomp[5R],MATCH($B29,tab_MinKomp[[Stanowisko / Position ]:[Stanowisko / Position ]],0)))</f>
        <v>0</v>
      </c>
      <c r="AY30" s="315" t="str">
        <f>IF(INDEX(tab_MinKomp[Six Sigma],MATCH($B29,tab_MinKomp[[Stanowisko / Position ]:[Stanowisko / Position ]],0))="n/a","n/a",AY29-INDEX(tab_MinKomp[Six Sigma],MATCH($B29,tab_MinKomp[[Stanowisko / Position ]:[Stanowisko / Position ]],0)))</f>
        <v>n/a</v>
      </c>
      <c r="AZ30" s="315">
        <f>IF(INDEX(tab_MinKomp[System BAAN / Distribution &amp; Supply Chain],MATCH($B29,tab_MinKomp[[Stanowisko / Position ]:[Stanowisko / Position ]],0))="n/a","n/a",AZ29-INDEX(tab_MinKomp[System BAAN / Distribution &amp; Supply Chain],MATCH($B29,tab_MinKomp[[Stanowisko / Position ]:[Stanowisko / Position ]],0)))</f>
        <v>0</v>
      </c>
      <c r="BA30" s="315" t="str">
        <f>IF(INDEX(tab_MinKomp[Gospodarka magazynowa / Lagerverwaltung],MATCH($B29,tab_MinKomp[[Stanowisko / Position ]:[Stanowisko / Position ]],0))="n/a","n/a",BA29-INDEX(tab_MinKomp[Gospodarka magazynowa / Lagerverwaltung],MATCH($B29,tab_MinKomp[[Stanowisko / Position ]:[Stanowisko / Position ]],0)))</f>
        <v>n/a</v>
      </c>
      <c r="BB30" s="315" t="str">
        <f>IF(INDEX(tab_MinKomp[Inwentaryzacja - organizacja i przebieg / Inventurprozess],MATCH($B29,tab_MinKomp[[Stanowisko / Position ]:[Stanowisko / Position ]],0))="n/a","n/a",BB29-INDEX(tab_MinKomp[Inwentaryzacja - organizacja i przebieg / Inventurprozess],MATCH($B29,tab_MinKomp[[Stanowisko / Position ]:[Stanowisko / Position ]],0)))</f>
        <v>n/a</v>
      </c>
      <c r="BC30" s="315" t="str">
        <f>IF(INDEX(tab_MinKomp[Organizacja dostaw / Versorgungsorganisation],MATCH($B29,tab_MinKomp[[Stanowisko / Position ]:[Stanowisko / Position ]],0))="n/a","n/a",BC29-INDEX(tab_MinKomp[Organizacja dostaw / Versorgungsorganisation],MATCH($B29,tab_MinKomp[[Stanowisko / Position ]:[Stanowisko / Position ]],0)))</f>
        <v>n/a</v>
      </c>
      <c r="BD30" s="315" t="str">
        <f>IF(INDEX(tab_MinKomp[Organizacja wysyłek / Organisation von Lieferungen],MATCH($B29,tab_MinKomp[[Stanowisko / Position ]:[Stanowisko / Position ]],0))="n/a","n/a",BD29-INDEX(tab_MinKomp[Organizacja wysyłek / Organisation von Lieferungen],MATCH($B29,tab_MinKomp[[Stanowisko / Position ]:[Stanowisko / Position ]],0)))</f>
        <v>n/a</v>
      </c>
      <c r="BE30" s="315">
        <f>IF(INDEX(tab_MinKomp[Analiza magazynowa - Program Polen.mdb / Inventuranalyse],MATCH($B29,tab_MinKomp[[Stanowisko / Position ]:[Stanowisko / Position ]],0))="n/a","n/a",BE29-INDEX(tab_MinKomp[Analiza magazynowa - Program Polen.mdb / Inventuranalyse],MATCH($B29,tab_MinKomp[[Stanowisko / Position ]:[Stanowisko / Position ]],0)))</f>
        <v>-1</v>
      </c>
      <c r="BF30" s="315" t="str">
        <f>IF(INDEX(tab_MinKomp[MMOG (Materials Management Operations Guidelines)],MATCH($B29,tab_MinKomp[[Stanowisko / Position ]:[Stanowisko / Position ]],0))="n/a","n/a",BF29-INDEX(tab_MinKomp[MMOG (Materials Management Operations Guidelines)],MATCH($B29,tab_MinKomp[[Stanowisko / Position ]:[Stanowisko / Position ]],0)))</f>
        <v>n/a</v>
      </c>
      <c r="BG30" s="315" t="str">
        <f>IF(INDEX(tab_MinKomp[DETC],MATCH($B29,tab_MinKomp[[Stanowisko / Position ]:[Stanowisko / Position ]],0))="n/a","n/a",BG29-INDEX(tab_MinKomp[DETC],MATCH($B29,tab_MinKomp[[Stanowisko / Position ]:[Stanowisko / Position ]],0)))</f>
        <v>n/a</v>
      </c>
      <c r="BH30" s="315" t="str">
        <f>IF(INDEX(tab_MinKomp[GPP],MATCH($B29,tab_MinKomp[[Stanowisko / Position ]:[Stanowisko / Position ]],0))="n/a","n/a",BH29-INDEX(tab_MinKomp[GPP],MATCH($B29,tab_MinKomp[[Stanowisko / Position ]:[Stanowisko / Position ]],0)))</f>
        <v>n/a</v>
      </c>
      <c r="BI30" s="315" t="str">
        <f>IF(INDEX(tab_MinKomp[AIAG (Automotive Industry Action Group)],MATCH($B29,tab_MinKomp[[Stanowisko / Position ]:[Stanowisko / Position ]],0))="n/a","n/a",BI29-INDEX(tab_MinKomp[AIAG (Automotive Industry Action Group)],MATCH($B29,tab_MinKomp[[Stanowisko / Position ]:[Stanowisko / Position ]],0)))</f>
        <v>n/a</v>
      </c>
      <c r="BJ30" s="315" t="str">
        <f>IF(INDEX(tab_MinKomp[Super-G disputes],MATCH($B29,tab_MinKomp[[Stanowisko / Position ]:[Stanowisko / Position ]],0))="n/a","n/a",BJ29-INDEX(tab_MinKomp[Super-G disputes],MATCH($B29,tab_MinKomp[[Stanowisko / Position ]:[Stanowisko / Position ]],0)))</f>
        <v>n/a</v>
      </c>
      <c r="BK30" s="315" t="str">
        <f>IF(INDEX(tab_MinKomp[CMMS3/eDDL (Direct Data Link)],MATCH($B29,tab_MinKomp[[Stanowisko / Position ]:[Stanowisko / Position ]],0))="n/a","n/a",BK29-INDEX(tab_MinKomp[CMMS3/eDDL (Direct Data Link)],MATCH($B29,tab_MinKomp[[Stanowisko / Position ]:[Stanowisko / Position ]],0)))</f>
        <v>n/a</v>
      </c>
      <c r="BL30" s="315" t="str">
        <f>IF(INDEX(tab_MinKomp[MP&amp;L (Material Planning and Logistics)],MATCH($B29,tab_MinKomp[[Stanowisko / Position ]:[Stanowisko / Position ]],0))="n/a","n/a",BL29-INDEX(tab_MinKomp[MP&amp;L (Material Planning and Logistics)],MATCH($B29,tab_MinKomp[[Stanowisko / Position ]:[Stanowisko / Position ]],0)))</f>
        <v>n/a</v>
      </c>
      <c r="BM30" s="315" t="str">
        <f>IF(INDEX(tab_MinKomp[Planowanie produkcji / Produktionsplanung],MATCH($B29,tab_MinKomp[[Stanowisko / Position ]:[Stanowisko / Position ]],0))="n/a","n/a",BM29-INDEX(tab_MinKomp[Planowanie produkcji / Produktionsplanung],MATCH($B29,tab_MinKomp[[Stanowisko / Position ]:[Stanowisko / Position ]],0)))</f>
        <v>n/a</v>
      </c>
      <c r="BN30" s="315" t="str">
        <f>IF(INDEX(tab_MinKomp[Obsługa maszyn Engel / Engel Maschinenbedienung],MATCH($B29,tab_MinKomp[[Stanowisko / Position ]:[Stanowisko / Position ]],0))="n/a","n/a",BN29-INDEX(tab_MinKomp[Obsługa maszyn Engel / Engel Maschinenbedienung],MATCH($B29,tab_MinKomp[[Stanowisko / Position ]:[Stanowisko / Position ]],0)))</f>
        <v>n/a</v>
      </c>
      <c r="BO30" s="315" t="str">
        <f>IF(INDEX(tab_MinKomp[Obsługa maszyn Novapax / Novapax Maschinenbedienung],MATCH($B29,tab_MinKomp[[Stanowisko / Position ]:[Stanowisko / Position ]],0))="n/a","n/a",BO29-INDEX(tab_MinKomp[Obsługa maszyn Novapax / Novapax Maschinenbedienung],MATCH($B29,tab_MinKomp[[Stanowisko / Position ]:[Stanowisko / Position ]],0)))</f>
        <v>n/a</v>
      </c>
      <c r="BP30" s="315" t="str">
        <f>IF(INDEX(tab_MinKomp[Obsługa maszyn KVT / KVT Maschinenbedienung],MATCH($B29,tab_MinKomp[[Stanowisko / Position ]:[Stanowisko / Position ]],0))="n/a","n/a",BP29-INDEX(tab_MinKomp[Obsługa maszyn KVT / KVT Maschinenbedienung],MATCH($B29,tab_MinKomp[[Stanowisko / Position ]:[Stanowisko / Position ]],0)))</f>
        <v>n/a</v>
      </c>
      <c r="BQ30" s="315" t="str">
        <f>IF(INDEX(tab_MinKomp[Obsługa maszyn ASL / ASL Maschinenbedienung],MATCH($B29,tab_MinKomp[[Stanowisko / Position ]:[Stanowisko / Position ]],0))="n/a","n/a",BQ29-INDEX(tab_MinKomp[Obsługa maszyn ASL / ASL Maschinenbedienung],MATCH($B29,tab_MinKomp[[Stanowisko / Position ]:[Stanowisko / Position ]],0)))</f>
        <v>n/a</v>
      </c>
      <c r="BR30" s="315" t="str">
        <f>IF(INDEX(tab_MinKomp[Obsługa maszyn Branson / Branson Maschinenbedienung],MATCH($B29,tab_MinKomp[[Stanowisko / Position ]:[Stanowisko / Position ]],0))="n/a","n/a",BR29-INDEX(tab_MinKomp[Obsługa maszyn Branson / Branson Maschinenbedienung],MATCH($B29,tab_MinKomp[[Stanowisko / Position ]:[Stanowisko / Position ]],0)))</f>
        <v>n/a</v>
      </c>
      <c r="BS30" s="315" t="str">
        <f>IF(INDEX(tab_MinKomp[Obsługa maszyn Kamtec / Kamtec Maschinenbedienung],MATCH($B29,tab_MinKomp[[Stanowisko / Position ]:[Stanowisko / Position ]],0))="n/a","n/a",BS29-INDEX(tab_MinKomp[Obsługa maszyn Kamtec / Kamtec Maschinenbedienung],MATCH($B29,tab_MinKomp[[Stanowisko / Position ]:[Stanowisko / Position ]],0)))</f>
        <v>n/a</v>
      </c>
      <c r="BT30" s="315" t="str">
        <f>IF(INDEX(tab_MinKomp[Obsługa maszyn Piovan / Piovan Maschinenbedienung],MATCH($B29,tab_MinKomp[[Stanowisko / Position ]:[Stanowisko / Position ]],0))="n/a","n/a",BT29-INDEX(tab_MinKomp[Obsługa maszyn Piovan / Piovan Maschinenbedienung],MATCH($B29,tab_MinKomp[[Stanowisko / Position ]:[Stanowisko / Position ]],0)))</f>
        <v>n/a</v>
      </c>
      <c r="BU30" s="315" t="str">
        <f>IF(INDEX(tab_MinKomp[Obsługa maszyn REP / REP Maschinenbedienung],MATCH($B29,tab_MinKomp[[Stanowisko / Position ]:[Stanowisko / Position ]],0))="n/a","n/a",BU29-INDEX(tab_MinKomp[Obsługa maszyn REP / REP Maschinenbedienung],MATCH($B29,tab_MinKomp[[Stanowisko / Position ]:[Stanowisko / Position ]],0)))</f>
        <v>n/a</v>
      </c>
      <c r="BV30" s="315" t="str">
        <f>IF(INDEX(tab_MinKomp[Eliminacja awarii / Beseitigung von Ausfällen],MATCH($B29,tab_MinKomp[[Stanowisko / Position ]:[Stanowisko / Position ]],0))="n/a","n/a",BV29-INDEX(tab_MinKomp[Eliminacja awarii / Beseitigung von Ausfällen],MATCH($B29,tab_MinKomp[[Stanowisko / Position ]:[Stanowisko / Position ]],0)))</f>
        <v>n/a</v>
      </c>
      <c r="BW30" s="315" t="str">
        <f>IF(INDEX(tab_MinKomp[Informatyka ogólna (techniczne i systemowe) / Allgemeine IT (Technik und System)],MATCH($B29,tab_MinKomp[[Stanowisko / Position ]:[Stanowisko / Position ]],0))="n/a","n/a",BW29-INDEX(tab_MinKomp[Informatyka ogólna (techniczne i systemowe) / Allgemeine IT (Technik und System)],MATCH($B29,tab_MinKomp[[Stanowisko / Position ]:[Stanowisko / Position ]],0)))</f>
        <v>n/a</v>
      </c>
      <c r="BX30" s="315" t="str">
        <f>IF(INDEX(tab_MinKomp[Sieci komputerowe / Computernetzwerke],MATCH($B29,tab_MinKomp[[Stanowisko / Position ]:[Stanowisko / Position ]],0))="n/a","n/a",BX29-INDEX(tab_MinKomp[Sieci komputerowe / Computernetzwerke],MATCH($B29,tab_MinKomp[[Stanowisko / Position ]:[Stanowisko / Position ]],0)))</f>
        <v>n/a</v>
      </c>
      <c r="BY30" s="315" t="str">
        <f>IF(INDEX(tab_MinKomp[Hardware (komputery PC, drukarki biurowe i etykietowe, telefonia stacjonarna i mobilna) (PC, Drucker, Telefpne, Handys)],MATCH($B29,tab_MinKomp[[Stanowisko / Position ]:[Stanowisko / Position ]],0))="n/a","n/a",BY29-INDEX(tab_MinKomp[Hardware (komputery PC, drukarki biurowe i etykietowe, telefonia stacjonarna i mobilna) (PC, Drucker, Telefpne, Handys)],MATCH($B29,tab_MinKomp[[Stanowisko / Position ]:[Stanowisko / Position ]],0)))</f>
        <v>n/a</v>
      </c>
      <c r="BZ30" s="315" t="str">
        <f>IF(INDEX(tab_MinKomp[Software &amp; Systems (MS Office, MS Remote Desktop)],MATCH($B29,tab_MinKomp[[Stanowisko / Position ]:[Stanowisko / Position ]],0))="n/a","n/a",BZ29-INDEX(tab_MinKomp[Software &amp; Systems (MS Office, MS Remote Desktop)],MATCH($B29,tab_MinKomp[[Stanowisko / Position ]:[Stanowisko / Position ]],0)))</f>
        <v>n/a</v>
      </c>
      <c r="CA30" s="315" t="str">
        <f>IF(INDEX(tab_MinKomp[Programowanie obiektowe (PHP) / Objektprogrammierung],MATCH($B29,tab_MinKomp[[Stanowisko / Position ]:[Stanowisko / Position ]],0))="n/a","n/a",CA29-INDEX(tab_MinKomp[Programowanie obiektowe (PHP) / Objektprogrammierung],MATCH($B29,tab_MinKomp[[Stanowisko / Position ]:[Stanowisko / Position ]],0)))</f>
        <v>n/a</v>
      </c>
      <c r="CB30" s="315" t="str">
        <f>IF(INDEX(tab_MinKomp[Scrum],MATCH($B29,tab_MinKomp[[Stanowisko / Position ]:[Stanowisko / Position ]],0))="n/a","n/a",CB29-INDEX(tab_MinKomp[Scrum],MATCH($B29,tab_MinKomp[[Stanowisko / Position ]:[Stanowisko / Position ]],0)))</f>
        <v>n/a</v>
      </c>
      <c r="CC30" s="315" t="str">
        <f>IF(INDEX(tab_MinKomp[SQL (MySQL)],MATCH($B29,tab_MinKomp[[Stanowisko / Position ]:[Stanowisko / Position ]],0))="n/a","n/a",CC29-INDEX(tab_MinKomp[SQL (MySQL)],MATCH($B29,tab_MinKomp[[Stanowisko / Position ]:[Stanowisko / Position ]],0)))</f>
        <v>n/a</v>
      </c>
      <c r="CD30" s="315" t="str">
        <f>IF(INDEX(tab_MinKomp[Javascript],MATCH($B29,tab_MinKomp[[Stanowisko / Position ]:[Stanowisko / Position ]],0))="n/a","n/a",CD29-INDEX(tab_MinKomp[Javascript],MATCH($B29,tab_MinKomp[[Stanowisko / Position ]:[Stanowisko / Position ]],0)))</f>
        <v>n/a</v>
      </c>
      <c r="CE30" s="315" t="str">
        <f>IF(INDEX(tab_MinKomp[Joomla],MATCH($B29,tab_MinKomp[[Stanowisko / Position ]:[Stanowisko / Position ]],0))="n/a","n/a",CE29-INDEX(tab_MinKomp[Joomla],MATCH($B29,tab_MinKomp[[Stanowisko / Position ]:[Stanowisko / Position ]],0)))</f>
        <v>n/a</v>
      </c>
      <c r="CF30" s="315" t="str">
        <f>IF(INDEX(tab_MinKomp[Bash],MATCH($B29,tab_MinKomp[[Stanowisko / Position ]:[Stanowisko / Position ]],0))="n/a","n/a",CF29-INDEX(tab_MinKomp[Bash],MATCH($B29,tab_MinKomp[[Stanowisko / Position ]:[Stanowisko / Position ]],0)))</f>
        <v>n/a</v>
      </c>
      <c r="CG30" s="315" t="str">
        <f>IF(INDEX(tab_MinKomp[Systemy MES (HYDRA / SFMS)],MATCH($B29,tab_MinKomp[[Stanowisko / Position ]:[Stanowisko / Position ]],0))="n/a","n/a",CG29-INDEX(tab_MinKomp[Systemy MES (HYDRA / SFMS)],MATCH($B29,tab_MinKomp[[Stanowisko / Position ]:[Stanowisko / Position ]],0)))</f>
        <v>n/a</v>
      </c>
      <c r="CH30" s="315" t="str">
        <f>IF(INDEX(tab_MinKomp[HTML / CSS],MATCH($B29,tab_MinKomp[[Stanowisko / Position ]:[Stanowisko / Position ]],0))="n/a","n/a",CH29-INDEX(tab_MinKomp[HTML / CSS],MATCH($B29,tab_MinKomp[[Stanowisko / Position ]:[Stanowisko / Position ]],0)))</f>
        <v>n/a</v>
      </c>
      <c r="CI30" s="315">
        <f>IF(INDEX(tab_MinKomp[SYSTEM PR],MATCH($B29,tab_MinKomp[[Stanowisko / Position ]:[Stanowisko / Position ]],0))="n/a","n/a",CI29-INDEX(tab_MinKomp[SYSTEM PR],MATCH($B29,tab_MinKomp[[Stanowisko / Position ]:[Stanowisko / Position ]],0)))</f>
        <v>0</v>
      </c>
      <c r="CJ30" s="315" t="str">
        <f>IF(INDEX(tab_MinKomp[System Einkauf XP / EBA],MATCH($B29,tab_MinKomp[[Stanowisko / Position ]:[Stanowisko / Position ]],0))="n/a","n/a",CJ29-INDEX(tab_MinKomp[System Einkauf XP / EBA],MATCH($B29,tab_MinKomp[[Stanowisko / Position ]:[Stanowisko / Position ]],0)))</f>
        <v>n/a</v>
      </c>
      <c r="CK30" s="315" t="str">
        <f>IF(INDEX(tab_MinKomp[Techniki negocjacyjne / Verhandlungstechniken],MATCH($B29,tab_MinKomp[[Stanowisko / Position ]:[Stanowisko / Position ]],0))="n/a","n/a",CK29-INDEX(tab_MinKomp[Techniki negocjacyjne / Verhandlungstechniken],MATCH($B29,tab_MinKomp[[Stanowisko / Position ]:[Stanowisko / Position ]],0)))</f>
        <v>n/a</v>
      </c>
      <c r="CL30" s="315" t="str">
        <f>IF(INDEX(tab_MinKomp[Znajomość rynku branżowego / Kenntnis des Industrie Marktes],MATCH($B29,tab_MinKomp[[Stanowisko / Position ]:[Stanowisko / Position ]],0))="n/a","n/a",CL29-INDEX(tab_MinKomp[Znajomość rynku branżowego / Kenntnis des Industrie Marktes],MATCH($B29,tab_MinKomp[[Stanowisko / Position ]:[Stanowisko / Position ]],0)))</f>
        <v>n/a</v>
      </c>
      <c r="CM30" s="315" t="str">
        <f>IF(INDEX(tab_MinKomp[RAPORTY 8D / 8D Berichten],MATCH($B29,tab_MinKomp[[Stanowisko / Position ]:[Stanowisko / Position ]],0))="n/a","n/a",CM29-INDEX(tab_MinKomp[RAPORTY 8D / 8D Berichten],MATCH($B29,tab_MinKomp[[Stanowisko / Position ]:[Stanowisko / Position ]],0)))</f>
        <v>n/a</v>
      </c>
      <c r="CN30" s="315">
        <f>IF(INDEX(tab_MinKomp[NARZĘDZIA JAKOŚCIOWE (5WHY, Ishikawa, etc) / QS-Werkzeuge],MATCH($B29,tab_MinKomp[[Stanowisko / Position ]:[Stanowisko / Position ]],0))="n/a","n/a",CN29-INDEX(tab_MinKomp[NARZĘDZIA JAKOŚCIOWE (5WHY, Ishikawa, etc) / QS-Werkzeuge],MATCH($B29,tab_MinKomp[[Stanowisko / Position ]:[Stanowisko / Position ]],0)))</f>
        <v>0</v>
      </c>
      <c r="CO30" s="315" t="str">
        <f>IF(INDEX(tab_MinKomp[PDCA],MATCH($B29,tab_MinKomp[[Stanowisko / Position ]:[Stanowisko / Position ]],0))="n/a","n/a",CO29-INDEX(tab_MinKomp[PDCA],MATCH($B29,tab_MinKomp[[Stanowisko / Position ]:[Stanowisko / Position ]],0)))</f>
        <v>n/a</v>
      </c>
      <c r="CP30" s="315" t="str">
        <f>IF(INDEX(tab_MinKomp[Pareto],MATCH($B29,tab_MinKomp[[Stanowisko / Position ]:[Stanowisko / Position ]],0))="n/a","n/a",CP29-INDEX(tab_MinKomp[Pareto],MATCH($B29,tab_MinKomp[[Stanowisko / Position ]:[Stanowisko / Position ]],0)))</f>
        <v>n/a</v>
      </c>
      <c r="CQ30" s="315" t="str">
        <f>IF(INDEX(tab_MinKomp[PPAP/PSW],MATCH($B29,tab_MinKomp[[Stanowisko / Position ]:[Stanowisko / Position ]],0))="n/a","n/a",CQ29-INDEX(tab_MinKomp[PPAP/PSW],MATCH($B29,tab_MinKomp[[Stanowisko / Position ]:[Stanowisko / Position ]],0)))</f>
        <v>n/a</v>
      </c>
      <c r="CR30" s="315" t="str">
        <f>IF(INDEX(tab_MinKomp[SUPPLIER MANAGEMENT],MATCH($B29,tab_MinKomp[[Stanowisko / Position ]:[Stanowisko / Position ]],0))="n/a","n/a",CR29-INDEX(tab_MinKomp[SUPPLIER MANAGEMENT],MATCH($B29,tab_MinKomp[[Stanowisko / Position ]:[Stanowisko / Position ]],0)))</f>
        <v>n/a</v>
      </c>
      <c r="CS30" s="315" t="str">
        <f>IF(INDEX(tab_MinKomp[OBSŁUGA PORTALI KLIENTA / Kundenportale],MATCH($B29,tab_MinKomp[[Stanowisko / Position ]:[Stanowisko / Position ]],0))="n/a","n/a",CS29-INDEX(tab_MinKomp[OBSŁUGA PORTALI KLIENTA / Kundenportale],MATCH($B29,tab_MinKomp[[Stanowisko / Position ]:[Stanowisko / Position ]],0)))</f>
        <v>n/a</v>
      </c>
      <c r="CT30" s="315">
        <f>IF(INDEX(tab_MinKomp[Obsługa systemu BABTECQ / BABTECQ System],MATCH($B29,tab_MinKomp[[Stanowisko / Position ]:[Stanowisko / Position ]],0))="n/a","n/a",CT29-INDEX(tab_MinKomp[Obsługa systemu BABTECQ / BABTECQ System],MATCH($B29,tab_MinKomp[[Stanowisko / Position ]:[Stanowisko / Position ]],0)))</f>
        <v>0</v>
      </c>
      <c r="CU30" s="315">
        <f>IF(INDEX(tab_MinKomp[Rysunek techniczny / technische Zeichnung],MATCH($B29,tab_MinKomp[[Stanowisko / Position ]:[Stanowisko / Position ]],0))="n/a","n/a",CU29-INDEX(tab_MinKomp[Rysunek techniczny / technische Zeichnung],MATCH($B29,tab_MinKomp[[Stanowisko / Position ]:[Stanowisko / Position ]],0)))</f>
        <v>2</v>
      </c>
      <c r="CV30" s="315">
        <f>IF(INDEX(tab_MinKomp[Kalibracja / Kalibrierung],MATCH($B29,tab_MinKomp[[Stanowisko / Position ]:[Stanowisko / Position ]],0))="n/a","n/a",CV29-INDEX(tab_MinKomp[Kalibracja / Kalibrierung],MATCH($B29,tab_MinKomp[[Stanowisko / Position ]:[Stanowisko / Position ]],0)))</f>
        <v>1</v>
      </c>
      <c r="CW30" s="315">
        <f>IF(INDEX(tab_MinKomp[Rekwalifikacja / Requalifizierung],MATCH($B29,tab_MinKomp[[Stanowisko / Position ]:[Stanowisko / Position ]],0))="n/a","n/a",CW29-INDEX(tab_MinKomp[Rekwalifikacja / Requalifizierung],MATCH($B29,tab_MinKomp[[Stanowisko / Position ]:[Stanowisko / Position ]],0)))</f>
        <v>0</v>
      </c>
      <c r="CX30" s="315">
        <f>IF(INDEX(tab_MinKomp[Obsługa mikroskopu optycznego / Bedienung eines optischen Mikroskops],MATCH($B29,tab_MinKomp[[Stanowisko / Position ]:[Stanowisko / Position ]],0))="n/a","n/a",CX29-INDEX(tab_MinKomp[Obsługa mikroskopu optycznego / Bedienung eines optischen Mikroskops],MATCH($B29,tab_MinKomp[[Stanowisko / Position ]:[Stanowisko / Position ]],0)))</f>
        <v>2</v>
      </c>
      <c r="CY30" s="315">
        <f>IF(INDEX(tab_MinKomp[Wykonywanie pomiarów optycznych - ocena wizualna / Optische Messungen durchführen – visuelle Beurteilung],MATCH($B29,tab_MinKomp[[Stanowisko / Position ]:[Stanowisko / Position ]],0))="n/a","n/a",CY29-INDEX(tab_MinKomp[Wykonywanie pomiarów optycznych - ocena wizualna / Optische Messungen durchführen – visuelle Beurteilung],MATCH($B29,tab_MinKomp[[Stanowisko / Position ]:[Stanowisko / Position ]],0)))</f>
        <v>2</v>
      </c>
      <c r="CZ30" s="315">
        <f>IF(INDEX(tab_MinKomp[Obsługa Rheometra / Rheometra-Unterstützung],MATCH($B29,tab_MinKomp[[Stanowisko / Position ]:[Stanowisko / Position ]],0))="n/a","n/a",CZ29-INDEX(tab_MinKomp[Obsługa Rheometra / Rheometra-Unterstützung],MATCH($B29,tab_MinKomp[[Stanowisko / Position ]:[Stanowisko / Position ]],0)))</f>
        <v>1</v>
      </c>
      <c r="DA30" s="315">
        <f>IF(INDEX(tab_MinKomp[Testy właściwości Rheometra mieszanki gumy],MATCH($B29,tab_MinKomp[[Stanowisko / Position ]:[Stanowisko / Position ]],0))="n/a","n/a",DA29-INDEX(tab_MinKomp[Testy właściwości Rheometra mieszanki gumy],MATCH($B29,tab_MinKomp[[Stanowisko / Position ]:[Stanowisko / Position ]],0)))</f>
        <v>1</v>
      </c>
      <c r="DB30" s="315">
        <f>IF(INDEX(tab_MinKomp[CMM - Contura Zeiss],MATCH($B29,tab_MinKomp[[Stanowisko / Position ]:[Stanowisko / Position ]],0))="n/a","n/a",DB29-INDEX(tab_MinKomp[CMM - Contura Zeiss],MATCH($B29,tab_MinKomp[[Stanowisko / Position ]:[Stanowisko / Position ]],0)))</f>
        <v>1</v>
      </c>
      <c r="DC30" s="315">
        <f>IF(INDEX(tab_MinKomp[Wykonywanie precyzyjnych pomiarów metrycznych, pomiary 3D],MATCH($B29,tab_MinKomp[[Stanowisko / Position ]:[Stanowisko / Position ]],0))="n/a","n/a",DC29-INDEX(tab_MinKomp[Wykonywanie precyzyjnych pomiarów metrycznych, pomiary 3D],MATCH($B29,tab_MinKomp[[Stanowisko / Position ]:[Stanowisko / Position ]],0)))</f>
        <v>1</v>
      </c>
      <c r="DD30" s="315">
        <f>IF(INDEX(tab_MinKomp[Pisanie programów / Programme schreiben],MATCH($B29,tab_MinKomp[[Stanowisko / Position ]:[Stanowisko / Position ]],0))="n/a","n/a",DD29-INDEX(tab_MinKomp[Pisanie programów / Programme schreiben],MATCH($B29,tab_MinKomp[[Stanowisko / Position ]:[Stanowisko / Position ]],0)))</f>
        <v>0</v>
      </c>
      <c r="DE30" s="315" t="str">
        <f>IF(INDEX(tab_MinKomp[Obsługa wyposażenia do testów czystości (myjka + analizator) / Betrieb von Sauberkeitsprüfgeräten (Waschmaschine + Analysegerät)],MATCH($B29,tab_MinKomp[[Stanowisko / Position ]:[Stanowisko / Position ]],0))="n/a","n/a",DE29-INDEX(tab_MinKomp[Obsługa wyposażenia do testów czystości (myjka + analizator) / Betrieb von Sauberkeitsprüfgeräten (Waschmaschine + Analysegerät)],MATCH($B29,tab_MinKomp[[Stanowisko / Position ]:[Stanowisko / Position ]],0)))</f>
        <v>n/a</v>
      </c>
      <c r="DF30" s="315" t="str">
        <f>IF(INDEX(tab_MinKomp[Testy czystości / Reinheitstests],MATCH($B29,tab_MinKomp[[Stanowisko / Position ]:[Stanowisko / Position ]],0))="n/a","n/a",DF29-INDEX(tab_MinKomp[Testy czystości / Reinheitstests],MATCH($B29,tab_MinKomp[[Stanowisko / Position ]:[Stanowisko / Position ]],0)))</f>
        <v>n/a</v>
      </c>
      <c r="DG30" s="315">
        <f>IF(INDEX(tab_MinKomp[Obsługa wysokościomierza / Unterstützung für Höhenmesser],MATCH($B29,tab_MinKomp[[Stanowisko / Position ]:[Stanowisko / Position ]],0))="n/a","n/a",DG29-INDEX(tab_MinKomp[Obsługa wysokościomierza / Unterstützung für Höhenmesser],MATCH($B29,tab_MinKomp[[Stanowisko / Position ]:[Stanowisko / Position ]],0)))</f>
        <v>2</v>
      </c>
      <c r="DH30" s="315">
        <f>IF(INDEX(tab_MinKomp[Pomiary wysokości materiału / Materialhöhenmessungen],MATCH($B29,tab_MinKomp[[Stanowisko / Position ]:[Stanowisko / Position ]],0))="n/a","n/a",DH29-INDEX(tab_MinKomp[Pomiary wysokości materiału / Materialhöhenmessungen],MATCH($B29,tab_MinKomp[[Stanowisko / Position ]:[Stanowisko / Position ]],0)))</f>
        <v>2</v>
      </c>
      <c r="DI30" s="315">
        <f>IF(INDEX(tab_MinKomp[Obsługa okrągłościomierza / Unterstützung für Rundheitsmessgeräte],MATCH($B29,tab_MinKomp[[Stanowisko / Position ]:[Stanowisko / Position ]],0))="n/a","n/a",DI29-INDEX(tab_MinKomp[Obsługa okrągłościomierza / Unterstützung für Rundheitsmessgeräte],MATCH($B29,tab_MinKomp[[Stanowisko / Position ]:[Stanowisko / Position ]],0)))</f>
        <v>1</v>
      </c>
      <c r="DJ30" s="315">
        <f>IF(INDEX(tab_MinKomp[Wykonywania pomiarów owalności, srednicy materiału / Messung der Ovalität und des Durchmessers des Materials],MATCH($B29,tab_MinKomp[[Stanowisko / Position ]:[Stanowisko / Position ]],0))="n/a","n/a",DJ29-INDEX(tab_MinKomp[Wykonywania pomiarów owalności, srednicy materiału / Messung der Ovalität und des Durchmessers des Materials],MATCH($B29,tab_MinKomp[[Stanowisko / Position ]:[Stanowisko / Position ]],0)))</f>
        <v>1</v>
      </c>
      <c r="DK30" s="315">
        <f>IF(INDEX(tab_MinKomp[Obsługa urządzenia do pomiarów chropowoatości powierzchni materiału],MATCH($B29,tab_MinKomp[[Stanowisko / Position ]:[Stanowisko / Position ]],0))="n/a","n/a",DK29-INDEX(tab_MinKomp[Obsługa urządzenia do pomiarów chropowoatości powierzchni materiału],MATCH($B29,tab_MinKomp[[Stanowisko / Position ]:[Stanowisko / Position ]],0)))</f>
        <v>1</v>
      </c>
      <c r="DL30" s="315">
        <f>IF(INDEX(tab_MinKomp[Wykonywanie pomiarów chropowatości powierzchni materiału / Durchführung von Messungen der Materialoberflächenrauheit],MATCH($B29,tab_MinKomp[[Stanowisko / Position ]:[Stanowisko / Position ]],0))="n/a","n/a",DL29-INDEX(tab_MinKomp[Wykonywanie pomiarów chropowatości powierzchni materiału / Durchführung von Messungen der Materialoberflächenrauheit],MATCH($B29,tab_MinKomp[[Stanowisko / Position ]:[Stanowisko / Position ]],0)))</f>
        <v>1</v>
      </c>
      <c r="DM30" s="315">
        <f>IF(INDEX(tab_MinKomp[Obsługa urządzenia do pomiaru siły radialnej części - postępowanie z trzpieniami. / Funktionsweise des Geräts zur Messung der Radialkraft von Teilen – Handhabungsstifte.],MATCH($B29,tab_MinKomp[[Stanowisko / Position ]:[Stanowisko / Position ]],0))="n/a","n/a",DM29-INDEX(tab_MinKomp[Obsługa urządzenia do pomiaru siły radialnej części - postępowanie z trzpieniami. / Funktionsweise des Geräts zur Messung der Radialkraft von Teilen – Handhabungsstifte.],MATCH($B29,tab_MinKomp[[Stanowisko / Position ]:[Stanowisko / Position ]],0)))</f>
        <v>2</v>
      </c>
      <c r="DN30" s="315">
        <f>IF(INDEX(tab_MinKomp[Wykonywanie pomiarów siły radialnej części / Führen Sie Radialkraftmessungen an Teilen durch],MATCH($B29,tab_MinKomp[[Stanowisko / Position ]:[Stanowisko / Position ]],0))="n/a","n/a",DN29-INDEX(tab_MinKomp[Wykonywanie pomiarów siły radialnej części / Führen Sie Radialkraftmessungen an Teilen durch],MATCH($B29,tab_MinKomp[[Stanowisko / Position ]:[Stanowisko / Position ]],0)))</f>
        <v>2</v>
      </c>
      <c r="DO30" s="315">
        <f>IF(INDEX(tab_MinKomp[Obsługa komory do testów wybuchwych / Betrieb einer Explosionsprüfkammer],MATCH($B29,tab_MinKomp[[Stanowisko / Position ]:[Stanowisko / Position ]],0))="n/a","n/a",DO29-INDEX(tab_MinKomp[Obsługa komory do testów wybuchwych / Betrieb einer Explosionsprüfkammer],MATCH($B29,tab_MinKomp[[Stanowisko / Position ]:[Stanowisko / Position ]],0)))</f>
        <v>1</v>
      </c>
      <c r="DP30" s="315">
        <f>IF(INDEX(tab_MinKomp[Wykonywanie testów wybuchowych części / Durchführung von Explosionstests an Teilen],MATCH($B29,tab_MinKomp[[Stanowisko / Position ]:[Stanowisko / Position ]],0))="n/a","n/a",DP29-INDEX(tab_MinKomp[Wykonywanie testów wybuchowych części / Durchführung von Explosionstests an Teilen],MATCH($B29,tab_MinKomp[[Stanowisko / Position ]:[Stanowisko / Position ]],0)))</f>
        <v>1</v>
      </c>
      <c r="DQ30" s="315">
        <f>IF(INDEX(tab_MinKomp[Obsługa urządzeń do mierzenia siły trzymania i/lub rozciągania / Betrieb von Geräten zur Messung der Halte- und/oder Dehnkraft],MATCH($B29,tab_MinKomp[[Stanowisko / Position ]:[Stanowisko / Position ]],0))="n/a","n/a",DQ29-INDEX(tab_MinKomp[Obsługa urządzeń do mierzenia siły trzymania i/lub rozciągania / Betrieb von Geräten zur Messung der Halte- und/oder Dehnkraft],MATCH($B29,tab_MinKomp[[Stanowisko / Position ]:[Stanowisko / Position ]],0)))</f>
        <v>1</v>
      </c>
      <c r="DR30" s="315">
        <f>IF(INDEX(tab_MinKomp[Wykonywanie testów mierzenia siły trzymania i/lub rozciągania / Durchführung von Tests zur Messung der Halte- und/oder Streckkraft],MATCH($B29,tab_MinKomp[[Stanowisko / Position ]:[Stanowisko / Position ]],0))="n/a","n/a",DR29-INDEX(tab_MinKomp[Wykonywanie testów mierzenia siły trzymania i/lub rozciągania / Durchführung von Tests zur Messung der Halte- und/oder Streckkraft],MATCH($B29,tab_MinKomp[[Stanowisko / Position ]:[Stanowisko / Position ]],0)))</f>
        <v>1</v>
      </c>
      <c r="DS30" s="315">
        <f>IF(INDEX(tab_MinKomp[Obsługa multimetru do pomiarów środowiskowych (temperatura, wilgotność, hałas, oświetlenie, przepływ powietrza) / Betrieb eines Multimeters für Umweltmessungen (Temperatur, Luftfeuchtigkeit, Lärm, Beleuchtung, Luftstrom)],MATCH($B29,tab_MinKomp[[Stanowisko / Position ]:[Stanowisko / Position ]],0))="n/a","n/a",DS29-INDEX(tab_MinKomp[Obsługa multimetru do pomiarów środowiskowych (temperatura, wilgotność, hałas, oświetlenie, przepływ powietrza) / Betrieb eines Multimeters für Umweltmessungen (Temperatur, Luftfeuchtigkeit, Lärm, Beleuchtung, Luftstrom)],MATCH($B29,tab_MinKomp[[Stanowisko / Position ]:[Stanowisko / Position ]],0)))</f>
        <v>0</v>
      </c>
      <c r="DT30" s="315">
        <f>IF(INDEX(tab_MinKomp[Kontrola warunków środowiskowych pracy (temperatura, wilgotność, hałas, oświetlenie, przepływ powietrza) / Kontrolle der Arbeitsumgebungsbedingungen (Temperatur, Luftfeuchtigkeit, Lärm, Beleuchtung, Luftstrom)],MATCH($B29,tab_MinKomp[[Stanowisko / Position ]:[Stanowisko / Position ]],0))="n/a","n/a",DT29-INDEX(tab_MinKomp[Kontrola warunków środowiskowych pracy (temperatura, wilgotność, hałas, oświetlenie, przepływ powietrza) / Kontrolle der Arbeitsumgebungsbedingungen (Temperatur, Luftfeuchtigkeit, Lärm, Beleuchtung, Luftstrom)],MATCH($B29,tab_MinKomp[[Stanowisko / Position ]:[Stanowisko / Position ]],0)))</f>
        <v>0</v>
      </c>
      <c r="DU30" s="315">
        <f>IF(INDEX(tab_MinKomp[MSA i SPC],MATCH($B29,tab_MinKomp[[Stanowisko / Position ]:[Stanowisko / Position ]],0))="n/a","n/a",DU29-INDEX(tab_MinKomp[MSA i SPC],MATCH($B29,tab_MinKomp[[Stanowisko / Position ]:[Stanowisko / Position ]],0)))</f>
        <v>1</v>
      </c>
      <c r="DV30" s="315">
        <f>IF(INDEX(tab_MinKomp[Kontrola wejściowa komponentów/ Eingangskontrolle],MATCH($B29,tab_MinKomp[[Stanowisko / Position ]:[Stanowisko / Position ]],0))="n/a","n/a",DV29-INDEX(tab_MinKomp[Kontrola wejściowa komponentów/ Eingangskontrolle],MATCH($B29,tab_MinKomp[[Stanowisko / Position ]:[Stanowisko / Position ]],0)))</f>
        <v>2</v>
      </c>
      <c r="DW30" s="315">
        <f>IF(INDEX(tab_MinKomp[Kontrola wyjściowa produktu / Ausgangskontrolle],MATCH($B29,tab_MinKomp[[Stanowisko / Position ]:[Stanowisko / Position ]],0))="n/a","n/a",DW29-INDEX(tab_MinKomp[Kontrola wyjściowa produktu / Ausgangskontrolle],MATCH($B29,tab_MinKomp[[Stanowisko / Position ]:[Stanowisko / Position ]],0)))</f>
        <v>2</v>
      </c>
      <c r="DX30" s="315">
        <f>IF(INDEX(tab_MinKomp[Kontrola codzienna produkcji / Tägliche Produktionskontrolle],MATCH($B29,tab_MinKomp[[Stanowisko / Position ]:[Stanowisko / Position ]],0))="n/a","n/a",DX29-INDEX(tab_MinKomp[Kontrola codzienna produkcji / Tägliche Produktionskontrolle],MATCH($B29,tab_MinKomp[[Stanowisko / Position ]:[Stanowisko / Position ]],0)))</f>
        <v>2</v>
      </c>
      <c r="DY30" s="315" t="str">
        <f>IF(INDEX(tab_MinKomp[Konserwacja Rep],MATCH($B29,tab_MinKomp[[Stanowisko / Position ]:[Stanowisko / Position ]],0))="n/a","n/a",DY29-INDEX(tab_MinKomp[Konserwacja Rep],MATCH($B29,tab_MinKomp[[Stanowisko / Position ]:[Stanowisko / Position ]],0)))</f>
        <v>n/a</v>
      </c>
      <c r="DZ30" s="315" t="str">
        <f>IF(INDEX(tab_MinKomp[[Konserwacja Engel ]],MATCH($B29,tab_MinKomp[[Stanowisko / Position ]:[Stanowisko / Position ]],0))="n/a","n/a",DZ29-INDEX(tab_MinKomp[[Konserwacja Engel ]],MATCH($B29,tab_MinKomp[[Stanowisko / Position ]:[Stanowisko / Position ]],0)))</f>
        <v>n/a</v>
      </c>
      <c r="EA30" s="315" t="str">
        <f>IF(INDEX(tab_MinKomp[Konserwacja B 50],MATCH($B29,tab_MinKomp[[Stanowisko / Position ]:[Stanowisko / Position ]],0))="n/a","n/a",EA29-INDEX(tab_MinKomp[Konserwacja B 50],MATCH($B29,tab_MinKomp[[Stanowisko / Position ]:[Stanowisko / Position ]],0)))</f>
        <v>n/a</v>
      </c>
      <c r="EB30" s="315" t="str">
        <f>IF(INDEX(tab_MinKomp[[Konserwacja EOL ]],MATCH($B29,tab_MinKomp[[Stanowisko / Position ]:[Stanowisko / Position ]],0))="n/a","n/a",EB29-INDEX(tab_MinKomp[[Konserwacja EOL ]],MATCH($B29,tab_MinKomp[[Stanowisko / Position ]:[Stanowisko / Position ]],0)))</f>
        <v>n/a</v>
      </c>
      <c r="EC30" s="315" t="str">
        <f>IF(INDEX(tab_MinKomp[Konserwacja Branson],MATCH($B29,tab_MinKomp[[Stanowisko / Position ]:[Stanowisko / Position ]],0))="n/a","n/a",EC29-INDEX(tab_MinKomp[Konserwacja Branson],MATCH($B29,tab_MinKomp[[Stanowisko / Position ]:[Stanowisko / Position ]],0)))</f>
        <v>n/a</v>
      </c>
      <c r="ED30" s="315" t="str">
        <f>IF(INDEX(tab_MinKomp[Konserwacja coolery],MATCH($B29,tab_MinKomp[[Stanowisko / Position ]:[Stanowisko / Position ]],0))="n/a","n/a",ED29-INDEX(tab_MinKomp[Konserwacja coolery],MATCH($B29,tab_MinKomp[[Stanowisko / Position ]:[Stanowisko / Position ]],0)))</f>
        <v>n/a</v>
      </c>
      <c r="EE30" s="315" t="str">
        <f>IF(INDEX(tab_MinKomp[Konserwacja piecy],MATCH($B29,tab_MinKomp[[Stanowisko / Position ]:[Stanowisko / Position ]],0))="n/a","n/a",EE29-INDEX(tab_MinKomp[Konserwacja piecy],MATCH($B29,tab_MinKomp[[Stanowisko / Position ]:[Stanowisko / Position ]],0)))</f>
        <v>n/a</v>
      </c>
      <c r="EF30" s="315" t="str">
        <f>IF(INDEX(tab_MinKomp[Rysunek techniczny- czytanie],MATCH($B29,tab_MinKomp[[Stanowisko / Position ]:[Stanowisko / Position ]],0))="n/a","n/a",EF29-INDEX(tab_MinKomp[Rysunek techniczny- czytanie],MATCH($B29,tab_MinKomp[[Stanowisko / Position ]:[Stanowisko / Position ]],0)))</f>
        <v>n/a</v>
      </c>
      <c r="EG30" s="315" t="str">
        <f>IF(INDEX(tab_MinKomp[Elektryka],MATCH($B29,tab_MinKomp[[Stanowisko / Position ]:[Stanowisko / Position ]],0))="n/a","n/a",EG29-INDEX(tab_MinKomp[Elektryka],MATCH($B29,tab_MinKomp[[Stanowisko / Position ]:[Stanowisko / Position ]],0)))</f>
        <v>n/a</v>
      </c>
      <c r="EH30" s="315" t="str">
        <f>IF(INDEX(tab_MinKomp[Pneumatyka],MATCH($B29,tab_MinKomp[[Stanowisko / Position ]:[Stanowisko / Position ]],0))="n/a","n/a",EH29-INDEX(tab_MinKomp[Pneumatyka],MATCH($B29,tab_MinKomp[[Stanowisko / Position ]:[Stanowisko / Position ]],0)))</f>
        <v>n/a</v>
      </c>
      <c r="EI30" s="315" t="str">
        <f>IF(INDEX(tab_MinKomp[[Hydraulika ]],MATCH($B29,tab_MinKomp[[Stanowisko / Position ]:[Stanowisko / Position ]],0))="n/a","n/a",EI29-INDEX(tab_MinKomp[[Hydraulika ]],MATCH($B29,tab_MinKomp[[Stanowisko / Position ]:[Stanowisko / Position ]],0)))</f>
        <v>n/a</v>
      </c>
      <c r="EJ30" s="315" t="str">
        <f>IF(INDEX(tab_MinKomp[Podciśnienie],MATCH($B29,tab_MinKomp[[Stanowisko / Position ]:[Stanowisko / Position ]],0))="n/a","n/a",EJ29-INDEX(tab_MinKomp[Podciśnienie],MATCH($B29,tab_MinKomp[[Stanowisko / Position ]:[Stanowisko / Position ]],0)))</f>
        <v>n/a</v>
      </c>
      <c r="EK30" s="315" t="str">
        <f>IF(INDEX(tab_MinKomp[Usuwanie awarii],MATCH($B29,tab_MinKomp[[Stanowisko / Position ]:[Stanowisko / Position ]],0))="n/a","n/a",EK29-INDEX(tab_MinKomp[Usuwanie awarii],MATCH($B29,tab_MinKomp[[Stanowisko / Position ]:[Stanowisko / Position ]],0)))</f>
        <v>n/a</v>
      </c>
      <c r="EL30" s="315" t="str">
        <f>IF(INDEX(tab_MinKomp[Obsługa robotów],MATCH($B29,tab_MinKomp[[Stanowisko / Position ]:[Stanowisko / Position ]],0))="n/a","n/a",EL29-INDEX(tab_MinKomp[Obsługa robotów],MATCH($B29,tab_MinKomp[[Stanowisko / Position ]:[Stanowisko / Position ]],0)))</f>
        <v>n/a</v>
      </c>
      <c r="EM30" s="315" t="str">
        <f>IF(INDEX(tab_MinKomp[Obsługa sterowania maszyny],MATCH($B29,tab_MinKomp[[Stanowisko / Position ]:[Stanowisko / Position ]],0))="n/a","n/a",EM29-INDEX(tab_MinKomp[Obsługa sterowania maszyny],MATCH($B29,tab_MinKomp[[Stanowisko / Position ]:[Stanowisko / Position ]],0)))</f>
        <v>n/a</v>
      </c>
      <c r="EN30" s="315" t="str">
        <f>IF(INDEX(tab_MinKomp[Usuwanie przyczyn żródłowych],MATCH($B29,tab_MinKomp[[Stanowisko / Position ]:[Stanowisko / Position ]],0))="n/a","n/a",EN29-INDEX(tab_MinKomp[Usuwanie przyczyn żródłowych],MATCH($B29,tab_MinKomp[[Stanowisko / Position ]:[Stanowisko / Position ]],0)))</f>
        <v>n/a</v>
      </c>
      <c r="EO30" s="315">
        <f>IF(INDEX(tab_MinKomp[Cmms stosowanie],MATCH($B29,tab_MinKomp[[Stanowisko / Position ]:[Stanowisko / Position ]],0))="n/a","n/a",EO29-INDEX(tab_MinKomp[Cmms stosowanie],MATCH($B29,tab_MinKomp[[Stanowisko / Position ]:[Stanowisko / Position ]],0)))</f>
        <v>0</v>
      </c>
      <c r="EP30" s="315" t="str">
        <f>IF(INDEX(tab_MinKomp[[Czyszczenie form gumowych ]],MATCH($B29,tab_MinKomp[[Stanowisko / Position ]:[Stanowisko / Position ]],0))="n/a","n/a",EP29-INDEX(tab_MinKomp[[Czyszczenie form gumowych ]],MATCH($B29,tab_MinKomp[[Stanowisko / Position ]:[Stanowisko / Position ]],0)))</f>
        <v>n/a</v>
      </c>
      <c r="EQ30" s="315" t="str">
        <f>IF(INDEX(tab_MinKomp[Czyszczenie form plastikowych],MATCH($B29,tab_MinKomp[[Stanowisko / Position ]:[Stanowisko / Position ]],0))="n/a","n/a",EQ29-INDEX(tab_MinKomp[Czyszczenie form plastikowych],MATCH($B29,tab_MinKomp[[Stanowisko / Position ]:[Stanowisko / Position ]],0)))</f>
        <v>n/a</v>
      </c>
      <c r="ER30" s="315" t="str">
        <f>IF(INDEX(tab_MinKomp[Wymiana form plastik],MATCH($B29,tab_MinKomp[[Stanowisko / Position ]:[Stanowisko / Position ]],0))="n/a","n/a",ER29-INDEX(tab_MinKomp[Wymiana form plastik],MATCH($B29,tab_MinKomp[[Stanowisko / Position ]:[Stanowisko / Position ]],0)))</f>
        <v>n/a</v>
      </c>
      <c r="ES30" s="315" t="str">
        <f>IF(INDEX(tab_MinKomp[Wymiana form guma],MATCH($B29,tab_MinKomp[[Stanowisko / Position ]:[Stanowisko / Position ]],0))="n/a","n/a",ES29-INDEX(tab_MinKomp[Wymiana form guma],MATCH($B29,tab_MinKomp[[Stanowisko / Position ]:[Stanowisko / Position ]],0)))</f>
        <v>n/a</v>
      </c>
      <c r="ET30" s="315" t="str">
        <f>IF(INDEX(tab_MinKomp[Konserwacja KK],MATCH($B29,tab_MinKomp[[Stanowisko / Position ]:[Stanowisko / Position ]],0))="n/a","n/a",ET29-INDEX(tab_MinKomp[Konserwacja KK],MATCH($B29,tab_MinKomp[[Stanowisko / Position ]:[Stanowisko / Position ]],0)))</f>
        <v>n/a</v>
      </c>
      <c r="EU30" s="315" t="str">
        <f>IF(INDEX(tab_MinKomp[Konserwacja form guma],MATCH($B29,tab_MinKomp[[Stanowisko / Position ]:[Stanowisko / Position ]],0))="n/a","n/a",EU29-INDEX(tab_MinKomp[Konserwacja form guma],MATCH($B29,tab_MinKomp[[Stanowisko / Position ]:[Stanowisko / Position ]],0)))</f>
        <v>n/a</v>
      </c>
      <c r="EV30" s="315" t="str">
        <f>IF(INDEX(tab_MinKomp[Konserwacja form plastiki],MATCH($B29,tab_MinKomp[[Stanowisko / Position ]:[Stanowisko / Position ]],0))="n/a","n/a",EV29-INDEX(tab_MinKomp[Konserwacja form plastiki],MATCH($B29,tab_MinKomp[[Stanowisko / Position ]:[Stanowisko / Position ]],0)))</f>
        <v>n/a</v>
      </c>
      <c r="EW30" s="330" t="str">
        <f>IF(INDEX(tab_MinKomp[Konserwacja form plastiki],MATCH($B29,tab_MinKomp[[Stanowisko / Position ]:[Stanowisko / Position ]],0))="n/a","n/a",EW29-INDEX(tab_MinKomp[Konserwacja form plastiki],MATCH($B29,tab_MinKomp[[Stanowisko / Position ]:[Stanowisko / Position ]],0)))</f>
        <v>n/a</v>
      </c>
      <c r="EX30" s="315" t="str">
        <f>IF(INDEX(tab_MinKomp[Konserwacja Gorącego Kanału],MATCH($B29,tab_MinKomp[[Stanowisko / Position ]:[Stanowisko / Position ]],0))="n/a","n/a",EX29-INDEX(tab_MinKomp[Konserwacja Gorącego Kanału],MATCH($B29,tab_MinKomp[[Stanowisko / Position ]:[Stanowisko / Position ]],0)))</f>
        <v>n/a</v>
      </c>
      <c r="EY30" s="315">
        <f>IF(INDEX(tab_MinKomp[MS Office (Excel)],MATCH($B29,tab_MinKomp[[Stanowisko / Position ]:[Stanowisko / Position ]],0))="n/a","n/a",EY29-INDEX(tab_MinKomp[MS Office (Excel)],MATCH($B29,tab_MinKomp[[Stanowisko / Position ]:[Stanowisko / Position ]],0)))</f>
        <v>0</v>
      </c>
      <c r="EZ30" s="315">
        <f>IF(INDEX(tab_MinKomp[MS Office (Word)],MATCH($B29,tab_MinKomp[[Stanowisko / Position ]:[Stanowisko / Position ]],0))="n/a","n/a",EZ29-INDEX(tab_MinKomp[MS Office (Word)],MATCH($B29,tab_MinKomp[[Stanowisko / Position ]:[Stanowisko / Position ]],0)))</f>
        <v>0</v>
      </c>
      <c r="FA30" s="315">
        <f>IF(INDEX(tab_MinKomp[MS Office (Power Point)],MATCH($B29,tab_MinKomp[[Stanowisko / Position ]:[Stanowisko / Position ]],0))="n/a","n/a",FA29-INDEX(tab_MinKomp[MS Office (Power Point)],MATCH($B29,tab_MinKomp[[Stanowisko / Position ]:[Stanowisko / Position ]],0)))</f>
        <v>1</v>
      </c>
      <c r="FB30" s="315">
        <f>IF(INDEX(tab_MinKomp[Język angielski / Englisch],MATCH($B29,tab_MinKomp[[Stanowisko / Position ]:[Stanowisko / Position ]],0))="n/a","n/a",FB29-INDEX(tab_MinKomp[Język angielski / Englisch],MATCH($B29,tab_MinKomp[[Stanowisko / Position ]:[Stanowisko / Position ]],0)))</f>
        <v>-1</v>
      </c>
      <c r="FC30" s="315" t="str">
        <f>IF(INDEX(tab_MinKomp[Język niemiecki / Deutsch],MATCH($B29,tab_MinKomp[[Stanowisko / Position ]:[Stanowisko / Position ]],0))="n/a","n/a",FC29-INDEX(tab_MinKomp[Język niemiecki / Deutsch],MATCH($B29,tab_MinKomp[[Stanowisko / Position ]:[Stanowisko / Position ]],0)))</f>
        <v>n/a</v>
      </c>
      <c r="FD30" s="315">
        <f>IF(INDEX(tab_MinKomp[Zarządzanie dokumentacją procesową / Process dokumentation management],MATCH($B29,tab_MinKomp[[Stanowisko / Position ]:[Stanowisko / Position ]],0))="n/a","n/a",FD29-INDEX(tab_MinKomp[Zarządzanie dokumentacją procesową / Process dokumentation management],MATCH($B29,tab_MinKomp[[Stanowisko / Position ]:[Stanowisko / Position ]],0)))</f>
        <v>0</v>
      </c>
      <c r="FE30" s="315">
        <f>IF(INDEX(tab_MinKomp[Znajomość procesów z obszaru / Kenntiss der prozesse in dem Bereich],MATCH($B29,tab_MinKomp[[Stanowisko / Position ]:[Stanowisko / Position ]],0))="n/a","n/a",FE29-INDEX(tab_MinKomp[Znajomość procesów z obszaru / Kenntiss der prozesse in dem Bereich],MATCH($B29,tab_MinKomp[[Stanowisko / Position ]:[Stanowisko / Position ]],0)))</f>
        <v>-1</v>
      </c>
      <c r="FF30" s="315">
        <f>IF(INDEX(tab_MinKomp[optymalizacja procesów / Prozessoptymalisierung],MATCH($B29,tab_MinKomp[[Stanowisko / Position ]:[Stanowisko / Position ]],0))="n/a","n/a",FF29-INDEX(tab_MinKomp[optymalizacja procesów / Prozessoptymalisierung],MATCH($B29,tab_MinKomp[[Stanowisko / Position ]:[Stanowisko / Position ]],0)))</f>
        <v>-1</v>
      </c>
      <c r="FG30" s="315" t="str">
        <f>IF(INDEX(tab_MinKomp[Umiejętności szkoleniowe / Trainingsfähigkeiten],MATCH($B29,tab_MinKomp[[Stanowisko / Position ]:[Stanowisko / Position ]],0))="n/a","n/a",FG29-INDEX(tab_MinKomp[Umiejętności szkoleniowe / Trainingsfähigkeiten],MATCH($B29,tab_MinKomp[[Stanowisko / Position ]:[Stanowisko / Position ]],0)))</f>
        <v>n/a</v>
      </c>
      <c r="FH30" s="315">
        <f>IF(INDEX(tab_MinKomp[Analityczne myślenie, podejście / Analitysches Denken, Einstellung],MATCH($B29,tab_MinKomp[[Stanowisko / Position ]:[Stanowisko / Position ]],0))="n/a","n/a",FH29-INDEX(tab_MinKomp[Analityczne myślenie, podejście / Analitysches Denken, Einstellung],MATCH($B29,tab_MinKomp[[Stanowisko / Position ]:[Stanowisko / Position ]],0)))</f>
        <v>1</v>
      </c>
      <c r="FI30" s="315">
        <f>IF(INDEX(tab_MinKomp[Dokładność, precyzja w dzialaniu / Genauigkeit, Präzision in die Arbeit],MATCH($B29,tab_MinKomp[[Stanowisko / Position ]:[Stanowisko / Position ]],0))="n/a","n/a",FI29-INDEX(tab_MinKomp[Dokładność, precyzja w dzialaniu / Genauigkeit, Präzision in die Arbeit],MATCH($B29,tab_MinKomp[[Stanowisko / Position ]:[Stanowisko / Position ]],0)))</f>
        <v>0</v>
      </c>
      <c r="FJ30" s="315">
        <f>IF(INDEX(tab_MinKomp[Dyspozycyjność / Verfügbarkeit],MATCH($B29,tab_MinKomp[[Stanowisko / Position ]:[Stanowisko / Position ]],0))="n/a","n/a",FJ29-INDEX(tab_MinKomp[Dyspozycyjność / Verfügbarkeit],MATCH($B29,tab_MinKomp[[Stanowisko / Position ]:[Stanowisko / Position ]],0)))</f>
        <v>1</v>
      </c>
      <c r="FK30" s="315">
        <f>IF(INDEX(tab_MinKomp[Zaangażowanie / 
Engagement],MATCH($B29,tab_MinKomp[[Stanowisko / Position ]:[Stanowisko / Position ]],0))="n/a","n/a",FK29-INDEX(tab_MinKomp[Zaangażowanie / 
Engagement],MATCH($B29,tab_MinKomp[[Stanowisko / Position ]:[Stanowisko / Position ]],0)))</f>
        <v>1</v>
      </c>
      <c r="FL30" s="315">
        <f>IF(INDEX(tab_MinKomp[Planowanie strategiczne / Strategische Planung],MATCH($B29,tab_MinKomp[[Stanowisko / Position ]:[Stanowisko / Position ]],0))="n/a","n/a",FL29-INDEX(tab_MinKomp[Planowanie strategiczne / Strategische Planung],MATCH($B29,tab_MinKomp[[Stanowisko / Position ]:[Stanowisko / Position ]],0)))</f>
        <v>-1</v>
      </c>
      <c r="FM30" s="315">
        <f>IF(INDEX(tab_MinKomp[Konsekwentne i dynamiczne działanie],MATCH($B29,tab_MinKomp[[Stanowisko / Position ]:[Stanowisko / Position ]],0))="n/a","n/a",FM29-INDEX(tab_MinKomp[Konsekwentne i dynamiczne działanie],MATCH($B29,tab_MinKomp[[Stanowisko / Position ]:[Stanowisko / Position ]],0)))</f>
        <v>-1</v>
      </c>
      <c r="FN30" s="315">
        <f>IF(INDEX(tab_MinKomp[Elastyczność w działaniu],MATCH($B29,tab_MinKomp[[Stanowisko / Position ]:[Stanowisko / Position ]],0))="n/a","n/a",FN29-INDEX(tab_MinKomp[Elastyczność w działaniu],MATCH($B29,tab_MinKomp[[Stanowisko / Position ]:[Stanowisko / Position ]],0)))</f>
        <v>-1</v>
      </c>
      <c r="FO30" s="315">
        <f>IF(INDEX(tab_MinKomp[Komunikatywność],MATCH($B29,tab_MinKomp[[Stanowisko / Position ]:[Stanowisko / Position ]],0))="n/a","n/a",FO29-INDEX(tab_MinKomp[Komunikatywność],MATCH($B29,tab_MinKomp[[Stanowisko / Position ]:[Stanowisko / Position ]],0)))</f>
        <v>0</v>
      </c>
      <c r="FP30" s="315" t="str">
        <f>IF(INDEX(tab_MinKomp[Motywowanie i budowanie zaangażowania zespołu],MATCH($B29,tab_MinKomp[[Stanowisko / Position ]:[Stanowisko / Position ]],0))="n/a","n/a",FP29-INDEX(tab_MinKomp[Motywowanie i budowanie zaangażowania zespołu],MATCH($B29,tab_MinKomp[[Stanowisko / Position ]:[Stanowisko / Position ]],0)))</f>
        <v>n/a</v>
      </c>
      <c r="FQ30" s="318" t="str">
        <f>IFERROR(IF(INDEX(tab_MinKomp[BRAK / Keine],MATCH($B29,tab_MinKomp[[Stanowisko / Position ]:[Stanowisko / Position ]],0))="n/a","n/a",INDEX(tab_MinKomp[BRAK / Keine],MATCH($B29,tab_MinKomp[[Stanowisko / Position ]:[Stanowisko / Position ]],0))-FQ29),"")</f>
        <v>n/a</v>
      </c>
      <c r="FR30" s="315" t="s">
        <v>160</v>
      </c>
      <c r="FS30" s="315" t="s">
        <v>176</v>
      </c>
      <c r="FT30" s="315" t="str">
        <f>IF(INDEX(tab_MinKomp[MINIMUM 3 LATA / min. 3 Jahre],MATCH($B29,tab_MinKomp[[Stanowisko / Position ]:[Stanowisko / Position ]],0))="n/a","n/a",INDEX(tab_MinKomp[MINIMUM 3 LATA / min. 3 Jahre],MATCH($B29,tab_MinKomp[[Stanowisko / Position ]:[Stanowisko / Position ]],0)))</f>
        <v>n/a</v>
      </c>
      <c r="FU30" s="315" t="s">
        <v>176</v>
      </c>
      <c r="FV30" s="319" t="str">
        <f>IF(INDEX(tab_MinKomp[MINIMUM 5 LAT / min. 5 Jahre],MATCH($B29,tab_MinKomp[[Stanowisko / Position ]:[Stanowisko / Position ]],0))="n/a","n/a",INDEX(tab_MinKomp[MINIMUM 5 LAT / min. 5 Jahre],MATCH($B29,tab_MinKomp[[Stanowisko / Position ]:[Stanowisko / Position ]],0)))</f>
        <v>n/a</v>
      </c>
      <c r="FW30" s="318" t="str">
        <f>IF(INDEX(tab_MinKomp[BRAK / Keine9],MATCH($B29,tab_MinKomp[[Stanowisko / Position ]:[Stanowisko / Position ]],0))="n/a","n/a",INDEX(tab_MinKomp[BRAK / Keine9],MATCH($B29,tab_MinKomp[[Stanowisko / Position ]:[Stanowisko / Position ]],0)))</f>
        <v>n/a</v>
      </c>
      <c r="FX30" s="315" t="str">
        <f>IF(INDEX(tab_MinKomp[ZAWODOWE / Berufsausbildung],MATCH($B29,tab_MinKomp[[Stanowisko / Position ]:[Stanowisko / Position ]],0))="n/a","n/a",INDEX(tab_MinKomp[ZAWODOWE / Berufsausbildung],MATCH($B29,tab_MinKomp[[Stanowisko / Position ]:[Stanowisko / Position ]],0)))</f>
        <v>n/a</v>
      </c>
      <c r="FY30" s="315" t="str">
        <f>IF(INDEX(tab_MinKomp[ŚREDNIE OGÓLNE / Abitur allgemeine],MATCH($B29,tab_MinKomp[[Stanowisko / Position ]:[Stanowisko / Position ]],0))="n/a","n/a",INDEX(tab_MinKomp[ŚREDNIE OGÓLNE / Abitur allgemeine],MATCH($B29,tab_MinKomp[[Stanowisko / Position ]:[Stanowisko / Position ]],0)))</f>
        <v>n/a</v>
      </c>
      <c r="FZ30" s="315" t="str">
        <f>IF(INDEX(tab_MinKomp[ŚREDNIE KIERUNKOWE / berufliches Gymnasium],MATCH($B29,tab_MinKomp[[Stanowisko / Position ]:[Stanowisko / Position ]],0))="n/a","n/a",INDEX(tab_MinKomp[ŚREDNIE KIERUNKOWE / berufliches Gymnasium],MATCH($B29,tab_MinKomp[[Stanowisko / Position ]:[Stanowisko / Position ]],0)))</f>
        <v>X</v>
      </c>
      <c r="GA30" s="315" t="str">
        <f>IF(INDEX(tab_MinKomp[WYŻSZE OGÓLNE / Hochschule allgemeine],MATCH($B29,tab_MinKomp[[Stanowisko / Position ]:[Stanowisko / Position ]],0))="n/a","n/a",INDEX(tab_MinKomp[WYŻSZE OGÓLNE / Hochschule allgemeine],MATCH($B29,tab_MinKomp[[Stanowisko / Position ]:[Stanowisko / Position ]],0)))</f>
        <v>n/a</v>
      </c>
      <c r="GB30" s="319" t="str">
        <f>IF(INDEX(tab_MinKomp[WYŻSZE KIERUNKOWE / Hochschule berufliche],MATCH($B29,tab_MinKomp[[Stanowisko / Position ]:[Stanowisko / Position ]],0))="n/a","n/a",INDEX(tab_MinKomp[WYŻSZE KIERUNKOWE / Hochschule berufliche],MATCH($B29,tab_MinKomp[[Stanowisko / Position ]:[Stanowisko / Position ]],0)))</f>
        <v>X</v>
      </c>
      <c r="GC30" s="318" t="str">
        <f>IF(INDEX(tab_MinKomp[PIERWSZA POMOC / Erste Hilfe],MATCH($B29,tab_MinKomp[[Stanowisko / Position ]:[Stanowisko / Position ]],0))="n/a","n/a",INDEX(tab_MinKomp[PIERWSZA POMOC / Erste Hilfe],MATCH($B29,tab_MinKomp[[Stanowisko / Position ]:[Stanowisko / Position ]],0)))</f>
        <v>n/a</v>
      </c>
      <c r="GD30" s="315" t="str">
        <f>IF(INDEX(tab_MinKomp[Specjalista BHP / BHP Spezialist],MATCH($B29,tab_MinKomp[[Stanowisko / Position ]:[Stanowisko / Position ]],0))="n/a","n/a",INDEX(tab_MinKomp[Specjalista BHP / BHP Spezialist],MATCH($B29,tab_MinKomp[[Stanowisko / Position ]:[Stanowisko / Position ]],0)))</f>
        <v>n/a</v>
      </c>
      <c r="GE30" s="315" t="str">
        <f>IF(INDEX(tab_MinKomp[Inspektor ochrony PPOŻ / Brandschutzinspektor],MATCH($B29,tab_MinKomp[[Stanowisko / Position ]:[Stanowisko / Position ]],0))="n/a","n/a",INDEX(tab_MinKomp[Inspektor ochrony PPOŻ / Brandschutzinspektor],MATCH($B29,tab_MinKomp[[Stanowisko / Position ]:[Stanowisko / Position ]],0)))</f>
        <v>n/a</v>
      </c>
      <c r="GF30" s="315" t="str">
        <f>IF(INDEX(tab_MinKomp[WÓZKI JEZDNIOWE / Gebelstapler],MATCH($B29,tab_MinKomp[[Stanowisko / Position ]:[Stanowisko / Position ]],0))="n/a","n/a",INDEX(tab_MinKomp[WÓZKI JEZDNIOWE / Gebelstapler],MATCH($B29,tab_MinKomp[[Stanowisko / Position ]:[Stanowisko / Position ]],0)))</f>
        <v>n/a</v>
      </c>
      <c r="GG30" s="315" t="str">
        <f>IF(INDEX(tab_MinKomp[SEP],MATCH($B29,tab_MinKomp[[Stanowisko / Position ]:[Stanowisko / Position ]],0))="n/a","n/a",INDEX(tab_MinKomp[SEP],MATCH($B29,tab_MinKomp[[Stanowisko / Position ]:[Stanowisko / Position ]],0)))</f>
        <v>n/a</v>
      </c>
      <c r="GH30" s="315" t="str">
        <f>IF(INDEX(tab_MinKomp[SEP  DOZÓR / SEP Aufsicht],MATCH($B29,tab_MinKomp[[Stanowisko / Position ]:[Stanowisko / Position ]],0))="n/a","n/a",INDEX(tab_MinKomp[SEP  DOZÓR / SEP Aufsicht],MATCH($B29,tab_MinKomp[[Stanowisko / Position ]:[Stanowisko / Position ]],0)))</f>
        <v>n/a</v>
      </c>
      <c r="GI30" s="315" t="str">
        <f>IF(INDEX(tab_MinKomp[PODNOŚNIKI / Hebevorrichtung],MATCH($B29,tab_MinKomp[[Stanowisko / Position ]:[Stanowisko / Position ]],0))="n/a","n/a",INDEX(tab_MinKomp[PODNOŚNIKI / Hebevorrichtung],MATCH($B29,tab_MinKomp[[Stanowisko / Position ]:[Stanowisko / Position ]],0)))</f>
        <v>n/a</v>
      </c>
      <c r="GJ30" s="315" t="str">
        <f>IF(INDEX(tab_MinKomp[SUWNICE / Laufkran],MATCH($B29,tab_MinKomp[[Stanowisko / Position ]:[Stanowisko / Position ]],0))="n/a","n/a",INDEX(tab_MinKomp[SUWNICE / Laufkran],MATCH($B29,tab_MinKomp[[Stanowisko / Position ]:[Stanowisko / Position ]],0)))</f>
        <v>n/a</v>
      </c>
      <c r="GK30" s="319" t="str">
        <f>IF(INDEX(tab_MinKomp[WYSOKOŚCIOWE / Höhenberechtigungen],MATCH($B29,tab_MinKomp[[Stanowisko / Position ]:[Stanowisko / Position ]],0))="n/a","n/a",INDEX(tab_MinKomp[WYSOKOŚCIOWE / Höhenberechtigungen],MATCH($B29,tab_MinKomp[[Stanowisko / Position ]:[Stanowisko / Position ]],0)))</f>
        <v>n/a</v>
      </c>
      <c r="GL30" s="320">
        <f>SUM(G30:FP30)/(GL29-(SUM(G30:FP30)))</f>
        <v>0.34444444444444444</v>
      </c>
    </row>
    <row r="31" spans="1:195" s="133" customFormat="1" ht="28.35" customHeight="1" x14ac:dyDescent="0.25">
      <c r="A31" s="135" t="s">
        <v>253</v>
      </c>
      <c r="B31" s="135" t="s">
        <v>213</v>
      </c>
      <c r="C31" s="135" t="s">
        <v>255</v>
      </c>
      <c r="D31" s="135">
        <v>449</v>
      </c>
      <c r="E31" s="565" t="s">
        <v>258</v>
      </c>
      <c r="F31" s="307" t="s">
        <v>165</v>
      </c>
      <c r="G31" s="328">
        <v>2</v>
      </c>
      <c r="H31" s="328">
        <v>2</v>
      </c>
      <c r="I31" s="328">
        <v>2</v>
      </c>
      <c r="J31" s="328" t="s">
        <v>176</v>
      </c>
      <c r="K31" s="328" t="s">
        <v>176</v>
      </c>
      <c r="L31" s="328">
        <v>1</v>
      </c>
      <c r="M31" s="328" t="s">
        <v>176</v>
      </c>
      <c r="N31" s="328" t="s">
        <v>176</v>
      </c>
      <c r="O31" s="328">
        <v>1</v>
      </c>
      <c r="P31" s="328">
        <v>1</v>
      </c>
      <c r="Q31" s="328" t="s">
        <v>176</v>
      </c>
      <c r="R31" s="328" t="s">
        <v>176</v>
      </c>
      <c r="S31" s="328" t="s">
        <v>176</v>
      </c>
      <c r="T31" s="328" t="s">
        <v>176</v>
      </c>
      <c r="U31" s="308">
        <v>2</v>
      </c>
      <c r="V31" s="308">
        <v>2</v>
      </c>
      <c r="W31" s="308">
        <v>2</v>
      </c>
      <c r="X31" s="308">
        <v>2</v>
      </c>
      <c r="Y31" s="308">
        <v>2</v>
      </c>
      <c r="Z31" s="308">
        <v>2</v>
      </c>
      <c r="AA31" s="308">
        <v>3</v>
      </c>
      <c r="AB31" s="308">
        <v>3</v>
      </c>
      <c r="AC31" s="308" t="s">
        <v>176</v>
      </c>
      <c r="AD31" s="308" t="s">
        <v>176</v>
      </c>
      <c r="AE31" s="308" t="s">
        <v>176</v>
      </c>
      <c r="AF31" s="308" t="s">
        <v>176</v>
      </c>
      <c r="AG31" s="308" t="s">
        <v>176</v>
      </c>
      <c r="AH31" s="308" t="s">
        <v>176</v>
      </c>
      <c r="AI31" s="308" t="s">
        <v>176</v>
      </c>
      <c r="AJ31" s="308" t="s">
        <v>176</v>
      </c>
      <c r="AK31" s="308" t="s">
        <v>176</v>
      </c>
      <c r="AL31" s="308" t="s">
        <v>176</v>
      </c>
      <c r="AM31" s="308" t="s">
        <v>176</v>
      </c>
      <c r="AN31" s="308" t="s">
        <v>176</v>
      </c>
      <c r="AO31" s="308" t="s">
        <v>176</v>
      </c>
      <c r="AP31" s="308" t="s">
        <v>176</v>
      </c>
      <c r="AQ31" s="308" t="s">
        <v>176</v>
      </c>
      <c r="AR31" s="308" t="s">
        <v>176</v>
      </c>
      <c r="AS31" s="308" t="s">
        <v>176</v>
      </c>
      <c r="AT31" s="308" t="s">
        <v>176</v>
      </c>
      <c r="AU31" s="308" t="s">
        <v>176</v>
      </c>
      <c r="AV31" s="308">
        <v>1</v>
      </c>
      <c r="AW31" s="308">
        <v>1</v>
      </c>
      <c r="AX31" s="308">
        <v>1</v>
      </c>
      <c r="AY31" s="308" t="s">
        <v>176</v>
      </c>
      <c r="AZ31" s="308">
        <v>2</v>
      </c>
      <c r="BA31" s="308">
        <v>3</v>
      </c>
      <c r="BB31" s="308">
        <v>2</v>
      </c>
      <c r="BC31" s="308">
        <v>1</v>
      </c>
      <c r="BD31" s="308">
        <v>1</v>
      </c>
      <c r="BE31" s="308">
        <v>3</v>
      </c>
      <c r="BF31" s="308" t="s">
        <v>176</v>
      </c>
      <c r="BG31" s="308" t="s">
        <v>176</v>
      </c>
      <c r="BH31" s="308" t="s">
        <v>176</v>
      </c>
      <c r="BI31" s="308" t="s">
        <v>176</v>
      </c>
      <c r="BJ31" s="308" t="s">
        <v>176</v>
      </c>
      <c r="BK31" s="308" t="s">
        <v>176</v>
      </c>
      <c r="BL31" s="308" t="s">
        <v>176</v>
      </c>
      <c r="BM31" s="308" t="s">
        <v>176</v>
      </c>
      <c r="BN31" s="308" t="s">
        <v>176</v>
      </c>
      <c r="BO31" s="308" t="s">
        <v>176</v>
      </c>
      <c r="BP31" s="308" t="s">
        <v>176</v>
      </c>
      <c r="BQ31" s="308" t="s">
        <v>176</v>
      </c>
      <c r="BR31" s="308" t="s">
        <v>176</v>
      </c>
      <c r="BS31" s="308" t="s">
        <v>176</v>
      </c>
      <c r="BT31" s="308" t="s">
        <v>176</v>
      </c>
      <c r="BU31" s="308" t="s">
        <v>176</v>
      </c>
      <c r="BV31" s="308" t="s">
        <v>176</v>
      </c>
      <c r="BW31" s="308" t="s">
        <v>176</v>
      </c>
      <c r="BX31" s="308" t="s">
        <v>176</v>
      </c>
      <c r="BY31" s="308" t="s">
        <v>176</v>
      </c>
      <c r="BZ31" s="308" t="s">
        <v>176</v>
      </c>
      <c r="CA31" s="308" t="s">
        <v>176</v>
      </c>
      <c r="CB31" s="308" t="s">
        <v>176</v>
      </c>
      <c r="CC31" s="308" t="s">
        <v>176</v>
      </c>
      <c r="CD31" s="308" t="s">
        <v>176</v>
      </c>
      <c r="CE31" s="308" t="s">
        <v>176</v>
      </c>
      <c r="CF31" s="308" t="s">
        <v>176</v>
      </c>
      <c r="CG31" s="308" t="s">
        <v>176</v>
      </c>
      <c r="CH31" s="308" t="s">
        <v>176</v>
      </c>
      <c r="CI31" s="308">
        <v>3</v>
      </c>
      <c r="CJ31" s="308">
        <v>2</v>
      </c>
      <c r="CK31" s="308" t="s">
        <v>176</v>
      </c>
      <c r="CL31" s="308" t="s">
        <v>176</v>
      </c>
      <c r="CM31" s="308">
        <v>1</v>
      </c>
      <c r="CN31" s="308" t="s">
        <v>176</v>
      </c>
      <c r="CO31" s="308" t="s">
        <v>176</v>
      </c>
      <c r="CP31" s="308" t="s">
        <v>176</v>
      </c>
      <c r="CQ31" s="308" t="s">
        <v>176</v>
      </c>
      <c r="CR31" s="308" t="s">
        <v>176</v>
      </c>
      <c r="CS31" s="308" t="s">
        <v>176</v>
      </c>
      <c r="CT31" s="308" t="s">
        <v>176</v>
      </c>
      <c r="CU31" s="308" t="s">
        <v>176</v>
      </c>
      <c r="CV31" s="308" t="s">
        <v>176</v>
      </c>
      <c r="CW31" s="308" t="s">
        <v>176</v>
      </c>
      <c r="CX31" s="308" t="s">
        <v>176</v>
      </c>
      <c r="CY31" s="308" t="s">
        <v>176</v>
      </c>
      <c r="CZ31" s="308" t="s">
        <v>176</v>
      </c>
      <c r="DA31" s="308" t="s">
        <v>176</v>
      </c>
      <c r="DB31" s="308" t="s">
        <v>176</v>
      </c>
      <c r="DC31" s="308" t="s">
        <v>176</v>
      </c>
      <c r="DD31" s="308" t="s">
        <v>176</v>
      </c>
      <c r="DE31" s="308" t="s">
        <v>176</v>
      </c>
      <c r="DF31" s="308" t="s">
        <v>176</v>
      </c>
      <c r="DG31" s="308" t="s">
        <v>176</v>
      </c>
      <c r="DH31" s="308" t="s">
        <v>176</v>
      </c>
      <c r="DI31" s="308" t="s">
        <v>176</v>
      </c>
      <c r="DJ31" s="308" t="s">
        <v>176</v>
      </c>
      <c r="DK31" s="308" t="s">
        <v>176</v>
      </c>
      <c r="DL31" s="308" t="s">
        <v>176</v>
      </c>
      <c r="DM31" s="308" t="s">
        <v>176</v>
      </c>
      <c r="DN31" s="308" t="s">
        <v>176</v>
      </c>
      <c r="DO31" s="308" t="s">
        <v>176</v>
      </c>
      <c r="DP31" s="308" t="s">
        <v>176</v>
      </c>
      <c r="DQ31" s="308" t="s">
        <v>176</v>
      </c>
      <c r="DR31" s="308" t="s">
        <v>176</v>
      </c>
      <c r="DS31" s="308" t="s">
        <v>176</v>
      </c>
      <c r="DT31" s="308" t="s">
        <v>176</v>
      </c>
      <c r="DU31" s="308" t="s">
        <v>176</v>
      </c>
      <c r="DV31" s="306" t="s">
        <v>176</v>
      </c>
      <c r="DW31" s="306" t="s">
        <v>176</v>
      </c>
      <c r="DX31" s="306" t="s">
        <v>176</v>
      </c>
      <c r="DY31" s="308" t="s">
        <v>176</v>
      </c>
      <c r="DZ31" s="308" t="s">
        <v>176</v>
      </c>
      <c r="EA31" s="308" t="s">
        <v>176</v>
      </c>
      <c r="EB31" s="308" t="s">
        <v>176</v>
      </c>
      <c r="EC31" s="308" t="s">
        <v>176</v>
      </c>
      <c r="ED31" s="308" t="s">
        <v>176</v>
      </c>
      <c r="EE31" s="308" t="s">
        <v>176</v>
      </c>
      <c r="EF31" s="308" t="s">
        <v>176</v>
      </c>
      <c r="EG31" s="308" t="s">
        <v>176</v>
      </c>
      <c r="EH31" s="308" t="s">
        <v>176</v>
      </c>
      <c r="EI31" s="308" t="s">
        <v>176</v>
      </c>
      <c r="EJ31" s="308" t="s">
        <v>176</v>
      </c>
      <c r="EK31" s="308" t="s">
        <v>176</v>
      </c>
      <c r="EL31" s="308" t="s">
        <v>176</v>
      </c>
      <c r="EM31" s="308" t="s">
        <v>176</v>
      </c>
      <c r="EN31" s="308" t="s">
        <v>176</v>
      </c>
      <c r="EO31" s="308" t="s">
        <v>176</v>
      </c>
      <c r="EP31" s="308" t="s">
        <v>176</v>
      </c>
      <c r="EQ31" s="308" t="s">
        <v>176</v>
      </c>
      <c r="ER31" s="308" t="s">
        <v>176</v>
      </c>
      <c r="ES31" s="308" t="s">
        <v>176</v>
      </c>
      <c r="ET31" s="308" t="s">
        <v>176</v>
      </c>
      <c r="EU31" s="308" t="s">
        <v>176</v>
      </c>
      <c r="EV31" s="308" t="s">
        <v>176</v>
      </c>
      <c r="EW31" s="308" t="s">
        <v>176</v>
      </c>
      <c r="EX31" s="308" t="s">
        <v>176</v>
      </c>
      <c r="EY31" s="308">
        <v>2</v>
      </c>
      <c r="EZ31" s="308">
        <v>2</v>
      </c>
      <c r="FA31" s="308">
        <v>2</v>
      </c>
      <c r="FB31" s="309">
        <v>1</v>
      </c>
      <c r="FC31" s="309">
        <v>1</v>
      </c>
      <c r="FD31" s="308">
        <v>2</v>
      </c>
      <c r="FE31" s="308">
        <v>2</v>
      </c>
      <c r="FF31" s="308">
        <v>2</v>
      </c>
      <c r="FG31" s="308">
        <v>2</v>
      </c>
      <c r="FH31" s="308">
        <v>3</v>
      </c>
      <c r="FI31" s="308">
        <v>3</v>
      </c>
      <c r="FJ31" s="308">
        <v>2</v>
      </c>
      <c r="FK31" s="308">
        <v>3</v>
      </c>
      <c r="FL31" s="308">
        <v>2</v>
      </c>
      <c r="FM31" s="308">
        <v>2</v>
      </c>
      <c r="FN31" s="308">
        <v>2</v>
      </c>
      <c r="FO31" s="308">
        <v>2</v>
      </c>
      <c r="FP31" s="308" t="s">
        <v>176</v>
      </c>
      <c r="FQ31" s="323" t="s">
        <v>176</v>
      </c>
      <c r="FR31" s="323" t="s">
        <v>176</v>
      </c>
      <c r="FS31" s="323" t="s">
        <v>176</v>
      </c>
      <c r="FT31" s="323" t="s">
        <v>160</v>
      </c>
      <c r="FU31" s="323" t="s">
        <v>176</v>
      </c>
      <c r="FV31" s="323" t="s">
        <v>176</v>
      </c>
      <c r="FW31" s="323" t="s">
        <v>176</v>
      </c>
      <c r="FX31" s="323" t="s">
        <v>176</v>
      </c>
      <c r="FY31" s="323" t="s">
        <v>176</v>
      </c>
      <c r="FZ31" s="323" t="s">
        <v>176</v>
      </c>
      <c r="GA31" s="323" t="s">
        <v>176</v>
      </c>
      <c r="GB31" s="323" t="s">
        <v>160</v>
      </c>
      <c r="GC31" s="323" t="s">
        <v>176</v>
      </c>
      <c r="GD31" s="323" t="s">
        <v>176</v>
      </c>
      <c r="GE31" s="323" t="s">
        <v>176</v>
      </c>
      <c r="GF31" s="323" t="s">
        <v>176</v>
      </c>
      <c r="GG31" s="323" t="s">
        <v>176</v>
      </c>
      <c r="GH31" s="323" t="s">
        <v>176</v>
      </c>
      <c r="GI31" s="323" t="s">
        <v>176</v>
      </c>
      <c r="GJ31" s="323" t="s">
        <v>176</v>
      </c>
      <c r="GK31" s="355" t="s">
        <v>176</v>
      </c>
      <c r="GL31" s="311">
        <f>SUM(G31:FP31)</f>
        <v>83</v>
      </c>
      <c r="GM31" s="132"/>
    </row>
    <row r="32" spans="1:195" s="133" customFormat="1" ht="28.35" customHeight="1" thickBot="1" x14ac:dyDescent="0.3">
      <c r="A32" s="138" t="str">
        <f>A31</f>
        <v>Księgowość-Finance dep.</v>
      </c>
      <c r="B32" s="138" t="str">
        <f>B31</f>
        <v>Księgowa</v>
      </c>
      <c r="C32" s="138" t="str">
        <f>C31</f>
        <v>DK</v>
      </c>
      <c r="D32" s="138">
        <f>D31</f>
        <v>449</v>
      </c>
      <c r="E32" s="566" t="str">
        <f>E31</f>
        <v>Kuciej Agnieszka</v>
      </c>
      <c r="F32" s="442" t="s">
        <v>166</v>
      </c>
      <c r="G32" s="473">
        <f>IF(INDEX(tab_MinKomp[Przepisy BHP / BHP Vorschriften],MATCH($B31,tab_MinKomp[[Stanowisko / Position ]:[Stanowisko / Position ]],0))="n/a","n/a",G31-INDEX(tab_MinKomp[Przepisy BHP / BHP Vorschriften],MATCH($B31,tab_MinKomp[[Stanowisko / Position ]:[Stanowisko / Position ]],0)))</f>
        <v>0</v>
      </c>
      <c r="H32" s="473">
        <f>IF(INDEX(tab_MinKomp[Przepisy PPOŻ / Brandschutzbestimmungen],MATCH($B31,tab_MinKomp[[Stanowisko / Position ]:[Stanowisko / Position ]],0))="n/a","n/a",H31-INDEX(tab_MinKomp[Przepisy PPOŻ / Brandschutzbestimmungen],MATCH($B31,tab_MinKomp[[Stanowisko / Position ]:[Stanowisko / Position ]],0)))</f>
        <v>0</v>
      </c>
      <c r="I32" s="473">
        <f>IF(INDEX(tab_MinKomp[Ryzyko zawodowe na stanowiskach pracyv/ Berufliche Risiken an Arbeitsstellen],MATCH($B31,tab_MinKomp[[Stanowisko / Position ]:[Stanowisko / Position ]],0))="n/a","n/a",I31-INDEX(tab_MinKomp[Ryzyko zawodowe na stanowiskach pracyv/ Berufliche Risiken an Arbeitsstellen],MATCH($B31,tab_MinKomp[[Stanowisko / Position ]:[Stanowisko / Position ]],0)))</f>
        <v>0</v>
      </c>
      <c r="J32" s="473" t="str">
        <f>IF(INDEX(tab_MinKomp[Gospodarka substancjami niebezpiecznymi / Gefahrstoffmanagement],MATCH($B31,tab_MinKomp[[Stanowisko / Position ]:[Stanowisko / Position ]],0))="n/a","n/a",J31-INDEX(tab_MinKomp[Gospodarka substancjami niebezpiecznymi / Gefahrstoffmanagement],MATCH($B31,tab_MinKomp[[Stanowisko / Position ]:[Stanowisko / Position ]],0)))</f>
        <v>n/a</v>
      </c>
      <c r="K32" s="473" t="str">
        <f>IF(INDEX(tab_MinKomp[Gospodarka odpadami / Abfallwirtschaft],MATCH($B31,tab_MinKomp[[Stanowisko / Position ]:[Stanowisko / Position ]],0))="n/a","n/a",K31-INDEX(tab_MinKomp[Gospodarka odpadami / Abfallwirtschaft],MATCH($B31,tab_MinKomp[[Stanowisko / Position ]:[Stanowisko / Position ]],0)))</f>
        <v>n/a</v>
      </c>
      <c r="L32" s="473">
        <f>IF(INDEX(tab_MinKomp[Przepisy kodeksu pracy / Bestimmungen des Arbeitsgesetzes],MATCH($B31,tab_MinKomp[[Stanowisko / Position ]:[Stanowisko / Position ]],0))="n/a","n/a",L31-INDEX(tab_MinKomp[Przepisy kodeksu pracy / Bestimmungen des Arbeitsgesetzes],MATCH($B31,tab_MinKomp[[Stanowisko / Position ]:[Stanowisko / Position ]],0)))</f>
        <v>0</v>
      </c>
      <c r="M32" s="473" t="str">
        <f>IF(INDEX(tab_MinKomp[Przepisy o ub.społ. ZUS  / Sozialversicherungsvorschriften],MATCH($B31,tab_MinKomp[[Stanowisko / Position ]:[Stanowisko / Position ]],0))="n/a","n/a",M31-INDEX(tab_MinKomp[Przepisy o ub.społ. ZUS  / Sozialversicherungsvorschriften],MATCH($B31,tab_MinKomp[[Stanowisko / Position ]:[Stanowisko / Position ]],0)))</f>
        <v>n/a</v>
      </c>
      <c r="N32" s="473" t="str">
        <f>IF(INDEX(tab_MinKomp[PRZEPISY O PDOF /persönlich Einkommensteuergesetz ],MATCH($B31,tab_MinKomp[[Stanowisko / Position ]:[Stanowisko / Position ]],0))="n/a","n/a",N31-INDEX(tab_MinKomp[PRZEPISY O PDOF /persönlich Einkommensteuergesetz ],MATCH($B31,tab_MinKomp[[Stanowisko / Position ]:[Stanowisko / Position ]],0)))</f>
        <v>n/a</v>
      </c>
      <c r="O32" s="473">
        <f>IF(INDEX(tab_MinKomp[Regulamin pracy / Arbeitsordnung],MATCH($B31,tab_MinKomp[[Stanowisko / Position ]:[Stanowisko / Position ]],0))="n/a","n/a",O31-INDEX(tab_MinKomp[Regulamin pracy / Arbeitsordnung],MATCH($B31,tab_MinKomp[[Stanowisko / Position ]:[Stanowisko / Position ]],0)))</f>
        <v>0</v>
      </c>
      <c r="P32" s="473">
        <f>IF(INDEX(tab_MinKomp[Regulamin wynagradzania / Vergütungsordnung],MATCH($B31,tab_MinKomp[[Stanowisko / Position ]:[Stanowisko / Position ]],0))="n/a","n/a",P31-INDEX(tab_MinKomp[Regulamin wynagradzania / Vergütungsordnung],MATCH($B31,tab_MinKomp[[Stanowisko / Position ]:[Stanowisko / Position ]],0)))</f>
        <v>0</v>
      </c>
      <c r="Q32" s="473" t="str">
        <f>IF(INDEX(tab_MinKomp[System R2PŁATNIK PRO: Płace / Lohnabrechnung],MATCH($B31,tab_MinKomp[[Stanowisko / Position ]:[Stanowisko / Position ]],0))="n/a","n/a",Q31-INDEX(tab_MinKomp[System R2PŁATNIK PRO: Płace / Lohnabrechnung],MATCH($B31,tab_MinKomp[[Stanowisko / Position ]:[Stanowisko / Position ]],0)))</f>
        <v>n/a</v>
      </c>
      <c r="R32" s="473" t="str">
        <f>IF(INDEX(tab_MinKomp[SystemR2PŁATNIK PRO: KADRY / Personaldaten],MATCH($B31,tab_MinKomp[[Stanowisko / Position ]:[Stanowisko / Position ]],0))="n/a","n/a",R31-INDEX(tab_MinKomp[SystemR2PŁATNIK PRO: KADRY / Personaldaten],MATCH($B31,tab_MinKomp[[Stanowisko / Position ]:[Stanowisko / Position ]],0)))</f>
        <v>n/a</v>
      </c>
      <c r="S32" s="473" t="str">
        <f>IF(INDEX(tab_MinKomp[SYSTEM R2PŁATNIK PRO: zarządzanie pracownikami / Arbeitsverwaltung],MATCH($B31,tab_MinKomp[[Stanowisko / Position ]:[Stanowisko / Position ]],0))="n/a","n/a",S31-INDEX(tab_MinKomp[SYSTEM R2PŁATNIK PRO: zarządzanie pracownikami / Arbeitsverwaltung],MATCH($B31,tab_MinKomp[[Stanowisko / Position ]:[Stanowisko / Position ]],0)))</f>
        <v>n/a</v>
      </c>
      <c r="T32" s="473" t="str">
        <f>IF(INDEX(tab_MinKomp[Doradztwo, wsparcie personalne / Personalberatung und Unterstützung],MATCH($B31,tab_MinKomp[[Stanowisko / Position ]:[Stanowisko / Position ]],0))="n/a","n/a",T31-INDEX(tab_MinKomp[Doradztwo, wsparcie personalne / Personalberatung und Unterstützung],MATCH($B31,tab_MinKomp[[Stanowisko / Position ]:[Stanowisko / Position ]],0)))</f>
        <v>n/a</v>
      </c>
      <c r="U32" s="472">
        <f>IF(INDEX(tab_MinKomp[Przepisy o podatku VAT / MwSt.- Gesetz],MATCH($B31,tab_MinKomp[[Stanowisko / Position ]:[Stanowisko / Position ]],0))="n/a","n/a",U31-INDEX(tab_MinKomp[Przepisy o podatku VAT / MwSt.- Gesetz],MATCH($B31,tab_MinKomp[[Stanowisko / Position ]:[Stanowisko / Position ]],0)))</f>
        <v>0</v>
      </c>
      <c r="V32" s="315">
        <f>IF(INDEX(tab_MinKomp[PrzepisyPDOP / geschäftlich Einkommensteuergesetz],MATCH($B31,tab_MinKomp[[Stanowisko / Position ]:[Stanowisko / Position ]],0))="n/a","n/a",V31-INDEX(tab_MinKomp[PrzepisyPDOP / geschäftlich Einkommensteuergesetz],MATCH($B31,tab_MinKomp[[Stanowisko / Position ]:[Stanowisko / Position ]],0)))</f>
        <v>0</v>
      </c>
      <c r="W32" s="315">
        <f>IF(INDEX(tab_MinKomp[System BAAN / FINANSE (FIBU)],MATCH($B31,tab_MinKomp[[Stanowisko / Position ]:[Stanowisko / Position ]],0))="n/a","n/a",W31-INDEX(tab_MinKomp[System BAAN / FINANSE (FIBU)],MATCH($B31,tab_MinKomp[[Stanowisko / Position ]:[Stanowisko / Position ]],0)))</f>
        <v>0</v>
      </c>
      <c r="X32" s="315">
        <f>IF(INDEX(tab_MinKomp[Systemy pomocnicze / Hilfssysteme(STOCKPROGRAM, KALK2000 etc.)],MATCH($B31,tab_MinKomp[[Stanowisko / Position ]:[Stanowisko / Position ]],0))="n/a","n/a",X31-INDEX(tab_MinKomp[Systemy pomocnicze / Hilfssysteme(STOCKPROGRAM, KALK2000 etc.)],MATCH($B31,tab_MinKomp[[Stanowisko / Position ]:[Stanowisko / Position ]],0)))</f>
        <v>0</v>
      </c>
      <c r="Y32" s="315">
        <f>IF(INDEX(tab_MinKomp[Polityka rachunkowości / Buchführungspolitik],MATCH($B31,tab_MinKomp[[Stanowisko / Position ]:[Stanowisko / Position ]],0))="n/a","n/a",Y31-INDEX(tab_MinKomp[Polityka rachunkowości / Buchführungspolitik],MATCH($B31,tab_MinKomp[[Stanowisko / Position ]:[Stanowisko / Position ]],0)))</f>
        <v>0</v>
      </c>
      <c r="Z32" s="315">
        <f>IF(INDEX(tab_MinKomp[Ustawa o rachunkowości / Rechnungslegungsgesetz],MATCH($B31,tab_MinKomp[[Stanowisko / Position ]:[Stanowisko / Position ]],0))="n/a","n/a",Z31-INDEX(tab_MinKomp[Ustawa o rachunkowości / Rechnungslegungsgesetz],MATCH($B31,tab_MinKomp[[Stanowisko / Position ]:[Stanowisko / Position ]],0)))</f>
        <v>0</v>
      </c>
      <c r="AA32" s="315">
        <f>IF(INDEX(tab_MinKomp[WORKFLOW - TS-100],MATCH($B31,tab_MinKomp[[Stanowisko / Position ]:[Stanowisko / Position ]],0))="n/a","n/a",AA31-INDEX(tab_MinKomp[WORKFLOW - TS-100],MATCH($B31,tab_MinKomp[[Stanowisko / Position ]:[Stanowisko / Position ]],0)))</f>
        <v>0</v>
      </c>
      <c r="AB32" s="315">
        <f>IF(INDEX(tab_MinKomp[WORKFLOW - SFMS],MATCH($B31,tab_MinKomp[[Stanowisko / Position ]:[Stanowisko / Position ]],0))="n/a","n/a",AB31-INDEX(tab_MinKomp[WORKFLOW - SFMS],MATCH($B31,tab_MinKomp[[Stanowisko / Position ]:[Stanowisko / Position ]],0)))</f>
        <v>0</v>
      </c>
      <c r="AC32" s="315" t="str">
        <f>IF(INDEX(tab_MinKomp[System ISO 9001:2015],MATCH($B31,tab_MinKomp[[Stanowisko / Position ]:[Stanowisko / Position ]],0))="n/a","n/a",AC31-INDEX(tab_MinKomp[System ISO 9001:2015],MATCH($B31,tab_MinKomp[[Stanowisko / Position ]:[Stanowisko / Position ]],0)))</f>
        <v>n/a</v>
      </c>
      <c r="AD32" s="315" t="str">
        <f>IF(INDEX(tab_MinKomp[System IATF 16949:2016],MATCH($B31,tab_MinKomp[[Stanowisko / Position ]:[Stanowisko / Position ]],0))="n/a","n/a",AD31-INDEX(tab_MinKomp[System IATF 16949:2016],MATCH($B31,tab_MinKomp[[Stanowisko / Position ]:[Stanowisko / Position ]],0)))</f>
        <v>n/a</v>
      </c>
      <c r="AE32" s="315" t="str">
        <f>IF(INDEX(tab_MinKomp[System ISO 14001:2015],MATCH($B31,tab_MinKomp[[Stanowisko / Position ]:[Stanowisko / Position ]],0))="n/a","n/a",AE31-INDEX(tab_MinKomp[System ISO 14001:2015],MATCH($B31,tab_MinKomp[[Stanowisko / Position ]:[Stanowisko / Position ]],0)))</f>
        <v>n/a</v>
      </c>
      <c r="AF32" s="315" t="str">
        <f>IF(INDEX(tab_MinKomp[System PN-N 18001:2004 / ISO 45001:2018],MATCH($B31,tab_MinKomp[[Stanowisko / Position ]:[Stanowisko / Position ]],0))="n/a","n/a",AF31-INDEX(tab_MinKomp[System PN-N 18001:2004 / ISO 45001:2018],MATCH($B31,tab_MinKomp[[Stanowisko / Position ]:[Stanowisko / Position ]],0)))</f>
        <v>n/a</v>
      </c>
      <c r="AG32" s="315" t="str">
        <f>IF(INDEX(tab_MinKomp[Wymagania VDA 6.3 Process / Forderungen],MATCH($B31,tab_MinKomp[[Stanowisko / Position ]:[Stanowisko / Position ]],0))="n/a","n/a",AG31-INDEX(tab_MinKomp[Wymagania VDA 6.3 Process / Forderungen],MATCH($B31,tab_MinKomp[[Stanowisko / Position ]:[Stanowisko / Position ]],0)))</f>
        <v>n/a</v>
      </c>
      <c r="AH32" s="315" t="str">
        <f>IF(INDEX(tab_MinKomp[Wymagania VDA 6.5 Product / Forderungen],MATCH($B31,tab_MinKomp[[Stanowisko / Position ]:[Stanowisko / Position ]],0))="n/a","n/a",AH31-INDEX(tab_MinKomp[Wymagania VDA 6.5 Product / Forderungen],MATCH($B31,tab_MinKomp[[Stanowisko / Position ]:[Stanowisko / Position ]],0)))</f>
        <v>n/a</v>
      </c>
      <c r="AI32" s="315" t="str">
        <f>IF(INDEX(tab_MinKomp[PSCR (VW Product Safety &amp; Conformity Representative)],MATCH($B31,tab_MinKomp[[Stanowisko / Position ]:[Stanowisko / Position ]],0))="n/a","n/a",AI31-INDEX(tab_MinKomp[PSCR (VW Product Safety &amp; Conformity Representative)],MATCH($B31,tab_MinKomp[[Stanowisko / Position ]:[Stanowisko / Position ]],0)))</f>
        <v>n/a</v>
      </c>
      <c r="AJ32" s="315" t="str">
        <f>IF(INDEX(tab_MinKomp[Auditor systemu ISO 17025:2018],MATCH($B31,tab_MinKomp[[Stanowisko / Position ]:[Stanowisko / Position ]],0))="n/a","n/a",AJ31-INDEX(tab_MinKomp[Auditor systemu ISO 17025:2018],MATCH($B31,tab_MinKomp[[Stanowisko / Position ]:[Stanowisko / Position ]],0)))</f>
        <v>n/a</v>
      </c>
      <c r="AK32" s="315" t="str">
        <f>IF(INDEX(tab_MinKomp[Pełnomocnik systemu / Systemvertreter],MATCH($B31,tab_MinKomp[[Stanowisko / Position ]:[Stanowisko / Position ]],0))="n/a","n/a",AK31-INDEX(tab_MinKomp[Pełnomocnik systemu / Systemvertreter],MATCH($B31,tab_MinKomp[[Stanowisko / Position ]:[Stanowisko / Position ]],0)))</f>
        <v>n/a</v>
      </c>
      <c r="AL32" s="315" t="str">
        <f>IF(INDEX(tab_MinKomp[Polityka Etyczna - Compliance],MATCH($B31,tab_MinKomp[[Stanowisko / Position ]:[Stanowisko / Position ]],0))="n/a","n/a",AL31-INDEX(tab_MinKomp[Polityka Etyczna - Compliance],MATCH($B31,tab_MinKomp[[Stanowisko / Position ]:[Stanowisko / Position ]],0)))</f>
        <v>n/a</v>
      </c>
      <c r="AM32" s="315" t="str">
        <f>IF(INDEX(tab_MinKomp[WDRAŻANIE NOWYCH PROJEKTÓW/ PROCEDURA CTM],MATCH($B31,tab_MinKomp[[Stanowisko / Position ]:[Stanowisko / Position ]],0))="n/a","n/a",AM31-INDEX(tab_MinKomp[WDRAŻANIE NOWYCH PROJEKTÓW/ PROCEDURA CTM],MATCH($B31,tab_MinKomp[[Stanowisko / Position ]:[Stanowisko / Position ]],0)))</f>
        <v>n/a</v>
      </c>
      <c r="AN32" s="315" t="str">
        <f>IF(INDEX(tab_MinKomp[KAMIENIE MILOWE MSL/PIFF],MATCH($B31,tab_MinKomp[[Stanowisko / Position ]:[Stanowisko / Position ]],0))="n/a","n/a",AN31-INDEX(tab_MinKomp[KAMIENIE MILOWE MSL/PIFF],MATCH($B31,tab_MinKomp[[Stanowisko / Position ]:[Stanowisko / Position ]],0)))</f>
        <v>n/a</v>
      </c>
      <c r="AO32" s="315" t="str">
        <f>IF(INDEX(tab_MinKomp[CP],MATCH($B31,tab_MinKomp[[Stanowisko / Position ]:[Stanowisko / Position ]],0))="n/a","n/a",AO31-INDEX(tab_MinKomp[CP],MATCH($B31,tab_MinKomp[[Stanowisko / Position ]:[Stanowisko / Position ]],0)))</f>
        <v>n/a</v>
      </c>
      <c r="AP32" s="315" t="str">
        <f>IF(INDEX(tab_MinKomp[FMEA],MATCH($B31,tab_MinKomp[[Stanowisko / Position ]:[Stanowisko / Position ]],0))="n/a","n/a",AP31-INDEX(tab_MinKomp[FMEA],MATCH($B31,tab_MinKomp[[Stanowisko / Position ]:[Stanowisko / Position ]],0)))</f>
        <v>n/a</v>
      </c>
      <c r="AQ32" s="315" t="str">
        <f>IF(INDEX(tab_MinKomp[FLOW CHART],MATCH($B31,tab_MinKomp[[Stanowisko / Position ]:[Stanowisko / Position ]],0))="n/a","n/a",AQ31-INDEX(tab_MinKomp[FLOW CHART],MATCH($B31,tab_MinKomp[[Stanowisko / Position ]:[Stanowisko / Position ]],0)))</f>
        <v>n/a</v>
      </c>
      <c r="AR32" s="315" t="str">
        <f>IF(INDEX(tab_MinKomp[APQP],MATCH($B31,tab_MinKomp[[Stanowisko / Position ]:[Stanowisko / Position ]],0))="n/a","n/a",AR31-INDEX(tab_MinKomp[APQP],MATCH($B31,tab_MinKomp[[Stanowisko / Position ]:[Stanowisko / Position ]],0)))</f>
        <v>n/a</v>
      </c>
      <c r="AS32" s="315" t="str">
        <f>IF(INDEX(tab_MinKomp[MSA],MATCH($B31,tab_MinKomp[[Stanowisko / Position ]:[Stanowisko / Position ]],0))="n/a","n/a",AS31-INDEX(tab_MinKomp[MSA],MATCH($B31,tab_MinKomp[[Stanowisko / Position ]:[Stanowisko / Position ]],0)))</f>
        <v>n/a</v>
      </c>
      <c r="AT32" s="315" t="str">
        <f>IF(INDEX(tab_MinKomp[SPC],MATCH($B31,tab_MinKomp[[Stanowisko / Position ]:[Stanowisko / Position ]],0))="n/a","n/a",AT31-INDEX(tab_MinKomp[SPC],MATCH($B31,tab_MinKomp[[Stanowisko / Position ]:[Stanowisko / Position ]],0)))</f>
        <v>n/a</v>
      </c>
      <c r="AU32" s="315" t="str">
        <f>IF(INDEX(tab_MinKomp[CSR (SPECYFICZNE WYMAGANIA KLIENTA)],MATCH($B31,tab_MinKomp[[Stanowisko / Position ]:[Stanowisko / Position ]],0))="n/a","n/a",AU31-INDEX(tab_MinKomp[CSR (SPECYFICZNE WYMAGANIA KLIENTA)],MATCH($B31,tab_MinKomp[[Stanowisko / Position ]:[Stanowisko / Position ]],0)))</f>
        <v>n/a</v>
      </c>
      <c r="AV32" s="315">
        <f>IF(INDEX(tab_MinKomp[5S],MATCH($B31,tab_MinKomp[[Stanowisko / Position ]:[Stanowisko / Position ]],0))="n/a","n/a",AV31-INDEX(tab_MinKomp[5S],MATCH($B31,tab_MinKomp[[Stanowisko / Position ]:[Stanowisko / Position ]],0)))</f>
        <v>0</v>
      </c>
      <c r="AW32" s="315">
        <f>IF(INDEX(tab_MinKomp[LEAN MANAGEMENT],MATCH($B31,tab_MinKomp[[Stanowisko / Position ]:[Stanowisko / Position ]],0))="n/a","n/a",AW31-INDEX(tab_MinKomp[LEAN MANAGEMENT],MATCH($B31,tab_MinKomp[[Stanowisko / Position ]:[Stanowisko / Position ]],0)))</f>
        <v>0</v>
      </c>
      <c r="AX32" s="315">
        <f>IF(INDEX(tab_MinKomp[5R],MATCH($B31,tab_MinKomp[[Stanowisko / Position ]:[Stanowisko / Position ]],0))="n/a","n/a",AX31-INDEX(tab_MinKomp[5R],MATCH($B31,tab_MinKomp[[Stanowisko / Position ]:[Stanowisko / Position ]],0)))</f>
        <v>0</v>
      </c>
      <c r="AY32" s="315" t="str">
        <f>IF(INDEX(tab_MinKomp[Six Sigma],MATCH($B31,tab_MinKomp[[Stanowisko / Position ]:[Stanowisko / Position ]],0))="n/a","n/a",AY31-INDEX(tab_MinKomp[Six Sigma],MATCH($B31,tab_MinKomp[[Stanowisko / Position ]:[Stanowisko / Position ]],0)))</f>
        <v>n/a</v>
      </c>
      <c r="AZ32" s="315">
        <f>IF(INDEX(tab_MinKomp[System BAAN / Distribution &amp; Supply Chain],MATCH($B31,tab_MinKomp[[Stanowisko / Position ]:[Stanowisko / Position ]],0))="n/a","n/a",AZ31-INDEX(tab_MinKomp[System BAAN / Distribution &amp; Supply Chain],MATCH($B31,tab_MinKomp[[Stanowisko / Position ]:[Stanowisko / Position ]],0)))</f>
        <v>0</v>
      </c>
      <c r="BA32" s="315">
        <f>IF(INDEX(tab_MinKomp[Gospodarka magazynowa / Lagerverwaltung],MATCH($B31,tab_MinKomp[[Stanowisko / Position ]:[Stanowisko / Position ]],0))="n/a","n/a",BA31-INDEX(tab_MinKomp[Gospodarka magazynowa / Lagerverwaltung],MATCH($B31,tab_MinKomp[[Stanowisko / Position ]:[Stanowisko / Position ]],0)))</f>
        <v>0</v>
      </c>
      <c r="BB32" s="315">
        <f>IF(INDEX(tab_MinKomp[Inwentaryzacja - organizacja i przebieg / Inventurprozess],MATCH($B31,tab_MinKomp[[Stanowisko / Position ]:[Stanowisko / Position ]],0))="n/a","n/a",BB31-INDEX(tab_MinKomp[Inwentaryzacja - organizacja i przebieg / Inventurprozess],MATCH($B31,tab_MinKomp[[Stanowisko / Position ]:[Stanowisko / Position ]],0)))</f>
        <v>0</v>
      </c>
      <c r="BC32" s="315">
        <f>IF(INDEX(tab_MinKomp[Organizacja dostaw / Versorgungsorganisation],MATCH($B31,tab_MinKomp[[Stanowisko / Position ]:[Stanowisko / Position ]],0))="n/a","n/a",BC31-INDEX(tab_MinKomp[Organizacja dostaw / Versorgungsorganisation],MATCH($B31,tab_MinKomp[[Stanowisko / Position ]:[Stanowisko / Position ]],0)))</f>
        <v>0</v>
      </c>
      <c r="BD32" s="315">
        <f>IF(INDEX(tab_MinKomp[Organizacja wysyłek / Organisation von Lieferungen],MATCH($B31,tab_MinKomp[[Stanowisko / Position ]:[Stanowisko / Position ]],0))="n/a","n/a",BD31-INDEX(tab_MinKomp[Organizacja wysyłek / Organisation von Lieferungen],MATCH($B31,tab_MinKomp[[Stanowisko / Position ]:[Stanowisko / Position ]],0)))</f>
        <v>0</v>
      </c>
      <c r="BE32" s="315">
        <f>IF(INDEX(tab_MinKomp[Analiza magazynowa - Program Polen.mdb / Inventuranalyse],MATCH($B31,tab_MinKomp[[Stanowisko / Position ]:[Stanowisko / Position ]],0))="n/a","n/a",BE31-INDEX(tab_MinKomp[Analiza magazynowa - Program Polen.mdb / Inventuranalyse],MATCH($B31,tab_MinKomp[[Stanowisko / Position ]:[Stanowisko / Position ]],0)))</f>
        <v>0</v>
      </c>
      <c r="BF32" s="315" t="str">
        <f>IF(INDEX(tab_MinKomp[MMOG (Materials Management Operations Guidelines)],MATCH($B31,tab_MinKomp[[Stanowisko / Position ]:[Stanowisko / Position ]],0))="n/a","n/a",BF31-INDEX(tab_MinKomp[MMOG (Materials Management Operations Guidelines)],MATCH($B31,tab_MinKomp[[Stanowisko / Position ]:[Stanowisko / Position ]],0)))</f>
        <v>n/a</v>
      </c>
      <c r="BG32" s="315" t="str">
        <f>IF(INDEX(tab_MinKomp[DETC],MATCH($B31,tab_MinKomp[[Stanowisko / Position ]:[Stanowisko / Position ]],0))="n/a","n/a",BG31-INDEX(tab_MinKomp[DETC],MATCH($B31,tab_MinKomp[[Stanowisko / Position ]:[Stanowisko / Position ]],0)))</f>
        <v>n/a</v>
      </c>
      <c r="BH32" s="315" t="str">
        <f>IF(INDEX(tab_MinKomp[GPP],MATCH($B31,tab_MinKomp[[Stanowisko / Position ]:[Stanowisko / Position ]],0))="n/a","n/a",BH31-INDEX(tab_MinKomp[GPP],MATCH($B31,tab_MinKomp[[Stanowisko / Position ]:[Stanowisko / Position ]],0)))</f>
        <v>n/a</v>
      </c>
      <c r="BI32" s="315" t="str">
        <f>IF(INDEX(tab_MinKomp[AIAG (Automotive Industry Action Group)],MATCH($B31,tab_MinKomp[[Stanowisko / Position ]:[Stanowisko / Position ]],0))="n/a","n/a",BI31-INDEX(tab_MinKomp[AIAG (Automotive Industry Action Group)],MATCH($B31,tab_MinKomp[[Stanowisko / Position ]:[Stanowisko / Position ]],0)))</f>
        <v>n/a</v>
      </c>
      <c r="BJ32" s="315" t="str">
        <f>IF(INDEX(tab_MinKomp[Super-G disputes],MATCH($B31,tab_MinKomp[[Stanowisko / Position ]:[Stanowisko / Position ]],0))="n/a","n/a",BJ31-INDEX(tab_MinKomp[Super-G disputes],MATCH($B31,tab_MinKomp[[Stanowisko / Position ]:[Stanowisko / Position ]],0)))</f>
        <v>n/a</v>
      </c>
      <c r="BK32" s="315" t="str">
        <f>IF(INDEX(tab_MinKomp[CMMS3/eDDL (Direct Data Link)],MATCH($B31,tab_MinKomp[[Stanowisko / Position ]:[Stanowisko / Position ]],0))="n/a","n/a",BK31-INDEX(tab_MinKomp[CMMS3/eDDL (Direct Data Link)],MATCH($B31,tab_MinKomp[[Stanowisko / Position ]:[Stanowisko / Position ]],0)))</f>
        <v>n/a</v>
      </c>
      <c r="BL32" s="315" t="str">
        <f>IF(INDEX(tab_MinKomp[MP&amp;L (Material Planning and Logistics)],MATCH($B31,tab_MinKomp[[Stanowisko / Position ]:[Stanowisko / Position ]],0))="n/a","n/a",BL31-INDEX(tab_MinKomp[MP&amp;L (Material Planning and Logistics)],MATCH($B31,tab_MinKomp[[Stanowisko / Position ]:[Stanowisko / Position ]],0)))</f>
        <v>n/a</v>
      </c>
      <c r="BM32" s="315" t="str">
        <f>IF(INDEX(tab_MinKomp[Planowanie produkcji / Produktionsplanung],MATCH($B31,tab_MinKomp[[Stanowisko / Position ]:[Stanowisko / Position ]],0))="n/a","n/a",BM31-INDEX(tab_MinKomp[Planowanie produkcji / Produktionsplanung],MATCH($B31,tab_MinKomp[[Stanowisko / Position ]:[Stanowisko / Position ]],0)))</f>
        <v>n/a</v>
      </c>
      <c r="BN32" s="315" t="str">
        <f>IF(INDEX(tab_MinKomp[Obsługa maszyn Engel / Engel Maschinenbedienung],MATCH($B31,tab_MinKomp[[Stanowisko / Position ]:[Stanowisko / Position ]],0))="n/a","n/a",BN31-INDEX(tab_MinKomp[Obsługa maszyn Engel / Engel Maschinenbedienung],MATCH($B31,tab_MinKomp[[Stanowisko / Position ]:[Stanowisko / Position ]],0)))</f>
        <v>n/a</v>
      </c>
      <c r="BO32" s="315" t="str">
        <f>IF(INDEX(tab_MinKomp[Obsługa maszyn Novapax / Novapax Maschinenbedienung],MATCH($B31,tab_MinKomp[[Stanowisko / Position ]:[Stanowisko / Position ]],0))="n/a","n/a",BO31-INDEX(tab_MinKomp[Obsługa maszyn Novapax / Novapax Maschinenbedienung],MATCH($B31,tab_MinKomp[[Stanowisko / Position ]:[Stanowisko / Position ]],0)))</f>
        <v>n/a</v>
      </c>
      <c r="BP32" s="315" t="str">
        <f>IF(INDEX(tab_MinKomp[Obsługa maszyn KVT / KVT Maschinenbedienung],MATCH($B31,tab_MinKomp[[Stanowisko / Position ]:[Stanowisko / Position ]],0))="n/a","n/a",BP31-INDEX(tab_MinKomp[Obsługa maszyn KVT / KVT Maschinenbedienung],MATCH($B31,tab_MinKomp[[Stanowisko / Position ]:[Stanowisko / Position ]],0)))</f>
        <v>n/a</v>
      </c>
      <c r="BQ32" s="315" t="str">
        <f>IF(INDEX(tab_MinKomp[Obsługa maszyn ASL / ASL Maschinenbedienung],MATCH($B31,tab_MinKomp[[Stanowisko / Position ]:[Stanowisko / Position ]],0))="n/a","n/a",BQ31-INDEX(tab_MinKomp[Obsługa maszyn ASL / ASL Maschinenbedienung],MATCH($B31,tab_MinKomp[[Stanowisko / Position ]:[Stanowisko / Position ]],0)))</f>
        <v>n/a</v>
      </c>
      <c r="BR32" s="315" t="str">
        <f>IF(INDEX(tab_MinKomp[Obsługa maszyn Branson / Branson Maschinenbedienung],MATCH($B31,tab_MinKomp[[Stanowisko / Position ]:[Stanowisko / Position ]],0))="n/a","n/a",BR31-INDEX(tab_MinKomp[Obsługa maszyn Branson / Branson Maschinenbedienung],MATCH($B31,tab_MinKomp[[Stanowisko / Position ]:[Stanowisko / Position ]],0)))</f>
        <v>n/a</v>
      </c>
      <c r="BS32" s="315" t="str">
        <f>IF(INDEX(tab_MinKomp[Obsługa maszyn Kamtec / Kamtec Maschinenbedienung],MATCH($B31,tab_MinKomp[[Stanowisko / Position ]:[Stanowisko / Position ]],0))="n/a","n/a",BS31-INDEX(tab_MinKomp[Obsługa maszyn Kamtec / Kamtec Maschinenbedienung],MATCH($B31,tab_MinKomp[[Stanowisko / Position ]:[Stanowisko / Position ]],0)))</f>
        <v>n/a</v>
      </c>
      <c r="BT32" s="315" t="str">
        <f>IF(INDEX(tab_MinKomp[Obsługa maszyn Piovan / Piovan Maschinenbedienung],MATCH($B31,tab_MinKomp[[Stanowisko / Position ]:[Stanowisko / Position ]],0))="n/a","n/a",BT31-INDEX(tab_MinKomp[Obsługa maszyn Piovan / Piovan Maschinenbedienung],MATCH($B31,tab_MinKomp[[Stanowisko / Position ]:[Stanowisko / Position ]],0)))</f>
        <v>n/a</v>
      </c>
      <c r="BU32" s="315" t="str">
        <f>IF(INDEX(tab_MinKomp[Obsługa maszyn REP / REP Maschinenbedienung],MATCH($B31,tab_MinKomp[[Stanowisko / Position ]:[Stanowisko / Position ]],0))="n/a","n/a",BU31-INDEX(tab_MinKomp[Obsługa maszyn REP / REP Maschinenbedienung],MATCH($B31,tab_MinKomp[[Stanowisko / Position ]:[Stanowisko / Position ]],0)))</f>
        <v>n/a</v>
      </c>
      <c r="BV32" s="315" t="str">
        <f>IF(INDEX(tab_MinKomp[Eliminacja awarii / Beseitigung von Ausfällen],MATCH($B31,tab_MinKomp[[Stanowisko / Position ]:[Stanowisko / Position ]],0))="n/a","n/a",BV31-INDEX(tab_MinKomp[Eliminacja awarii / Beseitigung von Ausfällen],MATCH($B31,tab_MinKomp[[Stanowisko / Position ]:[Stanowisko / Position ]],0)))</f>
        <v>n/a</v>
      </c>
      <c r="BW32" s="315" t="str">
        <f>IF(INDEX(tab_MinKomp[Informatyka ogólna (techniczne i systemowe) / Allgemeine IT (Technik und System)],MATCH($B31,tab_MinKomp[[Stanowisko / Position ]:[Stanowisko / Position ]],0))="n/a","n/a",BW31-INDEX(tab_MinKomp[Informatyka ogólna (techniczne i systemowe) / Allgemeine IT (Technik und System)],MATCH($B31,tab_MinKomp[[Stanowisko / Position ]:[Stanowisko / Position ]],0)))</f>
        <v>n/a</v>
      </c>
      <c r="BX32" s="315" t="str">
        <f>IF(INDEX(tab_MinKomp[Sieci komputerowe / Computernetzwerke],MATCH($B31,tab_MinKomp[[Stanowisko / Position ]:[Stanowisko / Position ]],0))="n/a","n/a",BX31-INDEX(tab_MinKomp[Sieci komputerowe / Computernetzwerke],MATCH($B31,tab_MinKomp[[Stanowisko / Position ]:[Stanowisko / Position ]],0)))</f>
        <v>n/a</v>
      </c>
      <c r="BY32" s="315" t="str">
        <f>IF(INDEX(tab_MinKomp[Hardware (komputery PC, drukarki biurowe i etykietowe, telefonia stacjonarna i mobilna) (PC, Drucker, Telefpne, Handys)],MATCH($B31,tab_MinKomp[[Stanowisko / Position ]:[Stanowisko / Position ]],0))="n/a","n/a",BY31-INDEX(tab_MinKomp[Hardware (komputery PC, drukarki biurowe i etykietowe, telefonia stacjonarna i mobilna) (PC, Drucker, Telefpne, Handys)],MATCH($B31,tab_MinKomp[[Stanowisko / Position ]:[Stanowisko / Position ]],0)))</f>
        <v>n/a</v>
      </c>
      <c r="BZ32" s="315" t="str">
        <f>IF(INDEX(tab_MinKomp[Software &amp; Systems (MS Office, MS Remote Desktop)],MATCH($B31,tab_MinKomp[[Stanowisko / Position ]:[Stanowisko / Position ]],0))="n/a","n/a",BZ31-INDEX(tab_MinKomp[Software &amp; Systems (MS Office, MS Remote Desktop)],MATCH($B31,tab_MinKomp[[Stanowisko / Position ]:[Stanowisko / Position ]],0)))</f>
        <v>n/a</v>
      </c>
      <c r="CA32" s="315" t="str">
        <f>IF(INDEX(tab_MinKomp[Programowanie obiektowe (PHP) / Objektprogrammierung],MATCH($B31,tab_MinKomp[[Stanowisko / Position ]:[Stanowisko / Position ]],0))="n/a","n/a",CA31-INDEX(tab_MinKomp[Programowanie obiektowe (PHP) / Objektprogrammierung],MATCH($B31,tab_MinKomp[[Stanowisko / Position ]:[Stanowisko / Position ]],0)))</f>
        <v>n/a</v>
      </c>
      <c r="CB32" s="315" t="str">
        <f>IF(INDEX(tab_MinKomp[Scrum],MATCH($B31,tab_MinKomp[[Stanowisko / Position ]:[Stanowisko / Position ]],0))="n/a","n/a",CB31-INDEX(tab_MinKomp[Scrum],MATCH($B31,tab_MinKomp[[Stanowisko / Position ]:[Stanowisko / Position ]],0)))</f>
        <v>n/a</v>
      </c>
      <c r="CC32" s="315" t="str">
        <f>IF(INDEX(tab_MinKomp[SQL (MySQL)],MATCH($B31,tab_MinKomp[[Stanowisko / Position ]:[Stanowisko / Position ]],0))="n/a","n/a",CC31-INDEX(tab_MinKomp[SQL (MySQL)],MATCH($B31,tab_MinKomp[[Stanowisko / Position ]:[Stanowisko / Position ]],0)))</f>
        <v>n/a</v>
      </c>
      <c r="CD32" s="315" t="str">
        <f>IF(INDEX(tab_MinKomp[Javascript],MATCH($B31,tab_MinKomp[[Stanowisko / Position ]:[Stanowisko / Position ]],0))="n/a","n/a",CD31-INDEX(tab_MinKomp[Javascript],MATCH($B31,tab_MinKomp[[Stanowisko / Position ]:[Stanowisko / Position ]],0)))</f>
        <v>n/a</v>
      </c>
      <c r="CE32" s="315" t="str">
        <f>IF(INDEX(tab_MinKomp[Joomla],MATCH($B31,tab_MinKomp[[Stanowisko / Position ]:[Stanowisko / Position ]],0))="n/a","n/a",CE31-INDEX(tab_MinKomp[Joomla],MATCH($B31,tab_MinKomp[[Stanowisko / Position ]:[Stanowisko / Position ]],0)))</f>
        <v>n/a</v>
      </c>
      <c r="CF32" s="315" t="str">
        <f>IF(INDEX(tab_MinKomp[Bash],MATCH($B31,tab_MinKomp[[Stanowisko / Position ]:[Stanowisko / Position ]],0))="n/a","n/a",CF31-INDEX(tab_MinKomp[Bash],MATCH($B31,tab_MinKomp[[Stanowisko / Position ]:[Stanowisko / Position ]],0)))</f>
        <v>n/a</v>
      </c>
      <c r="CG32" s="315" t="str">
        <f>IF(INDEX(tab_MinKomp[Systemy MES (HYDRA / SFMS)],MATCH($B31,tab_MinKomp[[Stanowisko / Position ]:[Stanowisko / Position ]],0))="n/a","n/a",CG31-INDEX(tab_MinKomp[Systemy MES (HYDRA / SFMS)],MATCH($B31,tab_MinKomp[[Stanowisko / Position ]:[Stanowisko / Position ]],0)))</f>
        <v>n/a</v>
      </c>
      <c r="CH32" s="315" t="str">
        <f>IF(INDEX(tab_MinKomp[HTML / CSS],MATCH($B31,tab_MinKomp[[Stanowisko / Position ]:[Stanowisko / Position ]],0))="n/a","n/a",CH31-INDEX(tab_MinKomp[HTML / CSS],MATCH($B31,tab_MinKomp[[Stanowisko / Position ]:[Stanowisko / Position ]],0)))</f>
        <v>n/a</v>
      </c>
      <c r="CI32" s="315">
        <f>IF(INDEX(tab_MinKomp[SYSTEM PR],MATCH($B31,tab_MinKomp[[Stanowisko / Position ]:[Stanowisko / Position ]],0))="n/a","n/a",CI31-INDEX(tab_MinKomp[SYSTEM PR],MATCH($B31,tab_MinKomp[[Stanowisko / Position ]:[Stanowisko / Position ]],0)))</f>
        <v>0</v>
      </c>
      <c r="CJ32" s="315">
        <f>IF(INDEX(tab_MinKomp[System Einkauf XP / EBA],MATCH($B31,tab_MinKomp[[Stanowisko / Position ]:[Stanowisko / Position ]],0))="n/a","n/a",CJ31-INDEX(tab_MinKomp[System Einkauf XP / EBA],MATCH($B31,tab_MinKomp[[Stanowisko / Position ]:[Stanowisko / Position ]],0)))</f>
        <v>0</v>
      </c>
      <c r="CK32" s="315" t="str">
        <f>IF(INDEX(tab_MinKomp[Techniki negocjacyjne / Verhandlungstechniken],MATCH($B31,tab_MinKomp[[Stanowisko / Position ]:[Stanowisko / Position ]],0))="n/a","n/a",CK31-INDEX(tab_MinKomp[Techniki negocjacyjne / Verhandlungstechniken],MATCH($B31,tab_MinKomp[[Stanowisko / Position ]:[Stanowisko / Position ]],0)))</f>
        <v>n/a</v>
      </c>
      <c r="CL32" s="315" t="str">
        <f>IF(INDEX(tab_MinKomp[Znajomość rynku branżowego / Kenntnis des Industrie Marktes],MATCH($B31,tab_MinKomp[[Stanowisko / Position ]:[Stanowisko / Position ]],0))="n/a","n/a",CL31-INDEX(tab_MinKomp[Znajomość rynku branżowego / Kenntnis des Industrie Marktes],MATCH($B31,tab_MinKomp[[Stanowisko / Position ]:[Stanowisko / Position ]],0)))</f>
        <v>n/a</v>
      </c>
      <c r="CM32" s="315">
        <f>IF(INDEX(tab_MinKomp[RAPORTY 8D / 8D Berichten],MATCH($B31,tab_MinKomp[[Stanowisko / Position ]:[Stanowisko / Position ]],0))="n/a","n/a",CM31-INDEX(tab_MinKomp[RAPORTY 8D / 8D Berichten],MATCH($B31,tab_MinKomp[[Stanowisko / Position ]:[Stanowisko / Position ]],0)))</f>
        <v>0</v>
      </c>
      <c r="CN32" s="315" t="str">
        <f>IF(INDEX(tab_MinKomp[NARZĘDZIA JAKOŚCIOWE (5WHY, Ishikawa, etc) / QS-Werkzeuge],MATCH($B31,tab_MinKomp[[Stanowisko / Position ]:[Stanowisko / Position ]],0))="n/a","n/a",CN31-INDEX(tab_MinKomp[NARZĘDZIA JAKOŚCIOWE (5WHY, Ishikawa, etc) / QS-Werkzeuge],MATCH($B31,tab_MinKomp[[Stanowisko / Position ]:[Stanowisko / Position ]],0)))</f>
        <v>n/a</v>
      </c>
      <c r="CO32" s="315" t="str">
        <f>IF(INDEX(tab_MinKomp[PDCA],MATCH($B31,tab_MinKomp[[Stanowisko / Position ]:[Stanowisko / Position ]],0))="n/a","n/a",CO31-INDEX(tab_MinKomp[PDCA],MATCH($B31,tab_MinKomp[[Stanowisko / Position ]:[Stanowisko / Position ]],0)))</f>
        <v>n/a</v>
      </c>
      <c r="CP32" s="315" t="str">
        <f>IF(INDEX(tab_MinKomp[Pareto],MATCH($B31,tab_MinKomp[[Stanowisko / Position ]:[Stanowisko / Position ]],0))="n/a","n/a",CP31-INDEX(tab_MinKomp[Pareto],MATCH($B31,tab_MinKomp[[Stanowisko / Position ]:[Stanowisko / Position ]],0)))</f>
        <v>n/a</v>
      </c>
      <c r="CQ32" s="315" t="str">
        <f>IF(INDEX(tab_MinKomp[PPAP/PSW],MATCH($B31,tab_MinKomp[[Stanowisko / Position ]:[Stanowisko / Position ]],0))="n/a","n/a",CQ31-INDEX(tab_MinKomp[PPAP/PSW],MATCH($B31,tab_MinKomp[[Stanowisko / Position ]:[Stanowisko / Position ]],0)))</f>
        <v>n/a</v>
      </c>
      <c r="CR32" s="315" t="str">
        <f>IF(INDEX(tab_MinKomp[SUPPLIER MANAGEMENT],MATCH($B31,tab_MinKomp[[Stanowisko / Position ]:[Stanowisko / Position ]],0))="n/a","n/a",CR31-INDEX(tab_MinKomp[SUPPLIER MANAGEMENT],MATCH($B31,tab_MinKomp[[Stanowisko / Position ]:[Stanowisko / Position ]],0)))</f>
        <v>n/a</v>
      </c>
      <c r="CS32" s="315" t="str">
        <f>IF(INDEX(tab_MinKomp[OBSŁUGA PORTALI KLIENTA / Kundenportale],MATCH($B31,tab_MinKomp[[Stanowisko / Position ]:[Stanowisko / Position ]],0))="n/a","n/a",CS31-INDEX(tab_MinKomp[OBSŁUGA PORTALI KLIENTA / Kundenportale],MATCH($B31,tab_MinKomp[[Stanowisko / Position ]:[Stanowisko / Position ]],0)))</f>
        <v>n/a</v>
      </c>
      <c r="CT32" s="315" t="str">
        <f>IF(INDEX(tab_MinKomp[Obsługa systemu BABTECQ / BABTECQ System],MATCH($B31,tab_MinKomp[[Stanowisko / Position ]:[Stanowisko / Position ]],0))="n/a","n/a",CT31-INDEX(tab_MinKomp[Obsługa systemu BABTECQ / BABTECQ System],MATCH($B31,tab_MinKomp[[Stanowisko / Position ]:[Stanowisko / Position ]],0)))</f>
        <v>n/a</v>
      </c>
      <c r="CU32" s="315" t="str">
        <f>IF(INDEX(tab_MinKomp[Rysunek techniczny / technische Zeichnung],MATCH($B31,tab_MinKomp[[Stanowisko / Position ]:[Stanowisko / Position ]],0))="n/a","n/a",CU31-INDEX(tab_MinKomp[Rysunek techniczny / technische Zeichnung],MATCH($B31,tab_MinKomp[[Stanowisko / Position ]:[Stanowisko / Position ]],0)))</f>
        <v>n/a</v>
      </c>
      <c r="CV32" s="315" t="str">
        <f>IF(INDEX(tab_MinKomp[Kalibracja / Kalibrierung],MATCH($B31,tab_MinKomp[[Stanowisko / Position ]:[Stanowisko / Position ]],0))="n/a","n/a",CV31-INDEX(tab_MinKomp[Kalibracja / Kalibrierung],MATCH($B31,tab_MinKomp[[Stanowisko / Position ]:[Stanowisko / Position ]],0)))</f>
        <v>n/a</v>
      </c>
      <c r="CW32" s="315" t="str">
        <f>IF(INDEX(tab_MinKomp[Rekwalifikacja / Requalifizierung],MATCH($B31,tab_MinKomp[[Stanowisko / Position ]:[Stanowisko / Position ]],0))="n/a","n/a",CW31-INDEX(tab_MinKomp[Rekwalifikacja / Requalifizierung],MATCH($B31,tab_MinKomp[[Stanowisko / Position ]:[Stanowisko / Position ]],0)))</f>
        <v>n/a</v>
      </c>
      <c r="CX32" s="315" t="str">
        <f>IF(INDEX(tab_MinKomp[Obsługa mikroskopu optycznego / Bedienung eines optischen Mikroskops],MATCH($B31,tab_MinKomp[[Stanowisko / Position ]:[Stanowisko / Position ]],0))="n/a","n/a",CX31-INDEX(tab_MinKomp[Obsługa mikroskopu optycznego / Bedienung eines optischen Mikroskops],MATCH($B31,tab_MinKomp[[Stanowisko / Position ]:[Stanowisko / Position ]],0)))</f>
        <v>n/a</v>
      </c>
      <c r="CY32" s="315" t="str">
        <f>IF(INDEX(tab_MinKomp[Wykonywanie pomiarów optycznych - ocena wizualna / Optische Messungen durchführen – visuelle Beurteilung],MATCH($B31,tab_MinKomp[[Stanowisko / Position ]:[Stanowisko / Position ]],0))="n/a","n/a",CY31-INDEX(tab_MinKomp[Wykonywanie pomiarów optycznych - ocena wizualna / Optische Messungen durchführen – visuelle Beurteilung],MATCH($B31,tab_MinKomp[[Stanowisko / Position ]:[Stanowisko / Position ]],0)))</f>
        <v>n/a</v>
      </c>
      <c r="CZ32" s="315" t="str">
        <f>IF(INDEX(tab_MinKomp[Obsługa Rheometra / Rheometra-Unterstützung],MATCH($B31,tab_MinKomp[[Stanowisko / Position ]:[Stanowisko / Position ]],0))="n/a","n/a",CZ31-INDEX(tab_MinKomp[Obsługa Rheometra / Rheometra-Unterstützung],MATCH($B31,tab_MinKomp[[Stanowisko / Position ]:[Stanowisko / Position ]],0)))</f>
        <v>n/a</v>
      </c>
      <c r="DA32" s="315" t="str">
        <f>IF(INDEX(tab_MinKomp[Testy właściwości Rheometra mieszanki gumy],MATCH($B31,tab_MinKomp[[Stanowisko / Position ]:[Stanowisko / Position ]],0))="n/a","n/a",DA31-INDEX(tab_MinKomp[Testy właściwości Rheometra mieszanki gumy],MATCH($B31,tab_MinKomp[[Stanowisko / Position ]:[Stanowisko / Position ]],0)))</f>
        <v>n/a</v>
      </c>
      <c r="DB32" s="315" t="str">
        <f>IF(INDEX(tab_MinKomp[CMM - Contura Zeiss],MATCH($B31,tab_MinKomp[[Stanowisko / Position ]:[Stanowisko / Position ]],0))="n/a","n/a",DB31-INDEX(tab_MinKomp[CMM - Contura Zeiss],MATCH($B31,tab_MinKomp[[Stanowisko / Position ]:[Stanowisko / Position ]],0)))</f>
        <v>n/a</v>
      </c>
      <c r="DC32" s="315" t="str">
        <f>IF(INDEX(tab_MinKomp[Wykonywanie precyzyjnych pomiarów metrycznych, pomiary 3D],MATCH($B31,tab_MinKomp[[Stanowisko / Position ]:[Stanowisko / Position ]],0))="n/a","n/a",DC31-INDEX(tab_MinKomp[Wykonywanie precyzyjnych pomiarów metrycznych, pomiary 3D],MATCH($B31,tab_MinKomp[[Stanowisko / Position ]:[Stanowisko / Position ]],0)))</f>
        <v>n/a</v>
      </c>
      <c r="DD32" s="315" t="str">
        <f>IF(INDEX(tab_MinKomp[Pisanie programów / Programme schreiben],MATCH($B31,tab_MinKomp[[Stanowisko / Position ]:[Stanowisko / Position ]],0))="n/a","n/a",DD31-INDEX(tab_MinKomp[Pisanie programów / Programme schreiben],MATCH($B31,tab_MinKomp[[Stanowisko / Position ]:[Stanowisko / Position ]],0)))</f>
        <v>n/a</v>
      </c>
      <c r="DE32" s="315" t="str">
        <f>IF(INDEX(tab_MinKomp[Obsługa wyposażenia do testów czystości (myjka + analizator) / Betrieb von Sauberkeitsprüfgeräten (Waschmaschine + Analysegerät)],MATCH($B31,tab_MinKomp[[Stanowisko / Position ]:[Stanowisko / Position ]],0))="n/a","n/a",DE31-INDEX(tab_MinKomp[Obsługa wyposażenia do testów czystości (myjka + analizator) / Betrieb von Sauberkeitsprüfgeräten (Waschmaschine + Analysegerät)],MATCH($B31,tab_MinKomp[[Stanowisko / Position ]:[Stanowisko / Position ]],0)))</f>
        <v>n/a</v>
      </c>
      <c r="DF32" s="315" t="str">
        <f>IF(INDEX(tab_MinKomp[Testy czystości / Reinheitstests],MATCH($B31,tab_MinKomp[[Stanowisko / Position ]:[Stanowisko / Position ]],0))="n/a","n/a",DF31-INDEX(tab_MinKomp[Testy czystości / Reinheitstests],MATCH($B31,tab_MinKomp[[Stanowisko / Position ]:[Stanowisko / Position ]],0)))</f>
        <v>n/a</v>
      </c>
      <c r="DG32" s="315" t="str">
        <f>IF(INDEX(tab_MinKomp[Obsługa wysokościomierza / Unterstützung für Höhenmesser],MATCH($B31,tab_MinKomp[[Stanowisko / Position ]:[Stanowisko / Position ]],0))="n/a","n/a",DG31-INDEX(tab_MinKomp[Obsługa wysokościomierza / Unterstützung für Höhenmesser],MATCH($B31,tab_MinKomp[[Stanowisko / Position ]:[Stanowisko / Position ]],0)))</f>
        <v>n/a</v>
      </c>
      <c r="DH32" s="315" t="str">
        <f>IF(INDEX(tab_MinKomp[Pomiary wysokości materiału / Materialhöhenmessungen],MATCH($B31,tab_MinKomp[[Stanowisko / Position ]:[Stanowisko / Position ]],0))="n/a","n/a",DH31-INDEX(tab_MinKomp[Pomiary wysokości materiału / Materialhöhenmessungen],MATCH($B31,tab_MinKomp[[Stanowisko / Position ]:[Stanowisko / Position ]],0)))</f>
        <v>n/a</v>
      </c>
      <c r="DI32" s="315" t="str">
        <f>IF(INDEX(tab_MinKomp[Obsługa okrągłościomierza / Unterstützung für Rundheitsmessgeräte],MATCH($B31,tab_MinKomp[[Stanowisko / Position ]:[Stanowisko / Position ]],0))="n/a","n/a",DI31-INDEX(tab_MinKomp[Obsługa okrągłościomierza / Unterstützung für Rundheitsmessgeräte],MATCH($B31,tab_MinKomp[[Stanowisko / Position ]:[Stanowisko / Position ]],0)))</f>
        <v>n/a</v>
      </c>
      <c r="DJ32" s="315" t="str">
        <f>IF(INDEX(tab_MinKomp[Wykonywania pomiarów owalności, srednicy materiału / Messung der Ovalität und des Durchmessers des Materials],MATCH($B31,tab_MinKomp[[Stanowisko / Position ]:[Stanowisko / Position ]],0))="n/a","n/a",DJ31-INDEX(tab_MinKomp[Wykonywania pomiarów owalności, srednicy materiału / Messung der Ovalität und des Durchmessers des Materials],MATCH($B31,tab_MinKomp[[Stanowisko / Position ]:[Stanowisko / Position ]],0)))</f>
        <v>n/a</v>
      </c>
      <c r="DK32" s="315" t="str">
        <f>IF(INDEX(tab_MinKomp[Obsługa urządzenia do pomiarów chropowoatości powierzchni materiału],MATCH($B31,tab_MinKomp[[Stanowisko / Position ]:[Stanowisko / Position ]],0))="n/a","n/a",DK31-INDEX(tab_MinKomp[Obsługa urządzenia do pomiarów chropowoatości powierzchni materiału],MATCH($B31,tab_MinKomp[[Stanowisko / Position ]:[Stanowisko / Position ]],0)))</f>
        <v>n/a</v>
      </c>
      <c r="DL32" s="315" t="str">
        <f>IF(INDEX(tab_MinKomp[Wykonywanie pomiarów chropowatości powierzchni materiału / Durchführung von Messungen der Materialoberflächenrauheit],MATCH($B31,tab_MinKomp[[Stanowisko / Position ]:[Stanowisko / Position ]],0))="n/a","n/a",DL31-INDEX(tab_MinKomp[Wykonywanie pomiarów chropowatości powierzchni materiału / Durchführung von Messungen der Materialoberflächenrauheit],MATCH($B31,tab_MinKomp[[Stanowisko / Position ]:[Stanowisko / Position ]],0)))</f>
        <v>n/a</v>
      </c>
      <c r="DM32" s="315" t="str">
        <f>IF(INDEX(tab_MinKomp[Obsługa urządzenia do pomiaru siły radialnej części - postępowanie z trzpieniami. / Funktionsweise des Geräts zur Messung der Radialkraft von Teilen – Handhabungsstifte.],MATCH($B31,tab_MinKomp[[Stanowisko / Position ]:[Stanowisko / Position ]],0))="n/a","n/a",DM31-INDEX(tab_MinKomp[Obsługa urządzenia do pomiaru siły radialnej części - postępowanie z trzpieniami. / Funktionsweise des Geräts zur Messung der Radialkraft von Teilen – Handhabungsstifte.],MATCH($B31,tab_MinKomp[[Stanowisko / Position ]:[Stanowisko / Position ]],0)))</f>
        <v>n/a</v>
      </c>
      <c r="DN32" s="315" t="str">
        <f>IF(INDEX(tab_MinKomp[Wykonywanie pomiarów siły radialnej części / Führen Sie Radialkraftmessungen an Teilen durch],MATCH($B31,tab_MinKomp[[Stanowisko / Position ]:[Stanowisko / Position ]],0))="n/a","n/a",DN31-INDEX(tab_MinKomp[Wykonywanie pomiarów siły radialnej części / Führen Sie Radialkraftmessungen an Teilen durch],MATCH($B31,tab_MinKomp[[Stanowisko / Position ]:[Stanowisko / Position ]],0)))</f>
        <v>n/a</v>
      </c>
      <c r="DO32" s="315" t="str">
        <f>IF(INDEX(tab_MinKomp[Obsługa komory do testów wybuchwych / Betrieb einer Explosionsprüfkammer],MATCH($B31,tab_MinKomp[[Stanowisko / Position ]:[Stanowisko / Position ]],0))="n/a","n/a",DO31-INDEX(tab_MinKomp[Obsługa komory do testów wybuchwych / Betrieb einer Explosionsprüfkammer],MATCH($B31,tab_MinKomp[[Stanowisko / Position ]:[Stanowisko / Position ]],0)))</f>
        <v>n/a</v>
      </c>
      <c r="DP32" s="315" t="str">
        <f>IF(INDEX(tab_MinKomp[Wykonywanie testów wybuchowych części / Durchführung von Explosionstests an Teilen],MATCH($B31,tab_MinKomp[[Stanowisko / Position ]:[Stanowisko / Position ]],0))="n/a","n/a",DP31-INDEX(tab_MinKomp[Wykonywanie testów wybuchowych części / Durchführung von Explosionstests an Teilen],MATCH($B31,tab_MinKomp[[Stanowisko / Position ]:[Stanowisko / Position ]],0)))</f>
        <v>n/a</v>
      </c>
      <c r="DQ32" s="315" t="str">
        <f>IF(INDEX(tab_MinKomp[Obsługa urządzeń do mierzenia siły trzymania i/lub rozciągania / Betrieb von Geräten zur Messung der Halte- und/oder Dehnkraft],MATCH($B31,tab_MinKomp[[Stanowisko / Position ]:[Stanowisko / Position ]],0))="n/a","n/a",DQ31-INDEX(tab_MinKomp[Obsługa urządzeń do mierzenia siły trzymania i/lub rozciągania / Betrieb von Geräten zur Messung der Halte- und/oder Dehnkraft],MATCH($B31,tab_MinKomp[[Stanowisko / Position ]:[Stanowisko / Position ]],0)))</f>
        <v>n/a</v>
      </c>
      <c r="DR32" s="315" t="str">
        <f>IF(INDEX(tab_MinKomp[Wykonywanie testów mierzenia siły trzymania i/lub rozciągania / Durchführung von Tests zur Messung der Halte- und/oder Streckkraft],MATCH($B31,tab_MinKomp[[Stanowisko / Position ]:[Stanowisko / Position ]],0))="n/a","n/a",DR31-INDEX(tab_MinKomp[Wykonywanie testów mierzenia siły trzymania i/lub rozciągania / Durchführung von Tests zur Messung der Halte- und/oder Streckkraft],MATCH($B31,tab_MinKomp[[Stanowisko / Position ]:[Stanowisko / Position ]],0)))</f>
        <v>n/a</v>
      </c>
      <c r="DS32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Luftstrom)],MATCH($B31,tab_MinKomp[[Stanowisko / Position ]:[Stanowisko / Position ]],0))="n/a","n/a",DS31-INDEX(tab_MinKomp[Obsługa multimetru do pomiarów środowiskowych (temperatura, wilgotność, hałas, oświetlenie, przepływ powietrza) / Betrieb eines Multimeters für Umweltmessungen (Temperatur, Luftfeuchtigkeit, Lärm, Beleuchtung, Luftstrom)],MATCH($B31,tab_MinKomp[[Stanowisko / Position ]:[Stanowisko / Position ]],0)))</f>
        <v>n/a</v>
      </c>
      <c r="DT32" s="315" t="str">
        <f>IF(INDEX(tab_MinKomp[Kontrola warunków środowiskowych pracy (temperatura, wilgotność, hałas, oświetlenie, przepływ powietrza) / Kontrolle der Arbeitsumgebungsbedingungen (Temperatur, Luftfeuchtigkeit, Lärm, Beleuchtung, Luftstrom)],MATCH($B31,tab_MinKomp[[Stanowisko / Position ]:[Stanowisko / Position ]],0))="n/a","n/a",DT31-INDEX(tab_MinKomp[Kontrola warunków środowiskowych pracy (temperatura, wilgotność, hałas, oświetlenie, przepływ powietrza) / Kontrolle der Arbeitsumgebungsbedingungen (Temperatur, Luftfeuchtigkeit, Lärm, Beleuchtung, Luftstrom)],MATCH($B31,tab_MinKomp[[Stanowisko / Position ]:[Stanowisko / Position ]],0)))</f>
        <v>n/a</v>
      </c>
      <c r="DU32" s="315" t="str">
        <f>IF(INDEX(tab_MinKomp[MSA i SPC],MATCH($B31,tab_MinKomp[[Stanowisko / Position ]:[Stanowisko / Position ]],0))="n/a","n/a",DU31-INDEX(tab_MinKomp[MSA i SPC],MATCH($B31,tab_MinKomp[[Stanowisko / Position ]:[Stanowisko / Position ]],0)))</f>
        <v>n/a</v>
      </c>
      <c r="DV32" s="315" t="str">
        <f>IF(INDEX(tab_MinKomp[Kontrola wejściowa komponentów/ Eingangskontrolle],MATCH($B31,tab_MinKomp[[Stanowisko / Position ]:[Stanowisko / Position ]],0))="n/a","n/a",DV31-INDEX(tab_MinKomp[Kontrola wejściowa komponentów/ Eingangskontrolle],MATCH($B31,tab_MinKomp[[Stanowisko / Position ]:[Stanowisko / Position ]],0)))</f>
        <v>n/a</v>
      </c>
      <c r="DW32" s="315" t="str">
        <f>IF(INDEX(tab_MinKomp[Kontrola wyjściowa produktu / Ausgangskontrolle],MATCH($B31,tab_MinKomp[[Stanowisko / Position ]:[Stanowisko / Position ]],0))="n/a","n/a",DW31-INDEX(tab_MinKomp[Kontrola wyjściowa produktu / Ausgangskontrolle],MATCH($B31,tab_MinKomp[[Stanowisko / Position ]:[Stanowisko / Position ]],0)))</f>
        <v>n/a</v>
      </c>
      <c r="DX32" s="315" t="str">
        <f>IF(INDEX(tab_MinKomp[Kontrola codzienna produkcji / Tägliche Produktionskontrolle],MATCH($B31,tab_MinKomp[[Stanowisko / Position ]:[Stanowisko / Position ]],0))="n/a","n/a",DX31-INDEX(tab_MinKomp[Kontrola codzienna produkcji / Tägliche Produktionskontrolle],MATCH($B31,tab_MinKomp[[Stanowisko / Position ]:[Stanowisko / Position ]],0)))</f>
        <v>n/a</v>
      </c>
      <c r="DY32" s="315" t="str">
        <f>IF(INDEX(tab_MinKomp[Konserwacja Rep],MATCH($B31,tab_MinKomp[[Stanowisko / Position ]:[Stanowisko / Position ]],0))="n/a","n/a",DY31-INDEX(tab_MinKomp[Konserwacja Rep],MATCH($B31,tab_MinKomp[[Stanowisko / Position ]:[Stanowisko / Position ]],0)))</f>
        <v>n/a</v>
      </c>
      <c r="DZ32" s="315" t="str">
        <f>IF(INDEX(tab_MinKomp[[Konserwacja Engel ]],MATCH($B31,tab_MinKomp[[Stanowisko / Position ]:[Stanowisko / Position ]],0))="n/a","n/a",DZ31-INDEX(tab_MinKomp[[Konserwacja Engel ]],MATCH($B31,tab_MinKomp[[Stanowisko / Position ]:[Stanowisko / Position ]],0)))</f>
        <v>n/a</v>
      </c>
      <c r="EA32" s="315" t="str">
        <f>IF(INDEX(tab_MinKomp[Konserwacja B 50],MATCH($B31,tab_MinKomp[[Stanowisko / Position ]:[Stanowisko / Position ]],0))="n/a","n/a",EA31-INDEX(tab_MinKomp[Konserwacja B 50],MATCH($B31,tab_MinKomp[[Stanowisko / Position ]:[Stanowisko / Position ]],0)))</f>
        <v>n/a</v>
      </c>
      <c r="EB32" s="315" t="str">
        <f>IF(INDEX(tab_MinKomp[[Konserwacja EOL ]],MATCH($B31,tab_MinKomp[[Stanowisko / Position ]:[Stanowisko / Position ]],0))="n/a","n/a",EB31-INDEX(tab_MinKomp[[Konserwacja EOL ]],MATCH($B31,tab_MinKomp[[Stanowisko / Position ]:[Stanowisko / Position ]],0)))</f>
        <v>n/a</v>
      </c>
      <c r="EC32" s="315" t="str">
        <f>IF(INDEX(tab_MinKomp[Konserwacja Branson],MATCH($B31,tab_MinKomp[[Stanowisko / Position ]:[Stanowisko / Position ]],0))="n/a","n/a",EC31-INDEX(tab_MinKomp[Konserwacja Branson],MATCH($B31,tab_MinKomp[[Stanowisko / Position ]:[Stanowisko / Position ]],0)))</f>
        <v>n/a</v>
      </c>
      <c r="ED32" s="315" t="str">
        <f>IF(INDEX(tab_MinKomp[Konserwacja coolery],MATCH($B31,tab_MinKomp[[Stanowisko / Position ]:[Stanowisko / Position ]],0))="n/a","n/a",ED31-INDEX(tab_MinKomp[Konserwacja coolery],MATCH($B31,tab_MinKomp[[Stanowisko / Position ]:[Stanowisko / Position ]],0)))</f>
        <v>n/a</v>
      </c>
      <c r="EE32" s="315" t="str">
        <f>IF(INDEX(tab_MinKomp[Konserwacja piecy],MATCH($B31,tab_MinKomp[[Stanowisko / Position ]:[Stanowisko / Position ]],0))="n/a","n/a",EE31-INDEX(tab_MinKomp[Konserwacja piecy],MATCH($B31,tab_MinKomp[[Stanowisko / Position ]:[Stanowisko / Position ]],0)))</f>
        <v>n/a</v>
      </c>
      <c r="EF32" s="315" t="str">
        <f>IF(INDEX(tab_MinKomp[Rysunek techniczny- czytanie],MATCH($B31,tab_MinKomp[[Stanowisko / Position ]:[Stanowisko / Position ]],0))="n/a","n/a",EF31-INDEX(tab_MinKomp[Rysunek techniczny- czytanie],MATCH($B31,tab_MinKomp[[Stanowisko / Position ]:[Stanowisko / Position ]],0)))</f>
        <v>n/a</v>
      </c>
      <c r="EG32" s="315" t="str">
        <f>IF(INDEX(tab_MinKomp[Elektryka],MATCH($B31,tab_MinKomp[[Stanowisko / Position ]:[Stanowisko / Position ]],0))="n/a","n/a",EG31-INDEX(tab_MinKomp[Elektryka],MATCH($B31,tab_MinKomp[[Stanowisko / Position ]:[Stanowisko / Position ]],0)))</f>
        <v>n/a</v>
      </c>
      <c r="EH32" s="315" t="str">
        <f>IF(INDEX(tab_MinKomp[Pneumatyka],MATCH($B31,tab_MinKomp[[Stanowisko / Position ]:[Stanowisko / Position ]],0))="n/a","n/a",EH31-INDEX(tab_MinKomp[Pneumatyka],MATCH($B31,tab_MinKomp[[Stanowisko / Position ]:[Stanowisko / Position ]],0)))</f>
        <v>n/a</v>
      </c>
      <c r="EI32" s="315" t="str">
        <f>IF(INDEX(tab_MinKomp[[Hydraulika ]],MATCH($B31,tab_MinKomp[[Stanowisko / Position ]:[Stanowisko / Position ]],0))="n/a","n/a",EI31-INDEX(tab_MinKomp[[Hydraulika ]],MATCH($B31,tab_MinKomp[[Stanowisko / Position ]:[Stanowisko / Position ]],0)))</f>
        <v>n/a</v>
      </c>
      <c r="EJ32" s="315" t="str">
        <f>IF(INDEX(tab_MinKomp[Podciśnienie],MATCH($B31,tab_MinKomp[[Stanowisko / Position ]:[Stanowisko / Position ]],0))="n/a","n/a",EJ31-INDEX(tab_MinKomp[Podciśnienie],MATCH($B31,tab_MinKomp[[Stanowisko / Position ]:[Stanowisko / Position ]],0)))</f>
        <v>n/a</v>
      </c>
      <c r="EK32" s="315" t="str">
        <f>IF(INDEX(tab_MinKomp[Usuwanie awarii],MATCH($B31,tab_MinKomp[[Stanowisko / Position ]:[Stanowisko / Position ]],0))="n/a","n/a",EK31-INDEX(tab_MinKomp[Usuwanie awarii],MATCH($B31,tab_MinKomp[[Stanowisko / Position ]:[Stanowisko / Position ]],0)))</f>
        <v>n/a</v>
      </c>
      <c r="EL32" s="315" t="str">
        <f>IF(INDEX(tab_MinKomp[Obsługa robotów],MATCH($B31,tab_MinKomp[[Stanowisko / Position ]:[Stanowisko / Position ]],0))="n/a","n/a",EL31-INDEX(tab_MinKomp[Obsługa robotów],MATCH($B31,tab_MinKomp[[Stanowisko / Position ]:[Stanowisko / Position ]],0)))</f>
        <v>n/a</v>
      </c>
      <c r="EM32" s="315" t="str">
        <f>IF(INDEX(tab_MinKomp[Obsługa sterowania maszyny],MATCH($B31,tab_MinKomp[[Stanowisko / Position ]:[Stanowisko / Position ]],0))="n/a","n/a",EM31-INDEX(tab_MinKomp[Obsługa sterowania maszyny],MATCH($B31,tab_MinKomp[[Stanowisko / Position ]:[Stanowisko / Position ]],0)))</f>
        <v>n/a</v>
      </c>
      <c r="EN32" s="315" t="str">
        <f>IF(INDEX(tab_MinKomp[Usuwanie przyczyn żródłowych],MATCH($B31,tab_MinKomp[[Stanowisko / Position ]:[Stanowisko / Position ]],0))="n/a","n/a",EN31-INDEX(tab_MinKomp[Usuwanie przyczyn żródłowych],MATCH($B31,tab_MinKomp[[Stanowisko / Position ]:[Stanowisko / Position ]],0)))</f>
        <v>n/a</v>
      </c>
      <c r="EO32" s="315" t="str">
        <f>IF(INDEX(tab_MinKomp[Cmms stosowanie],MATCH($B31,tab_MinKomp[[Stanowisko / Position ]:[Stanowisko / Position ]],0))="n/a","n/a",EO31-INDEX(tab_MinKomp[Cmms stosowanie],MATCH($B31,tab_MinKomp[[Stanowisko / Position ]:[Stanowisko / Position ]],0)))</f>
        <v>n/a</v>
      </c>
      <c r="EP32" s="315" t="str">
        <f>IF(INDEX(tab_MinKomp[[Czyszczenie form gumowych ]],MATCH($B31,tab_MinKomp[[Stanowisko / Position ]:[Stanowisko / Position ]],0))="n/a","n/a",EP31-INDEX(tab_MinKomp[[Czyszczenie form gumowych ]],MATCH($B31,tab_MinKomp[[Stanowisko / Position ]:[Stanowisko / Position ]],0)))</f>
        <v>n/a</v>
      </c>
      <c r="EQ32" s="315" t="str">
        <f>IF(INDEX(tab_MinKomp[Czyszczenie form plastikowych],MATCH($B31,tab_MinKomp[[Stanowisko / Position ]:[Stanowisko / Position ]],0))="n/a","n/a",EQ31-INDEX(tab_MinKomp[Czyszczenie form plastikowych],MATCH($B31,tab_MinKomp[[Stanowisko / Position ]:[Stanowisko / Position ]],0)))</f>
        <v>n/a</v>
      </c>
      <c r="ER32" s="315" t="str">
        <f>IF(INDEX(tab_MinKomp[Wymiana form plastik],MATCH($B31,tab_MinKomp[[Stanowisko / Position ]:[Stanowisko / Position ]],0))="n/a","n/a",ER31-INDEX(tab_MinKomp[Wymiana form plastik],MATCH($B31,tab_MinKomp[[Stanowisko / Position ]:[Stanowisko / Position ]],0)))</f>
        <v>n/a</v>
      </c>
      <c r="ES32" s="315" t="str">
        <f>IF(INDEX(tab_MinKomp[Wymiana form guma],MATCH($B31,tab_MinKomp[[Stanowisko / Position ]:[Stanowisko / Position ]],0))="n/a","n/a",ES31-INDEX(tab_MinKomp[Wymiana form guma],MATCH($B31,tab_MinKomp[[Stanowisko / Position ]:[Stanowisko / Position ]],0)))</f>
        <v>n/a</v>
      </c>
      <c r="ET32" s="315" t="str">
        <f>IF(INDEX(tab_MinKomp[Konserwacja KK],MATCH($B31,tab_MinKomp[[Stanowisko / Position ]:[Stanowisko / Position ]],0))="n/a","n/a",ET31-INDEX(tab_MinKomp[Konserwacja KK],MATCH($B31,tab_MinKomp[[Stanowisko / Position ]:[Stanowisko / Position ]],0)))</f>
        <v>n/a</v>
      </c>
      <c r="EU32" s="315" t="str">
        <f>IF(INDEX(tab_MinKomp[Konserwacja form guma],MATCH($B31,tab_MinKomp[[Stanowisko / Position ]:[Stanowisko / Position ]],0))="n/a","n/a",EU31-INDEX(tab_MinKomp[Konserwacja form guma],MATCH($B31,tab_MinKomp[[Stanowisko / Position ]:[Stanowisko / Position ]],0)))</f>
        <v>n/a</v>
      </c>
      <c r="EV32" s="315" t="str">
        <f>IF(INDEX(tab_MinKomp[Konserwacja form plastiki],MATCH($B31,tab_MinKomp[[Stanowisko / Position ]:[Stanowisko / Position ]],0))="n/a","n/a",EV31-INDEX(tab_MinKomp[Konserwacja form plastiki],MATCH($B31,tab_MinKomp[[Stanowisko / Position ]:[Stanowisko / Position ]],0)))</f>
        <v>n/a</v>
      </c>
      <c r="EW32" s="330" t="str">
        <f>IF(INDEX(tab_MinKomp[Konserwacja form plastiki],MATCH($B31,tab_MinKomp[[Stanowisko / Position ]:[Stanowisko / Position ]],0))="n/a","n/a",EW31-INDEX(tab_MinKomp[Konserwacja form plastiki],MATCH($B31,tab_MinKomp[[Stanowisko / Position ]:[Stanowisko / Position ]],0)))</f>
        <v>n/a</v>
      </c>
      <c r="EX32" s="315" t="str">
        <f>IF(INDEX(tab_MinKomp[Konserwacja Gorącego Kanału],MATCH($B31,tab_MinKomp[[Stanowisko / Position ]:[Stanowisko / Position ]],0))="n/a","n/a",EX31-INDEX(tab_MinKomp[Konserwacja Gorącego Kanału],MATCH($B31,tab_MinKomp[[Stanowisko / Position ]:[Stanowisko / Position ]],0)))</f>
        <v>n/a</v>
      </c>
      <c r="EY32" s="315">
        <f>IF(INDEX(tab_MinKomp[MS Office (Excel)],MATCH($B31,tab_MinKomp[[Stanowisko / Position ]:[Stanowisko / Position ]],0))="n/a","n/a",EY31-INDEX(tab_MinKomp[MS Office (Excel)],MATCH($B31,tab_MinKomp[[Stanowisko / Position ]:[Stanowisko / Position ]],0)))</f>
        <v>0</v>
      </c>
      <c r="EZ32" s="315">
        <f>IF(INDEX(tab_MinKomp[MS Office (Word)],MATCH($B31,tab_MinKomp[[Stanowisko / Position ]:[Stanowisko / Position ]],0))="n/a","n/a",EZ31-INDEX(tab_MinKomp[MS Office (Word)],MATCH($B31,tab_MinKomp[[Stanowisko / Position ]:[Stanowisko / Position ]],0)))</f>
        <v>0</v>
      </c>
      <c r="FA32" s="315">
        <f>IF(INDEX(tab_MinKomp[MS Office (Power Point)],MATCH($B31,tab_MinKomp[[Stanowisko / Position ]:[Stanowisko / Position ]],0))="n/a","n/a",FA31-INDEX(tab_MinKomp[MS Office (Power Point)],MATCH($B31,tab_MinKomp[[Stanowisko / Position ]:[Stanowisko / Position ]],0)))</f>
        <v>0</v>
      </c>
      <c r="FB32" s="315">
        <f>IF(INDEX(tab_MinKomp[Język angielski / Englisch],MATCH($B31,tab_MinKomp[[Stanowisko / Position ]:[Stanowisko / Position ]],0))="n/a","n/a",FB31-INDEX(tab_MinKomp[Język angielski / Englisch],MATCH($B31,tab_MinKomp[[Stanowisko / Position ]:[Stanowisko / Position ]],0)))</f>
        <v>0</v>
      </c>
      <c r="FC32" s="315">
        <f>IF(INDEX(tab_MinKomp[Język niemiecki / Deutsch],MATCH($B31,tab_MinKomp[[Stanowisko / Position ]:[Stanowisko / Position ]],0))="n/a","n/a",FC31-INDEX(tab_MinKomp[Język niemiecki / Deutsch],MATCH($B31,tab_MinKomp[[Stanowisko / Position ]:[Stanowisko / Position ]],0)))</f>
        <v>0</v>
      </c>
      <c r="FD32" s="315">
        <f>IF(INDEX(tab_MinKomp[Zarządzanie dokumentacją procesową / Process dokumentation management],MATCH($B31,tab_MinKomp[[Stanowisko / Position ]:[Stanowisko / Position ]],0))="n/a","n/a",FD31-INDEX(tab_MinKomp[Zarządzanie dokumentacją procesową / Process dokumentation management],MATCH($B31,tab_MinKomp[[Stanowisko / Position ]:[Stanowisko / Position ]],0)))</f>
        <v>0</v>
      </c>
      <c r="FE32" s="315">
        <f>IF(INDEX(tab_MinKomp[Znajomość procesów z obszaru / Kenntiss der prozesse in dem Bereich],MATCH($B31,tab_MinKomp[[Stanowisko / Position ]:[Stanowisko / Position ]],0))="n/a","n/a",FE31-INDEX(tab_MinKomp[Znajomość procesów z obszaru / Kenntiss der prozesse in dem Bereich],MATCH($B31,tab_MinKomp[[Stanowisko / Position ]:[Stanowisko / Position ]],0)))</f>
        <v>0</v>
      </c>
      <c r="FF32" s="315">
        <f>IF(INDEX(tab_MinKomp[optymalizacja procesów / Prozessoptymalisierung],MATCH($B31,tab_MinKomp[[Stanowisko / Position ]:[Stanowisko / Position ]],0))="n/a","n/a",FF31-INDEX(tab_MinKomp[optymalizacja procesów / Prozessoptymalisierung],MATCH($B31,tab_MinKomp[[Stanowisko / Position ]:[Stanowisko / Position ]],0)))</f>
        <v>0</v>
      </c>
      <c r="FG32" s="315">
        <f>IF(INDEX(tab_MinKomp[Umiejętności szkoleniowe / Trainingsfähigkeiten],MATCH($B31,tab_MinKomp[[Stanowisko / Position ]:[Stanowisko / Position ]],0))="n/a","n/a",FG31-INDEX(tab_MinKomp[Umiejętności szkoleniowe / Trainingsfähigkeiten],MATCH($B31,tab_MinKomp[[Stanowisko / Position ]:[Stanowisko / Position ]],0)))</f>
        <v>0</v>
      </c>
      <c r="FH32" s="315">
        <f>IF(INDEX(tab_MinKomp[Analityczne myślenie, podejście / Analitysches Denken, Einstellung],MATCH($B31,tab_MinKomp[[Stanowisko / Position ]:[Stanowisko / Position ]],0))="n/a","n/a",FH31-INDEX(tab_MinKomp[Analityczne myślenie, podejście / Analitysches Denken, Einstellung],MATCH($B31,tab_MinKomp[[Stanowisko / Position ]:[Stanowisko / Position ]],0)))</f>
        <v>0</v>
      </c>
      <c r="FI32" s="315">
        <f>IF(INDEX(tab_MinKomp[Dokładność, precyzja w dzialaniu / Genauigkeit, Präzision in die Arbeit],MATCH($B31,tab_MinKomp[[Stanowisko / Position ]:[Stanowisko / Position ]],0))="n/a","n/a",FI31-INDEX(tab_MinKomp[Dokładność, precyzja w dzialaniu / Genauigkeit, Präzision in die Arbeit],MATCH($B31,tab_MinKomp[[Stanowisko / Position ]:[Stanowisko / Position ]],0)))</f>
        <v>0</v>
      </c>
      <c r="FJ32" s="315">
        <f>IF(INDEX(tab_MinKomp[Dyspozycyjność / Verfügbarkeit],MATCH($B31,tab_MinKomp[[Stanowisko / Position ]:[Stanowisko / Position ]],0))="n/a","n/a",FJ31-INDEX(tab_MinKomp[Dyspozycyjność / Verfügbarkeit],MATCH($B31,tab_MinKomp[[Stanowisko / Position ]:[Stanowisko / Position ]],0)))</f>
        <v>0</v>
      </c>
      <c r="FK32" s="315">
        <f>IF(INDEX(tab_MinKomp[Zaangażowanie / 
Engagement],MATCH($B31,tab_MinKomp[[Stanowisko / Position ]:[Stanowisko / Position ]],0))="n/a","n/a",FK31-INDEX(tab_MinKomp[Zaangażowanie / 
Engagement],MATCH($B31,tab_MinKomp[[Stanowisko / Position ]:[Stanowisko / Position ]],0)))</f>
        <v>0</v>
      </c>
      <c r="FL32" s="315">
        <f>IF(INDEX(tab_MinKomp[Planowanie strategiczne / Strategische Planung],MATCH($B31,tab_MinKomp[[Stanowisko / Position ]:[Stanowisko / Position ]],0))="n/a","n/a",FL31-INDEX(tab_MinKomp[Planowanie strategiczne / Strategische Planung],MATCH($B31,tab_MinKomp[[Stanowisko / Position ]:[Stanowisko / Position ]],0)))</f>
        <v>0</v>
      </c>
      <c r="FM32" s="315">
        <f>IF(INDEX(tab_MinKomp[Konsekwentne i dynamiczne działanie],MATCH($B31,tab_MinKomp[[Stanowisko / Position ]:[Stanowisko / Position ]],0))="n/a","n/a",FM31-INDEX(tab_MinKomp[Konsekwentne i dynamiczne działanie],MATCH($B31,tab_MinKomp[[Stanowisko / Position ]:[Stanowisko / Position ]],0)))</f>
        <v>0</v>
      </c>
      <c r="FN32" s="315">
        <f>IF(INDEX(tab_MinKomp[Elastyczność w działaniu],MATCH($B31,tab_MinKomp[[Stanowisko / Position ]:[Stanowisko / Position ]],0))="n/a","n/a",FN31-INDEX(tab_MinKomp[Elastyczność w działaniu],MATCH($B31,tab_MinKomp[[Stanowisko / Position ]:[Stanowisko / Position ]],0)))</f>
        <v>0</v>
      </c>
      <c r="FO32" s="315">
        <f>IF(INDEX(tab_MinKomp[Komunikatywność],MATCH($B31,tab_MinKomp[[Stanowisko / Position ]:[Stanowisko / Position ]],0))="n/a","n/a",FO31-INDEX(tab_MinKomp[Komunikatywność],MATCH($B31,tab_MinKomp[[Stanowisko / Position ]:[Stanowisko / Position ]],0)))</f>
        <v>0</v>
      </c>
      <c r="FP32" s="315" t="str">
        <f>IF(INDEX(tab_MinKomp[Motywowanie i budowanie zaangażowania zespołu],MATCH($B31,tab_MinKomp[[Stanowisko / Position ]:[Stanowisko / Position ]],0))="n/a","n/a",FP31-INDEX(tab_MinKomp[Motywowanie i budowanie zaangażowania zespołu],MATCH($B31,tab_MinKomp[[Stanowisko / Position ]:[Stanowisko / Position ]],0)))</f>
        <v>n/a</v>
      </c>
      <c r="FQ32" s="318" t="str">
        <f>IFERROR(IF(INDEX(tab_MinKomp[BRAK / Keine],MATCH($B31,tab_MinKomp[[Stanowisko / Position ]:[Stanowisko / Position ]],0))="n/a","n/a",INDEX(tab_MinKomp[BRAK / Keine],MATCH($B31,tab_MinKomp[[Stanowisko / Position ]:[Stanowisko / Position ]],0))-FQ31),"")</f>
        <v>n/a</v>
      </c>
      <c r="FR32" s="315" t="str">
        <f>IF(INDEX(tab_MinKomp[MINIMUM 1 ROK / min. 1 Jahr],MATCH($B31,tab_MinKomp[[Stanowisko / Position ]:[Stanowisko / Position ]],0))="n/a","n/a",INDEX(tab_MinKomp[MINIMUM 1 ROK / min. 1 Jahr],MATCH($B31,tab_MinKomp[[Stanowisko / Position ]:[Stanowisko / Position ]],0)))</f>
        <v>n/a</v>
      </c>
      <c r="FS32" s="315" t="str">
        <f>IF(INDEX(tab_MinKomp[MINIMUM 2 LATA / min. 2 Jahre],MATCH($B31,tab_MinKomp[[Stanowisko / Position ]:[Stanowisko / Position ]],0))="n/a","n/a",INDEX(tab_MinKomp[MINIMUM 2 LATA / min. 2 Jahre],MATCH($B31,tab_MinKomp[[Stanowisko / Position ]:[Stanowisko / Position ]],0)))</f>
        <v>n/a</v>
      </c>
      <c r="FT32" s="315" t="str">
        <f>IF(INDEX(tab_MinKomp[MINIMUM 3 LATA / min. 3 Jahre],MATCH($B31,tab_MinKomp[[Stanowisko / Position ]:[Stanowisko / Position ]],0))="n/a","n/a",INDEX(tab_MinKomp[MINIMUM 3 LATA / min. 3 Jahre],MATCH($B31,tab_MinKomp[[Stanowisko / Position ]:[Stanowisko / Position ]],0)))</f>
        <v>X</v>
      </c>
      <c r="FU32" s="315" t="str">
        <f>IF(INDEX(tab_MinKomp[MINIMUM 4 LATA / min. 4 Jahre],MATCH($B31,tab_MinKomp[[Stanowisko / Position ]:[Stanowisko / Position ]],0))="n/a","n/a",INDEX(tab_MinKomp[MINIMUM 4 LATA / min. 4 Jahre],MATCH($B31,tab_MinKomp[[Stanowisko / Position ]:[Stanowisko / Position ]],0)))</f>
        <v>n/a</v>
      </c>
      <c r="FV32" s="319" t="str">
        <f>IF(INDEX(tab_MinKomp[MINIMUM 5 LAT / min. 5 Jahre],MATCH($B31,tab_MinKomp[[Stanowisko / Position ]:[Stanowisko / Position ]],0))="n/a","n/a",INDEX(tab_MinKomp[MINIMUM 5 LAT / min. 5 Jahre],MATCH($B31,tab_MinKomp[[Stanowisko / Position ]:[Stanowisko / Position ]],0)))</f>
        <v>n/a</v>
      </c>
      <c r="FW32" s="318" t="str">
        <f>IF(INDEX(tab_MinKomp[BRAK / Keine9],MATCH($B31,tab_MinKomp[[Stanowisko / Position ]:[Stanowisko / Position ]],0))="n/a","n/a",INDEX(tab_MinKomp[BRAK / Keine9],MATCH($B31,tab_MinKomp[[Stanowisko / Position ]:[Stanowisko / Position ]],0)))</f>
        <v>n/a</v>
      </c>
      <c r="FX32" s="315" t="str">
        <f>IF(INDEX(tab_MinKomp[ZAWODOWE / Berufsausbildung],MATCH($B31,tab_MinKomp[[Stanowisko / Position ]:[Stanowisko / Position ]],0))="n/a","n/a",INDEX(tab_MinKomp[ZAWODOWE / Berufsausbildung],MATCH($B31,tab_MinKomp[[Stanowisko / Position ]:[Stanowisko / Position ]],0)))</f>
        <v>n/a</v>
      </c>
      <c r="FY32" s="315" t="str">
        <f>IF(INDEX(tab_MinKomp[ŚREDNIE OGÓLNE / Abitur allgemeine],MATCH($B31,tab_MinKomp[[Stanowisko / Position ]:[Stanowisko / Position ]],0))="n/a","n/a",INDEX(tab_MinKomp[ŚREDNIE OGÓLNE / Abitur allgemeine],MATCH($B31,tab_MinKomp[[Stanowisko / Position ]:[Stanowisko / Position ]],0)))</f>
        <v>n/a</v>
      </c>
      <c r="FZ32" s="315" t="str">
        <f>IF(INDEX(tab_MinKomp[ŚREDNIE KIERUNKOWE / berufliches Gymnasium],MATCH($B31,tab_MinKomp[[Stanowisko / Position ]:[Stanowisko / Position ]],0))="n/a","n/a",INDEX(tab_MinKomp[ŚREDNIE KIERUNKOWE / berufliches Gymnasium],MATCH($B31,tab_MinKomp[[Stanowisko / Position ]:[Stanowisko / Position ]],0)))</f>
        <v>n/a</v>
      </c>
      <c r="GA32" s="315" t="str">
        <f>IF(INDEX(tab_MinKomp[WYŻSZE OGÓLNE / Hochschule allgemeine],MATCH($B31,tab_MinKomp[[Stanowisko / Position ]:[Stanowisko / Position ]],0))="n/a","n/a",INDEX(tab_MinKomp[WYŻSZE OGÓLNE / Hochschule allgemeine],MATCH($B31,tab_MinKomp[[Stanowisko / Position ]:[Stanowisko / Position ]],0)))</f>
        <v>n/a</v>
      </c>
      <c r="GB32" s="319" t="str">
        <f>IF(INDEX(tab_MinKomp[WYŻSZE KIERUNKOWE / Hochschule berufliche],MATCH($B31,tab_MinKomp[[Stanowisko / Position ]:[Stanowisko / Position ]],0))="n/a","n/a",INDEX(tab_MinKomp[WYŻSZE KIERUNKOWE / Hochschule berufliche],MATCH($B31,tab_MinKomp[[Stanowisko / Position ]:[Stanowisko / Position ]],0)))</f>
        <v>X</v>
      </c>
      <c r="GC32" s="318" t="str">
        <f>IF(INDEX(tab_MinKomp[PIERWSZA POMOC / Erste Hilfe],MATCH($B31,tab_MinKomp[[Stanowisko / Position ]:[Stanowisko / Position ]],0))="n/a","n/a",INDEX(tab_MinKomp[PIERWSZA POMOC / Erste Hilfe],MATCH($B31,tab_MinKomp[[Stanowisko / Position ]:[Stanowisko / Position ]],0)))</f>
        <v>n/a</v>
      </c>
      <c r="GD32" s="315" t="str">
        <f>IF(INDEX(tab_MinKomp[Specjalista BHP / BHP Spezialist],MATCH($B31,tab_MinKomp[[Stanowisko / Position ]:[Stanowisko / Position ]],0))="n/a","n/a",INDEX(tab_MinKomp[Specjalista BHP / BHP Spezialist],MATCH($B31,tab_MinKomp[[Stanowisko / Position ]:[Stanowisko / Position ]],0)))</f>
        <v>n/a</v>
      </c>
      <c r="GE32" s="315" t="str">
        <f>IF(INDEX(tab_MinKomp[Inspektor ochrony PPOŻ / Brandschutzinspektor],MATCH($B31,tab_MinKomp[[Stanowisko / Position ]:[Stanowisko / Position ]],0))="n/a","n/a",INDEX(tab_MinKomp[Inspektor ochrony PPOŻ / Brandschutzinspektor],MATCH($B31,tab_MinKomp[[Stanowisko / Position ]:[Stanowisko / Position ]],0)))</f>
        <v>n/a</v>
      </c>
      <c r="GF32" s="315" t="str">
        <f>IF(INDEX(tab_MinKomp[WÓZKI JEZDNIOWE / Gebelstapler],MATCH($B31,tab_MinKomp[[Stanowisko / Position ]:[Stanowisko / Position ]],0))="n/a","n/a",INDEX(tab_MinKomp[WÓZKI JEZDNIOWE / Gebelstapler],MATCH($B31,tab_MinKomp[[Stanowisko / Position ]:[Stanowisko / Position ]],0)))</f>
        <v>n/a</v>
      </c>
      <c r="GG32" s="315" t="str">
        <f>IF(INDEX(tab_MinKomp[SEP],MATCH($B31,tab_MinKomp[[Stanowisko / Position ]:[Stanowisko / Position ]],0))="n/a","n/a",INDEX(tab_MinKomp[SEP],MATCH($B31,tab_MinKomp[[Stanowisko / Position ]:[Stanowisko / Position ]],0)))</f>
        <v>n/a</v>
      </c>
      <c r="GH32" s="315" t="str">
        <f>IF(INDEX(tab_MinKomp[SEP  DOZÓR / SEP Aufsicht],MATCH($B31,tab_MinKomp[[Stanowisko / Position ]:[Stanowisko / Position ]],0))="n/a","n/a",INDEX(tab_MinKomp[SEP  DOZÓR / SEP Aufsicht],MATCH($B31,tab_MinKomp[[Stanowisko / Position ]:[Stanowisko / Position ]],0)))</f>
        <v>n/a</v>
      </c>
      <c r="GI32" s="315" t="str">
        <f>IF(INDEX(tab_MinKomp[PODNOŚNIKI / Hebevorrichtung],MATCH($B31,tab_MinKomp[[Stanowisko / Position ]:[Stanowisko / Position ]],0))="n/a","n/a",INDEX(tab_MinKomp[PODNOŚNIKI / Hebevorrichtung],MATCH($B31,tab_MinKomp[[Stanowisko / Position ]:[Stanowisko / Position ]],0)))</f>
        <v>n/a</v>
      </c>
      <c r="GJ32" s="315" t="str">
        <f>IF(INDEX(tab_MinKomp[SUWNICE / Laufkran],MATCH($B31,tab_MinKomp[[Stanowisko / Position ]:[Stanowisko / Position ]],0))="n/a","n/a",INDEX(tab_MinKomp[SUWNICE / Laufkran],MATCH($B31,tab_MinKomp[[Stanowisko / Position ]:[Stanowisko / Position ]],0)))</f>
        <v>n/a</v>
      </c>
      <c r="GK32" s="319" t="str">
        <f>IF(INDEX(tab_MinKomp[WYSOKOŚCIOWE / Höhenberechtigungen],MATCH($B31,tab_MinKomp[[Stanowisko / Position ]:[Stanowisko / Position ]],0))="n/a","n/a",INDEX(tab_MinKomp[WYSOKOŚCIOWE / Höhenberechtigungen],MATCH($B31,tab_MinKomp[[Stanowisko / Position ]:[Stanowisko / Position ]],0)))</f>
        <v>n/a</v>
      </c>
      <c r="GL32" s="320">
        <f>SUM(G32:FP32)/(GL31-(SUM(G32:FP32)))</f>
        <v>0</v>
      </c>
      <c r="GM32" s="132"/>
    </row>
    <row r="33" spans="1:195" s="187" customFormat="1" ht="28.35" customHeight="1" x14ac:dyDescent="0.25">
      <c r="A33" s="135" t="s">
        <v>253</v>
      </c>
      <c r="B33" s="135" t="s">
        <v>213</v>
      </c>
      <c r="C33" s="135" t="s">
        <v>255</v>
      </c>
      <c r="D33" s="135">
        <v>1133</v>
      </c>
      <c r="E33" s="565" t="s">
        <v>600</v>
      </c>
      <c r="F33" s="307" t="s">
        <v>165</v>
      </c>
      <c r="G33" s="352">
        <v>1</v>
      </c>
      <c r="H33" s="352">
        <v>1</v>
      </c>
      <c r="I33" s="352">
        <v>1</v>
      </c>
      <c r="J33" s="352" t="s">
        <v>176</v>
      </c>
      <c r="K33" s="352" t="s">
        <v>176</v>
      </c>
      <c r="L33" s="352">
        <v>1</v>
      </c>
      <c r="M33" s="352" t="s">
        <v>176</v>
      </c>
      <c r="N33" s="352" t="s">
        <v>176</v>
      </c>
      <c r="O33" s="352">
        <v>1</v>
      </c>
      <c r="P33" s="352">
        <v>1</v>
      </c>
      <c r="Q33" s="352" t="s">
        <v>176</v>
      </c>
      <c r="R33" s="352" t="s">
        <v>176</v>
      </c>
      <c r="S33" s="352" t="s">
        <v>176</v>
      </c>
      <c r="T33" s="352" t="s">
        <v>176</v>
      </c>
      <c r="U33" s="322">
        <v>2</v>
      </c>
      <c r="V33" s="322">
        <v>2</v>
      </c>
      <c r="W33" s="322">
        <v>2</v>
      </c>
      <c r="X33" s="322">
        <v>2</v>
      </c>
      <c r="Y33" s="322">
        <v>2</v>
      </c>
      <c r="Z33" s="322">
        <v>2</v>
      </c>
      <c r="AA33" s="322">
        <v>3</v>
      </c>
      <c r="AB33" s="322">
        <v>3</v>
      </c>
      <c r="AC33" s="322" t="s">
        <v>176</v>
      </c>
      <c r="AD33" s="322" t="s">
        <v>176</v>
      </c>
      <c r="AE33" s="322" t="s">
        <v>176</v>
      </c>
      <c r="AF33" s="322" t="s">
        <v>176</v>
      </c>
      <c r="AG33" s="322" t="s">
        <v>176</v>
      </c>
      <c r="AH33" s="322" t="s">
        <v>176</v>
      </c>
      <c r="AI33" s="322" t="s">
        <v>176</v>
      </c>
      <c r="AJ33" s="322" t="s">
        <v>176</v>
      </c>
      <c r="AK33" s="322" t="s">
        <v>176</v>
      </c>
      <c r="AL33" s="322" t="s">
        <v>176</v>
      </c>
      <c r="AM33" s="322" t="s">
        <v>176</v>
      </c>
      <c r="AN33" s="322" t="s">
        <v>176</v>
      </c>
      <c r="AO33" s="322" t="s">
        <v>176</v>
      </c>
      <c r="AP33" s="322" t="s">
        <v>176</v>
      </c>
      <c r="AQ33" s="322" t="s">
        <v>176</v>
      </c>
      <c r="AR33" s="322" t="s">
        <v>176</v>
      </c>
      <c r="AS33" s="322" t="s">
        <v>176</v>
      </c>
      <c r="AT33" s="322" t="s">
        <v>176</v>
      </c>
      <c r="AU33" s="322" t="s">
        <v>176</v>
      </c>
      <c r="AV33" s="322">
        <v>1</v>
      </c>
      <c r="AW33" s="322">
        <v>1</v>
      </c>
      <c r="AX33" s="322">
        <v>1</v>
      </c>
      <c r="AY33" s="322" t="s">
        <v>176</v>
      </c>
      <c r="AZ33" s="322">
        <v>2</v>
      </c>
      <c r="BA33" s="322">
        <v>2</v>
      </c>
      <c r="BB33" s="322">
        <v>2</v>
      </c>
      <c r="BC33" s="322">
        <v>1</v>
      </c>
      <c r="BD33" s="322">
        <v>1</v>
      </c>
      <c r="BE33" s="322">
        <v>2</v>
      </c>
      <c r="BF33" s="322" t="s">
        <v>176</v>
      </c>
      <c r="BG33" s="308" t="s">
        <v>176</v>
      </c>
      <c r="BH33" s="308" t="s">
        <v>176</v>
      </c>
      <c r="BI33" s="308" t="s">
        <v>176</v>
      </c>
      <c r="BJ33" s="308" t="s">
        <v>176</v>
      </c>
      <c r="BK33" s="308" t="s">
        <v>176</v>
      </c>
      <c r="BL33" s="308" t="s">
        <v>176</v>
      </c>
      <c r="BM33" s="308" t="s">
        <v>176</v>
      </c>
      <c r="BN33" s="308" t="s">
        <v>176</v>
      </c>
      <c r="BO33" s="308" t="s">
        <v>176</v>
      </c>
      <c r="BP33" s="308" t="s">
        <v>176</v>
      </c>
      <c r="BQ33" s="308" t="s">
        <v>176</v>
      </c>
      <c r="BR33" s="308" t="s">
        <v>176</v>
      </c>
      <c r="BS33" s="308" t="s">
        <v>176</v>
      </c>
      <c r="BT33" s="308" t="s">
        <v>176</v>
      </c>
      <c r="BU33" s="308" t="s">
        <v>176</v>
      </c>
      <c r="BV33" s="308" t="s">
        <v>176</v>
      </c>
      <c r="BW33" s="308" t="s">
        <v>176</v>
      </c>
      <c r="BX33" s="308" t="s">
        <v>176</v>
      </c>
      <c r="BY33" s="308" t="s">
        <v>176</v>
      </c>
      <c r="BZ33" s="308" t="s">
        <v>176</v>
      </c>
      <c r="CA33" s="308" t="s">
        <v>176</v>
      </c>
      <c r="CB33" s="308" t="s">
        <v>176</v>
      </c>
      <c r="CC33" s="308" t="s">
        <v>176</v>
      </c>
      <c r="CD33" s="308" t="s">
        <v>176</v>
      </c>
      <c r="CE33" s="308" t="s">
        <v>176</v>
      </c>
      <c r="CF33" s="308" t="s">
        <v>176</v>
      </c>
      <c r="CG33" s="308" t="s">
        <v>176</v>
      </c>
      <c r="CH33" s="308" t="s">
        <v>176</v>
      </c>
      <c r="CI33" s="308">
        <v>3</v>
      </c>
      <c r="CJ33" s="308">
        <v>2</v>
      </c>
      <c r="CK33" s="308" t="s">
        <v>176</v>
      </c>
      <c r="CL33" s="308" t="s">
        <v>176</v>
      </c>
      <c r="CM33" s="308">
        <v>1</v>
      </c>
      <c r="CN33" s="308" t="s">
        <v>176</v>
      </c>
      <c r="CO33" s="308" t="s">
        <v>176</v>
      </c>
      <c r="CP33" s="308" t="s">
        <v>176</v>
      </c>
      <c r="CQ33" s="308" t="s">
        <v>176</v>
      </c>
      <c r="CR33" s="308" t="s">
        <v>176</v>
      </c>
      <c r="CS33" s="308" t="s">
        <v>176</v>
      </c>
      <c r="CT33" s="308" t="s">
        <v>176</v>
      </c>
      <c r="CU33" s="308" t="s">
        <v>176</v>
      </c>
      <c r="CV33" s="308" t="s">
        <v>176</v>
      </c>
      <c r="CW33" s="308" t="s">
        <v>176</v>
      </c>
      <c r="CX33" s="308" t="s">
        <v>176</v>
      </c>
      <c r="CY33" s="308" t="s">
        <v>176</v>
      </c>
      <c r="CZ33" s="308" t="s">
        <v>176</v>
      </c>
      <c r="DA33" s="308" t="s">
        <v>176</v>
      </c>
      <c r="DB33" s="308" t="s">
        <v>176</v>
      </c>
      <c r="DC33" s="308" t="s">
        <v>176</v>
      </c>
      <c r="DD33" s="308" t="s">
        <v>176</v>
      </c>
      <c r="DE33" s="308" t="s">
        <v>176</v>
      </c>
      <c r="DF33" s="308" t="s">
        <v>176</v>
      </c>
      <c r="DG33" s="308" t="s">
        <v>176</v>
      </c>
      <c r="DH33" s="308" t="s">
        <v>176</v>
      </c>
      <c r="DI33" s="308" t="s">
        <v>176</v>
      </c>
      <c r="DJ33" s="308" t="s">
        <v>176</v>
      </c>
      <c r="DK33" s="308" t="s">
        <v>176</v>
      </c>
      <c r="DL33" s="308" t="s">
        <v>176</v>
      </c>
      <c r="DM33" s="308" t="s">
        <v>176</v>
      </c>
      <c r="DN33" s="308" t="s">
        <v>176</v>
      </c>
      <c r="DO33" s="308" t="s">
        <v>176</v>
      </c>
      <c r="DP33" s="308" t="s">
        <v>176</v>
      </c>
      <c r="DQ33" s="308" t="s">
        <v>176</v>
      </c>
      <c r="DR33" s="308" t="s">
        <v>176</v>
      </c>
      <c r="DS33" s="308" t="s">
        <v>176</v>
      </c>
      <c r="DT33" s="308" t="s">
        <v>176</v>
      </c>
      <c r="DU33" s="308" t="s">
        <v>176</v>
      </c>
      <c r="DV33" s="306" t="s">
        <v>176</v>
      </c>
      <c r="DW33" s="306" t="s">
        <v>176</v>
      </c>
      <c r="DX33" s="306" t="s">
        <v>176</v>
      </c>
      <c r="DY33" s="308" t="s">
        <v>176</v>
      </c>
      <c r="DZ33" s="308" t="s">
        <v>176</v>
      </c>
      <c r="EA33" s="308" t="s">
        <v>176</v>
      </c>
      <c r="EB33" s="308" t="s">
        <v>176</v>
      </c>
      <c r="EC33" s="308" t="s">
        <v>176</v>
      </c>
      <c r="ED33" s="308" t="s">
        <v>176</v>
      </c>
      <c r="EE33" s="308" t="s">
        <v>176</v>
      </c>
      <c r="EF33" s="308" t="s">
        <v>176</v>
      </c>
      <c r="EG33" s="308" t="s">
        <v>176</v>
      </c>
      <c r="EH33" s="308" t="s">
        <v>176</v>
      </c>
      <c r="EI33" s="308" t="s">
        <v>176</v>
      </c>
      <c r="EJ33" s="308" t="s">
        <v>176</v>
      </c>
      <c r="EK33" s="308" t="s">
        <v>176</v>
      </c>
      <c r="EL33" s="308" t="s">
        <v>176</v>
      </c>
      <c r="EM33" s="308" t="s">
        <v>176</v>
      </c>
      <c r="EN33" s="308" t="s">
        <v>176</v>
      </c>
      <c r="EO33" s="308" t="s">
        <v>176</v>
      </c>
      <c r="EP33" s="308" t="s">
        <v>176</v>
      </c>
      <c r="EQ33" s="308" t="s">
        <v>176</v>
      </c>
      <c r="ER33" s="308" t="s">
        <v>176</v>
      </c>
      <c r="ES33" s="308" t="s">
        <v>176</v>
      </c>
      <c r="ET33" s="308" t="s">
        <v>176</v>
      </c>
      <c r="EU33" s="308" t="s">
        <v>176</v>
      </c>
      <c r="EV33" s="308" t="s">
        <v>176</v>
      </c>
      <c r="EW33" s="308" t="s">
        <v>176</v>
      </c>
      <c r="EX33" s="308" t="s">
        <v>176</v>
      </c>
      <c r="EY33" s="308">
        <v>2</v>
      </c>
      <c r="EZ33" s="308">
        <v>2</v>
      </c>
      <c r="FA33" s="308">
        <v>2</v>
      </c>
      <c r="FB33" s="309">
        <v>1</v>
      </c>
      <c r="FC33" s="309">
        <v>1</v>
      </c>
      <c r="FD33" s="308">
        <v>2</v>
      </c>
      <c r="FE33" s="308">
        <v>2</v>
      </c>
      <c r="FF33" s="308">
        <v>2</v>
      </c>
      <c r="FG33" s="308">
        <v>2</v>
      </c>
      <c r="FH33" s="308">
        <v>3</v>
      </c>
      <c r="FI33" s="308">
        <v>3</v>
      </c>
      <c r="FJ33" s="308">
        <v>2</v>
      </c>
      <c r="FK33" s="308">
        <v>3</v>
      </c>
      <c r="FL33" s="308">
        <v>2</v>
      </c>
      <c r="FM33" s="308">
        <v>2</v>
      </c>
      <c r="FN33" s="308">
        <v>2</v>
      </c>
      <c r="FO33" s="308">
        <v>2</v>
      </c>
      <c r="FP33" s="308" t="s">
        <v>176</v>
      </c>
      <c r="FQ33" s="308" t="s">
        <v>176</v>
      </c>
      <c r="FR33" s="308" t="s">
        <v>176</v>
      </c>
      <c r="FS33" s="308" t="s">
        <v>176</v>
      </c>
      <c r="FT33" s="308" t="s">
        <v>160</v>
      </c>
      <c r="FU33" s="308" t="s">
        <v>176</v>
      </c>
      <c r="FV33" s="308" t="s">
        <v>176</v>
      </c>
      <c r="FW33" s="308" t="s">
        <v>176</v>
      </c>
      <c r="FX33" s="308" t="s">
        <v>176</v>
      </c>
      <c r="FY33" s="308" t="s">
        <v>176</v>
      </c>
      <c r="FZ33" s="308" t="s">
        <v>176</v>
      </c>
      <c r="GA33" s="308" t="s">
        <v>176</v>
      </c>
      <c r="GB33" s="308" t="s">
        <v>160</v>
      </c>
      <c r="GC33" s="308" t="s">
        <v>176</v>
      </c>
      <c r="GD33" s="308" t="s">
        <v>176</v>
      </c>
      <c r="GE33" s="308" t="s">
        <v>176</v>
      </c>
      <c r="GF33" s="308" t="s">
        <v>176</v>
      </c>
      <c r="GG33" s="308" t="s">
        <v>176</v>
      </c>
      <c r="GH33" s="308" t="s">
        <v>176</v>
      </c>
      <c r="GI33" s="308" t="s">
        <v>176</v>
      </c>
      <c r="GJ33" s="308" t="s">
        <v>176</v>
      </c>
      <c r="GK33" s="321" t="s">
        <v>176</v>
      </c>
      <c r="GL33" s="311">
        <f>SUM(G33:FP33)</f>
        <v>78</v>
      </c>
      <c r="GM33" s="132"/>
    </row>
    <row r="34" spans="1:195" s="187" customFormat="1" ht="28.35" customHeight="1" thickBot="1" x14ac:dyDescent="0.3">
      <c r="A34" s="138" t="str">
        <f>A33</f>
        <v>Księgowość-Finance dep.</v>
      </c>
      <c r="B34" s="138" t="str">
        <f>B33</f>
        <v>Księgowa</v>
      </c>
      <c r="C34" s="138" t="str">
        <f>C33</f>
        <v>DK</v>
      </c>
      <c r="D34" s="138">
        <f>D33</f>
        <v>1133</v>
      </c>
      <c r="E34" s="566" t="str">
        <f>E33</f>
        <v>Uścinowicz Joanna</v>
      </c>
      <c r="F34" s="312" t="s">
        <v>166</v>
      </c>
      <c r="G34" s="473">
        <v>2</v>
      </c>
      <c r="H34" s="473">
        <v>2</v>
      </c>
      <c r="I34" s="473">
        <v>2</v>
      </c>
      <c r="J34" s="473" t="str">
        <f>IF(INDEX(tab_MinKomp[Gospodarka substancjami niebezpiecznymi / Gefahrstoffmanagement],MATCH($B33,tab_MinKomp[[Stanowisko / Position ]:[Stanowisko / Position ]],0))="n/a","n/a",J33-INDEX(tab_MinKomp[Gospodarka substancjami niebezpiecznymi / Gefahrstoffmanagement],MATCH($B33,tab_MinKomp[[Stanowisko / Position ]:[Stanowisko / Position ]],0)))</f>
        <v>n/a</v>
      </c>
      <c r="K34" s="473" t="str">
        <f>IF(INDEX(tab_MinKomp[Gospodarka odpadami / Abfallwirtschaft],MATCH($B33,tab_MinKomp[[Stanowisko / Position ]:[Stanowisko / Position ]],0))="n/a","n/a",K33-INDEX(tab_MinKomp[Gospodarka odpadami / Abfallwirtschaft],MATCH($B33,tab_MinKomp[[Stanowisko / Position ]:[Stanowisko / Position ]],0)))</f>
        <v>n/a</v>
      </c>
      <c r="L34" s="473">
        <f>IF(INDEX(tab_MinKomp[Przepisy kodeksu pracy / Bestimmungen des Arbeitsgesetzes],MATCH($B33,tab_MinKomp[[Stanowisko / Position ]:[Stanowisko / Position ]],0))="n/a","n/a",L33-INDEX(tab_MinKomp[Przepisy kodeksu pracy / Bestimmungen des Arbeitsgesetzes],MATCH($B33,tab_MinKomp[[Stanowisko / Position ]:[Stanowisko / Position ]],0)))</f>
        <v>0</v>
      </c>
      <c r="M34" s="473" t="str">
        <f>IF(INDEX(tab_MinKomp[Przepisy o ub.społ. ZUS  / Sozialversicherungsvorschriften],MATCH($B33,tab_MinKomp[[Stanowisko / Position ]:[Stanowisko / Position ]],0))="n/a","n/a",M33-INDEX(tab_MinKomp[Przepisy o ub.społ. ZUS  / Sozialversicherungsvorschriften],MATCH($B33,tab_MinKomp[[Stanowisko / Position ]:[Stanowisko / Position ]],0)))</f>
        <v>n/a</v>
      </c>
      <c r="N34" s="473" t="str">
        <f>IF(INDEX(tab_MinKomp[PRZEPISY O PDOF /persönlich Einkommensteuergesetz ],MATCH($B33,tab_MinKomp[[Stanowisko / Position ]:[Stanowisko / Position ]],0))="n/a","n/a",N33-INDEX(tab_MinKomp[PRZEPISY O PDOF /persönlich Einkommensteuergesetz ],MATCH($B33,tab_MinKomp[[Stanowisko / Position ]:[Stanowisko / Position ]],0)))</f>
        <v>n/a</v>
      </c>
      <c r="O34" s="473">
        <f>IF(INDEX(tab_MinKomp[Regulamin pracy / Arbeitsordnung],MATCH($B33,tab_MinKomp[[Stanowisko / Position ]:[Stanowisko / Position ]],0))="n/a","n/a",O33-INDEX(tab_MinKomp[Regulamin pracy / Arbeitsordnung],MATCH($B33,tab_MinKomp[[Stanowisko / Position ]:[Stanowisko / Position ]],0)))</f>
        <v>0</v>
      </c>
      <c r="P34" s="473">
        <f>IF(INDEX(tab_MinKomp[Regulamin wynagradzania / Vergütungsordnung],MATCH($B33,tab_MinKomp[[Stanowisko / Position ]:[Stanowisko / Position ]],0))="n/a","n/a",P33-INDEX(tab_MinKomp[Regulamin wynagradzania / Vergütungsordnung],MATCH($B33,tab_MinKomp[[Stanowisko / Position ]:[Stanowisko / Position ]],0)))</f>
        <v>0</v>
      </c>
      <c r="Q34" s="473" t="str">
        <f>IF(INDEX(tab_MinKomp[System R2PŁATNIK PRO: Płace / Lohnabrechnung],MATCH($B33,tab_MinKomp[[Stanowisko / Position ]:[Stanowisko / Position ]],0))="n/a","n/a",Q33-INDEX(tab_MinKomp[System R2PŁATNIK PRO: Płace / Lohnabrechnung],MATCH($B33,tab_MinKomp[[Stanowisko / Position ]:[Stanowisko / Position ]],0)))</f>
        <v>n/a</v>
      </c>
      <c r="R34" s="473" t="str">
        <f>IF(INDEX(tab_MinKomp[SystemR2PŁATNIK PRO: KADRY / Personaldaten],MATCH($B33,tab_MinKomp[[Stanowisko / Position ]:[Stanowisko / Position ]],0))="n/a","n/a",R33-INDEX(tab_MinKomp[SystemR2PŁATNIK PRO: KADRY / Personaldaten],MATCH($B33,tab_MinKomp[[Stanowisko / Position ]:[Stanowisko / Position ]],0)))</f>
        <v>n/a</v>
      </c>
      <c r="S34" s="473" t="str">
        <f>IF(INDEX(tab_MinKomp[SYSTEM R2PŁATNIK PRO: zarządzanie pracownikami / Arbeitsverwaltung],MATCH($B33,tab_MinKomp[[Stanowisko / Position ]:[Stanowisko / Position ]],0))="n/a","n/a",S33-INDEX(tab_MinKomp[SYSTEM R2PŁATNIK PRO: zarządzanie pracownikami / Arbeitsverwaltung],MATCH($B33,tab_MinKomp[[Stanowisko / Position ]:[Stanowisko / Position ]],0)))</f>
        <v>n/a</v>
      </c>
      <c r="T34" s="473" t="str">
        <f>IF(INDEX(tab_MinKomp[Doradztwo, wsparcie personalne / Personalberatung und Unterstützung],MATCH($B33,tab_MinKomp[[Stanowisko / Position ]:[Stanowisko / Position ]],0))="n/a","n/a",T33-INDEX(tab_MinKomp[Doradztwo, wsparcie personalne / Personalberatung und Unterstützung],MATCH($B33,tab_MinKomp[[Stanowisko / Position ]:[Stanowisko / Position ]],0)))</f>
        <v>n/a</v>
      </c>
      <c r="U34" s="472">
        <f>IF(INDEX(tab_MinKomp[Przepisy o podatku VAT / MwSt.- Gesetz],MATCH($B33,tab_MinKomp[[Stanowisko / Position ]:[Stanowisko / Position ]],0))="n/a","n/a",U33-INDEX(tab_MinKomp[Przepisy o podatku VAT / MwSt.- Gesetz],MATCH($B33,tab_MinKomp[[Stanowisko / Position ]:[Stanowisko / Position ]],0)))</f>
        <v>0</v>
      </c>
      <c r="V34" s="315">
        <f>IF(INDEX(tab_MinKomp[PrzepisyPDOP / geschäftlich Einkommensteuergesetz],MATCH($B33,tab_MinKomp[[Stanowisko / Position ]:[Stanowisko / Position ]],0))="n/a","n/a",V33-INDEX(tab_MinKomp[PrzepisyPDOP / geschäftlich Einkommensteuergesetz],MATCH($B33,tab_MinKomp[[Stanowisko / Position ]:[Stanowisko / Position ]],0)))</f>
        <v>0</v>
      </c>
      <c r="W34" s="315">
        <f>IF(INDEX(tab_MinKomp[System BAAN / FINANSE (FIBU)],MATCH($B33,tab_MinKomp[[Stanowisko / Position ]:[Stanowisko / Position ]],0))="n/a","n/a",W33-INDEX(tab_MinKomp[System BAAN / FINANSE (FIBU)],MATCH($B33,tab_MinKomp[[Stanowisko / Position ]:[Stanowisko / Position ]],0)))</f>
        <v>0</v>
      </c>
      <c r="X34" s="315">
        <f>IF(INDEX(tab_MinKomp[Systemy pomocnicze / Hilfssysteme(STOCKPROGRAM, KALK2000 etc.)],MATCH($B33,tab_MinKomp[[Stanowisko / Position ]:[Stanowisko / Position ]],0))="n/a","n/a",X33-INDEX(tab_MinKomp[Systemy pomocnicze / Hilfssysteme(STOCKPROGRAM, KALK2000 etc.)],MATCH($B33,tab_MinKomp[[Stanowisko / Position ]:[Stanowisko / Position ]],0)))</f>
        <v>0</v>
      </c>
      <c r="Y34" s="315">
        <f>IF(INDEX(tab_MinKomp[Polityka rachunkowości / Buchführungspolitik],MATCH($B33,tab_MinKomp[[Stanowisko / Position ]:[Stanowisko / Position ]],0))="n/a","n/a",Y33-INDEX(tab_MinKomp[Polityka rachunkowości / Buchführungspolitik],MATCH($B33,tab_MinKomp[[Stanowisko / Position ]:[Stanowisko / Position ]],0)))</f>
        <v>0</v>
      </c>
      <c r="Z34" s="315">
        <f>IF(INDEX(tab_MinKomp[Ustawa o rachunkowości / Rechnungslegungsgesetz],MATCH($B33,tab_MinKomp[[Stanowisko / Position ]:[Stanowisko / Position ]],0))="n/a","n/a",Z33-INDEX(tab_MinKomp[Ustawa o rachunkowości / Rechnungslegungsgesetz],MATCH($B33,tab_MinKomp[[Stanowisko / Position ]:[Stanowisko / Position ]],0)))</f>
        <v>0</v>
      </c>
      <c r="AA34" s="315">
        <f>IF(INDEX(tab_MinKomp[WORKFLOW - TS-100],MATCH($B33,tab_MinKomp[[Stanowisko / Position ]:[Stanowisko / Position ]],0))="n/a","n/a",AA33-INDEX(tab_MinKomp[WORKFLOW - TS-100],MATCH($B33,tab_MinKomp[[Stanowisko / Position ]:[Stanowisko / Position ]],0)))</f>
        <v>0</v>
      </c>
      <c r="AB34" s="315">
        <f>IF(INDEX(tab_MinKomp[WORKFLOW - SFMS],MATCH($B33,tab_MinKomp[[Stanowisko / Position ]:[Stanowisko / Position ]],0))="n/a","n/a",AB33-INDEX(tab_MinKomp[WORKFLOW - SFMS],MATCH($B33,tab_MinKomp[[Stanowisko / Position ]:[Stanowisko / Position ]],0)))</f>
        <v>0</v>
      </c>
      <c r="AC34" s="315" t="str">
        <f>IF(INDEX(tab_MinKomp[System ISO 9001:2015],MATCH($B33,tab_MinKomp[[Stanowisko / Position ]:[Stanowisko / Position ]],0))="n/a","n/a",AC33-INDEX(tab_MinKomp[System ISO 9001:2015],MATCH($B33,tab_MinKomp[[Stanowisko / Position ]:[Stanowisko / Position ]],0)))</f>
        <v>n/a</v>
      </c>
      <c r="AD34" s="315" t="str">
        <f>IF(INDEX(tab_MinKomp[System IATF 16949:2016],MATCH($B33,tab_MinKomp[[Stanowisko / Position ]:[Stanowisko / Position ]],0))="n/a","n/a",AD33-INDEX(tab_MinKomp[System IATF 16949:2016],MATCH($B33,tab_MinKomp[[Stanowisko / Position ]:[Stanowisko / Position ]],0)))</f>
        <v>n/a</v>
      </c>
      <c r="AE34" s="315" t="str">
        <f>IF(INDEX(tab_MinKomp[System ISO 14001:2015],MATCH($B33,tab_MinKomp[[Stanowisko / Position ]:[Stanowisko / Position ]],0))="n/a","n/a",AE33-INDEX(tab_MinKomp[System ISO 14001:2015],MATCH($B33,tab_MinKomp[[Stanowisko / Position ]:[Stanowisko / Position ]],0)))</f>
        <v>n/a</v>
      </c>
      <c r="AF34" s="315" t="str">
        <f>IF(INDEX(tab_MinKomp[System PN-N 18001:2004 / ISO 45001:2018],MATCH($B33,tab_MinKomp[[Stanowisko / Position ]:[Stanowisko / Position ]],0))="n/a","n/a",AF33-INDEX(tab_MinKomp[System PN-N 18001:2004 / ISO 45001:2018],MATCH($B33,tab_MinKomp[[Stanowisko / Position ]:[Stanowisko / Position ]],0)))</f>
        <v>n/a</v>
      </c>
      <c r="AG34" s="315" t="str">
        <f>IF(INDEX(tab_MinKomp[Wymagania VDA 6.3 Process / Forderungen],MATCH($B33,tab_MinKomp[[Stanowisko / Position ]:[Stanowisko / Position ]],0))="n/a","n/a",AG33-INDEX(tab_MinKomp[Wymagania VDA 6.3 Process / Forderungen],MATCH($B33,tab_MinKomp[[Stanowisko / Position ]:[Stanowisko / Position ]],0)))</f>
        <v>n/a</v>
      </c>
      <c r="AH34" s="315" t="str">
        <f>IF(INDEX(tab_MinKomp[Wymagania VDA 6.5 Product / Forderungen],MATCH($B33,tab_MinKomp[[Stanowisko / Position ]:[Stanowisko / Position ]],0))="n/a","n/a",AH33-INDEX(tab_MinKomp[Wymagania VDA 6.5 Product / Forderungen],MATCH($B33,tab_MinKomp[[Stanowisko / Position ]:[Stanowisko / Position ]],0)))</f>
        <v>n/a</v>
      </c>
      <c r="AI34" s="315" t="str">
        <f>IF(INDEX(tab_MinKomp[PSCR (VW Product Safety &amp; Conformity Representative)],MATCH($B33,tab_MinKomp[[Stanowisko / Position ]:[Stanowisko / Position ]],0))="n/a","n/a",AI33-INDEX(tab_MinKomp[PSCR (VW Product Safety &amp; Conformity Representative)],MATCH($B33,tab_MinKomp[[Stanowisko / Position ]:[Stanowisko / Position ]],0)))</f>
        <v>n/a</v>
      </c>
      <c r="AJ34" s="315" t="str">
        <f>IF(INDEX(tab_MinKomp[Auditor systemu ISO 17025:2018],MATCH($B33,tab_MinKomp[[Stanowisko / Position ]:[Stanowisko / Position ]],0))="n/a","n/a",AJ33-INDEX(tab_MinKomp[Auditor systemu ISO 17025:2018],MATCH($B33,tab_MinKomp[[Stanowisko / Position ]:[Stanowisko / Position ]],0)))</f>
        <v>n/a</v>
      </c>
      <c r="AK34" s="315" t="str">
        <f>IF(INDEX(tab_MinKomp[Pełnomocnik systemu / Systemvertreter],MATCH($B33,tab_MinKomp[[Stanowisko / Position ]:[Stanowisko / Position ]],0))="n/a","n/a",AK33-INDEX(tab_MinKomp[Pełnomocnik systemu / Systemvertreter],MATCH($B33,tab_MinKomp[[Stanowisko / Position ]:[Stanowisko / Position ]],0)))</f>
        <v>n/a</v>
      </c>
      <c r="AL34" s="315" t="str">
        <f>IF(INDEX(tab_MinKomp[Polityka Etyczna - Compliance],MATCH($B33,tab_MinKomp[[Stanowisko / Position ]:[Stanowisko / Position ]],0))="n/a","n/a",AL33-INDEX(tab_MinKomp[Polityka Etyczna - Compliance],MATCH($B33,tab_MinKomp[[Stanowisko / Position ]:[Stanowisko / Position ]],0)))</f>
        <v>n/a</v>
      </c>
      <c r="AM34" s="315" t="str">
        <f>IF(INDEX(tab_MinKomp[WDRAŻANIE NOWYCH PROJEKTÓW/ PROCEDURA CTM],MATCH($B33,tab_MinKomp[[Stanowisko / Position ]:[Stanowisko / Position ]],0))="n/a","n/a",AM33-INDEX(tab_MinKomp[WDRAŻANIE NOWYCH PROJEKTÓW/ PROCEDURA CTM],MATCH($B33,tab_MinKomp[[Stanowisko / Position ]:[Stanowisko / Position ]],0)))</f>
        <v>n/a</v>
      </c>
      <c r="AN34" s="315" t="str">
        <f>IF(INDEX(tab_MinKomp[KAMIENIE MILOWE MSL/PIFF],MATCH($B33,tab_MinKomp[[Stanowisko / Position ]:[Stanowisko / Position ]],0))="n/a","n/a",AN33-INDEX(tab_MinKomp[KAMIENIE MILOWE MSL/PIFF],MATCH($B33,tab_MinKomp[[Stanowisko / Position ]:[Stanowisko / Position ]],0)))</f>
        <v>n/a</v>
      </c>
      <c r="AO34" s="315" t="str">
        <f>IF(INDEX(tab_MinKomp[CP],MATCH($B33,tab_MinKomp[[Stanowisko / Position ]:[Stanowisko / Position ]],0))="n/a","n/a",AO33-INDEX(tab_MinKomp[CP],MATCH($B33,tab_MinKomp[[Stanowisko / Position ]:[Stanowisko / Position ]],0)))</f>
        <v>n/a</v>
      </c>
      <c r="AP34" s="315" t="str">
        <f>IF(INDEX(tab_MinKomp[FMEA],MATCH($B33,tab_MinKomp[[Stanowisko / Position ]:[Stanowisko / Position ]],0))="n/a","n/a",AP33-INDEX(tab_MinKomp[FMEA],MATCH($B33,tab_MinKomp[[Stanowisko / Position ]:[Stanowisko / Position ]],0)))</f>
        <v>n/a</v>
      </c>
      <c r="AQ34" s="315" t="str">
        <f>IF(INDEX(tab_MinKomp[FLOW CHART],MATCH($B33,tab_MinKomp[[Stanowisko / Position ]:[Stanowisko / Position ]],0))="n/a","n/a",AQ33-INDEX(tab_MinKomp[FLOW CHART],MATCH($B33,tab_MinKomp[[Stanowisko / Position ]:[Stanowisko / Position ]],0)))</f>
        <v>n/a</v>
      </c>
      <c r="AR34" s="315" t="str">
        <f>IF(INDEX(tab_MinKomp[APQP],MATCH($B33,tab_MinKomp[[Stanowisko / Position ]:[Stanowisko / Position ]],0))="n/a","n/a",AR33-INDEX(tab_MinKomp[APQP],MATCH($B33,tab_MinKomp[[Stanowisko / Position ]:[Stanowisko / Position ]],0)))</f>
        <v>n/a</v>
      </c>
      <c r="AS34" s="315" t="str">
        <f>IF(INDEX(tab_MinKomp[MSA],MATCH($B33,tab_MinKomp[[Stanowisko / Position ]:[Stanowisko / Position ]],0))="n/a","n/a",AS33-INDEX(tab_MinKomp[MSA],MATCH($B33,tab_MinKomp[[Stanowisko / Position ]:[Stanowisko / Position ]],0)))</f>
        <v>n/a</v>
      </c>
      <c r="AT34" s="315" t="str">
        <f>IF(INDEX(tab_MinKomp[SPC],MATCH($B33,tab_MinKomp[[Stanowisko / Position ]:[Stanowisko / Position ]],0))="n/a","n/a",AT33-INDEX(tab_MinKomp[SPC],MATCH($B33,tab_MinKomp[[Stanowisko / Position ]:[Stanowisko / Position ]],0)))</f>
        <v>n/a</v>
      </c>
      <c r="AU34" s="315" t="str">
        <f>IF(INDEX(tab_MinKomp[CSR (SPECYFICZNE WYMAGANIA KLIENTA)],MATCH($B33,tab_MinKomp[[Stanowisko / Position ]:[Stanowisko / Position ]],0))="n/a","n/a",AU33-INDEX(tab_MinKomp[CSR (SPECYFICZNE WYMAGANIA KLIENTA)],MATCH($B33,tab_MinKomp[[Stanowisko / Position ]:[Stanowisko / Position ]],0)))</f>
        <v>n/a</v>
      </c>
      <c r="AV34" s="315">
        <f>IF(INDEX(tab_MinKomp[5S],MATCH($B33,tab_MinKomp[[Stanowisko / Position ]:[Stanowisko / Position ]],0))="n/a","n/a",AV33-INDEX(tab_MinKomp[5S],MATCH($B33,tab_MinKomp[[Stanowisko / Position ]:[Stanowisko / Position ]],0)))</f>
        <v>0</v>
      </c>
      <c r="AW34" s="315">
        <f>IF(INDEX(tab_MinKomp[LEAN MANAGEMENT],MATCH($B33,tab_MinKomp[[Stanowisko / Position ]:[Stanowisko / Position ]],0))="n/a","n/a",AW33-INDEX(tab_MinKomp[LEAN MANAGEMENT],MATCH($B33,tab_MinKomp[[Stanowisko / Position ]:[Stanowisko / Position ]],0)))</f>
        <v>0</v>
      </c>
      <c r="AX34" s="315">
        <f>IF(INDEX(tab_MinKomp[5R],MATCH($B33,tab_MinKomp[[Stanowisko / Position ]:[Stanowisko / Position ]],0))="n/a","n/a",AX33-INDEX(tab_MinKomp[5R],MATCH($B33,tab_MinKomp[[Stanowisko / Position ]:[Stanowisko / Position ]],0)))</f>
        <v>0</v>
      </c>
      <c r="AY34" s="315" t="str">
        <f>IF(INDEX(tab_MinKomp[Six Sigma],MATCH($B33,tab_MinKomp[[Stanowisko / Position ]:[Stanowisko / Position ]],0))="n/a","n/a",AY33-INDEX(tab_MinKomp[Six Sigma],MATCH($B33,tab_MinKomp[[Stanowisko / Position ]:[Stanowisko / Position ]],0)))</f>
        <v>n/a</v>
      </c>
      <c r="AZ34" s="315">
        <f>IF(INDEX(tab_MinKomp[System BAAN / Distribution &amp; Supply Chain],MATCH($B33,tab_MinKomp[[Stanowisko / Position ]:[Stanowisko / Position ]],0))="n/a","n/a",AZ33-INDEX(tab_MinKomp[System BAAN / Distribution &amp; Supply Chain],MATCH($B33,tab_MinKomp[[Stanowisko / Position ]:[Stanowisko / Position ]],0)))</f>
        <v>0</v>
      </c>
      <c r="BA34" s="315">
        <f>IF(INDEX(tab_MinKomp[Gospodarka magazynowa / Lagerverwaltung],MATCH($B33,tab_MinKomp[[Stanowisko / Position ]:[Stanowisko / Position ]],0))="n/a","n/a",BA33-INDEX(tab_MinKomp[Gospodarka magazynowa / Lagerverwaltung],MATCH($B33,tab_MinKomp[[Stanowisko / Position ]:[Stanowisko / Position ]],0)))</f>
        <v>-1</v>
      </c>
      <c r="BB34" s="315">
        <f>IF(INDEX(tab_MinKomp[Inwentaryzacja - organizacja i przebieg / Inventurprozess],MATCH($B33,tab_MinKomp[[Stanowisko / Position ]:[Stanowisko / Position ]],0))="n/a","n/a",BB33-INDEX(tab_MinKomp[Inwentaryzacja - organizacja i przebieg / Inventurprozess],MATCH($B33,tab_MinKomp[[Stanowisko / Position ]:[Stanowisko / Position ]],0)))</f>
        <v>0</v>
      </c>
      <c r="BC34" s="315">
        <f>IF(INDEX(tab_MinKomp[Organizacja dostaw / Versorgungsorganisation],MATCH($B33,tab_MinKomp[[Stanowisko / Position ]:[Stanowisko / Position ]],0))="n/a","n/a",BC33-INDEX(tab_MinKomp[Organizacja dostaw / Versorgungsorganisation],MATCH($B33,tab_MinKomp[[Stanowisko / Position ]:[Stanowisko / Position ]],0)))</f>
        <v>0</v>
      </c>
      <c r="BD34" s="315">
        <f>IF(INDEX(tab_MinKomp[Organizacja wysyłek / Organisation von Lieferungen],MATCH($B33,tab_MinKomp[[Stanowisko / Position ]:[Stanowisko / Position ]],0))="n/a","n/a",BD33-INDEX(tab_MinKomp[Organizacja wysyłek / Organisation von Lieferungen],MATCH($B33,tab_MinKomp[[Stanowisko / Position ]:[Stanowisko / Position ]],0)))</f>
        <v>0</v>
      </c>
      <c r="BE34" s="315">
        <f>IF(INDEX(tab_MinKomp[Analiza magazynowa - Program Polen.mdb / Inventuranalyse],MATCH($B33,tab_MinKomp[[Stanowisko / Position ]:[Stanowisko / Position ]],0))="n/a","n/a",BE33-INDEX(tab_MinKomp[Analiza magazynowa - Program Polen.mdb / Inventuranalyse],MATCH($B33,tab_MinKomp[[Stanowisko / Position ]:[Stanowisko / Position ]],0)))</f>
        <v>-1</v>
      </c>
      <c r="BF34" s="315" t="str">
        <f>IF(INDEX(tab_MinKomp[MMOG (Materials Management Operations Guidelines)],MATCH($B33,tab_MinKomp[[Stanowisko / Position ]:[Stanowisko / Position ]],0))="n/a","n/a",BF33-INDEX(tab_MinKomp[MMOG (Materials Management Operations Guidelines)],MATCH($B33,tab_MinKomp[[Stanowisko / Position ]:[Stanowisko / Position ]],0)))</f>
        <v>n/a</v>
      </c>
      <c r="BG34" s="315" t="str">
        <f>IF(INDEX(tab_MinKomp[DETC],MATCH($B33,tab_MinKomp[[Stanowisko / Position ]:[Stanowisko / Position ]],0))="n/a","n/a",BG33-INDEX(tab_MinKomp[DETC],MATCH($B33,tab_MinKomp[[Stanowisko / Position ]:[Stanowisko / Position ]],0)))</f>
        <v>n/a</v>
      </c>
      <c r="BH34" s="315" t="str">
        <f>IF(INDEX(tab_MinKomp[GPP],MATCH($B33,tab_MinKomp[[Stanowisko / Position ]:[Stanowisko / Position ]],0))="n/a","n/a",BH33-INDEX(tab_MinKomp[GPP],MATCH($B33,tab_MinKomp[[Stanowisko / Position ]:[Stanowisko / Position ]],0)))</f>
        <v>n/a</v>
      </c>
      <c r="BI34" s="315" t="str">
        <f>IF(INDEX(tab_MinKomp[AIAG (Automotive Industry Action Group)],MATCH($B33,tab_MinKomp[[Stanowisko / Position ]:[Stanowisko / Position ]],0))="n/a","n/a",BI33-INDEX(tab_MinKomp[AIAG (Automotive Industry Action Group)],MATCH($B33,tab_MinKomp[[Stanowisko / Position ]:[Stanowisko / Position ]],0)))</f>
        <v>n/a</v>
      </c>
      <c r="BJ34" s="315" t="str">
        <f>IF(INDEX(tab_MinKomp[Super-G disputes],MATCH($B33,tab_MinKomp[[Stanowisko / Position ]:[Stanowisko / Position ]],0))="n/a","n/a",BJ33-INDEX(tab_MinKomp[Super-G disputes],MATCH($B33,tab_MinKomp[[Stanowisko / Position ]:[Stanowisko / Position ]],0)))</f>
        <v>n/a</v>
      </c>
      <c r="BK34" s="315" t="str">
        <f>IF(INDEX(tab_MinKomp[CMMS3/eDDL (Direct Data Link)],MATCH($B33,tab_MinKomp[[Stanowisko / Position ]:[Stanowisko / Position ]],0))="n/a","n/a",BK33-INDEX(tab_MinKomp[CMMS3/eDDL (Direct Data Link)],MATCH($B33,tab_MinKomp[[Stanowisko / Position ]:[Stanowisko / Position ]],0)))</f>
        <v>n/a</v>
      </c>
      <c r="BL34" s="315" t="str">
        <f>IF(INDEX(tab_MinKomp[MP&amp;L (Material Planning and Logistics)],MATCH($B33,tab_MinKomp[[Stanowisko / Position ]:[Stanowisko / Position ]],0))="n/a","n/a",BL33-INDEX(tab_MinKomp[MP&amp;L (Material Planning and Logistics)],MATCH($B33,tab_MinKomp[[Stanowisko / Position ]:[Stanowisko / Position ]],0)))</f>
        <v>n/a</v>
      </c>
      <c r="BM34" s="315" t="str">
        <f>IF(INDEX(tab_MinKomp[Planowanie produkcji / Produktionsplanung],MATCH($B33,tab_MinKomp[[Stanowisko / Position ]:[Stanowisko / Position ]],0))="n/a","n/a",BM33-INDEX(tab_MinKomp[Planowanie produkcji / Produktionsplanung],MATCH($B33,tab_MinKomp[[Stanowisko / Position ]:[Stanowisko / Position ]],0)))</f>
        <v>n/a</v>
      </c>
      <c r="BN34" s="315" t="str">
        <f>IF(INDEX(tab_MinKomp[Obsługa maszyn Engel / Engel Maschinenbedienung],MATCH($B33,tab_MinKomp[[Stanowisko / Position ]:[Stanowisko / Position ]],0))="n/a","n/a",BN33-INDEX(tab_MinKomp[Obsługa maszyn Engel / Engel Maschinenbedienung],MATCH($B33,tab_MinKomp[[Stanowisko / Position ]:[Stanowisko / Position ]],0)))</f>
        <v>n/a</v>
      </c>
      <c r="BO34" s="315" t="str">
        <f>IF(INDEX(tab_MinKomp[Obsługa maszyn Novapax / Novapax Maschinenbedienung],MATCH($B33,tab_MinKomp[[Stanowisko / Position ]:[Stanowisko / Position ]],0))="n/a","n/a",BO33-INDEX(tab_MinKomp[Obsługa maszyn Novapax / Novapax Maschinenbedienung],MATCH($B33,tab_MinKomp[[Stanowisko / Position ]:[Stanowisko / Position ]],0)))</f>
        <v>n/a</v>
      </c>
      <c r="BP34" s="315" t="str">
        <f>IF(INDEX(tab_MinKomp[Obsługa maszyn KVT / KVT Maschinenbedienung],MATCH($B33,tab_MinKomp[[Stanowisko / Position ]:[Stanowisko / Position ]],0))="n/a","n/a",BP33-INDEX(tab_MinKomp[Obsługa maszyn KVT / KVT Maschinenbedienung],MATCH($B33,tab_MinKomp[[Stanowisko / Position ]:[Stanowisko / Position ]],0)))</f>
        <v>n/a</v>
      </c>
      <c r="BQ34" s="315" t="str">
        <f>IF(INDEX(tab_MinKomp[Obsługa maszyn ASL / ASL Maschinenbedienung],MATCH($B33,tab_MinKomp[[Stanowisko / Position ]:[Stanowisko / Position ]],0))="n/a","n/a",BQ33-INDEX(tab_MinKomp[Obsługa maszyn ASL / ASL Maschinenbedienung],MATCH($B33,tab_MinKomp[[Stanowisko / Position ]:[Stanowisko / Position ]],0)))</f>
        <v>n/a</v>
      </c>
      <c r="BR34" s="315" t="str">
        <f>IF(INDEX(tab_MinKomp[Obsługa maszyn Branson / Branson Maschinenbedienung],MATCH($B33,tab_MinKomp[[Stanowisko / Position ]:[Stanowisko / Position ]],0))="n/a","n/a",BR33-INDEX(tab_MinKomp[Obsługa maszyn Branson / Branson Maschinenbedienung],MATCH($B33,tab_MinKomp[[Stanowisko / Position ]:[Stanowisko / Position ]],0)))</f>
        <v>n/a</v>
      </c>
      <c r="BS34" s="315" t="str">
        <f>IF(INDEX(tab_MinKomp[Obsługa maszyn Kamtec / Kamtec Maschinenbedienung],MATCH($B33,tab_MinKomp[[Stanowisko / Position ]:[Stanowisko / Position ]],0))="n/a","n/a",BS33-INDEX(tab_MinKomp[Obsługa maszyn Kamtec / Kamtec Maschinenbedienung],MATCH($B33,tab_MinKomp[[Stanowisko / Position ]:[Stanowisko / Position ]],0)))</f>
        <v>n/a</v>
      </c>
      <c r="BT34" s="315" t="str">
        <f>IF(INDEX(tab_MinKomp[Obsługa maszyn Piovan / Piovan Maschinenbedienung],MATCH($B33,tab_MinKomp[[Stanowisko / Position ]:[Stanowisko / Position ]],0))="n/a","n/a",BT33-INDEX(tab_MinKomp[Obsługa maszyn Piovan / Piovan Maschinenbedienung],MATCH($B33,tab_MinKomp[[Stanowisko / Position ]:[Stanowisko / Position ]],0)))</f>
        <v>n/a</v>
      </c>
      <c r="BU34" s="315" t="str">
        <f>IF(INDEX(tab_MinKomp[Obsługa maszyn REP / REP Maschinenbedienung],MATCH($B33,tab_MinKomp[[Stanowisko / Position ]:[Stanowisko / Position ]],0))="n/a","n/a",BU33-INDEX(tab_MinKomp[Obsługa maszyn REP / REP Maschinenbedienung],MATCH($B33,tab_MinKomp[[Stanowisko / Position ]:[Stanowisko / Position ]],0)))</f>
        <v>n/a</v>
      </c>
      <c r="BV34" s="315" t="str">
        <f>IF(INDEX(tab_MinKomp[Eliminacja awarii / Beseitigung von Ausfällen],MATCH($B33,tab_MinKomp[[Stanowisko / Position ]:[Stanowisko / Position ]],0))="n/a","n/a",BV33-INDEX(tab_MinKomp[Eliminacja awarii / Beseitigung von Ausfällen],MATCH($B33,tab_MinKomp[[Stanowisko / Position ]:[Stanowisko / Position ]],0)))</f>
        <v>n/a</v>
      </c>
      <c r="BW34" s="315" t="str">
        <f>IF(INDEX(tab_MinKomp[Informatyka ogólna (techniczne i systemowe) / Allgemeine IT (Technik und System)],MATCH($B33,tab_MinKomp[[Stanowisko / Position ]:[Stanowisko / Position ]],0))="n/a","n/a",BW33-INDEX(tab_MinKomp[Informatyka ogólna (techniczne i systemowe) / Allgemeine IT (Technik und System)],MATCH($B33,tab_MinKomp[[Stanowisko / Position ]:[Stanowisko / Position ]],0)))</f>
        <v>n/a</v>
      </c>
      <c r="BX34" s="315" t="str">
        <f>IF(INDEX(tab_MinKomp[Sieci komputerowe / Computernetzwerke],MATCH($B33,tab_MinKomp[[Stanowisko / Position ]:[Stanowisko / Position ]],0))="n/a","n/a",BX33-INDEX(tab_MinKomp[Sieci komputerowe / Computernetzwerke],MATCH($B33,tab_MinKomp[[Stanowisko / Position ]:[Stanowisko / Position ]],0)))</f>
        <v>n/a</v>
      </c>
      <c r="BY34" s="315" t="str">
        <f>IF(INDEX(tab_MinKomp[Hardware (komputery PC, drukarki biurowe i etykietowe, telefonia stacjonarna i mobilna) (PC, Drucker, Telefpne, Handys)],MATCH($B33,tab_MinKomp[[Stanowisko / Position ]:[Stanowisko / Position ]],0))="n/a","n/a",BY33-INDEX(tab_MinKomp[Hardware (komputery PC, drukarki biurowe i etykietowe, telefonia stacjonarna i mobilna) (PC, Drucker, Telefpne, Handys)],MATCH($B33,tab_MinKomp[[Stanowisko / Position ]:[Stanowisko / Position ]],0)))</f>
        <v>n/a</v>
      </c>
      <c r="BZ34" s="315" t="str">
        <f>IF(INDEX(tab_MinKomp[Software &amp; Systems (MS Office, MS Remote Desktop)],MATCH($B33,tab_MinKomp[[Stanowisko / Position ]:[Stanowisko / Position ]],0))="n/a","n/a",BZ33-INDEX(tab_MinKomp[Software &amp; Systems (MS Office, MS Remote Desktop)],MATCH($B33,tab_MinKomp[[Stanowisko / Position ]:[Stanowisko / Position ]],0)))</f>
        <v>n/a</v>
      </c>
      <c r="CA34" s="315" t="str">
        <f>IF(INDEX(tab_MinKomp[Programowanie obiektowe (PHP) / Objektprogrammierung],MATCH($B33,tab_MinKomp[[Stanowisko / Position ]:[Stanowisko / Position ]],0))="n/a","n/a",CA33-INDEX(tab_MinKomp[Programowanie obiektowe (PHP) / Objektprogrammierung],MATCH($B33,tab_MinKomp[[Stanowisko / Position ]:[Stanowisko / Position ]],0)))</f>
        <v>n/a</v>
      </c>
      <c r="CB34" s="315" t="str">
        <f>IF(INDEX(tab_MinKomp[Scrum],MATCH($B33,tab_MinKomp[[Stanowisko / Position ]:[Stanowisko / Position ]],0))="n/a","n/a",CB33-INDEX(tab_MinKomp[Scrum],MATCH($B33,tab_MinKomp[[Stanowisko / Position ]:[Stanowisko / Position ]],0)))</f>
        <v>n/a</v>
      </c>
      <c r="CC34" s="315" t="str">
        <f>IF(INDEX(tab_MinKomp[SQL (MySQL)],MATCH($B33,tab_MinKomp[[Stanowisko / Position ]:[Stanowisko / Position ]],0))="n/a","n/a",CC33-INDEX(tab_MinKomp[SQL (MySQL)],MATCH($B33,tab_MinKomp[[Stanowisko / Position ]:[Stanowisko / Position ]],0)))</f>
        <v>n/a</v>
      </c>
      <c r="CD34" s="315" t="str">
        <f>IF(INDEX(tab_MinKomp[Javascript],MATCH($B33,tab_MinKomp[[Stanowisko / Position ]:[Stanowisko / Position ]],0))="n/a","n/a",CD33-INDEX(tab_MinKomp[Javascript],MATCH($B33,tab_MinKomp[[Stanowisko / Position ]:[Stanowisko / Position ]],0)))</f>
        <v>n/a</v>
      </c>
      <c r="CE34" s="315" t="str">
        <f>IF(INDEX(tab_MinKomp[Joomla],MATCH($B33,tab_MinKomp[[Stanowisko / Position ]:[Stanowisko / Position ]],0))="n/a","n/a",CE33-INDEX(tab_MinKomp[Joomla],MATCH($B33,tab_MinKomp[[Stanowisko / Position ]:[Stanowisko / Position ]],0)))</f>
        <v>n/a</v>
      </c>
      <c r="CF34" s="315" t="str">
        <f>IF(INDEX(tab_MinKomp[Bash],MATCH($B33,tab_MinKomp[[Stanowisko / Position ]:[Stanowisko / Position ]],0))="n/a","n/a",CF33-INDEX(tab_MinKomp[Bash],MATCH($B33,tab_MinKomp[[Stanowisko / Position ]:[Stanowisko / Position ]],0)))</f>
        <v>n/a</v>
      </c>
      <c r="CG34" s="315" t="str">
        <f>IF(INDEX(tab_MinKomp[Systemy MES (HYDRA / SFMS)],MATCH($B33,tab_MinKomp[[Stanowisko / Position ]:[Stanowisko / Position ]],0))="n/a","n/a",CG33-INDEX(tab_MinKomp[Systemy MES (HYDRA / SFMS)],MATCH($B33,tab_MinKomp[[Stanowisko / Position ]:[Stanowisko / Position ]],0)))</f>
        <v>n/a</v>
      </c>
      <c r="CH34" s="315" t="str">
        <f>IF(INDEX(tab_MinKomp[HTML / CSS],MATCH($B33,tab_MinKomp[[Stanowisko / Position ]:[Stanowisko / Position ]],0))="n/a","n/a",CH33-INDEX(tab_MinKomp[HTML / CSS],MATCH($B33,tab_MinKomp[[Stanowisko / Position ]:[Stanowisko / Position ]],0)))</f>
        <v>n/a</v>
      </c>
      <c r="CI34" s="315">
        <f>IF(INDEX(tab_MinKomp[SYSTEM PR],MATCH($B33,tab_MinKomp[[Stanowisko / Position ]:[Stanowisko / Position ]],0))="n/a","n/a",CI33-INDEX(tab_MinKomp[SYSTEM PR],MATCH($B33,tab_MinKomp[[Stanowisko / Position ]:[Stanowisko / Position ]],0)))</f>
        <v>0</v>
      </c>
      <c r="CJ34" s="315">
        <f>IF(INDEX(tab_MinKomp[System Einkauf XP / EBA],MATCH($B33,tab_MinKomp[[Stanowisko / Position ]:[Stanowisko / Position ]],0))="n/a","n/a",CJ33-INDEX(tab_MinKomp[System Einkauf XP / EBA],MATCH($B33,tab_MinKomp[[Stanowisko / Position ]:[Stanowisko / Position ]],0)))</f>
        <v>0</v>
      </c>
      <c r="CK34" s="315" t="str">
        <f>IF(INDEX(tab_MinKomp[Techniki negocjacyjne / Verhandlungstechniken],MATCH($B33,tab_MinKomp[[Stanowisko / Position ]:[Stanowisko / Position ]],0))="n/a","n/a",CK33-INDEX(tab_MinKomp[Techniki negocjacyjne / Verhandlungstechniken],MATCH($B33,tab_MinKomp[[Stanowisko / Position ]:[Stanowisko / Position ]],0)))</f>
        <v>n/a</v>
      </c>
      <c r="CL34" s="315" t="str">
        <f>IF(INDEX(tab_MinKomp[Znajomość rynku branżowego / Kenntnis des Industrie Marktes],MATCH($B33,tab_MinKomp[[Stanowisko / Position ]:[Stanowisko / Position ]],0))="n/a","n/a",CL33-INDEX(tab_MinKomp[Znajomość rynku branżowego / Kenntnis des Industrie Marktes],MATCH($B33,tab_MinKomp[[Stanowisko / Position ]:[Stanowisko / Position ]],0)))</f>
        <v>n/a</v>
      </c>
      <c r="CM34" s="315">
        <f>IF(INDEX(tab_MinKomp[RAPORTY 8D / 8D Berichten],MATCH($B33,tab_MinKomp[[Stanowisko / Position ]:[Stanowisko / Position ]],0))="n/a","n/a",CM33-INDEX(tab_MinKomp[RAPORTY 8D / 8D Berichten],MATCH($B33,tab_MinKomp[[Stanowisko / Position ]:[Stanowisko / Position ]],0)))</f>
        <v>0</v>
      </c>
      <c r="CN34" s="315" t="str">
        <f>IF(INDEX(tab_MinKomp[NARZĘDZIA JAKOŚCIOWE (5WHY, Ishikawa, etc) / QS-Werkzeuge],MATCH($B33,tab_MinKomp[[Stanowisko / Position ]:[Stanowisko / Position ]],0))="n/a","n/a",CN33-INDEX(tab_MinKomp[NARZĘDZIA JAKOŚCIOWE (5WHY, Ishikawa, etc) / QS-Werkzeuge],MATCH($B33,tab_MinKomp[[Stanowisko / Position ]:[Stanowisko / Position ]],0)))</f>
        <v>n/a</v>
      </c>
      <c r="CO34" s="315" t="str">
        <f>IF(INDEX(tab_MinKomp[PDCA],MATCH($B33,tab_MinKomp[[Stanowisko / Position ]:[Stanowisko / Position ]],0))="n/a","n/a",CO33-INDEX(tab_MinKomp[PDCA],MATCH($B33,tab_MinKomp[[Stanowisko / Position ]:[Stanowisko / Position ]],0)))</f>
        <v>n/a</v>
      </c>
      <c r="CP34" s="315" t="str">
        <f>IF(INDEX(tab_MinKomp[Pareto],MATCH($B33,tab_MinKomp[[Stanowisko / Position ]:[Stanowisko / Position ]],0))="n/a","n/a",CP33-INDEX(tab_MinKomp[Pareto],MATCH($B33,tab_MinKomp[[Stanowisko / Position ]:[Stanowisko / Position ]],0)))</f>
        <v>n/a</v>
      </c>
      <c r="CQ34" s="315" t="str">
        <f>IF(INDEX(tab_MinKomp[PPAP/PSW],MATCH($B33,tab_MinKomp[[Stanowisko / Position ]:[Stanowisko / Position ]],0))="n/a","n/a",CQ33-INDEX(tab_MinKomp[PPAP/PSW],MATCH($B33,tab_MinKomp[[Stanowisko / Position ]:[Stanowisko / Position ]],0)))</f>
        <v>n/a</v>
      </c>
      <c r="CR34" s="315" t="str">
        <f>IF(INDEX(tab_MinKomp[SUPPLIER MANAGEMENT],MATCH($B33,tab_MinKomp[[Stanowisko / Position ]:[Stanowisko / Position ]],0))="n/a","n/a",CR33-INDEX(tab_MinKomp[SUPPLIER MANAGEMENT],MATCH($B33,tab_MinKomp[[Stanowisko / Position ]:[Stanowisko / Position ]],0)))</f>
        <v>n/a</v>
      </c>
      <c r="CS34" s="315" t="str">
        <f>IF(INDEX(tab_MinKomp[OBSŁUGA PORTALI KLIENTA / Kundenportale],MATCH($B33,tab_MinKomp[[Stanowisko / Position ]:[Stanowisko / Position ]],0))="n/a","n/a",CS33-INDEX(tab_MinKomp[OBSŁUGA PORTALI KLIENTA / Kundenportale],MATCH($B33,tab_MinKomp[[Stanowisko / Position ]:[Stanowisko / Position ]],0)))</f>
        <v>n/a</v>
      </c>
      <c r="CT34" s="315" t="str">
        <f>IF(INDEX(tab_MinKomp[Obsługa systemu BABTECQ / BABTECQ System],MATCH($B33,tab_MinKomp[[Stanowisko / Position ]:[Stanowisko / Position ]],0))="n/a","n/a",CT33-INDEX(tab_MinKomp[Obsługa systemu BABTECQ / BABTECQ System],MATCH($B33,tab_MinKomp[[Stanowisko / Position ]:[Stanowisko / Position ]],0)))</f>
        <v>n/a</v>
      </c>
      <c r="CU34" s="315" t="str">
        <f>IF(INDEX(tab_MinKomp[Rysunek techniczny / technische Zeichnung],MATCH($B33,tab_MinKomp[[Stanowisko / Position ]:[Stanowisko / Position ]],0))="n/a","n/a",CU33-INDEX(tab_MinKomp[Rysunek techniczny / technische Zeichnung],MATCH($B33,tab_MinKomp[[Stanowisko / Position ]:[Stanowisko / Position ]],0)))</f>
        <v>n/a</v>
      </c>
      <c r="CV34" s="315" t="str">
        <f>IF(INDEX(tab_MinKomp[Kalibracja / Kalibrierung],MATCH($B33,tab_MinKomp[[Stanowisko / Position ]:[Stanowisko / Position ]],0))="n/a","n/a",CV33-INDEX(tab_MinKomp[Kalibracja / Kalibrierung],MATCH($B33,tab_MinKomp[[Stanowisko / Position ]:[Stanowisko / Position ]],0)))</f>
        <v>n/a</v>
      </c>
      <c r="CW34" s="315" t="str">
        <f>IF(INDEX(tab_MinKomp[Rekwalifikacja / Requalifizierung],MATCH($B33,tab_MinKomp[[Stanowisko / Position ]:[Stanowisko / Position ]],0))="n/a","n/a",CW33-INDEX(tab_MinKomp[Rekwalifikacja / Requalifizierung],MATCH($B33,tab_MinKomp[[Stanowisko / Position ]:[Stanowisko / Position ]],0)))</f>
        <v>n/a</v>
      </c>
      <c r="CX34" s="315" t="str">
        <f>IF(INDEX(tab_MinKomp[Obsługa mikroskopu optycznego / Bedienung eines optischen Mikroskops],MATCH($B33,tab_MinKomp[[Stanowisko / Position ]:[Stanowisko / Position ]],0))="n/a","n/a",CX33-INDEX(tab_MinKomp[Obsługa mikroskopu optycznego / Bedienung eines optischen Mikroskops],MATCH($B33,tab_MinKomp[[Stanowisko / Position ]:[Stanowisko / Position ]],0)))</f>
        <v>n/a</v>
      </c>
      <c r="CY34" s="315" t="str">
        <f>IF(INDEX(tab_MinKomp[Wykonywanie pomiarów optycznych - ocena wizualna / Optische Messungen durchführen – visuelle Beurteilung],MATCH($B33,tab_MinKomp[[Stanowisko / Position ]:[Stanowisko / Position ]],0))="n/a","n/a",CY33-INDEX(tab_MinKomp[Wykonywanie pomiarów optycznych - ocena wizualna / Optische Messungen durchführen – visuelle Beurteilung],MATCH($B33,tab_MinKomp[[Stanowisko / Position ]:[Stanowisko / Position ]],0)))</f>
        <v>n/a</v>
      </c>
      <c r="CZ34" s="315" t="str">
        <f>IF(INDEX(tab_MinKomp[Obsługa Rheometra / Rheometra-Unterstützung],MATCH($B33,tab_MinKomp[[Stanowisko / Position ]:[Stanowisko / Position ]],0))="n/a","n/a",CZ33-INDEX(tab_MinKomp[Obsługa Rheometra / Rheometra-Unterstützung],MATCH($B33,tab_MinKomp[[Stanowisko / Position ]:[Stanowisko / Position ]],0)))</f>
        <v>n/a</v>
      </c>
      <c r="DA34" s="315" t="str">
        <f>IF(INDEX(tab_MinKomp[Testy właściwości Rheometra mieszanki gumy],MATCH($B33,tab_MinKomp[[Stanowisko / Position ]:[Stanowisko / Position ]],0))="n/a","n/a",DA33-INDEX(tab_MinKomp[Testy właściwości Rheometra mieszanki gumy],MATCH($B33,tab_MinKomp[[Stanowisko / Position ]:[Stanowisko / Position ]],0)))</f>
        <v>n/a</v>
      </c>
      <c r="DB34" s="315" t="str">
        <f>IF(INDEX(tab_MinKomp[CMM - Contura Zeiss],MATCH($B33,tab_MinKomp[[Stanowisko / Position ]:[Stanowisko / Position ]],0))="n/a","n/a",DB33-INDEX(tab_MinKomp[CMM - Contura Zeiss],MATCH($B33,tab_MinKomp[[Stanowisko / Position ]:[Stanowisko / Position ]],0)))</f>
        <v>n/a</v>
      </c>
      <c r="DC34" s="315" t="str">
        <f>IF(INDEX(tab_MinKomp[Wykonywanie precyzyjnych pomiarów metrycznych, pomiary 3D],MATCH($B33,tab_MinKomp[[Stanowisko / Position ]:[Stanowisko / Position ]],0))="n/a","n/a",DC33-INDEX(tab_MinKomp[Wykonywanie precyzyjnych pomiarów metrycznych, pomiary 3D],MATCH($B33,tab_MinKomp[[Stanowisko / Position ]:[Stanowisko / Position ]],0)))</f>
        <v>n/a</v>
      </c>
      <c r="DD34" s="315" t="str">
        <f>IF(INDEX(tab_MinKomp[Pisanie programów / Programme schreiben],MATCH($B33,tab_MinKomp[[Stanowisko / Position ]:[Stanowisko / Position ]],0))="n/a","n/a",DD33-INDEX(tab_MinKomp[Pisanie programów / Programme schreiben],MATCH($B33,tab_MinKomp[[Stanowisko / Position ]:[Stanowisko / Position ]],0)))</f>
        <v>n/a</v>
      </c>
      <c r="DE34" s="315" t="str">
        <f>IF(INDEX(tab_MinKomp[Obsługa wyposażenia do testów czystości (myjka + analizator) / Betrieb von Sauberkeitsprüfgeräten (Waschmaschine + Analysegerät)],MATCH($B33,tab_MinKomp[[Stanowisko / Position ]:[Stanowisko / Position ]],0))="n/a","n/a",DE33-INDEX(tab_MinKomp[Obsługa wyposażenia do testów czystości (myjka + analizator) / Betrieb von Sauberkeitsprüfgeräten (Waschmaschine + Analysegerät)],MATCH($B33,tab_MinKomp[[Stanowisko / Position ]:[Stanowisko / Position ]],0)))</f>
        <v>n/a</v>
      </c>
      <c r="DF34" s="315" t="str">
        <f>IF(INDEX(tab_MinKomp[Testy czystości / Reinheitstests],MATCH($B33,tab_MinKomp[[Stanowisko / Position ]:[Stanowisko / Position ]],0))="n/a","n/a",DF33-INDEX(tab_MinKomp[Testy czystości / Reinheitstests],MATCH($B33,tab_MinKomp[[Stanowisko / Position ]:[Stanowisko / Position ]],0)))</f>
        <v>n/a</v>
      </c>
      <c r="DG34" s="315" t="str">
        <f>IF(INDEX(tab_MinKomp[Obsługa wysokościomierza / Unterstützung für Höhenmesser],MATCH($B33,tab_MinKomp[[Stanowisko / Position ]:[Stanowisko / Position ]],0))="n/a","n/a",DG33-INDEX(tab_MinKomp[Obsługa wysokościomierza / Unterstützung für Höhenmesser],MATCH($B33,tab_MinKomp[[Stanowisko / Position ]:[Stanowisko / Position ]],0)))</f>
        <v>n/a</v>
      </c>
      <c r="DH34" s="315" t="str">
        <f>IF(INDEX(tab_MinKomp[Pomiary wysokości materiału / Materialhöhenmessungen],MATCH($B33,tab_MinKomp[[Stanowisko / Position ]:[Stanowisko / Position ]],0))="n/a","n/a",DH33-INDEX(tab_MinKomp[Pomiary wysokości materiału / Materialhöhenmessungen],MATCH($B33,tab_MinKomp[[Stanowisko / Position ]:[Stanowisko / Position ]],0)))</f>
        <v>n/a</v>
      </c>
      <c r="DI34" s="315" t="str">
        <f>IF(INDEX(tab_MinKomp[Obsługa okrągłościomierza / Unterstützung für Rundheitsmessgeräte],MATCH($B33,tab_MinKomp[[Stanowisko / Position ]:[Stanowisko / Position ]],0))="n/a","n/a",DI33-INDEX(tab_MinKomp[Obsługa okrągłościomierza / Unterstützung für Rundheitsmessgeräte],MATCH($B33,tab_MinKomp[[Stanowisko / Position ]:[Stanowisko / Position ]],0)))</f>
        <v>n/a</v>
      </c>
      <c r="DJ34" s="315" t="str">
        <f>IF(INDEX(tab_MinKomp[Wykonywania pomiarów owalności, srednicy materiału / Messung der Ovalität und des Durchmessers des Materials],MATCH($B33,tab_MinKomp[[Stanowisko / Position ]:[Stanowisko / Position ]],0))="n/a","n/a",DJ33-INDEX(tab_MinKomp[Wykonywania pomiarów owalności, srednicy materiału / Messung der Ovalität und des Durchmessers des Materials],MATCH($B33,tab_MinKomp[[Stanowisko / Position ]:[Stanowisko / Position ]],0)))</f>
        <v>n/a</v>
      </c>
      <c r="DK34" s="315" t="str">
        <f>IF(INDEX(tab_MinKomp[Obsługa urządzenia do pomiarów chropowoatości powierzchni materiału],MATCH($B33,tab_MinKomp[[Stanowisko / Position ]:[Stanowisko / Position ]],0))="n/a","n/a",DK33-INDEX(tab_MinKomp[Obsługa urządzenia do pomiarów chropowoatości powierzchni materiału],MATCH($B33,tab_MinKomp[[Stanowisko / Position ]:[Stanowisko / Position ]],0)))</f>
        <v>n/a</v>
      </c>
      <c r="DL34" s="315" t="str">
        <f>IF(INDEX(tab_MinKomp[Wykonywanie pomiarów chropowatości powierzchni materiału / Durchführung von Messungen der Materialoberflächenrauheit],MATCH($B33,tab_MinKomp[[Stanowisko / Position ]:[Stanowisko / Position ]],0))="n/a","n/a",DL33-INDEX(tab_MinKomp[Wykonywanie pomiarów chropowatości powierzchni materiału / Durchführung von Messungen der Materialoberflächenrauheit],MATCH($B33,tab_MinKomp[[Stanowisko / Position ]:[Stanowisko / Position ]],0)))</f>
        <v>n/a</v>
      </c>
      <c r="DM34" s="315" t="str">
        <f>IF(INDEX(tab_MinKomp[Obsługa urządzenia do pomiaru siły radialnej części - postępowanie z trzpieniami. / Funktionsweise des Geräts zur Messung der Radialkraft von Teilen – Handhabungsstifte.],MATCH($B33,tab_MinKomp[[Stanowisko / Position ]:[Stanowisko / Position ]],0))="n/a","n/a",DM33-INDEX(tab_MinKomp[Obsługa urządzenia do pomiaru siły radialnej części - postępowanie z trzpieniami. / Funktionsweise des Geräts zur Messung der Radialkraft von Teilen – Handhabungsstifte.],MATCH($B33,tab_MinKomp[[Stanowisko / Position ]:[Stanowisko / Position ]],0)))</f>
        <v>n/a</v>
      </c>
      <c r="DN34" s="315" t="str">
        <f>IF(INDEX(tab_MinKomp[Wykonywanie pomiarów siły radialnej części / Führen Sie Radialkraftmessungen an Teilen durch],MATCH($B33,tab_MinKomp[[Stanowisko / Position ]:[Stanowisko / Position ]],0))="n/a","n/a",DN33-INDEX(tab_MinKomp[Wykonywanie pomiarów siły radialnej części / Führen Sie Radialkraftmessungen an Teilen durch],MATCH($B33,tab_MinKomp[[Stanowisko / Position ]:[Stanowisko / Position ]],0)))</f>
        <v>n/a</v>
      </c>
      <c r="DO34" s="315" t="str">
        <f>IF(INDEX(tab_MinKomp[Obsługa komory do testów wybuchwych / Betrieb einer Explosionsprüfkammer],MATCH($B33,tab_MinKomp[[Stanowisko / Position ]:[Stanowisko / Position ]],0))="n/a","n/a",DO33-INDEX(tab_MinKomp[Obsługa komory do testów wybuchwych / Betrieb einer Explosionsprüfkammer],MATCH($B33,tab_MinKomp[[Stanowisko / Position ]:[Stanowisko / Position ]],0)))</f>
        <v>n/a</v>
      </c>
      <c r="DP34" s="315" t="str">
        <f>IF(INDEX(tab_MinKomp[Wykonywanie testów wybuchowych części / Durchführung von Explosionstests an Teilen],MATCH($B33,tab_MinKomp[[Stanowisko / Position ]:[Stanowisko / Position ]],0))="n/a","n/a",DP33-INDEX(tab_MinKomp[Wykonywanie testów wybuchowych części / Durchführung von Explosionstests an Teilen],MATCH($B33,tab_MinKomp[[Stanowisko / Position ]:[Stanowisko / Position ]],0)))</f>
        <v>n/a</v>
      </c>
      <c r="DQ34" s="315" t="str">
        <f>IF(INDEX(tab_MinKomp[Obsługa urządzeń do mierzenia siły trzymania i/lub rozciągania / Betrieb von Geräten zur Messung der Halte- und/oder Dehnkraft],MATCH($B33,tab_MinKomp[[Stanowisko / Position ]:[Stanowisko / Position ]],0))="n/a","n/a",DQ33-INDEX(tab_MinKomp[Obsługa urządzeń do mierzenia siły trzymania i/lub rozciągania / Betrieb von Geräten zur Messung der Halte- und/oder Dehnkraft],MATCH($B33,tab_MinKomp[[Stanowisko / Position ]:[Stanowisko / Position ]],0)))</f>
        <v>n/a</v>
      </c>
      <c r="DR34" s="315" t="str">
        <f>IF(INDEX(tab_MinKomp[Wykonywanie testów mierzenia siły trzymania i/lub rozciągania / Durchführung von Tests zur Messung der Halte- und/oder Streckkraft],MATCH($B33,tab_MinKomp[[Stanowisko / Position ]:[Stanowisko / Position ]],0))="n/a","n/a",DR33-INDEX(tab_MinKomp[Wykonywanie testów mierzenia siły trzymania i/lub rozciągania / Durchführung von Tests zur Messung der Halte- und/oder Streckkraft],MATCH($B33,tab_MinKomp[[Stanowisko / Position ]:[Stanowisko / Position ]],0)))</f>
        <v>n/a</v>
      </c>
      <c r="DS34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Luftstrom)],MATCH($B33,tab_MinKomp[[Stanowisko / Position ]:[Stanowisko / Position ]],0))="n/a","n/a",DS33-INDEX(tab_MinKomp[Obsługa multimetru do pomiarów środowiskowych (temperatura, wilgotność, hałas, oświetlenie, przepływ powietrza) / Betrieb eines Multimeters für Umweltmessungen (Temperatur, Luftfeuchtigkeit, Lärm, Beleuchtung, Luftstrom)],MATCH($B33,tab_MinKomp[[Stanowisko / Position ]:[Stanowisko / Position ]],0)))</f>
        <v>n/a</v>
      </c>
      <c r="DT34" s="315" t="str">
        <f>IF(INDEX(tab_MinKomp[Kontrola warunków środowiskowych pracy (temperatura, wilgotność, hałas, oświetlenie, przepływ powietrza) / Kontrolle der Arbeitsumgebungsbedingungen (Temperatur, Luftfeuchtigkeit, Lärm, Beleuchtung, Luftstrom)],MATCH($B33,tab_MinKomp[[Stanowisko / Position ]:[Stanowisko / Position ]],0))="n/a","n/a",DT33-INDEX(tab_MinKomp[Kontrola warunków środowiskowych pracy (temperatura, wilgotność, hałas, oświetlenie, przepływ powietrza) / Kontrolle der Arbeitsumgebungsbedingungen (Temperatur, Luftfeuchtigkeit, Lärm, Beleuchtung, Luftstrom)],MATCH($B33,tab_MinKomp[[Stanowisko / Position ]:[Stanowisko / Position ]],0)))</f>
        <v>n/a</v>
      </c>
      <c r="DU34" s="315" t="str">
        <f>IF(INDEX(tab_MinKomp[MSA i SPC],MATCH($B33,tab_MinKomp[[Stanowisko / Position ]:[Stanowisko / Position ]],0))="n/a","n/a",DU33-INDEX(tab_MinKomp[MSA i SPC],MATCH($B33,tab_MinKomp[[Stanowisko / Position ]:[Stanowisko / Position ]],0)))</f>
        <v>n/a</v>
      </c>
      <c r="DV34" s="315" t="str">
        <f>IF(INDEX(tab_MinKomp[Kontrola wejściowa komponentów/ Eingangskontrolle],MATCH($B33,tab_MinKomp[[Stanowisko / Position ]:[Stanowisko / Position ]],0))="n/a","n/a",DV33-INDEX(tab_MinKomp[Kontrola wejściowa komponentów/ Eingangskontrolle],MATCH($B33,tab_MinKomp[[Stanowisko / Position ]:[Stanowisko / Position ]],0)))</f>
        <v>n/a</v>
      </c>
      <c r="DW34" s="315" t="str">
        <f>IF(INDEX(tab_MinKomp[Kontrola wyjściowa produktu / Ausgangskontrolle],MATCH($B33,tab_MinKomp[[Stanowisko / Position ]:[Stanowisko / Position ]],0))="n/a","n/a",DW33-INDEX(tab_MinKomp[Kontrola wyjściowa produktu / Ausgangskontrolle],MATCH($B33,tab_MinKomp[[Stanowisko / Position ]:[Stanowisko / Position ]],0)))</f>
        <v>n/a</v>
      </c>
      <c r="DX34" s="315" t="str">
        <f>IF(INDEX(tab_MinKomp[Kontrola codzienna produkcji / Tägliche Produktionskontrolle],MATCH($B33,tab_MinKomp[[Stanowisko / Position ]:[Stanowisko / Position ]],0))="n/a","n/a",DX33-INDEX(tab_MinKomp[Kontrola codzienna produkcji / Tägliche Produktionskontrolle],MATCH($B33,tab_MinKomp[[Stanowisko / Position ]:[Stanowisko / Position ]],0)))</f>
        <v>n/a</v>
      </c>
      <c r="DY34" s="315" t="str">
        <f>IF(INDEX(tab_MinKomp[Konserwacja Rep],MATCH($B33,tab_MinKomp[[Stanowisko / Position ]:[Stanowisko / Position ]],0))="n/a","n/a",DY33-INDEX(tab_MinKomp[Konserwacja Rep],MATCH($B33,tab_MinKomp[[Stanowisko / Position ]:[Stanowisko / Position ]],0)))</f>
        <v>n/a</v>
      </c>
      <c r="DZ34" s="315" t="str">
        <f>IF(INDEX(tab_MinKomp[[Konserwacja Engel ]],MATCH($B33,tab_MinKomp[[Stanowisko / Position ]:[Stanowisko / Position ]],0))="n/a","n/a",DZ33-INDEX(tab_MinKomp[[Konserwacja Engel ]],MATCH($B33,tab_MinKomp[[Stanowisko / Position ]:[Stanowisko / Position ]],0)))</f>
        <v>n/a</v>
      </c>
      <c r="EA34" s="315" t="str">
        <f>IF(INDEX(tab_MinKomp[Konserwacja B 50],MATCH($B33,tab_MinKomp[[Stanowisko / Position ]:[Stanowisko / Position ]],0))="n/a","n/a",EA33-INDEX(tab_MinKomp[Konserwacja B 50],MATCH($B33,tab_MinKomp[[Stanowisko / Position ]:[Stanowisko / Position ]],0)))</f>
        <v>n/a</v>
      </c>
      <c r="EB34" s="315" t="str">
        <f>IF(INDEX(tab_MinKomp[[Konserwacja EOL ]],MATCH($B33,tab_MinKomp[[Stanowisko / Position ]:[Stanowisko / Position ]],0))="n/a","n/a",EB33-INDEX(tab_MinKomp[[Konserwacja EOL ]],MATCH($B33,tab_MinKomp[[Stanowisko / Position ]:[Stanowisko / Position ]],0)))</f>
        <v>n/a</v>
      </c>
      <c r="EC34" s="315" t="str">
        <f>IF(INDEX(tab_MinKomp[Konserwacja Branson],MATCH($B33,tab_MinKomp[[Stanowisko / Position ]:[Stanowisko / Position ]],0))="n/a","n/a",EC33-INDEX(tab_MinKomp[Konserwacja Branson],MATCH($B33,tab_MinKomp[[Stanowisko / Position ]:[Stanowisko / Position ]],0)))</f>
        <v>n/a</v>
      </c>
      <c r="ED34" s="315" t="str">
        <f>IF(INDEX(tab_MinKomp[Konserwacja coolery],MATCH($B33,tab_MinKomp[[Stanowisko / Position ]:[Stanowisko / Position ]],0))="n/a","n/a",ED33-INDEX(tab_MinKomp[Konserwacja coolery],MATCH($B33,tab_MinKomp[[Stanowisko / Position ]:[Stanowisko / Position ]],0)))</f>
        <v>n/a</v>
      </c>
      <c r="EE34" s="315" t="str">
        <f>IF(INDEX(tab_MinKomp[Konserwacja piecy],MATCH($B33,tab_MinKomp[[Stanowisko / Position ]:[Stanowisko / Position ]],0))="n/a","n/a",EE33-INDEX(tab_MinKomp[Konserwacja piecy],MATCH($B33,tab_MinKomp[[Stanowisko / Position ]:[Stanowisko / Position ]],0)))</f>
        <v>n/a</v>
      </c>
      <c r="EF34" s="315" t="str">
        <f>IF(INDEX(tab_MinKomp[Rysunek techniczny- czytanie],MATCH($B33,tab_MinKomp[[Stanowisko / Position ]:[Stanowisko / Position ]],0))="n/a","n/a",EF33-INDEX(tab_MinKomp[Rysunek techniczny- czytanie],MATCH($B33,tab_MinKomp[[Stanowisko / Position ]:[Stanowisko / Position ]],0)))</f>
        <v>n/a</v>
      </c>
      <c r="EG34" s="315" t="str">
        <f>IF(INDEX(tab_MinKomp[Elektryka],MATCH($B33,tab_MinKomp[[Stanowisko / Position ]:[Stanowisko / Position ]],0))="n/a","n/a",EG33-INDEX(tab_MinKomp[Elektryka],MATCH($B33,tab_MinKomp[[Stanowisko / Position ]:[Stanowisko / Position ]],0)))</f>
        <v>n/a</v>
      </c>
      <c r="EH34" s="315" t="str">
        <f>IF(INDEX(tab_MinKomp[Pneumatyka],MATCH($B33,tab_MinKomp[[Stanowisko / Position ]:[Stanowisko / Position ]],0))="n/a","n/a",EH33-INDEX(tab_MinKomp[Pneumatyka],MATCH($B33,tab_MinKomp[[Stanowisko / Position ]:[Stanowisko / Position ]],0)))</f>
        <v>n/a</v>
      </c>
      <c r="EI34" s="315" t="str">
        <f>IF(INDEX(tab_MinKomp[[Hydraulika ]],MATCH($B33,tab_MinKomp[[Stanowisko / Position ]:[Stanowisko / Position ]],0))="n/a","n/a",EI33-INDEX(tab_MinKomp[[Hydraulika ]],MATCH($B33,tab_MinKomp[[Stanowisko / Position ]:[Stanowisko / Position ]],0)))</f>
        <v>n/a</v>
      </c>
      <c r="EJ34" s="315" t="str">
        <f>IF(INDEX(tab_MinKomp[Podciśnienie],MATCH($B33,tab_MinKomp[[Stanowisko / Position ]:[Stanowisko / Position ]],0))="n/a","n/a",EJ33-INDEX(tab_MinKomp[Podciśnienie],MATCH($B33,tab_MinKomp[[Stanowisko / Position ]:[Stanowisko / Position ]],0)))</f>
        <v>n/a</v>
      </c>
      <c r="EK34" s="315" t="str">
        <f>IF(INDEX(tab_MinKomp[Usuwanie awarii],MATCH($B33,tab_MinKomp[[Stanowisko / Position ]:[Stanowisko / Position ]],0))="n/a","n/a",EK33-INDEX(tab_MinKomp[Usuwanie awarii],MATCH($B33,tab_MinKomp[[Stanowisko / Position ]:[Stanowisko / Position ]],0)))</f>
        <v>n/a</v>
      </c>
      <c r="EL34" s="315" t="str">
        <f>IF(INDEX(tab_MinKomp[Obsługa robotów],MATCH($B33,tab_MinKomp[[Stanowisko / Position ]:[Stanowisko / Position ]],0))="n/a","n/a",EL33-INDEX(tab_MinKomp[Obsługa robotów],MATCH($B33,tab_MinKomp[[Stanowisko / Position ]:[Stanowisko / Position ]],0)))</f>
        <v>n/a</v>
      </c>
      <c r="EM34" s="315" t="str">
        <f>IF(INDEX(tab_MinKomp[Obsługa sterowania maszyny],MATCH($B33,tab_MinKomp[[Stanowisko / Position ]:[Stanowisko / Position ]],0))="n/a","n/a",EM33-INDEX(tab_MinKomp[Obsługa sterowania maszyny],MATCH($B33,tab_MinKomp[[Stanowisko / Position ]:[Stanowisko / Position ]],0)))</f>
        <v>n/a</v>
      </c>
      <c r="EN34" s="315" t="str">
        <f>IF(INDEX(tab_MinKomp[Usuwanie przyczyn żródłowych],MATCH($B33,tab_MinKomp[[Stanowisko / Position ]:[Stanowisko / Position ]],0))="n/a","n/a",EN33-INDEX(tab_MinKomp[Usuwanie przyczyn żródłowych],MATCH($B33,tab_MinKomp[[Stanowisko / Position ]:[Stanowisko / Position ]],0)))</f>
        <v>n/a</v>
      </c>
      <c r="EO34" s="315" t="str">
        <f>IF(INDEX(tab_MinKomp[Cmms stosowanie],MATCH($B33,tab_MinKomp[[Stanowisko / Position ]:[Stanowisko / Position ]],0))="n/a","n/a",EO33-INDEX(tab_MinKomp[Cmms stosowanie],MATCH($B33,tab_MinKomp[[Stanowisko / Position ]:[Stanowisko / Position ]],0)))</f>
        <v>n/a</v>
      </c>
      <c r="EP34" s="315" t="str">
        <f>IF(INDEX(tab_MinKomp[[Czyszczenie form gumowych ]],MATCH($B33,tab_MinKomp[[Stanowisko / Position ]:[Stanowisko / Position ]],0))="n/a","n/a",EP33-INDEX(tab_MinKomp[[Czyszczenie form gumowych ]],MATCH($B33,tab_MinKomp[[Stanowisko / Position ]:[Stanowisko / Position ]],0)))</f>
        <v>n/a</v>
      </c>
      <c r="EQ34" s="315" t="str">
        <f>IF(INDEX(tab_MinKomp[Czyszczenie form plastikowych],MATCH($B33,tab_MinKomp[[Stanowisko / Position ]:[Stanowisko / Position ]],0))="n/a","n/a",EQ33-INDEX(tab_MinKomp[Czyszczenie form plastikowych],MATCH($B33,tab_MinKomp[[Stanowisko / Position ]:[Stanowisko / Position ]],0)))</f>
        <v>n/a</v>
      </c>
      <c r="ER34" s="315" t="str">
        <f>IF(INDEX(tab_MinKomp[Wymiana form plastik],MATCH($B33,tab_MinKomp[[Stanowisko / Position ]:[Stanowisko / Position ]],0))="n/a","n/a",ER33-INDEX(tab_MinKomp[Wymiana form plastik],MATCH($B33,tab_MinKomp[[Stanowisko / Position ]:[Stanowisko / Position ]],0)))</f>
        <v>n/a</v>
      </c>
      <c r="ES34" s="315" t="str">
        <f>IF(INDEX(tab_MinKomp[Wymiana form guma],MATCH($B33,tab_MinKomp[[Stanowisko / Position ]:[Stanowisko / Position ]],0))="n/a","n/a",ES33-INDEX(tab_MinKomp[Wymiana form guma],MATCH($B33,tab_MinKomp[[Stanowisko / Position ]:[Stanowisko / Position ]],0)))</f>
        <v>n/a</v>
      </c>
      <c r="ET34" s="315" t="str">
        <f>IF(INDEX(tab_MinKomp[Konserwacja KK],MATCH($B33,tab_MinKomp[[Stanowisko / Position ]:[Stanowisko / Position ]],0))="n/a","n/a",ET33-INDEX(tab_MinKomp[Konserwacja KK],MATCH($B33,tab_MinKomp[[Stanowisko / Position ]:[Stanowisko / Position ]],0)))</f>
        <v>n/a</v>
      </c>
      <c r="EU34" s="315" t="str">
        <f>IF(INDEX(tab_MinKomp[Konserwacja form guma],MATCH($B33,tab_MinKomp[[Stanowisko / Position ]:[Stanowisko / Position ]],0))="n/a","n/a",EU33-INDEX(tab_MinKomp[Konserwacja form guma],MATCH($B33,tab_MinKomp[[Stanowisko / Position ]:[Stanowisko / Position ]],0)))</f>
        <v>n/a</v>
      </c>
      <c r="EV34" s="315" t="str">
        <f>IF(INDEX(tab_MinKomp[Konserwacja form plastiki],MATCH($B33,tab_MinKomp[[Stanowisko / Position ]:[Stanowisko / Position ]],0))="n/a","n/a",EV33-INDEX(tab_MinKomp[Konserwacja form plastiki],MATCH($B33,tab_MinKomp[[Stanowisko / Position ]:[Stanowisko / Position ]],0)))</f>
        <v>n/a</v>
      </c>
      <c r="EW34" s="330" t="str">
        <f>IF(INDEX(tab_MinKomp[Konserwacja form plastiki],MATCH($B33,tab_MinKomp[[Stanowisko / Position ]:[Stanowisko / Position ]],0))="n/a","n/a",EW33-INDEX(tab_MinKomp[Konserwacja form plastiki],MATCH($B33,tab_MinKomp[[Stanowisko / Position ]:[Stanowisko / Position ]],0)))</f>
        <v>n/a</v>
      </c>
      <c r="EX34" s="315" t="str">
        <f>IF(INDEX(tab_MinKomp[Konserwacja Gorącego Kanału],MATCH($B33,tab_MinKomp[[Stanowisko / Position ]:[Stanowisko / Position ]],0))="n/a","n/a",EX33-INDEX(tab_MinKomp[Konserwacja Gorącego Kanału],MATCH($B33,tab_MinKomp[[Stanowisko / Position ]:[Stanowisko / Position ]],0)))</f>
        <v>n/a</v>
      </c>
      <c r="EY34" s="315">
        <f>IF(INDEX(tab_MinKomp[MS Office (Excel)],MATCH($B33,tab_MinKomp[[Stanowisko / Position ]:[Stanowisko / Position ]],0))="n/a","n/a",EY33-INDEX(tab_MinKomp[MS Office (Excel)],MATCH($B33,tab_MinKomp[[Stanowisko / Position ]:[Stanowisko / Position ]],0)))</f>
        <v>0</v>
      </c>
      <c r="EZ34" s="315">
        <f>IF(INDEX(tab_MinKomp[MS Office (Word)],MATCH($B33,tab_MinKomp[[Stanowisko / Position ]:[Stanowisko / Position ]],0))="n/a","n/a",EZ33-INDEX(tab_MinKomp[MS Office (Word)],MATCH($B33,tab_MinKomp[[Stanowisko / Position ]:[Stanowisko / Position ]],0)))</f>
        <v>0</v>
      </c>
      <c r="FA34" s="315">
        <f>IF(INDEX(tab_MinKomp[MS Office (Power Point)],MATCH($B33,tab_MinKomp[[Stanowisko / Position ]:[Stanowisko / Position ]],0))="n/a","n/a",FA33-INDEX(tab_MinKomp[MS Office (Power Point)],MATCH($B33,tab_MinKomp[[Stanowisko / Position ]:[Stanowisko / Position ]],0)))</f>
        <v>0</v>
      </c>
      <c r="FB34" s="315">
        <f>IF(INDEX(tab_MinKomp[Język angielski / Englisch],MATCH($B33,tab_MinKomp[[Stanowisko / Position ]:[Stanowisko / Position ]],0))="n/a","n/a",FB33-INDEX(tab_MinKomp[Język angielski / Englisch],MATCH($B33,tab_MinKomp[[Stanowisko / Position ]:[Stanowisko / Position ]],0)))</f>
        <v>0</v>
      </c>
      <c r="FC34" s="315">
        <f>IF(INDEX(tab_MinKomp[Język niemiecki / Deutsch],MATCH($B33,tab_MinKomp[[Stanowisko / Position ]:[Stanowisko / Position ]],0))="n/a","n/a",FC33-INDEX(tab_MinKomp[Język niemiecki / Deutsch],MATCH($B33,tab_MinKomp[[Stanowisko / Position ]:[Stanowisko / Position ]],0)))</f>
        <v>0</v>
      </c>
      <c r="FD34" s="315">
        <f>IF(INDEX(tab_MinKomp[Zarządzanie dokumentacją procesową / Process dokumentation management],MATCH($B33,tab_MinKomp[[Stanowisko / Position ]:[Stanowisko / Position ]],0))="n/a","n/a",FD33-INDEX(tab_MinKomp[Zarządzanie dokumentacją procesową / Process dokumentation management],MATCH($B33,tab_MinKomp[[Stanowisko / Position ]:[Stanowisko / Position ]],0)))</f>
        <v>0</v>
      </c>
      <c r="FE34" s="315">
        <f>IF(INDEX(tab_MinKomp[Znajomość procesów z obszaru / Kenntiss der prozesse in dem Bereich],MATCH($B33,tab_MinKomp[[Stanowisko / Position ]:[Stanowisko / Position ]],0))="n/a","n/a",FE33-INDEX(tab_MinKomp[Znajomość procesów z obszaru / Kenntiss der prozesse in dem Bereich],MATCH($B33,tab_MinKomp[[Stanowisko / Position ]:[Stanowisko / Position ]],0)))</f>
        <v>0</v>
      </c>
      <c r="FF34" s="315">
        <f>IF(INDEX(tab_MinKomp[optymalizacja procesów / Prozessoptymalisierung],MATCH($B33,tab_MinKomp[[Stanowisko / Position ]:[Stanowisko / Position ]],0))="n/a","n/a",FF33-INDEX(tab_MinKomp[optymalizacja procesów / Prozessoptymalisierung],MATCH($B33,tab_MinKomp[[Stanowisko / Position ]:[Stanowisko / Position ]],0)))</f>
        <v>0</v>
      </c>
      <c r="FG34" s="315">
        <f>IF(INDEX(tab_MinKomp[Umiejętności szkoleniowe / Trainingsfähigkeiten],MATCH($B33,tab_MinKomp[[Stanowisko / Position ]:[Stanowisko / Position ]],0))="n/a","n/a",FG33-INDEX(tab_MinKomp[Umiejętności szkoleniowe / Trainingsfähigkeiten],MATCH($B33,tab_MinKomp[[Stanowisko / Position ]:[Stanowisko / Position ]],0)))</f>
        <v>0</v>
      </c>
      <c r="FH34" s="315">
        <f>IF(INDEX(tab_MinKomp[Analityczne myślenie, podejście / Analitysches Denken, Einstellung],MATCH($B33,tab_MinKomp[[Stanowisko / Position ]:[Stanowisko / Position ]],0))="n/a","n/a",FH33-INDEX(tab_MinKomp[Analityczne myślenie, podejście / Analitysches Denken, Einstellung],MATCH($B33,tab_MinKomp[[Stanowisko / Position ]:[Stanowisko / Position ]],0)))</f>
        <v>0</v>
      </c>
      <c r="FI34" s="315">
        <f>IF(INDEX(tab_MinKomp[Dokładność, precyzja w dzialaniu / Genauigkeit, Präzision in die Arbeit],MATCH($B33,tab_MinKomp[[Stanowisko / Position ]:[Stanowisko / Position ]],0))="n/a","n/a",FI33-INDEX(tab_MinKomp[Dokładność, precyzja w dzialaniu / Genauigkeit, Präzision in die Arbeit],MATCH($B33,tab_MinKomp[[Stanowisko / Position ]:[Stanowisko / Position ]],0)))</f>
        <v>0</v>
      </c>
      <c r="FJ34" s="315">
        <f>IF(INDEX(tab_MinKomp[Dyspozycyjność / Verfügbarkeit],MATCH($B33,tab_MinKomp[[Stanowisko / Position ]:[Stanowisko / Position ]],0))="n/a","n/a",FJ33-INDEX(tab_MinKomp[Dyspozycyjność / Verfügbarkeit],MATCH($B33,tab_MinKomp[[Stanowisko / Position ]:[Stanowisko / Position ]],0)))</f>
        <v>0</v>
      </c>
      <c r="FK34" s="315">
        <f>IF(INDEX(tab_MinKomp[Zaangażowanie / 
Engagement],MATCH($B33,tab_MinKomp[[Stanowisko / Position ]:[Stanowisko / Position ]],0))="n/a","n/a",FK33-INDEX(tab_MinKomp[Zaangażowanie / 
Engagement],MATCH($B33,tab_MinKomp[[Stanowisko / Position ]:[Stanowisko / Position ]],0)))</f>
        <v>0</v>
      </c>
      <c r="FL34" s="315">
        <f>IF(INDEX(tab_MinKomp[Planowanie strategiczne / Strategische Planung],MATCH($B33,tab_MinKomp[[Stanowisko / Position ]:[Stanowisko / Position ]],0))="n/a","n/a",FL33-INDEX(tab_MinKomp[Planowanie strategiczne / Strategische Planung],MATCH($B33,tab_MinKomp[[Stanowisko / Position ]:[Stanowisko / Position ]],0)))</f>
        <v>0</v>
      </c>
      <c r="FM34" s="315">
        <f>IF(INDEX(tab_MinKomp[Konsekwentne i dynamiczne działanie],MATCH($B33,tab_MinKomp[[Stanowisko / Position ]:[Stanowisko / Position ]],0))="n/a","n/a",FM33-INDEX(tab_MinKomp[Konsekwentne i dynamiczne działanie],MATCH($B33,tab_MinKomp[[Stanowisko / Position ]:[Stanowisko / Position ]],0)))</f>
        <v>0</v>
      </c>
      <c r="FN34" s="315">
        <f>IF(INDEX(tab_MinKomp[Elastyczność w działaniu],MATCH($B33,tab_MinKomp[[Stanowisko / Position ]:[Stanowisko / Position ]],0))="n/a","n/a",FN33-INDEX(tab_MinKomp[Elastyczność w działaniu],MATCH($B33,tab_MinKomp[[Stanowisko / Position ]:[Stanowisko / Position ]],0)))</f>
        <v>0</v>
      </c>
      <c r="FO34" s="315">
        <f>IF(INDEX(tab_MinKomp[Komunikatywność],MATCH($B33,tab_MinKomp[[Stanowisko / Position ]:[Stanowisko / Position ]],0))="n/a","n/a",FO33-INDEX(tab_MinKomp[Komunikatywność],MATCH($B33,tab_MinKomp[[Stanowisko / Position ]:[Stanowisko / Position ]],0)))</f>
        <v>0</v>
      </c>
      <c r="FP34" s="315" t="str">
        <f>IF(INDEX(tab_MinKomp[Motywowanie i budowanie zaangażowania zespołu],MATCH($B33,tab_MinKomp[[Stanowisko / Position ]:[Stanowisko / Position ]],0))="n/a","n/a",FP33-INDEX(tab_MinKomp[Motywowanie i budowanie zaangażowania zespołu],MATCH($B33,tab_MinKomp[[Stanowisko / Position ]:[Stanowisko / Position ]],0)))</f>
        <v>n/a</v>
      </c>
      <c r="FQ34" s="318" t="str">
        <f>IFERROR(IF(INDEX(tab_MinKomp[BRAK / Keine],MATCH($B33,tab_MinKomp[[Stanowisko / Position ]:[Stanowisko / Position ]],0))="n/a","n/a",INDEX(tab_MinKomp[BRAK / Keine],MATCH($B33,tab_MinKomp[[Stanowisko / Position ]:[Stanowisko / Position ]],0))-FQ33),"")</f>
        <v>n/a</v>
      </c>
      <c r="FR34" s="315" t="str">
        <f>IF(INDEX(tab_MinKomp[MINIMUM 1 ROK / min. 1 Jahr],MATCH($B33,tab_MinKomp[[Stanowisko / Position ]:[Stanowisko / Position ]],0))="n/a","n/a",INDEX(tab_MinKomp[MINIMUM 1 ROK / min. 1 Jahr],MATCH($B33,tab_MinKomp[[Stanowisko / Position ]:[Stanowisko / Position ]],0)))</f>
        <v>n/a</v>
      </c>
      <c r="FS34" s="315" t="str">
        <f>IF(INDEX(tab_MinKomp[MINIMUM 2 LATA / min. 2 Jahre],MATCH($B33,tab_MinKomp[[Stanowisko / Position ]:[Stanowisko / Position ]],0))="n/a","n/a",INDEX(tab_MinKomp[MINIMUM 2 LATA / min. 2 Jahre],MATCH($B33,tab_MinKomp[[Stanowisko / Position ]:[Stanowisko / Position ]],0)))</f>
        <v>n/a</v>
      </c>
      <c r="FT34" s="315" t="str">
        <f>IF(INDEX(tab_MinKomp[MINIMUM 3 LATA / min. 3 Jahre],MATCH($B33,tab_MinKomp[[Stanowisko / Position ]:[Stanowisko / Position ]],0))="n/a","n/a",INDEX(tab_MinKomp[MINIMUM 3 LATA / min. 3 Jahre],MATCH($B33,tab_MinKomp[[Stanowisko / Position ]:[Stanowisko / Position ]],0)))</f>
        <v>X</v>
      </c>
      <c r="FU34" s="315" t="str">
        <f>IF(INDEX(tab_MinKomp[MINIMUM 4 LATA / min. 4 Jahre],MATCH($B33,tab_MinKomp[[Stanowisko / Position ]:[Stanowisko / Position ]],0))="n/a","n/a",INDEX(tab_MinKomp[MINIMUM 4 LATA / min. 4 Jahre],MATCH($B33,tab_MinKomp[[Stanowisko / Position ]:[Stanowisko / Position ]],0)))</f>
        <v>n/a</v>
      </c>
      <c r="FV34" s="319" t="str">
        <f>IF(INDEX(tab_MinKomp[MINIMUM 5 LAT / min. 5 Jahre],MATCH($B33,tab_MinKomp[[Stanowisko / Position ]:[Stanowisko / Position ]],0))="n/a","n/a",INDEX(tab_MinKomp[MINIMUM 5 LAT / min. 5 Jahre],MATCH($B33,tab_MinKomp[[Stanowisko / Position ]:[Stanowisko / Position ]],0)))</f>
        <v>n/a</v>
      </c>
      <c r="FW34" s="318" t="str">
        <f>IF(INDEX(tab_MinKomp[BRAK / Keine9],MATCH($B33,tab_MinKomp[[Stanowisko / Position ]:[Stanowisko / Position ]],0))="n/a","n/a",INDEX(tab_MinKomp[BRAK / Keine9],MATCH($B33,tab_MinKomp[[Stanowisko / Position ]:[Stanowisko / Position ]],0)))</f>
        <v>n/a</v>
      </c>
      <c r="FX34" s="315" t="str">
        <f>IF(INDEX(tab_MinKomp[ZAWODOWE / Berufsausbildung],MATCH($B33,tab_MinKomp[[Stanowisko / Position ]:[Stanowisko / Position ]],0))="n/a","n/a",INDEX(tab_MinKomp[ZAWODOWE / Berufsausbildung],MATCH($B33,tab_MinKomp[[Stanowisko / Position ]:[Stanowisko / Position ]],0)))</f>
        <v>n/a</v>
      </c>
      <c r="FY34" s="315" t="str">
        <f>IF(INDEX(tab_MinKomp[ŚREDNIE OGÓLNE / Abitur allgemeine],MATCH($B33,tab_MinKomp[[Stanowisko / Position ]:[Stanowisko / Position ]],0))="n/a","n/a",INDEX(tab_MinKomp[ŚREDNIE OGÓLNE / Abitur allgemeine],MATCH($B33,tab_MinKomp[[Stanowisko / Position ]:[Stanowisko / Position ]],0)))</f>
        <v>n/a</v>
      </c>
      <c r="FZ34" s="315" t="str">
        <f>IF(INDEX(tab_MinKomp[ŚREDNIE KIERUNKOWE / berufliches Gymnasium],MATCH($B33,tab_MinKomp[[Stanowisko / Position ]:[Stanowisko / Position ]],0))="n/a","n/a",INDEX(tab_MinKomp[ŚREDNIE KIERUNKOWE / berufliches Gymnasium],MATCH($B33,tab_MinKomp[[Stanowisko / Position ]:[Stanowisko / Position ]],0)))</f>
        <v>n/a</v>
      </c>
      <c r="GA34" s="315" t="str">
        <f>IF(INDEX(tab_MinKomp[WYŻSZE OGÓLNE / Hochschule allgemeine],MATCH($B33,tab_MinKomp[[Stanowisko / Position ]:[Stanowisko / Position ]],0))="n/a","n/a",INDEX(tab_MinKomp[WYŻSZE OGÓLNE / Hochschule allgemeine],MATCH($B33,tab_MinKomp[[Stanowisko / Position ]:[Stanowisko / Position ]],0)))</f>
        <v>n/a</v>
      </c>
      <c r="GB34" s="319" t="str">
        <f>IF(INDEX(tab_MinKomp[WYŻSZE KIERUNKOWE / Hochschule berufliche],MATCH($B33,tab_MinKomp[[Stanowisko / Position ]:[Stanowisko / Position ]],0))="n/a","n/a",INDEX(tab_MinKomp[WYŻSZE KIERUNKOWE / Hochschule berufliche],MATCH($B33,tab_MinKomp[[Stanowisko / Position ]:[Stanowisko / Position ]],0)))</f>
        <v>X</v>
      </c>
      <c r="GC34" s="318" t="str">
        <f>IF(INDEX(tab_MinKomp[PIERWSZA POMOC / Erste Hilfe],MATCH($B33,tab_MinKomp[[Stanowisko / Position ]:[Stanowisko / Position ]],0))="n/a","n/a",INDEX(tab_MinKomp[PIERWSZA POMOC / Erste Hilfe],MATCH($B33,tab_MinKomp[[Stanowisko / Position ]:[Stanowisko / Position ]],0)))</f>
        <v>n/a</v>
      </c>
      <c r="GD34" s="315" t="str">
        <f>IF(INDEX(tab_MinKomp[Specjalista BHP / BHP Spezialist],MATCH($B33,tab_MinKomp[[Stanowisko / Position ]:[Stanowisko / Position ]],0))="n/a","n/a",INDEX(tab_MinKomp[Specjalista BHP / BHP Spezialist],MATCH($B33,tab_MinKomp[[Stanowisko / Position ]:[Stanowisko / Position ]],0)))</f>
        <v>n/a</v>
      </c>
      <c r="GE34" s="315" t="str">
        <f>IF(INDEX(tab_MinKomp[Inspektor ochrony PPOŻ / Brandschutzinspektor],MATCH($B33,tab_MinKomp[[Stanowisko / Position ]:[Stanowisko / Position ]],0))="n/a","n/a",INDEX(tab_MinKomp[Inspektor ochrony PPOŻ / Brandschutzinspektor],MATCH($B33,tab_MinKomp[[Stanowisko / Position ]:[Stanowisko / Position ]],0)))</f>
        <v>n/a</v>
      </c>
      <c r="GF34" s="315" t="str">
        <f>IF(INDEX(tab_MinKomp[WÓZKI JEZDNIOWE / Gebelstapler],MATCH($B33,tab_MinKomp[[Stanowisko / Position ]:[Stanowisko / Position ]],0))="n/a","n/a",INDEX(tab_MinKomp[WÓZKI JEZDNIOWE / Gebelstapler],MATCH($B33,tab_MinKomp[[Stanowisko / Position ]:[Stanowisko / Position ]],0)))</f>
        <v>n/a</v>
      </c>
      <c r="GG34" s="315" t="str">
        <f>IF(INDEX(tab_MinKomp[SEP],MATCH($B33,tab_MinKomp[[Stanowisko / Position ]:[Stanowisko / Position ]],0))="n/a","n/a",INDEX(tab_MinKomp[SEP],MATCH($B33,tab_MinKomp[[Stanowisko / Position ]:[Stanowisko / Position ]],0)))</f>
        <v>n/a</v>
      </c>
      <c r="GH34" s="315" t="str">
        <f>IF(INDEX(tab_MinKomp[SEP  DOZÓR / SEP Aufsicht],MATCH($B33,tab_MinKomp[[Stanowisko / Position ]:[Stanowisko / Position ]],0))="n/a","n/a",INDEX(tab_MinKomp[SEP  DOZÓR / SEP Aufsicht],MATCH($B33,tab_MinKomp[[Stanowisko / Position ]:[Stanowisko / Position ]],0)))</f>
        <v>n/a</v>
      </c>
      <c r="GI34" s="315" t="str">
        <f>IF(INDEX(tab_MinKomp[PODNOŚNIKI / Hebevorrichtung],MATCH($B33,tab_MinKomp[[Stanowisko / Position ]:[Stanowisko / Position ]],0))="n/a","n/a",INDEX(tab_MinKomp[PODNOŚNIKI / Hebevorrichtung],MATCH($B33,tab_MinKomp[[Stanowisko / Position ]:[Stanowisko / Position ]],0)))</f>
        <v>n/a</v>
      </c>
      <c r="GJ34" s="315" t="str">
        <f>IF(INDEX(tab_MinKomp[SUWNICE / Laufkran],MATCH($B33,tab_MinKomp[[Stanowisko / Position ]:[Stanowisko / Position ]],0))="n/a","n/a",INDEX(tab_MinKomp[SUWNICE / Laufkran],MATCH($B33,tab_MinKomp[[Stanowisko / Position ]:[Stanowisko / Position ]],0)))</f>
        <v>n/a</v>
      </c>
      <c r="GK34" s="319" t="str">
        <f>IF(INDEX(tab_MinKomp[WYSOKOŚCIOWE / Höhenberechtigungen],MATCH($B33,tab_MinKomp[[Stanowisko / Position ]:[Stanowisko / Position ]],0))="n/a","n/a",INDEX(tab_MinKomp[WYSOKOŚCIOWE / Höhenberechtigungen],MATCH($B33,tab_MinKomp[[Stanowisko / Position ]:[Stanowisko / Position ]],0)))</f>
        <v>n/a</v>
      </c>
      <c r="GL34" s="320">
        <f>SUM(G34:FP34)/(GL33-(SUM(G34:FP34)))</f>
        <v>5.4054054054054057E-2</v>
      </c>
      <c r="GM34" s="132"/>
    </row>
    <row r="35" spans="1:195" s="133" customFormat="1" ht="28.35" customHeight="1" x14ac:dyDescent="0.25">
      <c r="A35" s="135" t="s">
        <v>253</v>
      </c>
      <c r="B35" s="135" t="s">
        <v>213</v>
      </c>
      <c r="C35" s="135" t="s">
        <v>255</v>
      </c>
      <c r="D35" s="135">
        <v>846</v>
      </c>
      <c r="E35" s="565" t="s">
        <v>587</v>
      </c>
      <c r="F35" s="307" t="s">
        <v>165</v>
      </c>
      <c r="G35" s="308">
        <v>1</v>
      </c>
      <c r="H35" s="308">
        <v>1</v>
      </c>
      <c r="I35" s="308">
        <v>1</v>
      </c>
      <c r="J35" s="308" t="s">
        <v>176</v>
      </c>
      <c r="K35" s="308" t="s">
        <v>176</v>
      </c>
      <c r="L35" s="308">
        <v>1</v>
      </c>
      <c r="M35" s="308" t="s">
        <v>176</v>
      </c>
      <c r="N35" s="308" t="s">
        <v>176</v>
      </c>
      <c r="O35" s="308">
        <v>1</v>
      </c>
      <c r="P35" s="308">
        <v>1</v>
      </c>
      <c r="Q35" s="308" t="s">
        <v>176</v>
      </c>
      <c r="R35" s="308" t="s">
        <v>176</v>
      </c>
      <c r="S35" s="308" t="s">
        <v>176</v>
      </c>
      <c r="T35" s="308" t="s">
        <v>176</v>
      </c>
      <c r="U35" s="308">
        <v>2</v>
      </c>
      <c r="V35" s="308">
        <v>2</v>
      </c>
      <c r="W35" s="308">
        <v>2</v>
      </c>
      <c r="X35" s="308">
        <v>2</v>
      </c>
      <c r="Y35" s="308">
        <v>2</v>
      </c>
      <c r="Z35" s="308">
        <v>2</v>
      </c>
      <c r="AA35" s="308">
        <v>3</v>
      </c>
      <c r="AB35" s="308">
        <v>3</v>
      </c>
      <c r="AC35" s="308" t="s">
        <v>176</v>
      </c>
      <c r="AD35" s="308" t="s">
        <v>176</v>
      </c>
      <c r="AE35" s="308" t="s">
        <v>176</v>
      </c>
      <c r="AF35" s="308" t="s">
        <v>176</v>
      </c>
      <c r="AG35" s="308" t="s">
        <v>176</v>
      </c>
      <c r="AH35" s="308" t="s">
        <v>176</v>
      </c>
      <c r="AI35" s="308" t="s">
        <v>176</v>
      </c>
      <c r="AJ35" s="308" t="s">
        <v>176</v>
      </c>
      <c r="AK35" s="308" t="s">
        <v>176</v>
      </c>
      <c r="AL35" s="308" t="s">
        <v>176</v>
      </c>
      <c r="AM35" s="308" t="s">
        <v>176</v>
      </c>
      <c r="AN35" s="308" t="s">
        <v>176</v>
      </c>
      <c r="AO35" s="308" t="s">
        <v>176</v>
      </c>
      <c r="AP35" s="308" t="s">
        <v>176</v>
      </c>
      <c r="AQ35" s="308" t="s">
        <v>176</v>
      </c>
      <c r="AR35" s="308" t="s">
        <v>176</v>
      </c>
      <c r="AS35" s="308" t="s">
        <v>176</v>
      </c>
      <c r="AT35" s="308" t="s">
        <v>176</v>
      </c>
      <c r="AU35" s="308" t="s">
        <v>176</v>
      </c>
      <c r="AV35" s="308">
        <v>1</v>
      </c>
      <c r="AW35" s="308">
        <v>1</v>
      </c>
      <c r="AX35" s="308">
        <v>1</v>
      </c>
      <c r="AY35" s="308" t="s">
        <v>176</v>
      </c>
      <c r="AZ35" s="308">
        <v>2</v>
      </c>
      <c r="BA35" s="308">
        <v>3</v>
      </c>
      <c r="BB35" s="308">
        <v>2</v>
      </c>
      <c r="BC35" s="308">
        <v>1</v>
      </c>
      <c r="BD35" s="308">
        <v>1</v>
      </c>
      <c r="BE35" s="308">
        <v>3</v>
      </c>
      <c r="BF35" s="308" t="s">
        <v>176</v>
      </c>
      <c r="BG35" s="308" t="s">
        <v>176</v>
      </c>
      <c r="BH35" s="308" t="s">
        <v>176</v>
      </c>
      <c r="BI35" s="308" t="s">
        <v>176</v>
      </c>
      <c r="BJ35" s="308" t="s">
        <v>176</v>
      </c>
      <c r="BK35" s="308" t="s">
        <v>176</v>
      </c>
      <c r="BL35" s="308" t="s">
        <v>176</v>
      </c>
      <c r="BM35" s="308" t="s">
        <v>176</v>
      </c>
      <c r="BN35" s="308" t="s">
        <v>176</v>
      </c>
      <c r="BO35" s="308" t="s">
        <v>176</v>
      </c>
      <c r="BP35" s="308" t="s">
        <v>176</v>
      </c>
      <c r="BQ35" s="308" t="s">
        <v>176</v>
      </c>
      <c r="BR35" s="308" t="s">
        <v>176</v>
      </c>
      <c r="BS35" s="308" t="s">
        <v>176</v>
      </c>
      <c r="BT35" s="308" t="s">
        <v>176</v>
      </c>
      <c r="BU35" s="308" t="s">
        <v>176</v>
      </c>
      <c r="BV35" s="308" t="s">
        <v>176</v>
      </c>
      <c r="BW35" s="308" t="s">
        <v>176</v>
      </c>
      <c r="BX35" s="308" t="s">
        <v>176</v>
      </c>
      <c r="BY35" s="308" t="s">
        <v>176</v>
      </c>
      <c r="BZ35" s="308" t="s">
        <v>176</v>
      </c>
      <c r="CA35" s="308" t="s">
        <v>176</v>
      </c>
      <c r="CB35" s="308" t="s">
        <v>176</v>
      </c>
      <c r="CC35" s="308" t="s">
        <v>176</v>
      </c>
      <c r="CD35" s="308" t="s">
        <v>176</v>
      </c>
      <c r="CE35" s="308" t="s">
        <v>176</v>
      </c>
      <c r="CF35" s="308" t="s">
        <v>176</v>
      </c>
      <c r="CG35" s="308" t="s">
        <v>176</v>
      </c>
      <c r="CH35" s="308" t="s">
        <v>176</v>
      </c>
      <c r="CI35" s="308">
        <v>3</v>
      </c>
      <c r="CJ35" s="308">
        <v>2</v>
      </c>
      <c r="CK35" s="308" t="s">
        <v>176</v>
      </c>
      <c r="CL35" s="308" t="s">
        <v>176</v>
      </c>
      <c r="CM35" s="308">
        <v>1</v>
      </c>
      <c r="CN35" s="308" t="s">
        <v>176</v>
      </c>
      <c r="CO35" s="308" t="s">
        <v>176</v>
      </c>
      <c r="CP35" s="308" t="s">
        <v>176</v>
      </c>
      <c r="CQ35" s="308" t="s">
        <v>176</v>
      </c>
      <c r="CR35" s="308" t="s">
        <v>176</v>
      </c>
      <c r="CS35" s="308" t="s">
        <v>176</v>
      </c>
      <c r="CT35" s="308" t="s">
        <v>176</v>
      </c>
      <c r="CU35" s="308" t="s">
        <v>176</v>
      </c>
      <c r="CV35" s="308" t="s">
        <v>176</v>
      </c>
      <c r="CW35" s="308" t="s">
        <v>176</v>
      </c>
      <c r="CX35" s="308" t="s">
        <v>176</v>
      </c>
      <c r="CY35" s="308" t="s">
        <v>176</v>
      </c>
      <c r="CZ35" s="308" t="s">
        <v>176</v>
      </c>
      <c r="DA35" s="308" t="s">
        <v>176</v>
      </c>
      <c r="DB35" s="308" t="s">
        <v>176</v>
      </c>
      <c r="DC35" s="308" t="s">
        <v>176</v>
      </c>
      <c r="DD35" s="308" t="s">
        <v>176</v>
      </c>
      <c r="DE35" s="308" t="s">
        <v>176</v>
      </c>
      <c r="DF35" s="308" t="s">
        <v>176</v>
      </c>
      <c r="DG35" s="308" t="s">
        <v>176</v>
      </c>
      <c r="DH35" s="308" t="s">
        <v>176</v>
      </c>
      <c r="DI35" s="308" t="s">
        <v>176</v>
      </c>
      <c r="DJ35" s="308" t="s">
        <v>176</v>
      </c>
      <c r="DK35" s="308" t="s">
        <v>176</v>
      </c>
      <c r="DL35" s="308" t="s">
        <v>176</v>
      </c>
      <c r="DM35" s="308" t="s">
        <v>176</v>
      </c>
      <c r="DN35" s="308" t="s">
        <v>176</v>
      </c>
      <c r="DO35" s="308" t="s">
        <v>176</v>
      </c>
      <c r="DP35" s="308" t="s">
        <v>176</v>
      </c>
      <c r="DQ35" s="308" t="s">
        <v>176</v>
      </c>
      <c r="DR35" s="308" t="s">
        <v>176</v>
      </c>
      <c r="DS35" s="308" t="s">
        <v>176</v>
      </c>
      <c r="DT35" s="308" t="s">
        <v>176</v>
      </c>
      <c r="DU35" s="308" t="s">
        <v>176</v>
      </c>
      <c r="DV35" s="306" t="s">
        <v>176</v>
      </c>
      <c r="DW35" s="306" t="s">
        <v>176</v>
      </c>
      <c r="DX35" s="306" t="s">
        <v>176</v>
      </c>
      <c r="DY35" s="308" t="s">
        <v>176</v>
      </c>
      <c r="DZ35" s="308" t="s">
        <v>176</v>
      </c>
      <c r="EA35" s="308" t="s">
        <v>176</v>
      </c>
      <c r="EB35" s="308" t="s">
        <v>176</v>
      </c>
      <c r="EC35" s="308" t="s">
        <v>176</v>
      </c>
      <c r="ED35" s="308" t="s">
        <v>176</v>
      </c>
      <c r="EE35" s="308" t="s">
        <v>176</v>
      </c>
      <c r="EF35" s="308" t="s">
        <v>176</v>
      </c>
      <c r="EG35" s="308" t="s">
        <v>176</v>
      </c>
      <c r="EH35" s="308" t="s">
        <v>176</v>
      </c>
      <c r="EI35" s="308" t="s">
        <v>176</v>
      </c>
      <c r="EJ35" s="308" t="s">
        <v>176</v>
      </c>
      <c r="EK35" s="308" t="s">
        <v>176</v>
      </c>
      <c r="EL35" s="308" t="s">
        <v>176</v>
      </c>
      <c r="EM35" s="308" t="s">
        <v>176</v>
      </c>
      <c r="EN35" s="308" t="s">
        <v>176</v>
      </c>
      <c r="EO35" s="308" t="s">
        <v>176</v>
      </c>
      <c r="EP35" s="308" t="s">
        <v>176</v>
      </c>
      <c r="EQ35" s="308" t="s">
        <v>176</v>
      </c>
      <c r="ER35" s="308" t="s">
        <v>176</v>
      </c>
      <c r="ES35" s="308" t="s">
        <v>176</v>
      </c>
      <c r="ET35" s="308" t="s">
        <v>176</v>
      </c>
      <c r="EU35" s="308" t="s">
        <v>176</v>
      </c>
      <c r="EV35" s="308" t="s">
        <v>176</v>
      </c>
      <c r="EW35" s="308" t="s">
        <v>176</v>
      </c>
      <c r="EX35" s="308" t="s">
        <v>176</v>
      </c>
      <c r="EY35" s="308">
        <v>2</v>
      </c>
      <c r="EZ35" s="308">
        <v>2</v>
      </c>
      <c r="FA35" s="308">
        <v>2</v>
      </c>
      <c r="FB35" s="309">
        <v>2</v>
      </c>
      <c r="FC35" s="309">
        <v>1</v>
      </c>
      <c r="FD35" s="308">
        <v>2</v>
      </c>
      <c r="FE35" s="308">
        <v>2</v>
      </c>
      <c r="FF35" s="308">
        <v>2</v>
      </c>
      <c r="FG35" s="308">
        <v>2</v>
      </c>
      <c r="FH35" s="308">
        <v>3</v>
      </c>
      <c r="FI35" s="308">
        <v>3</v>
      </c>
      <c r="FJ35" s="308">
        <v>3</v>
      </c>
      <c r="FK35" s="308">
        <v>3</v>
      </c>
      <c r="FL35" s="308">
        <v>2</v>
      </c>
      <c r="FM35" s="308">
        <v>2</v>
      </c>
      <c r="FN35" s="308">
        <v>2</v>
      </c>
      <c r="FO35" s="308">
        <v>2</v>
      </c>
      <c r="FP35" s="308" t="s">
        <v>176</v>
      </c>
      <c r="FQ35" s="308" t="s">
        <v>176</v>
      </c>
      <c r="FR35" s="308" t="s">
        <v>176</v>
      </c>
      <c r="FS35" s="308" t="s">
        <v>176</v>
      </c>
      <c r="FT35" s="308" t="s">
        <v>160</v>
      </c>
      <c r="FU35" s="308" t="s">
        <v>176</v>
      </c>
      <c r="FV35" s="308" t="s">
        <v>176</v>
      </c>
      <c r="FW35" s="308" t="s">
        <v>176</v>
      </c>
      <c r="FX35" s="308" t="s">
        <v>176</v>
      </c>
      <c r="FY35" s="308" t="s">
        <v>176</v>
      </c>
      <c r="FZ35" s="308" t="s">
        <v>176</v>
      </c>
      <c r="GA35" s="308" t="s">
        <v>176</v>
      </c>
      <c r="GB35" s="308" t="s">
        <v>160</v>
      </c>
      <c r="GC35" s="308" t="s">
        <v>176</v>
      </c>
      <c r="GD35" s="308" t="s">
        <v>176</v>
      </c>
      <c r="GE35" s="308" t="s">
        <v>176</v>
      </c>
      <c r="GF35" s="308" t="s">
        <v>176</v>
      </c>
      <c r="GG35" s="308" t="s">
        <v>176</v>
      </c>
      <c r="GH35" s="308" t="s">
        <v>176</v>
      </c>
      <c r="GI35" s="308" t="s">
        <v>176</v>
      </c>
      <c r="GJ35" s="308" t="s">
        <v>176</v>
      </c>
      <c r="GK35" s="321" t="s">
        <v>176</v>
      </c>
      <c r="GL35" s="311">
        <f>SUM(G35:FP35)</f>
        <v>82</v>
      </c>
      <c r="GM35" s="132"/>
    </row>
    <row r="36" spans="1:195" s="133" customFormat="1" ht="28.35" customHeight="1" thickBot="1" x14ac:dyDescent="0.3">
      <c r="A36" s="138" t="str">
        <f>A35</f>
        <v>Księgowość-Finance dep.</v>
      </c>
      <c r="B36" s="138" t="str">
        <f>B35</f>
        <v>Księgowa</v>
      </c>
      <c r="C36" s="138" t="str">
        <f>C35</f>
        <v>DK</v>
      </c>
      <c r="D36" s="138">
        <f>D35</f>
        <v>846</v>
      </c>
      <c r="E36" s="566" t="str">
        <f>E35</f>
        <v>Rodziewicz Natalia</v>
      </c>
      <c r="F36" s="312" t="s">
        <v>166</v>
      </c>
      <c r="G36" s="473">
        <v>2</v>
      </c>
      <c r="H36" s="473">
        <v>2</v>
      </c>
      <c r="I36" s="473">
        <v>2</v>
      </c>
      <c r="J36" s="473" t="str">
        <f>IF(INDEX(tab_MinKomp[Gospodarka substancjami niebezpiecznymi / Gefahrstoffmanagement],MATCH($B35,tab_MinKomp[[Stanowisko / Position ]:[Stanowisko / Position ]],0))="n/a","n/a",J35-INDEX(tab_MinKomp[Gospodarka substancjami niebezpiecznymi / Gefahrstoffmanagement],MATCH($B35,tab_MinKomp[[Stanowisko / Position ]:[Stanowisko / Position ]],0)))</f>
        <v>n/a</v>
      </c>
      <c r="K36" s="473" t="str">
        <f>IF(INDEX(tab_MinKomp[Gospodarka odpadami / Abfallwirtschaft],MATCH($B35,tab_MinKomp[[Stanowisko / Position ]:[Stanowisko / Position ]],0))="n/a","n/a",K35-INDEX(tab_MinKomp[Gospodarka odpadami / Abfallwirtschaft],MATCH($B35,tab_MinKomp[[Stanowisko / Position ]:[Stanowisko / Position ]],0)))</f>
        <v>n/a</v>
      </c>
      <c r="L36" s="473">
        <f>IF(INDEX(tab_MinKomp[Przepisy kodeksu pracy / Bestimmungen des Arbeitsgesetzes],MATCH($B35,tab_MinKomp[[Stanowisko / Position ]:[Stanowisko / Position ]],0))="n/a","n/a",L35-INDEX(tab_MinKomp[Przepisy kodeksu pracy / Bestimmungen des Arbeitsgesetzes],MATCH($B35,tab_MinKomp[[Stanowisko / Position ]:[Stanowisko / Position ]],0)))</f>
        <v>0</v>
      </c>
      <c r="M36" s="473" t="str">
        <f>IF(INDEX(tab_MinKomp[Przepisy o ub.społ. ZUS  / Sozialversicherungsvorschriften],MATCH($B35,tab_MinKomp[[Stanowisko / Position ]:[Stanowisko / Position ]],0))="n/a","n/a",M35-INDEX(tab_MinKomp[Przepisy o ub.społ. ZUS  / Sozialversicherungsvorschriften],MATCH($B35,tab_MinKomp[[Stanowisko / Position ]:[Stanowisko / Position ]],0)))</f>
        <v>n/a</v>
      </c>
      <c r="N36" s="473" t="str">
        <f>IF(INDEX(tab_MinKomp[PRZEPISY O PDOF /persönlich Einkommensteuergesetz ],MATCH($B35,tab_MinKomp[[Stanowisko / Position ]:[Stanowisko / Position ]],0))="n/a","n/a",N35-INDEX(tab_MinKomp[PRZEPISY O PDOF /persönlich Einkommensteuergesetz ],MATCH($B35,tab_MinKomp[[Stanowisko / Position ]:[Stanowisko / Position ]],0)))</f>
        <v>n/a</v>
      </c>
      <c r="O36" s="473">
        <f>IF(INDEX(tab_MinKomp[Regulamin pracy / Arbeitsordnung],MATCH($B35,tab_MinKomp[[Stanowisko / Position ]:[Stanowisko / Position ]],0))="n/a","n/a",O35-INDEX(tab_MinKomp[Regulamin pracy / Arbeitsordnung],MATCH($B35,tab_MinKomp[[Stanowisko / Position ]:[Stanowisko / Position ]],0)))</f>
        <v>0</v>
      </c>
      <c r="P36" s="473">
        <f>IF(INDEX(tab_MinKomp[Regulamin wynagradzania / Vergütungsordnung],MATCH($B35,tab_MinKomp[[Stanowisko / Position ]:[Stanowisko / Position ]],0))="n/a","n/a",P35-INDEX(tab_MinKomp[Regulamin wynagradzania / Vergütungsordnung],MATCH($B35,tab_MinKomp[[Stanowisko / Position ]:[Stanowisko / Position ]],0)))</f>
        <v>0</v>
      </c>
      <c r="Q36" s="473" t="str">
        <f>IF(INDEX(tab_MinKomp[System R2PŁATNIK PRO: Płace / Lohnabrechnung],MATCH($B35,tab_MinKomp[[Stanowisko / Position ]:[Stanowisko / Position ]],0))="n/a","n/a",Q35-INDEX(tab_MinKomp[System R2PŁATNIK PRO: Płace / Lohnabrechnung],MATCH($B35,tab_MinKomp[[Stanowisko / Position ]:[Stanowisko / Position ]],0)))</f>
        <v>n/a</v>
      </c>
      <c r="R36" s="473" t="str">
        <f>IF(INDEX(tab_MinKomp[SystemR2PŁATNIK PRO: KADRY / Personaldaten],MATCH($B35,tab_MinKomp[[Stanowisko / Position ]:[Stanowisko / Position ]],0))="n/a","n/a",R35-INDEX(tab_MinKomp[SystemR2PŁATNIK PRO: KADRY / Personaldaten],MATCH($B35,tab_MinKomp[[Stanowisko / Position ]:[Stanowisko / Position ]],0)))</f>
        <v>n/a</v>
      </c>
      <c r="S36" s="473" t="str">
        <f>IF(INDEX(tab_MinKomp[SYSTEM R2PŁATNIK PRO: zarządzanie pracownikami / Arbeitsverwaltung],MATCH($B35,tab_MinKomp[[Stanowisko / Position ]:[Stanowisko / Position ]],0))="n/a","n/a",S35-INDEX(tab_MinKomp[SYSTEM R2PŁATNIK PRO: zarządzanie pracownikami / Arbeitsverwaltung],MATCH($B35,tab_MinKomp[[Stanowisko / Position ]:[Stanowisko / Position ]],0)))</f>
        <v>n/a</v>
      </c>
      <c r="T36" s="473" t="str">
        <f>IF(INDEX(tab_MinKomp[Doradztwo, wsparcie personalne / Personalberatung und Unterstützung],MATCH($B35,tab_MinKomp[[Stanowisko / Position ]:[Stanowisko / Position ]],0))="n/a","n/a",T35-INDEX(tab_MinKomp[Doradztwo, wsparcie personalne / Personalberatung und Unterstützung],MATCH($B35,tab_MinKomp[[Stanowisko / Position ]:[Stanowisko / Position ]],0)))</f>
        <v>n/a</v>
      </c>
      <c r="U36" s="472">
        <f>IF(INDEX(tab_MinKomp[Przepisy o podatku VAT / MwSt.- Gesetz],MATCH($B35,tab_MinKomp[[Stanowisko / Position ]:[Stanowisko / Position ]],0))="n/a","n/a",U35-INDEX(tab_MinKomp[Przepisy o podatku VAT / MwSt.- Gesetz],MATCH($B35,tab_MinKomp[[Stanowisko / Position ]:[Stanowisko / Position ]],0)))</f>
        <v>0</v>
      </c>
      <c r="V36" s="315">
        <f>IF(INDEX(tab_MinKomp[PrzepisyPDOP / geschäftlich Einkommensteuergesetz],MATCH($B35,tab_MinKomp[[Stanowisko / Position ]:[Stanowisko / Position ]],0))="n/a","n/a",V35-INDEX(tab_MinKomp[PrzepisyPDOP / geschäftlich Einkommensteuergesetz],MATCH($B35,tab_MinKomp[[Stanowisko / Position ]:[Stanowisko / Position ]],0)))</f>
        <v>0</v>
      </c>
      <c r="W36" s="315">
        <f>IF(INDEX(tab_MinKomp[System BAAN / FINANSE (FIBU)],MATCH($B35,tab_MinKomp[[Stanowisko / Position ]:[Stanowisko / Position ]],0))="n/a","n/a",W35-INDEX(tab_MinKomp[System BAAN / FINANSE (FIBU)],MATCH($B35,tab_MinKomp[[Stanowisko / Position ]:[Stanowisko / Position ]],0)))</f>
        <v>0</v>
      </c>
      <c r="X36" s="315">
        <f>IF(INDEX(tab_MinKomp[Systemy pomocnicze / Hilfssysteme(STOCKPROGRAM, KALK2000 etc.)],MATCH($B35,tab_MinKomp[[Stanowisko / Position ]:[Stanowisko / Position ]],0))="n/a","n/a",X35-INDEX(tab_MinKomp[Systemy pomocnicze / Hilfssysteme(STOCKPROGRAM, KALK2000 etc.)],MATCH($B35,tab_MinKomp[[Stanowisko / Position ]:[Stanowisko / Position ]],0)))</f>
        <v>0</v>
      </c>
      <c r="Y36" s="315">
        <f>IF(INDEX(tab_MinKomp[Polityka rachunkowości / Buchführungspolitik],MATCH($B35,tab_MinKomp[[Stanowisko / Position ]:[Stanowisko / Position ]],0))="n/a","n/a",Y35-INDEX(tab_MinKomp[Polityka rachunkowości / Buchführungspolitik],MATCH($B35,tab_MinKomp[[Stanowisko / Position ]:[Stanowisko / Position ]],0)))</f>
        <v>0</v>
      </c>
      <c r="Z36" s="315">
        <f>IF(INDEX(tab_MinKomp[Ustawa o rachunkowości / Rechnungslegungsgesetz],MATCH($B35,tab_MinKomp[[Stanowisko / Position ]:[Stanowisko / Position ]],0))="n/a","n/a",Z35-INDEX(tab_MinKomp[Ustawa o rachunkowości / Rechnungslegungsgesetz],MATCH($B35,tab_MinKomp[[Stanowisko / Position ]:[Stanowisko / Position ]],0)))</f>
        <v>0</v>
      </c>
      <c r="AA36" s="315">
        <f>IF(INDEX(tab_MinKomp[WORKFLOW - TS-100],MATCH($B35,tab_MinKomp[[Stanowisko / Position ]:[Stanowisko / Position ]],0))="n/a","n/a",AA35-INDEX(tab_MinKomp[WORKFLOW - TS-100],MATCH($B35,tab_MinKomp[[Stanowisko / Position ]:[Stanowisko / Position ]],0)))</f>
        <v>0</v>
      </c>
      <c r="AB36" s="315">
        <f>IF(INDEX(tab_MinKomp[WORKFLOW - SFMS],MATCH($B35,tab_MinKomp[[Stanowisko / Position ]:[Stanowisko / Position ]],0))="n/a","n/a",AB35-INDEX(tab_MinKomp[WORKFLOW - SFMS],MATCH($B35,tab_MinKomp[[Stanowisko / Position ]:[Stanowisko / Position ]],0)))</f>
        <v>0</v>
      </c>
      <c r="AC36" s="315" t="str">
        <f>IF(INDEX(tab_MinKomp[System ISO 9001:2015],MATCH($B35,tab_MinKomp[[Stanowisko / Position ]:[Stanowisko / Position ]],0))="n/a","n/a",AC35-INDEX(tab_MinKomp[System ISO 9001:2015],MATCH($B35,tab_MinKomp[[Stanowisko / Position ]:[Stanowisko / Position ]],0)))</f>
        <v>n/a</v>
      </c>
      <c r="AD36" s="315" t="str">
        <f>IF(INDEX(tab_MinKomp[System IATF 16949:2016],MATCH($B35,tab_MinKomp[[Stanowisko / Position ]:[Stanowisko / Position ]],0))="n/a","n/a",AD35-INDEX(tab_MinKomp[System IATF 16949:2016],MATCH($B35,tab_MinKomp[[Stanowisko / Position ]:[Stanowisko / Position ]],0)))</f>
        <v>n/a</v>
      </c>
      <c r="AE36" s="315" t="str">
        <f>IF(INDEX(tab_MinKomp[System ISO 14001:2015],MATCH($B35,tab_MinKomp[[Stanowisko / Position ]:[Stanowisko / Position ]],0))="n/a","n/a",AE35-INDEX(tab_MinKomp[System ISO 14001:2015],MATCH($B35,tab_MinKomp[[Stanowisko / Position ]:[Stanowisko / Position ]],0)))</f>
        <v>n/a</v>
      </c>
      <c r="AF36" s="315" t="str">
        <f>IF(INDEX(tab_MinKomp[System PN-N 18001:2004 / ISO 45001:2018],MATCH($B35,tab_MinKomp[[Stanowisko / Position ]:[Stanowisko / Position ]],0))="n/a","n/a",AF35-INDEX(tab_MinKomp[System PN-N 18001:2004 / ISO 45001:2018],MATCH($B35,tab_MinKomp[[Stanowisko / Position ]:[Stanowisko / Position ]],0)))</f>
        <v>n/a</v>
      </c>
      <c r="AG36" s="315" t="str">
        <f>IF(INDEX(tab_MinKomp[Wymagania VDA 6.3 Process / Forderungen],MATCH($B35,tab_MinKomp[[Stanowisko / Position ]:[Stanowisko / Position ]],0))="n/a","n/a",AG35-INDEX(tab_MinKomp[Wymagania VDA 6.3 Process / Forderungen],MATCH($B35,tab_MinKomp[[Stanowisko / Position ]:[Stanowisko / Position ]],0)))</f>
        <v>n/a</v>
      </c>
      <c r="AH36" s="315" t="str">
        <f>IF(INDEX(tab_MinKomp[Wymagania VDA 6.5 Product / Forderungen],MATCH($B35,tab_MinKomp[[Stanowisko / Position ]:[Stanowisko / Position ]],0))="n/a","n/a",AH35-INDEX(tab_MinKomp[Wymagania VDA 6.5 Product / Forderungen],MATCH($B35,tab_MinKomp[[Stanowisko / Position ]:[Stanowisko / Position ]],0)))</f>
        <v>n/a</v>
      </c>
      <c r="AI36" s="315" t="str">
        <f>IF(INDEX(tab_MinKomp[PSCR (VW Product Safety &amp; Conformity Representative)],MATCH($B35,tab_MinKomp[[Stanowisko / Position ]:[Stanowisko / Position ]],0))="n/a","n/a",AI35-INDEX(tab_MinKomp[PSCR (VW Product Safety &amp; Conformity Representative)],MATCH($B35,tab_MinKomp[[Stanowisko / Position ]:[Stanowisko / Position ]],0)))</f>
        <v>n/a</v>
      </c>
      <c r="AJ36" s="315" t="str">
        <f>IF(INDEX(tab_MinKomp[Auditor systemu ISO 17025:2018],MATCH($B35,tab_MinKomp[[Stanowisko / Position ]:[Stanowisko / Position ]],0))="n/a","n/a",AJ35-INDEX(tab_MinKomp[Auditor systemu ISO 17025:2018],MATCH($B35,tab_MinKomp[[Stanowisko / Position ]:[Stanowisko / Position ]],0)))</f>
        <v>n/a</v>
      </c>
      <c r="AK36" s="315" t="str">
        <f>IF(INDEX(tab_MinKomp[Pełnomocnik systemu / Systemvertreter],MATCH($B35,tab_MinKomp[[Stanowisko / Position ]:[Stanowisko / Position ]],0))="n/a","n/a",AK35-INDEX(tab_MinKomp[Pełnomocnik systemu / Systemvertreter],MATCH($B35,tab_MinKomp[[Stanowisko / Position ]:[Stanowisko / Position ]],0)))</f>
        <v>n/a</v>
      </c>
      <c r="AL36" s="315" t="str">
        <f>IF(INDEX(tab_MinKomp[Polityka Etyczna - Compliance],MATCH($B35,tab_MinKomp[[Stanowisko / Position ]:[Stanowisko / Position ]],0))="n/a","n/a",AL35-INDEX(tab_MinKomp[Polityka Etyczna - Compliance],MATCH($B35,tab_MinKomp[[Stanowisko / Position ]:[Stanowisko / Position ]],0)))</f>
        <v>n/a</v>
      </c>
      <c r="AM36" s="315" t="str">
        <f>IF(INDEX(tab_MinKomp[WDRAŻANIE NOWYCH PROJEKTÓW/ PROCEDURA CTM],MATCH($B35,tab_MinKomp[[Stanowisko / Position ]:[Stanowisko / Position ]],0))="n/a","n/a",AM35-INDEX(tab_MinKomp[WDRAŻANIE NOWYCH PROJEKTÓW/ PROCEDURA CTM],MATCH($B35,tab_MinKomp[[Stanowisko / Position ]:[Stanowisko / Position ]],0)))</f>
        <v>n/a</v>
      </c>
      <c r="AN36" s="315" t="str">
        <f>IF(INDEX(tab_MinKomp[KAMIENIE MILOWE MSL/PIFF],MATCH($B35,tab_MinKomp[[Stanowisko / Position ]:[Stanowisko / Position ]],0))="n/a","n/a",AN35-INDEX(tab_MinKomp[KAMIENIE MILOWE MSL/PIFF],MATCH($B35,tab_MinKomp[[Stanowisko / Position ]:[Stanowisko / Position ]],0)))</f>
        <v>n/a</v>
      </c>
      <c r="AO36" s="315" t="str">
        <f>IF(INDEX(tab_MinKomp[CP],MATCH($B35,tab_MinKomp[[Stanowisko / Position ]:[Stanowisko / Position ]],0))="n/a","n/a",AO35-INDEX(tab_MinKomp[CP],MATCH($B35,tab_MinKomp[[Stanowisko / Position ]:[Stanowisko / Position ]],0)))</f>
        <v>n/a</v>
      </c>
      <c r="AP36" s="315" t="str">
        <f>IF(INDEX(tab_MinKomp[FMEA],MATCH($B35,tab_MinKomp[[Stanowisko / Position ]:[Stanowisko / Position ]],0))="n/a","n/a",AP35-INDEX(tab_MinKomp[FMEA],MATCH($B35,tab_MinKomp[[Stanowisko / Position ]:[Stanowisko / Position ]],0)))</f>
        <v>n/a</v>
      </c>
      <c r="AQ36" s="315" t="str">
        <f>IF(INDEX(tab_MinKomp[FLOW CHART],MATCH($B35,tab_MinKomp[[Stanowisko / Position ]:[Stanowisko / Position ]],0))="n/a","n/a",AQ35-INDEX(tab_MinKomp[FLOW CHART],MATCH($B35,tab_MinKomp[[Stanowisko / Position ]:[Stanowisko / Position ]],0)))</f>
        <v>n/a</v>
      </c>
      <c r="AR36" s="315" t="str">
        <f>IF(INDEX(tab_MinKomp[APQP],MATCH($B35,tab_MinKomp[[Stanowisko / Position ]:[Stanowisko / Position ]],0))="n/a","n/a",AR35-INDEX(tab_MinKomp[APQP],MATCH($B35,tab_MinKomp[[Stanowisko / Position ]:[Stanowisko / Position ]],0)))</f>
        <v>n/a</v>
      </c>
      <c r="AS36" s="315" t="str">
        <f>IF(INDEX(tab_MinKomp[MSA],MATCH($B35,tab_MinKomp[[Stanowisko / Position ]:[Stanowisko / Position ]],0))="n/a","n/a",AS35-INDEX(tab_MinKomp[MSA],MATCH($B35,tab_MinKomp[[Stanowisko / Position ]:[Stanowisko / Position ]],0)))</f>
        <v>n/a</v>
      </c>
      <c r="AT36" s="315" t="str">
        <f>IF(INDEX(tab_MinKomp[SPC],MATCH($B35,tab_MinKomp[[Stanowisko / Position ]:[Stanowisko / Position ]],0))="n/a","n/a",AT35-INDEX(tab_MinKomp[SPC],MATCH($B35,tab_MinKomp[[Stanowisko / Position ]:[Stanowisko / Position ]],0)))</f>
        <v>n/a</v>
      </c>
      <c r="AU36" s="315" t="str">
        <f>IF(INDEX(tab_MinKomp[CSR (SPECYFICZNE WYMAGANIA KLIENTA)],MATCH($B35,tab_MinKomp[[Stanowisko / Position ]:[Stanowisko / Position ]],0))="n/a","n/a",AU35-INDEX(tab_MinKomp[CSR (SPECYFICZNE WYMAGANIA KLIENTA)],MATCH($B35,tab_MinKomp[[Stanowisko / Position ]:[Stanowisko / Position ]],0)))</f>
        <v>n/a</v>
      </c>
      <c r="AV36" s="315">
        <f>IF(INDEX(tab_MinKomp[5S],MATCH($B35,tab_MinKomp[[Stanowisko / Position ]:[Stanowisko / Position ]],0))="n/a","n/a",AV35-INDEX(tab_MinKomp[5S],MATCH($B35,tab_MinKomp[[Stanowisko / Position ]:[Stanowisko / Position ]],0)))</f>
        <v>0</v>
      </c>
      <c r="AW36" s="315">
        <f>IF(INDEX(tab_MinKomp[LEAN MANAGEMENT],MATCH($B35,tab_MinKomp[[Stanowisko / Position ]:[Stanowisko / Position ]],0))="n/a","n/a",AW35-INDEX(tab_MinKomp[LEAN MANAGEMENT],MATCH($B35,tab_MinKomp[[Stanowisko / Position ]:[Stanowisko / Position ]],0)))</f>
        <v>0</v>
      </c>
      <c r="AX36" s="315">
        <f>IF(INDEX(tab_MinKomp[5R],MATCH($B35,tab_MinKomp[[Stanowisko / Position ]:[Stanowisko / Position ]],0))="n/a","n/a",AX35-INDEX(tab_MinKomp[5R],MATCH($B35,tab_MinKomp[[Stanowisko / Position ]:[Stanowisko / Position ]],0)))</f>
        <v>0</v>
      </c>
      <c r="AY36" s="315" t="str">
        <f>IF(INDEX(tab_MinKomp[Six Sigma],MATCH($B35,tab_MinKomp[[Stanowisko / Position ]:[Stanowisko / Position ]],0))="n/a","n/a",AY35-INDEX(tab_MinKomp[Six Sigma],MATCH($B35,tab_MinKomp[[Stanowisko / Position ]:[Stanowisko / Position ]],0)))</f>
        <v>n/a</v>
      </c>
      <c r="AZ36" s="315">
        <f>IF(INDEX(tab_MinKomp[System BAAN / Distribution &amp; Supply Chain],MATCH($B35,tab_MinKomp[[Stanowisko / Position ]:[Stanowisko / Position ]],0))="n/a","n/a",AZ35-INDEX(tab_MinKomp[System BAAN / Distribution &amp; Supply Chain],MATCH($B35,tab_MinKomp[[Stanowisko / Position ]:[Stanowisko / Position ]],0)))</f>
        <v>0</v>
      </c>
      <c r="BA36" s="315">
        <f>IF(INDEX(tab_MinKomp[Gospodarka magazynowa / Lagerverwaltung],MATCH($B35,tab_MinKomp[[Stanowisko / Position ]:[Stanowisko / Position ]],0))="n/a","n/a",BA35-INDEX(tab_MinKomp[Gospodarka magazynowa / Lagerverwaltung],MATCH($B35,tab_MinKomp[[Stanowisko / Position ]:[Stanowisko / Position ]],0)))</f>
        <v>0</v>
      </c>
      <c r="BB36" s="315">
        <f>IF(INDEX(tab_MinKomp[Inwentaryzacja - organizacja i przebieg / Inventurprozess],MATCH($B35,tab_MinKomp[[Stanowisko / Position ]:[Stanowisko / Position ]],0))="n/a","n/a",BB35-INDEX(tab_MinKomp[Inwentaryzacja - organizacja i przebieg / Inventurprozess],MATCH($B35,tab_MinKomp[[Stanowisko / Position ]:[Stanowisko / Position ]],0)))</f>
        <v>0</v>
      </c>
      <c r="BC36" s="315">
        <f>IF(INDEX(tab_MinKomp[Organizacja dostaw / Versorgungsorganisation],MATCH($B35,tab_MinKomp[[Stanowisko / Position ]:[Stanowisko / Position ]],0))="n/a","n/a",BC35-INDEX(tab_MinKomp[Organizacja dostaw / Versorgungsorganisation],MATCH($B35,tab_MinKomp[[Stanowisko / Position ]:[Stanowisko / Position ]],0)))</f>
        <v>0</v>
      </c>
      <c r="BD36" s="315">
        <f>IF(INDEX(tab_MinKomp[Organizacja wysyłek / Organisation von Lieferungen],MATCH($B35,tab_MinKomp[[Stanowisko / Position ]:[Stanowisko / Position ]],0))="n/a","n/a",BD35-INDEX(tab_MinKomp[Organizacja wysyłek / Organisation von Lieferungen],MATCH($B35,tab_MinKomp[[Stanowisko / Position ]:[Stanowisko / Position ]],0)))</f>
        <v>0</v>
      </c>
      <c r="BE36" s="315">
        <f>IF(INDEX(tab_MinKomp[Analiza magazynowa - Program Polen.mdb / Inventuranalyse],MATCH($B35,tab_MinKomp[[Stanowisko / Position ]:[Stanowisko / Position ]],0))="n/a","n/a",BE35-INDEX(tab_MinKomp[Analiza magazynowa - Program Polen.mdb / Inventuranalyse],MATCH($B35,tab_MinKomp[[Stanowisko / Position ]:[Stanowisko / Position ]],0)))</f>
        <v>0</v>
      </c>
      <c r="BF36" s="315" t="str">
        <f>IF(INDEX(tab_MinKomp[MMOG (Materials Management Operations Guidelines)],MATCH($B35,tab_MinKomp[[Stanowisko / Position ]:[Stanowisko / Position ]],0))="n/a","n/a",BF35-INDEX(tab_MinKomp[MMOG (Materials Management Operations Guidelines)],MATCH($B35,tab_MinKomp[[Stanowisko / Position ]:[Stanowisko / Position ]],0)))</f>
        <v>n/a</v>
      </c>
      <c r="BG36" s="315" t="str">
        <f>IF(INDEX(tab_MinKomp[DETC],MATCH($B35,tab_MinKomp[[Stanowisko / Position ]:[Stanowisko / Position ]],0))="n/a","n/a",BG35-INDEX(tab_MinKomp[DETC],MATCH($B35,tab_MinKomp[[Stanowisko / Position ]:[Stanowisko / Position ]],0)))</f>
        <v>n/a</v>
      </c>
      <c r="BH36" s="315" t="str">
        <f>IF(INDEX(tab_MinKomp[GPP],MATCH($B35,tab_MinKomp[[Stanowisko / Position ]:[Stanowisko / Position ]],0))="n/a","n/a",BH35-INDEX(tab_MinKomp[GPP],MATCH($B35,tab_MinKomp[[Stanowisko / Position ]:[Stanowisko / Position ]],0)))</f>
        <v>n/a</v>
      </c>
      <c r="BI36" s="315" t="str">
        <f>IF(INDEX(tab_MinKomp[AIAG (Automotive Industry Action Group)],MATCH($B35,tab_MinKomp[[Stanowisko / Position ]:[Stanowisko / Position ]],0))="n/a","n/a",BI35-INDEX(tab_MinKomp[AIAG (Automotive Industry Action Group)],MATCH($B35,tab_MinKomp[[Stanowisko / Position ]:[Stanowisko / Position ]],0)))</f>
        <v>n/a</v>
      </c>
      <c r="BJ36" s="315" t="str">
        <f>IF(INDEX(tab_MinKomp[Super-G disputes],MATCH($B35,tab_MinKomp[[Stanowisko / Position ]:[Stanowisko / Position ]],0))="n/a","n/a",BJ35-INDEX(tab_MinKomp[Super-G disputes],MATCH($B35,tab_MinKomp[[Stanowisko / Position ]:[Stanowisko / Position ]],0)))</f>
        <v>n/a</v>
      </c>
      <c r="BK36" s="315" t="str">
        <f>IF(INDEX(tab_MinKomp[CMMS3/eDDL (Direct Data Link)],MATCH($B35,tab_MinKomp[[Stanowisko / Position ]:[Stanowisko / Position ]],0))="n/a","n/a",BK35-INDEX(tab_MinKomp[CMMS3/eDDL (Direct Data Link)],MATCH($B35,tab_MinKomp[[Stanowisko / Position ]:[Stanowisko / Position ]],0)))</f>
        <v>n/a</v>
      </c>
      <c r="BL36" s="315" t="str">
        <f>IF(INDEX(tab_MinKomp[MP&amp;L (Material Planning and Logistics)],MATCH($B35,tab_MinKomp[[Stanowisko / Position ]:[Stanowisko / Position ]],0))="n/a","n/a",BL35-INDEX(tab_MinKomp[MP&amp;L (Material Planning and Logistics)],MATCH($B35,tab_MinKomp[[Stanowisko / Position ]:[Stanowisko / Position ]],0)))</f>
        <v>n/a</v>
      </c>
      <c r="BM36" s="315" t="str">
        <f>IF(INDEX(tab_MinKomp[Planowanie produkcji / Produktionsplanung],MATCH($B35,tab_MinKomp[[Stanowisko / Position ]:[Stanowisko / Position ]],0))="n/a","n/a",BM35-INDEX(tab_MinKomp[Planowanie produkcji / Produktionsplanung],MATCH($B35,tab_MinKomp[[Stanowisko / Position ]:[Stanowisko / Position ]],0)))</f>
        <v>n/a</v>
      </c>
      <c r="BN36" s="315" t="str">
        <f>IF(INDEX(tab_MinKomp[Obsługa maszyn Engel / Engel Maschinenbedienung],MATCH($B35,tab_MinKomp[[Stanowisko / Position ]:[Stanowisko / Position ]],0))="n/a","n/a",BN35-INDEX(tab_MinKomp[Obsługa maszyn Engel / Engel Maschinenbedienung],MATCH($B35,tab_MinKomp[[Stanowisko / Position ]:[Stanowisko / Position ]],0)))</f>
        <v>n/a</v>
      </c>
      <c r="BO36" s="315" t="str">
        <f>IF(INDEX(tab_MinKomp[Obsługa maszyn Novapax / Novapax Maschinenbedienung],MATCH($B35,tab_MinKomp[[Stanowisko / Position ]:[Stanowisko / Position ]],0))="n/a","n/a",BO35-INDEX(tab_MinKomp[Obsługa maszyn Novapax / Novapax Maschinenbedienung],MATCH($B35,tab_MinKomp[[Stanowisko / Position ]:[Stanowisko / Position ]],0)))</f>
        <v>n/a</v>
      </c>
      <c r="BP36" s="315" t="str">
        <f>IF(INDEX(tab_MinKomp[Obsługa maszyn KVT / KVT Maschinenbedienung],MATCH($B35,tab_MinKomp[[Stanowisko / Position ]:[Stanowisko / Position ]],0))="n/a","n/a",BP35-INDEX(tab_MinKomp[Obsługa maszyn KVT / KVT Maschinenbedienung],MATCH($B35,tab_MinKomp[[Stanowisko / Position ]:[Stanowisko / Position ]],0)))</f>
        <v>n/a</v>
      </c>
      <c r="BQ36" s="315" t="str">
        <f>IF(INDEX(tab_MinKomp[Obsługa maszyn ASL / ASL Maschinenbedienung],MATCH($B35,tab_MinKomp[[Stanowisko / Position ]:[Stanowisko / Position ]],0))="n/a","n/a",BQ35-INDEX(tab_MinKomp[Obsługa maszyn ASL / ASL Maschinenbedienung],MATCH($B35,tab_MinKomp[[Stanowisko / Position ]:[Stanowisko / Position ]],0)))</f>
        <v>n/a</v>
      </c>
      <c r="BR36" s="315" t="str">
        <f>IF(INDEX(tab_MinKomp[Obsługa maszyn Branson / Branson Maschinenbedienung],MATCH($B35,tab_MinKomp[[Stanowisko / Position ]:[Stanowisko / Position ]],0))="n/a","n/a",BR35-INDEX(tab_MinKomp[Obsługa maszyn Branson / Branson Maschinenbedienung],MATCH($B35,tab_MinKomp[[Stanowisko / Position ]:[Stanowisko / Position ]],0)))</f>
        <v>n/a</v>
      </c>
      <c r="BS36" s="315" t="str">
        <f>IF(INDEX(tab_MinKomp[Obsługa maszyn Kamtec / Kamtec Maschinenbedienung],MATCH($B35,tab_MinKomp[[Stanowisko / Position ]:[Stanowisko / Position ]],0))="n/a","n/a",BS35-INDEX(tab_MinKomp[Obsługa maszyn Kamtec / Kamtec Maschinenbedienung],MATCH($B35,tab_MinKomp[[Stanowisko / Position ]:[Stanowisko / Position ]],0)))</f>
        <v>n/a</v>
      </c>
      <c r="BT36" s="315" t="str">
        <f>IF(INDEX(tab_MinKomp[Obsługa maszyn Piovan / Piovan Maschinenbedienung],MATCH($B35,tab_MinKomp[[Stanowisko / Position ]:[Stanowisko / Position ]],0))="n/a","n/a",BT35-INDEX(tab_MinKomp[Obsługa maszyn Piovan / Piovan Maschinenbedienung],MATCH($B35,tab_MinKomp[[Stanowisko / Position ]:[Stanowisko / Position ]],0)))</f>
        <v>n/a</v>
      </c>
      <c r="BU36" s="315" t="str">
        <f>IF(INDEX(tab_MinKomp[Obsługa maszyn REP / REP Maschinenbedienung],MATCH($B35,tab_MinKomp[[Stanowisko / Position ]:[Stanowisko / Position ]],0))="n/a","n/a",BU35-INDEX(tab_MinKomp[Obsługa maszyn REP / REP Maschinenbedienung],MATCH($B35,tab_MinKomp[[Stanowisko / Position ]:[Stanowisko / Position ]],0)))</f>
        <v>n/a</v>
      </c>
      <c r="BV36" s="315" t="str">
        <f>IF(INDEX(tab_MinKomp[Eliminacja awarii / Beseitigung von Ausfällen],MATCH($B35,tab_MinKomp[[Stanowisko / Position ]:[Stanowisko / Position ]],0))="n/a","n/a",BV35-INDEX(tab_MinKomp[Eliminacja awarii / Beseitigung von Ausfällen],MATCH($B35,tab_MinKomp[[Stanowisko / Position ]:[Stanowisko / Position ]],0)))</f>
        <v>n/a</v>
      </c>
      <c r="BW36" s="315" t="str">
        <f>IF(INDEX(tab_MinKomp[Informatyka ogólna (techniczne i systemowe) / Allgemeine IT (Technik und System)],MATCH($B35,tab_MinKomp[[Stanowisko / Position ]:[Stanowisko / Position ]],0))="n/a","n/a",BW35-INDEX(tab_MinKomp[Informatyka ogólna (techniczne i systemowe) / Allgemeine IT (Technik und System)],MATCH($B35,tab_MinKomp[[Stanowisko / Position ]:[Stanowisko / Position ]],0)))</f>
        <v>n/a</v>
      </c>
      <c r="BX36" s="315" t="str">
        <f>IF(INDEX(tab_MinKomp[Sieci komputerowe / Computernetzwerke],MATCH($B35,tab_MinKomp[[Stanowisko / Position ]:[Stanowisko / Position ]],0))="n/a","n/a",BX35-INDEX(tab_MinKomp[Sieci komputerowe / Computernetzwerke],MATCH($B35,tab_MinKomp[[Stanowisko / Position ]:[Stanowisko / Position ]],0)))</f>
        <v>n/a</v>
      </c>
      <c r="BY36" s="315" t="str">
        <f>IF(INDEX(tab_MinKomp[Hardware (komputery PC, drukarki biurowe i etykietowe, telefonia stacjonarna i mobilna) (PC, Drucker, Telefpne, Handys)],MATCH($B35,tab_MinKomp[[Stanowisko / Position ]:[Stanowisko / Position ]],0))="n/a","n/a",BY35-INDEX(tab_MinKomp[Hardware (komputery PC, drukarki biurowe i etykietowe, telefonia stacjonarna i mobilna) (PC, Drucker, Telefpne, Handys)],MATCH($B35,tab_MinKomp[[Stanowisko / Position ]:[Stanowisko / Position ]],0)))</f>
        <v>n/a</v>
      </c>
      <c r="BZ36" s="315" t="str">
        <f>IF(INDEX(tab_MinKomp[Software &amp; Systems (MS Office, MS Remote Desktop)],MATCH($B35,tab_MinKomp[[Stanowisko / Position ]:[Stanowisko / Position ]],0))="n/a","n/a",BZ35-INDEX(tab_MinKomp[Software &amp; Systems (MS Office, MS Remote Desktop)],MATCH($B35,tab_MinKomp[[Stanowisko / Position ]:[Stanowisko / Position ]],0)))</f>
        <v>n/a</v>
      </c>
      <c r="CA36" s="315" t="str">
        <f>IF(INDEX(tab_MinKomp[Programowanie obiektowe (PHP) / Objektprogrammierung],MATCH($B35,tab_MinKomp[[Stanowisko / Position ]:[Stanowisko / Position ]],0))="n/a","n/a",CA35-INDEX(tab_MinKomp[Programowanie obiektowe (PHP) / Objektprogrammierung],MATCH($B35,tab_MinKomp[[Stanowisko / Position ]:[Stanowisko / Position ]],0)))</f>
        <v>n/a</v>
      </c>
      <c r="CB36" s="315" t="str">
        <f>IF(INDEX(tab_MinKomp[Scrum],MATCH($B35,tab_MinKomp[[Stanowisko / Position ]:[Stanowisko / Position ]],0))="n/a","n/a",CB35-INDEX(tab_MinKomp[Scrum],MATCH($B35,tab_MinKomp[[Stanowisko / Position ]:[Stanowisko / Position ]],0)))</f>
        <v>n/a</v>
      </c>
      <c r="CC36" s="315" t="str">
        <f>IF(INDEX(tab_MinKomp[SQL (MySQL)],MATCH($B35,tab_MinKomp[[Stanowisko / Position ]:[Stanowisko / Position ]],0))="n/a","n/a",CC35-INDEX(tab_MinKomp[SQL (MySQL)],MATCH($B35,tab_MinKomp[[Stanowisko / Position ]:[Stanowisko / Position ]],0)))</f>
        <v>n/a</v>
      </c>
      <c r="CD36" s="315" t="str">
        <f>IF(INDEX(tab_MinKomp[Javascript],MATCH($B35,tab_MinKomp[[Stanowisko / Position ]:[Stanowisko / Position ]],0))="n/a","n/a",CD35-INDEX(tab_MinKomp[Javascript],MATCH($B35,tab_MinKomp[[Stanowisko / Position ]:[Stanowisko / Position ]],0)))</f>
        <v>n/a</v>
      </c>
      <c r="CE36" s="315" t="str">
        <f>IF(INDEX(tab_MinKomp[Joomla],MATCH($B35,tab_MinKomp[[Stanowisko / Position ]:[Stanowisko / Position ]],0))="n/a","n/a",CE35-INDEX(tab_MinKomp[Joomla],MATCH($B35,tab_MinKomp[[Stanowisko / Position ]:[Stanowisko / Position ]],0)))</f>
        <v>n/a</v>
      </c>
      <c r="CF36" s="315" t="str">
        <f>IF(INDEX(tab_MinKomp[Bash],MATCH($B35,tab_MinKomp[[Stanowisko / Position ]:[Stanowisko / Position ]],0))="n/a","n/a",CF35-INDEX(tab_MinKomp[Bash],MATCH($B35,tab_MinKomp[[Stanowisko / Position ]:[Stanowisko / Position ]],0)))</f>
        <v>n/a</v>
      </c>
      <c r="CG36" s="315" t="str">
        <f>IF(INDEX(tab_MinKomp[Systemy MES (HYDRA / SFMS)],MATCH($B35,tab_MinKomp[[Stanowisko / Position ]:[Stanowisko / Position ]],0))="n/a","n/a",CG35-INDEX(tab_MinKomp[Systemy MES (HYDRA / SFMS)],MATCH($B35,tab_MinKomp[[Stanowisko / Position ]:[Stanowisko / Position ]],0)))</f>
        <v>n/a</v>
      </c>
      <c r="CH36" s="315" t="str">
        <f>IF(INDEX(tab_MinKomp[HTML / CSS],MATCH($B35,tab_MinKomp[[Stanowisko / Position ]:[Stanowisko / Position ]],0))="n/a","n/a",CH35-INDEX(tab_MinKomp[HTML / CSS],MATCH($B35,tab_MinKomp[[Stanowisko / Position ]:[Stanowisko / Position ]],0)))</f>
        <v>n/a</v>
      </c>
      <c r="CI36" s="315">
        <f>IF(INDEX(tab_MinKomp[SYSTEM PR],MATCH($B35,tab_MinKomp[[Stanowisko / Position ]:[Stanowisko / Position ]],0))="n/a","n/a",CI35-INDEX(tab_MinKomp[SYSTEM PR],MATCH($B35,tab_MinKomp[[Stanowisko / Position ]:[Stanowisko / Position ]],0)))</f>
        <v>0</v>
      </c>
      <c r="CJ36" s="315">
        <f>IF(INDEX(tab_MinKomp[System Einkauf XP / EBA],MATCH($B35,tab_MinKomp[[Stanowisko / Position ]:[Stanowisko / Position ]],0))="n/a","n/a",CJ35-INDEX(tab_MinKomp[System Einkauf XP / EBA],MATCH($B35,tab_MinKomp[[Stanowisko / Position ]:[Stanowisko / Position ]],0)))</f>
        <v>0</v>
      </c>
      <c r="CK36" s="315" t="str">
        <f>IF(INDEX(tab_MinKomp[Techniki negocjacyjne / Verhandlungstechniken],MATCH($B35,tab_MinKomp[[Stanowisko / Position ]:[Stanowisko / Position ]],0))="n/a","n/a",CK35-INDEX(tab_MinKomp[Techniki negocjacyjne / Verhandlungstechniken],MATCH($B35,tab_MinKomp[[Stanowisko / Position ]:[Stanowisko / Position ]],0)))</f>
        <v>n/a</v>
      </c>
      <c r="CL36" s="315" t="str">
        <f>IF(INDEX(tab_MinKomp[Znajomość rynku branżowego / Kenntnis des Industrie Marktes],MATCH($B35,tab_MinKomp[[Stanowisko / Position ]:[Stanowisko / Position ]],0))="n/a","n/a",CL35-INDEX(tab_MinKomp[Znajomość rynku branżowego / Kenntnis des Industrie Marktes],MATCH($B35,tab_MinKomp[[Stanowisko / Position ]:[Stanowisko / Position ]],0)))</f>
        <v>n/a</v>
      </c>
      <c r="CM36" s="315">
        <f>IF(INDEX(tab_MinKomp[RAPORTY 8D / 8D Berichten],MATCH($B35,tab_MinKomp[[Stanowisko / Position ]:[Stanowisko / Position ]],0))="n/a","n/a",CM35-INDEX(tab_MinKomp[RAPORTY 8D / 8D Berichten],MATCH($B35,tab_MinKomp[[Stanowisko / Position ]:[Stanowisko / Position ]],0)))</f>
        <v>0</v>
      </c>
      <c r="CN36" s="315" t="str">
        <f>IF(INDEX(tab_MinKomp[NARZĘDZIA JAKOŚCIOWE (5WHY, Ishikawa, etc) / QS-Werkzeuge],MATCH($B35,tab_MinKomp[[Stanowisko / Position ]:[Stanowisko / Position ]],0))="n/a","n/a",CN35-INDEX(tab_MinKomp[NARZĘDZIA JAKOŚCIOWE (5WHY, Ishikawa, etc) / QS-Werkzeuge],MATCH($B35,tab_MinKomp[[Stanowisko / Position ]:[Stanowisko / Position ]],0)))</f>
        <v>n/a</v>
      </c>
      <c r="CO36" s="315" t="str">
        <f>IF(INDEX(tab_MinKomp[PDCA],MATCH($B35,tab_MinKomp[[Stanowisko / Position ]:[Stanowisko / Position ]],0))="n/a","n/a",CO35-INDEX(tab_MinKomp[PDCA],MATCH($B35,tab_MinKomp[[Stanowisko / Position ]:[Stanowisko / Position ]],0)))</f>
        <v>n/a</v>
      </c>
      <c r="CP36" s="315" t="str">
        <f>IF(INDEX(tab_MinKomp[Pareto],MATCH($B35,tab_MinKomp[[Stanowisko / Position ]:[Stanowisko / Position ]],0))="n/a","n/a",CP35-INDEX(tab_MinKomp[Pareto],MATCH($B35,tab_MinKomp[[Stanowisko / Position ]:[Stanowisko / Position ]],0)))</f>
        <v>n/a</v>
      </c>
      <c r="CQ36" s="315" t="str">
        <f>IF(INDEX(tab_MinKomp[PPAP/PSW],MATCH($B35,tab_MinKomp[[Stanowisko / Position ]:[Stanowisko / Position ]],0))="n/a","n/a",CQ35-INDEX(tab_MinKomp[PPAP/PSW],MATCH($B35,tab_MinKomp[[Stanowisko / Position ]:[Stanowisko / Position ]],0)))</f>
        <v>n/a</v>
      </c>
      <c r="CR36" s="315" t="str">
        <f>IF(INDEX(tab_MinKomp[SUPPLIER MANAGEMENT],MATCH($B35,tab_MinKomp[[Stanowisko / Position ]:[Stanowisko / Position ]],0))="n/a","n/a",CR35-INDEX(tab_MinKomp[SUPPLIER MANAGEMENT],MATCH($B35,tab_MinKomp[[Stanowisko / Position ]:[Stanowisko / Position ]],0)))</f>
        <v>n/a</v>
      </c>
      <c r="CS36" s="315" t="str">
        <f>IF(INDEX(tab_MinKomp[OBSŁUGA PORTALI KLIENTA / Kundenportale],MATCH($B35,tab_MinKomp[[Stanowisko / Position ]:[Stanowisko / Position ]],0))="n/a","n/a",CS35-INDEX(tab_MinKomp[OBSŁUGA PORTALI KLIENTA / Kundenportale],MATCH($B35,tab_MinKomp[[Stanowisko / Position ]:[Stanowisko / Position ]],0)))</f>
        <v>n/a</v>
      </c>
      <c r="CT36" s="315" t="str">
        <f>IF(INDEX(tab_MinKomp[Obsługa systemu BABTECQ / BABTECQ System],MATCH($B35,tab_MinKomp[[Stanowisko / Position ]:[Stanowisko / Position ]],0))="n/a","n/a",CT35-INDEX(tab_MinKomp[Obsługa systemu BABTECQ / BABTECQ System],MATCH($B35,tab_MinKomp[[Stanowisko / Position ]:[Stanowisko / Position ]],0)))</f>
        <v>n/a</v>
      </c>
      <c r="CU36" s="315" t="str">
        <f>IF(INDEX(tab_MinKomp[Rysunek techniczny / technische Zeichnung],MATCH($B35,tab_MinKomp[[Stanowisko / Position ]:[Stanowisko / Position ]],0))="n/a","n/a",CU35-INDEX(tab_MinKomp[Rysunek techniczny / technische Zeichnung],MATCH($B35,tab_MinKomp[[Stanowisko / Position ]:[Stanowisko / Position ]],0)))</f>
        <v>n/a</v>
      </c>
      <c r="CV36" s="315" t="str">
        <f>IF(INDEX(tab_MinKomp[Kalibracja / Kalibrierung],MATCH($B35,tab_MinKomp[[Stanowisko / Position ]:[Stanowisko / Position ]],0))="n/a","n/a",CV35-INDEX(tab_MinKomp[Kalibracja / Kalibrierung],MATCH($B35,tab_MinKomp[[Stanowisko / Position ]:[Stanowisko / Position ]],0)))</f>
        <v>n/a</v>
      </c>
      <c r="CW36" s="315" t="str">
        <f>IF(INDEX(tab_MinKomp[Rekwalifikacja / Requalifizierung],MATCH($B35,tab_MinKomp[[Stanowisko / Position ]:[Stanowisko / Position ]],0))="n/a","n/a",CW35-INDEX(tab_MinKomp[Rekwalifikacja / Requalifizierung],MATCH($B35,tab_MinKomp[[Stanowisko / Position ]:[Stanowisko / Position ]],0)))</f>
        <v>n/a</v>
      </c>
      <c r="CX36" s="315" t="str">
        <f>IF(INDEX(tab_MinKomp[Obsługa mikroskopu optycznego / Bedienung eines optischen Mikroskops],MATCH($B35,tab_MinKomp[[Stanowisko / Position ]:[Stanowisko / Position ]],0))="n/a","n/a",CX35-INDEX(tab_MinKomp[Obsługa mikroskopu optycznego / Bedienung eines optischen Mikroskops],MATCH($B35,tab_MinKomp[[Stanowisko / Position ]:[Stanowisko / Position ]],0)))</f>
        <v>n/a</v>
      </c>
      <c r="CY36" s="315" t="str">
        <f>IF(INDEX(tab_MinKomp[Wykonywanie pomiarów optycznych - ocena wizualna / Optische Messungen durchführen – visuelle Beurteilung],MATCH($B35,tab_MinKomp[[Stanowisko / Position ]:[Stanowisko / Position ]],0))="n/a","n/a",CY35-INDEX(tab_MinKomp[Wykonywanie pomiarów optycznych - ocena wizualna / Optische Messungen durchführen – visuelle Beurteilung],MATCH($B35,tab_MinKomp[[Stanowisko / Position ]:[Stanowisko / Position ]],0)))</f>
        <v>n/a</v>
      </c>
      <c r="CZ36" s="315" t="str">
        <f>IF(INDEX(tab_MinKomp[Obsługa Rheometra / Rheometra-Unterstützung],MATCH($B35,tab_MinKomp[[Stanowisko / Position ]:[Stanowisko / Position ]],0))="n/a","n/a",CZ35-INDEX(tab_MinKomp[Obsługa Rheometra / Rheometra-Unterstützung],MATCH($B35,tab_MinKomp[[Stanowisko / Position ]:[Stanowisko / Position ]],0)))</f>
        <v>n/a</v>
      </c>
      <c r="DA36" s="315" t="str">
        <f>IF(INDEX(tab_MinKomp[Testy właściwości Rheometra mieszanki gumy],MATCH($B35,tab_MinKomp[[Stanowisko / Position ]:[Stanowisko / Position ]],0))="n/a","n/a",DA35-INDEX(tab_MinKomp[Testy właściwości Rheometra mieszanki gumy],MATCH($B35,tab_MinKomp[[Stanowisko / Position ]:[Stanowisko / Position ]],0)))</f>
        <v>n/a</v>
      </c>
      <c r="DB36" s="315" t="str">
        <f>IF(INDEX(tab_MinKomp[CMM - Contura Zeiss],MATCH($B35,tab_MinKomp[[Stanowisko / Position ]:[Stanowisko / Position ]],0))="n/a","n/a",DB35-INDEX(tab_MinKomp[CMM - Contura Zeiss],MATCH($B35,tab_MinKomp[[Stanowisko / Position ]:[Stanowisko / Position ]],0)))</f>
        <v>n/a</v>
      </c>
      <c r="DC36" s="315" t="str">
        <f>IF(INDEX(tab_MinKomp[Wykonywanie precyzyjnych pomiarów metrycznych, pomiary 3D],MATCH($B35,tab_MinKomp[[Stanowisko / Position ]:[Stanowisko / Position ]],0))="n/a","n/a",DC35-INDEX(tab_MinKomp[Wykonywanie precyzyjnych pomiarów metrycznych, pomiary 3D],MATCH($B35,tab_MinKomp[[Stanowisko / Position ]:[Stanowisko / Position ]],0)))</f>
        <v>n/a</v>
      </c>
      <c r="DD36" s="315" t="str">
        <f>IF(INDEX(tab_MinKomp[Pisanie programów / Programme schreiben],MATCH($B35,tab_MinKomp[[Stanowisko / Position ]:[Stanowisko / Position ]],0))="n/a","n/a",DD35-INDEX(tab_MinKomp[Pisanie programów / Programme schreiben],MATCH($B35,tab_MinKomp[[Stanowisko / Position ]:[Stanowisko / Position ]],0)))</f>
        <v>n/a</v>
      </c>
      <c r="DE36" s="315" t="str">
        <f>IF(INDEX(tab_MinKomp[Obsługa wyposażenia do testów czystości (myjka + analizator) / Betrieb von Sauberkeitsprüfgeräten (Waschmaschine + Analysegerät)],MATCH($B35,tab_MinKomp[[Stanowisko / Position ]:[Stanowisko / Position ]],0))="n/a","n/a",DE35-INDEX(tab_MinKomp[Obsługa wyposażenia do testów czystości (myjka + analizator) / Betrieb von Sauberkeitsprüfgeräten (Waschmaschine + Analysegerät)],MATCH($B35,tab_MinKomp[[Stanowisko / Position ]:[Stanowisko / Position ]],0)))</f>
        <v>n/a</v>
      </c>
      <c r="DF36" s="315" t="str">
        <f>IF(INDEX(tab_MinKomp[Testy czystości / Reinheitstests],MATCH($B35,tab_MinKomp[[Stanowisko / Position ]:[Stanowisko / Position ]],0))="n/a","n/a",DF35-INDEX(tab_MinKomp[Testy czystości / Reinheitstests],MATCH($B35,tab_MinKomp[[Stanowisko / Position ]:[Stanowisko / Position ]],0)))</f>
        <v>n/a</v>
      </c>
      <c r="DG36" s="315" t="str">
        <f>IF(INDEX(tab_MinKomp[Obsługa wysokościomierza / Unterstützung für Höhenmesser],MATCH($B35,tab_MinKomp[[Stanowisko / Position ]:[Stanowisko / Position ]],0))="n/a","n/a",DG35-INDEX(tab_MinKomp[Obsługa wysokościomierza / Unterstützung für Höhenmesser],MATCH($B35,tab_MinKomp[[Stanowisko / Position ]:[Stanowisko / Position ]],0)))</f>
        <v>n/a</v>
      </c>
      <c r="DH36" s="315" t="str">
        <f>IF(INDEX(tab_MinKomp[Pomiary wysokości materiału / Materialhöhenmessungen],MATCH($B35,tab_MinKomp[[Stanowisko / Position ]:[Stanowisko / Position ]],0))="n/a","n/a",DH35-INDEX(tab_MinKomp[Pomiary wysokości materiału / Materialhöhenmessungen],MATCH($B35,tab_MinKomp[[Stanowisko / Position ]:[Stanowisko / Position ]],0)))</f>
        <v>n/a</v>
      </c>
      <c r="DI36" s="315" t="str">
        <f>IF(INDEX(tab_MinKomp[Obsługa okrągłościomierza / Unterstützung für Rundheitsmessgeräte],MATCH($B35,tab_MinKomp[[Stanowisko / Position ]:[Stanowisko / Position ]],0))="n/a","n/a",DI35-INDEX(tab_MinKomp[Obsługa okrągłościomierza / Unterstützung für Rundheitsmessgeräte],MATCH($B35,tab_MinKomp[[Stanowisko / Position ]:[Stanowisko / Position ]],0)))</f>
        <v>n/a</v>
      </c>
      <c r="DJ36" s="315" t="str">
        <f>IF(INDEX(tab_MinKomp[Wykonywania pomiarów owalności, srednicy materiału / Messung der Ovalität und des Durchmessers des Materials],MATCH($B35,tab_MinKomp[[Stanowisko / Position ]:[Stanowisko / Position ]],0))="n/a","n/a",DJ35-INDEX(tab_MinKomp[Wykonywania pomiarów owalności, srednicy materiału / Messung der Ovalität und des Durchmessers des Materials],MATCH($B35,tab_MinKomp[[Stanowisko / Position ]:[Stanowisko / Position ]],0)))</f>
        <v>n/a</v>
      </c>
      <c r="DK36" s="315" t="str">
        <f>IF(INDEX(tab_MinKomp[Obsługa urządzenia do pomiarów chropowoatości powierzchni materiału],MATCH($B35,tab_MinKomp[[Stanowisko / Position ]:[Stanowisko / Position ]],0))="n/a","n/a",DK35-INDEX(tab_MinKomp[Obsługa urządzenia do pomiarów chropowoatości powierzchni materiału],MATCH($B35,tab_MinKomp[[Stanowisko / Position ]:[Stanowisko / Position ]],0)))</f>
        <v>n/a</v>
      </c>
      <c r="DL36" s="315" t="str">
        <f>IF(INDEX(tab_MinKomp[Wykonywanie pomiarów chropowatości powierzchni materiału / Durchführung von Messungen der Materialoberflächenrauheit],MATCH($B35,tab_MinKomp[[Stanowisko / Position ]:[Stanowisko / Position ]],0))="n/a","n/a",DL35-INDEX(tab_MinKomp[Wykonywanie pomiarów chropowatości powierzchni materiału / Durchführung von Messungen der Materialoberflächenrauheit],MATCH($B35,tab_MinKomp[[Stanowisko / Position ]:[Stanowisko / Position ]],0)))</f>
        <v>n/a</v>
      </c>
      <c r="DM36" s="315" t="str">
        <f>IF(INDEX(tab_MinKomp[Obsługa urządzenia do pomiaru siły radialnej części - postępowanie z trzpieniami. / Funktionsweise des Geräts zur Messung der Radialkraft von Teilen – Handhabungsstifte.],MATCH($B35,tab_MinKomp[[Stanowisko / Position ]:[Stanowisko / Position ]],0))="n/a","n/a",DM35-INDEX(tab_MinKomp[Obsługa urządzenia do pomiaru siły radialnej części - postępowanie z trzpieniami. / Funktionsweise des Geräts zur Messung der Radialkraft von Teilen – Handhabungsstifte.],MATCH($B35,tab_MinKomp[[Stanowisko / Position ]:[Stanowisko / Position ]],0)))</f>
        <v>n/a</v>
      </c>
      <c r="DN36" s="315" t="str">
        <f>IF(INDEX(tab_MinKomp[Wykonywanie pomiarów siły radialnej części / Führen Sie Radialkraftmessungen an Teilen durch],MATCH($B35,tab_MinKomp[[Stanowisko / Position ]:[Stanowisko / Position ]],0))="n/a","n/a",DN35-INDEX(tab_MinKomp[Wykonywanie pomiarów siły radialnej części / Führen Sie Radialkraftmessungen an Teilen durch],MATCH($B35,tab_MinKomp[[Stanowisko / Position ]:[Stanowisko / Position ]],0)))</f>
        <v>n/a</v>
      </c>
      <c r="DO36" s="315" t="str">
        <f>IF(INDEX(tab_MinKomp[Obsługa komory do testów wybuchwych / Betrieb einer Explosionsprüfkammer],MATCH($B35,tab_MinKomp[[Stanowisko / Position ]:[Stanowisko / Position ]],0))="n/a","n/a",DO35-INDEX(tab_MinKomp[Obsługa komory do testów wybuchwych / Betrieb einer Explosionsprüfkammer],MATCH($B35,tab_MinKomp[[Stanowisko / Position ]:[Stanowisko / Position ]],0)))</f>
        <v>n/a</v>
      </c>
      <c r="DP36" s="315" t="str">
        <f>IF(INDEX(tab_MinKomp[Wykonywanie testów wybuchowych części / Durchführung von Explosionstests an Teilen],MATCH($B35,tab_MinKomp[[Stanowisko / Position ]:[Stanowisko / Position ]],0))="n/a","n/a",DP35-INDEX(tab_MinKomp[Wykonywanie testów wybuchowych części / Durchführung von Explosionstests an Teilen],MATCH($B35,tab_MinKomp[[Stanowisko / Position ]:[Stanowisko / Position ]],0)))</f>
        <v>n/a</v>
      </c>
      <c r="DQ36" s="315" t="str">
        <f>IF(INDEX(tab_MinKomp[Obsługa urządzeń do mierzenia siły trzymania i/lub rozciągania / Betrieb von Geräten zur Messung der Halte- und/oder Dehnkraft],MATCH($B35,tab_MinKomp[[Stanowisko / Position ]:[Stanowisko / Position ]],0))="n/a","n/a",DQ35-INDEX(tab_MinKomp[Obsługa urządzeń do mierzenia siły trzymania i/lub rozciągania / Betrieb von Geräten zur Messung der Halte- und/oder Dehnkraft],MATCH($B35,tab_MinKomp[[Stanowisko / Position ]:[Stanowisko / Position ]],0)))</f>
        <v>n/a</v>
      </c>
      <c r="DR36" s="315" t="str">
        <f>IF(INDEX(tab_MinKomp[Wykonywanie testów mierzenia siły trzymania i/lub rozciągania / Durchführung von Tests zur Messung der Halte- und/oder Streckkraft],MATCH($B35,tab_MinKomp[[Stanowisko / Position ]:[Stanowisko / Position ]],0))="n/a","n/a",DR35-INDEX(tab_MinKomp[Wykonywanie testów mierzenia siły trzymania i/lub rozciągania / Durchführung von Tests zur Messung der Halte- und/oder Streckkraft],MATCH($B35,tab_MinKomp[[Stanowisko / Position ]:[Stanowisko / Position ]],0)))</f>
        <v>n/a</v>
      </c>
      <c r="DS36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Luftstrom)],MATCH($B35,tab_MinKomp[[Stanowisko / Position ]:[Stanowisko / Position ]],0))="n/a","n/a",DS35-INDEX(tab_MinKomp[Obsługa multimetru do pomiarów środowiskowych (temperatura, wilgotność, hałas, oświetlenie, przepływ powietrza) / Betrieb eines Multimeters für Umweltmessungen (Temperatur, Luftfeuchtigkeit, Lärm, Beleuchtung, Luftstrom)],MATCH($B35,tab_MinKomp[[Stanowisko / Position ]:[Stanowisko / Position ]],0)))</f>
        <v>n/a</v>
      </c>
      <c r="DT36" s="315" t="str">
        <f>IF(INDEX(tab_MinKomp[Kontrola warunków środowiskowych pracy (temperatura, wilgotność, hałas, oświetlenie, przepływ powietrza) / Kontrolle der Arbeitsumgebungsbedingungen (Temperatur, Luftfeuchtigkeit, Lärm, Beleuchtung, Luftstrom)],MATCH($B35,tab_MinKomp[[Stanowisko / Position ]:[Stanowisko / Position ]],0))="n/a","n/a",DT35-INDEX(tab_MinKomp[Kontrola warunków środowiskowych pracy (temperatura, wilgotność, hałas, oświetlenie, przepływ powietrza) / Kontrolle der Arbeitsumgebungsbedingungen (Temperatur, Luftfeuchtigkeit, Lärm, Beleuchtung, Luftstrom)],MATCH($B35,tab_MinKomp[[Stanowisko / Position ]:[Stanowisko / Position ]],0)))</f>
        <v>n/a</v>
      </c>
      <c r="DU36" s="315" t="str">
        <f>IF(INDEX(tab_MinKomp[MSA i SPC],MATCH($B35,tab_MinKomp[[Stanowisko / Position ]:[Stanowisko / Position ]],0))="n/a","n/a",DU35-INDEX(tab_MinKomp[MSA i SPC],MATCH($B35,tab_MinKomp[[Stanowisko / Position ]:[Stanowisko / Position ]],0)))</f>
        <v>n/a</v>
      </c>
      <c r="DV36" s="315" t="str">
        <f>IF(INDEX(tab_MinKomp[Kontrola wejściowa komponentów/ Eingangskontrolle],MATCH($B35,tab_MinKomp[[Stanowisko / Position ]:[Stanowisko / Position ]],0))="n/a","n/a",DV35-INDEX(tab_MinKomp[Kontrola wejściowa komponentów/ Eingangskontrolle],MATCH($B35,tab_MinKomp[[Stanowisko / Position ]:[Stanowisko / Position ]],0)))</f>
        <v>n/a</v>
      </c>
      <c r="DW36" s="315" t="str">
        <f>IF(INDEX(tab_MinKomp[Kontrola wyjściowa produktu / Ausgangskontrolle],MATCH($B35,tab_MinKomp[[Stanowisko / Position ]:[Stanowisko / Position ]],0))="n/a","n/a",DW35-INDEX(tab_MinKomp[Kontrola wyjściowa produktu / Ausgangskontrolle],MATCH($B35,tab_MinKomp[[Stanowisko / Position ]:[Stanowisko / Position ]],0)))</f>
        <v>n/a</v>
      </c>
      <c r="DX36" s="315" t="str">
        <f>IF(INDEX(tab_MinKomp[Kontrola codzienna produkcji / Tägliche Produktionskontrolle],MATCH($B35,tab_MinKomp[[Stanowisko / Position ]:[Stanowisko / Position ]],0))="n/a","n/a",DX35-INDEX(tab_MinKomp[Kontrola codzienna produkcji / Tägliche Produktionskontrolle],MATCH($B35,tab_MinKomp[[Stanowisko / Position ]:[Stanowisko / Position ]],0)))</f>
        <v>n/a</v>
      </c>
      <c r="DY36" s="315" t="str">
        <f>IF(INDEX(tab_MinKomp[Konserwacja Rep],MATCH($B35,tab_MinKomp[[Stanowisko / Position ]:[Stanowisko / Position ]],0))="n/a","n/a",DY35-INDEX(tab_MinKomp[Konserwacja Rep],MATCH($B35,tab_MinKomp[[Stanowisko / Position ]:[Stanowisko / Position ]],0)))</f>
        <v>n/a</v>
      </c>
      <c r="DZ36" s="315" t="str">
        <f>IF(INDEX(tab_MinKomp[[Konserwacja Engel ]],MATCH($B35,tab_MinKomp[[Stanowisko / Position ]:[Stanowisko / Position ]],0))="n/a","n/a",DZ35-INDEX(tab_MinKomp[[Konserwacja Engel ]],MATCH($B35,tab_MinKomp[[Stanowisko / Position ]:[Stanowisko / Position ]],0)))</f>
        <v>n/a</v>
      </c>
      <c r="EA36" s="315" t="str">
        <f>IF(INDEX(tab_MinKomp[Konserwacja B 50],MATCH($B35,tab_MinKomp[[Stanowisko / Position ]:[Stanowisko / Position ]],0))="n/a","n/a",EA35-INDEX(tab_MinKomp[Konserwacja B 50],MATCH($B35,tab_MinKomp[[Stanowisko / Position ]:[Stanowisko / Position ]],0)))</f>
        <v>n/a</v>
      </c>
      <c r="EB36" s="315" t="str">
        <f>IF(INDEX(tab_MinKomp[[Konserwacja EOL ]],MATCH($B35,tab_MinKomp[[Stanowisko / Position ]:[Stanowisko / Position ]],0))="n/a","n/a",EB35-INDEX(tab_MinKomp[[Konserwacja EOL ]],MATCH($B35,tab_MinKomp[[Stanowisko / Position ]:[Stanowisko / Position ]],0)))</f>
        <v>n/a</v>
      </c>
      <c r="EC36" s="315" t="str">
        <f>IF(INDEX(tab_MinKomp[Konserwacja Branson],MATCH($B35,tab_MinKomp[[Stanowisko / Position ]:[Stanowisko / Position ]],0))="n/a","n/a",EC35-INDEX(tab_MinKomp[Konserwacja Branson],MATCH($B35,tab_MinKomp[[Stanowisko / Position ]:[Stanowisko / Position ]],0)))</f>
        <v>n/a</v>
      </c>
      <c r="ED36" s="315" t="str">
        <f>IF(INDEX(tab_MinKomp[Konserwacja coolery],MATCH($B35,tab_MinKomp[[Stanowisko / Position ]:[Stanowisko / Position ]],0))="n/a","n/a",ED35-INDEX(tab_MinKomp[Konserwacja coolery],MATCH($B35,tab_MinKomp[[Stanowisko / Position ]:[Stanowisko / Position ]],0)))</f>
        <v>n/a</v>
      </c>
      <c r="EE36" s="315" t="str">
        <f>IF(INDEX(tab_MinKomp[Konserwacja piecy],MATCH($B35,tab_MinKomp[[Stanowisko / Position ]:[Stanowisko / Position ]],0))="n/a","n/a",EE35-INDEX(tab_MinKomp[Konserwacja piecy],MATCH($B35,tab_MinKomp[[Stanowisko / Position ]:[Stanowisko / Position ]],0)))</f>
        <v>n/a</v>
      </c>
      <c r="EF36" s="315" t="str">
        <f>IF(INDEX(tab_MinKomp[Rysunek techniczny- czytanie],MATCH($B35,tab_MinKomp[[Stanowisko / Position ]:[Stanowisko / Position ]],0))="n/a","n/a",EF35-INDEX(tab_MinKomp[Rysunek techniczny- czytanie],MATCH($B35,tab_MinKomp[[Stanowisko / Position ]:[Stanowisko / Position ]],0)))</f>
        <v>n/a</v>
      </c>
      <c r="EG36" s="315" t="str">
        <f>IF(INDEX(tab_MinKomp[Elektryka],MATCH($B35,tab_MinKomp[[Stanowisko / Position ]:[Stanowisko / Position ]],0))="n/a","n/a",EG35-INDEX(tab_MinKomp[Elektryka],MATCH($B35,tab_MinKomp[[Stanowisko / Position ]:[Stanowisko / Position ]],0)))</f>
        <v>n/a</v>
      </c>
      <c r="EH36" s="315" t="str">
        <f>IF(INDEX(tab_MinKomp[Pneumatyka],MATCH($B35,tab_MinKomp[[Stanowisko / Position ]:[Stanowisko / Position ]],0))="n/a","n/a",EH35-INDEX(tab_MinKomp[Pneumatyka],MATCH($B35,tab_MinKomp[[Stanowisko / Position ]:[Stanowisko / Position ]],0)))</f>
        <v>n/a</v>
      </c>
      <c r="EI36" s="315" t="str">
        <f>IF(INDEX(tab_MinKomp[[Hydraulika ]],MATCH($B35,tab_MinKomp[[Stanowisko / Position ]:[Stanowisko / Position ]],0))="n/a","n/a",EI35-INDEX(tab_MinKomp[[Hydraulika ]],MATCH($B35,tab_MinKomp[[Stanowisko / Position ]:[Stanowisko / Position ]],0)))</f>
        <v>n/a</v>
      </c>
      <c r="EJ36" s="315" t="str">
        <f>IF(INDEX(tab_MinKomp[Podciśnienie],MATCH($B35,tab_MinKomp[[Stanowisko / Position ]:[Stanowisko / Position ]],0))="n/a","n/a",EJ35-INDEX(tab_MinKomp[Podciśnienie],MATCH($B35,tab_MinKomp[[Stanowisko / Position ]:[Stanowisko / Position ]],0)))</f>
        <v>n/a</v>
      </c>
      <c r="EK36" s="315" t="str">
        <f>IF(INDEX(tab_MinKomp[Usuwanie awarii],MATCH($B35,tab_MinKomp[[Stanowisko / Position ]:[Stanowisko / Position ]],0))="n/a","n/a",EK35-INDEX(tab_MinKomp[Usuwanie awarii],MATCH($B35,tab_MinKomp[[Stanowisko / Position ]:[Stanowisko / Position ]],0)))</f>
        <v>n/a</v>
      </c>
      <c r="EL36" s="315" t="str">
        <f>IF(INDEX(tab_MinKomp[Obsługa robotów],MATCH($B35,tab_MinKomp[[Stanowisko / Position ]:[Stanowisko / Position ]],0))="n/a","n/a",EL35-INDEX(tab_MinKomp[Obsługa robotów],MATCH($B35,tab_MinKomp[[Stanowisko / Position ]:[Stanowisko / Position ]],0)))</f>
        <v>n/a</v>
      </c>
      <c r="EM36" s="315" t="str">
        <f>IF(INDEX(tab_MinKomp[Obsługa sterowania maszyny],MATCH($B35,tab_MinKomp[[Stanowisko / Position ]:[Stanowisko / Position ]],0))="n/a","n/a",EM35-INDEX(tab_MinKomp[Obsługa sterowania maszyny],MATCH($B35,tab_MinKomp[[Stanowisko / Position ]:[Stanowisko / Position ]],0)))</f>
        <v>n/a</v>
      </c>
      <c r="EN36" s="315" t="str">
        <f>IF(INDEX(tab_MinKomp[Usuwanie przyczyn żródłowych],MATCH($B35,tab_MinKomp[[Stanowisko / Position ]:[Stanowisko / Position ]],0))="n/a","n/a",EN35-INDEX(tab_MinKomp[Usuwanie przyczyn żródłowych],MATCH($B35,tab_MinKomp[[Stanowisko / Position ]:[Stanowisko / Position ]],0)))</f>
        <v>n/a</v>
      </c>
      <c r="EO36" s="315" t="str">
        <f>IF(INDEX(tab_MinKomp[Cmms stosowanie],MATCH($B35,tab_MinKomp[[Stanowisko / Position ]:[Stanowisko / Position ]],0))="n/a","n/a",EO35-INDEX(tab_MinKomp[Cmms stosowanie],MATCH($B35,tab_MinKomp[[Stanowisko / Position ]:[Stanowisko / Position ]],0)))</f>
        <v>n/a</v>
      </c>
      <c r="EP36" s="315" t="str">
        <f>IF(INDEX(tab_MinKomp[[Czyszczenie form gumowych ]],MATCH($B35,tab_MinKomp[[Stanowisko / Position ]:[Stanowisko / Position ]],0))="n/a","n/a",EP35-INDEX(tab_MinKomp[[Czyszczenie form gumowych ]],MATCH($B35,tab_MinKomp[[Stanowisko / Position ]:[Stanowisko / Position ]],0)))</f>
        <v>n/a</v>
      </c>
      <c r="EQ36" s="315" t="str">
        <f>IF(INDEX(tab_MinKomp[Czyszczenie form plastikowych],MATCH($B35,tab_MinKomp[[Stanowisko / Position ]:[Stanowisko / Position ]],0))="n/a","n/a",EQ35-INDEX(tab_MinKomp[Czyszczenie form plastikowych],MATCH($B35,tab_MinKomp[[Stanowisko / Position ]:[Stanowisko / Position ]],0)))</f>
        <v>n/a</v>
      </c>
      <c r="ER36" s="315" t="str">
        <f>IF(INDEX(tab_MinKomp[Wymiana form plastik],MATCH($B35,tab_MinKomp[[Stanowisko / Position ]:[Stanowisko / Position ]],0))="n/a","n/a",ER35-INDEX(tab_MinKomp[Wymiana form plastik],MATCH($B35,tab_MinKomp[[Stanowisko / Position ]:[Stanowisko / Position ]],0)))</f>
        <v>n/a</v>
      </c>
      <c r="ES36" s="315" t="str">
        <f>IF(INDEX(tab_MinKomp[Wymiana form guma],MATCH($B35,tab_MinKomp[[Stanowisko / Position ]:[Stanowisko / Position ]],0))="n/a","n/a",ES35-INDEX(tab_MinKomp[Wymiana form guma],MATCH($B35,tab_MinKomp[[Stanowisko / Position ]:[Stanowisko / Position ]],0)))</f>
        <v>n/a</v>
      </c>
      <c r="ET36" s="315" t="str">
        <f>IF(INDEX(tab_MinKomp[Konserwacja KK],MATCH($B35,tab_MinKomp[[Stanowisko / Position ]:[Stanowisko / Position ]],0))="n/a","n/a",ET35-INDEX(tab_MinKomp[Konserwacja KK],MATCH($B35,tab_MinKomp[[Stanowisko / Position ]:[Stanowisko / Position ]],0)))</f>
        <v>n/a</v>
      </c>
      <c r="EU36" s="315" t="str">
        <f>IF(INDEX(tab_MinKomp[Konserwacja form guma],MATCH($B35,tab_MinKomp[[Stanowisko / Position ]:[Stanowisko / Position ]],0))="n/a","n/a",EU35-INDEX(tab_MinKomp[Konserwacja form guma],MATCH($B35,tab_MinKomp[[Stanowisko / Position ]:[Stanowisko / Position ]],0)))</f>
        <v>n/a</v>
      </c>
      <c r="EV36" s="315" t="str">
        <f>IF(INDEX(tab_MinKomp[Konserwacja form plastiki],MATCH($B35,tab_MinKomp[[Stanowisko / Position ]:[Stanowisko / Position ]],0))="n/a","n/a",EV35-INDEX(tab_MinKomp[Konserwacja form plastiki],MATCH($B35,tab_MinKomp[[Stanowisko / Position ]:[Stanowisko / Position ]],0)))</f>
        <v>n/a</v>
      </c>
      <c r="EW36" s="330" t="str">
        <f>IF(INDEX(tab_MinKomp[Konserwacja form plastiki],MATCH($B35,tab_MinKomp[[Stanowisko / Position ]:[Stanowisko / Position ]],0))="n/a","n/a",EW35-INDEX(tab_MinKomp[Konserwacja form plastiki],MATCH($B35,tab_MinKomp[[Stanowisko / Position ]:[Stanowisko / Position ]],0)))</f>
        <v>n/a</v>
      </c>
      <c r="EX36" s="315" t="str">
        <f>IF(INDEX(tab_MinKomp[Konserwacja Gorącego Kanału],MATCH($B35,tab_MinKomp[[Stanowisko / Position ]:[Stanowisko / Position ]],0))="n/a","n/a",EX35-INDEX(tab_MinKomp[Konserwacja Gorącego Kanału],MATCH($B35,tab_MinKomp[[Stanowisko / Position ]:[Stanowisko / Position ]],0)))</f>
        <v>n/a</v>
      </c>
      <c r="EY36" s="315">
        <f>IF(INDEX(tab_MinKomp[MS Office (Excel)],MATCH($B35,tab_MinKomp[[Stanowisko / Position ]:[Stanowisko / Position ]],0))="n/a","n/a",EY35-INDEX(tab_MinKomp[MS Office (Excel)],MATCH($B35,tab_MinKomp[[Stanowisko / Position ]:[Stanowisko / Position ]],0)))</f>
        <v>0</v>
      </c>
      <c r="EZ36" s="315">
        <f>IF(INDEX(tab_MinKomp[MS Office (Word)],MATCH($B35,tab_MinKomp[[Stanowisko / Position ]:[Stanowisko / Position ]],0))="n/a","n/a",EZ35-INDEX(tab_MinKomp[MS Office (Word)],MATCH($B35,tab_MinKomp[[Stanowisko / Position ]:[Stanowisko / Position ]],0)))</f>
        <v>0</v>
      </c>
      <c r="FA36" s="315">
        <f>IF(INDEX(tab_MinKomp[MS Office (Power Point)],MATCH($B35,tab_MinKomp[[Stanowisko / Position ]:[Stanowisko / Position ]],0))="n/a","n/a",FA35-INDEX(tab_MinKomp[MS Office (Power Point)],MATCH($B35,tab_MinKomp[[Stanowisko / Position ]:[Stanowisko / Position ]],0)))</f>
        <v>0</v>
      </c>
      <c r="FB36" s="315">
        <f>IF(INDEX(tab_MinKomp[Język angielski / Englisch],MATCH($B35,tab_MinKomp[[Stanowisko / Position ]:[Stanowisko / Position ]],0))="n/a","n/a",FB35-INDEX(tab_MinKomp[Język angielski / Englisch],MATCH($B35,tab_MinKomp[[Stanowisko / Position ]:[Stanowisko / Position ]],0)))</f>
        <v>1</v>
      </c>
      <c r="FC36" s="315">
        <f>IF(INDEX(tab_MinKomp[Język niemiecki / Deutsch],MATCH($B35,tab_MinKomp[[Stanowisko / Position ]:[Stanowisko / Position ]],0))="n/a","n/a",FC35-INDEX(tab_MinKomp[Język niemiecki / Deutsch],MATCH($B35,tab_MinKomp[[Stanowisko / Position ]:[Stanowisko / Position ]],0)))</f>
        <v>0</v>
      </c>
      <c r="FD36" s="315">
        <f>IF(INDEX(tab_MinKomp[Zarządzanie dokumentacją procesową / Process dokumentation management],MATCH($B35,tab_MinKomp[[Stanowisko / Position ]:[Stanowisko / Position ]],0))="n/a","n/a",FD35-INDEX(tab_MinKomp[Zarządzanie dokumentacją procesową / Process dokumentation management],MATCH($B35,tab_MinKomp[[Stanowisko / Position ]:[Stanowisko / Position ]],0)))</f>
        <v>0</v>
      </c>
      <c r="FE36" s="315">
        <f>IF(INDEX(tab_MinKomp[Znajomość procesów z obszaru / Kenntiss der prozesse in dem Bereich],MATCH($B35,tab_MinKomp[[Stanowisko / Position ]:[Stanowisko / Position ]],0))="n/a","n/a",FE35-INDEX(tab_MinKomp[Znajomość procesów z obszaru / Kenntiss der prozesse in dem Bereich],MATCH($B35,tab_MinKomp[[Stanowisko / Position ]:[Stanowisko / Position ]],0)))</f>
        <v>0</v>
      </c>
      <c r="FF36" s="315">
        <f>IF(INDEX(tab_MinKomp[optymalizacja procesów / Prozessoptymalisierung],MATCH($B35,tab_MinKomp[[Stanowisko / Position ]:[Stanowisko / Position ]],0))="n/a","n/a",FF35-INDEX(tab_MinKomp[optymalizacja procesów / Prozessoptymalisierung],MATCH($B35,tab_MinKomp[[Stanowisko / Position ]:[Stanowisko / Position ]],0)))</f>
        <v>0</v>
      </c>
      <c r="FG36" s="315">
        <f>IF(INDEX(tab_MinKomp[Umiejętności szkoleniowe / Trainingsfähigkeiten],MATCH($B35,tab_MinKomp[[Stanowisko / Position ]:[Stanowisko / Position ]],0))="n/a","n/a",FG35-INDEX(tab_MinKomp[Umiejętności szkoleniowe / Trainingsfähigkeiten],MATCH($B35,tab_MinKomp[[Stanowisko / Position ]:[Stanowisko / Position ]],0)))</f>
        <v>0</v>
      </c>
      <c r="FH36" s="315">
        <f>IF(INDEX(tab_MinKomp[Analityczne myślenie, podejście / Analitysches Denken, Einstellung],MATCH($B35,tab_MinKomp[[Stanowisko / Position ]:[Stanowisko / Position ]],0))="n/a","n/a",FH35-INDEX(tab_MinKomp[Analityczne myślenie, podejście / Analitysches Denken, Einstellung],MATCH($B35,tab_MinKomp[[Stanowisko / Position ]:[Stanowisko / Position ]],0)))</f>
        <v>0</v>
      </c>
      <c r="FI36" s="315">
        <f>IF(INDEX(tab_MinKomp[Dokładność, precyzja w dzialaniu / Genauigkeit, Präzision in die Arbeit],MATCH($B35,tab_MinKomp[[Stanowisko / Position ]:[Stanowisko / Position ]],0))="n/a","n/a",FI35-INDEX(tab_MinKomp[Dokładność, precyzja w dzialaniu / Genauigkeit, Präzision in die Arbeit],MATCH($B35,tab_MinKomp[[Stanowisko / Position ]:[Stanowisko / Position ]],0)))</f>
        <v>0</v>
      </c>
      <c r="FJ36" s="315">
        <f>IF(INDEX(tab_MinKomp[Dyspozycyjność / Verfügbarkeit],MATCH($B35,tab_MinKomp[[Stanowisko / Position ]:[Stanowisko / Position ]],0))="n/a","n/a",FJ35-INDEX(tab_MinKomp[Dyspozycyjność / Verfügbarkeit],MATCH($B35,tab_MinKomp[[Stanowisko / Position ]:[Stanowisko / Position ]],0)))</f>
        <v>1</v>
      </c>
      <c r="FK36" s="315">
        <f>IF(INDEX(tab_MinKomp[Zaangażowanie / 
Engagement],MATCH($B35,tab_MinKomp[[Stanowisko / Position ]:[Stanowisko / Position ]],0))="n/a","n/a",FK35-INDEX(tab_MinKomp[Zaangażowanie / 
Engagement],MATCH($B35,tab_MinKomp[[Stanowisko / Position ]:[Stanowisko / Position ]],0)))</f>
        <v>0</v>
      </c>
      <c r="FL36" s="315">
        <f>IF(INDEX(tab_MinKomp[Planowanie strategiczne / Strategische Planung],MATCH($B35,tab_MinKomp[[Stanowisko / Position ]:[Stanowisko / Position ]],0))="n/a","n/a",FL35-INDEX(tab_MinKomp[Planowanie strategiczne / Strategische Planung],MATCH($B35,tab_MinKomp[[Stanowisko / Position ]:[Stanowisko / Position ]],0)))</f>
        <v>0</v>
      </c>
      <c r="FM36" s="315">
        <f>IF(INDEX(tab_MinKomp[Konsekwentne i dynamiczne działanie],MATCH($B35,tab_MinKomp[[Stanowisko / Position ]:[Stanowisko / Position ]],0))="n/a","n/a",FM35-INDEX(tab_MinKomp[Konsekwentne i dynamiczne działanie],MATCH($B35,tab_MinKomp[[Stanowisko / Position ]:[Stanowisko / Position ]],0)))</f>
        <v>0</v>
      </c>
      <c r="FN36" s="315">
        <f>IF(INDEX(tab_MinKomp[Elastyczność w działaniu],MATCH($B35,tab_MinKomp[[Stanowisko / Position ]:[Stanowisko / Position ]],0))="n/a","n/a",FN35-INDEX(tab_MinKomp[Elastyczność w działaniu],MATCH($B35,tab_MinKomp[[Stanowisko / Position ]:[Stanowisko / Position ]],0)))</f>
        <v>0</v>
      </c>
      <c r="FO36" s="315">
        <f>IF(INDEX(tab_MinKomp[Komunikatywność],MATCH($B35,tab_MinKomp[[Stanowisko / Position ]:[Stanowisko / Position ]],0))="n/a","n/a",FO35-INDEX(tab_MinKomp[Komunikatywność],MATCH($B35,tab_MinKomp[[Stanowisko / Position ]:[Stanowisko / Position ]],0)))</f>
        <v>0</v>
      </c>
      <c r="FP36" s="315" t="str">
        <f>IF(INDEX(tab_MinKomp[Motywowanie i budowanie zaangażowania zespołu],MATCH($B35,tab_MinKomp[[Stanowisko / Position ]:[Stanowisko / Position ]],0))="n/a","n/a",FP35-INDEX(tab_MinKomp[Motywowanie i budowanie zaangażowania zespołu],MATCH($B35,tab_MinKomp[[Stanowisko / Position ]:[Stanowisko / Position ]],0)))</f>
        <v>n/a</v>
      </c>
      <c r="FQ36" s="318" t="str">
        <f>IFERROR(IF(INDEX(tab_MinKomp[BRAK / Keine],MATCH($B35,tab_MinKomp[[Stanowisko / Position ]:[Stanowisko / Position ]],0))="n/a","n/a",INDEX(tab_MinKomp[BRAK / Keine],MATCH($B35,tab_MinKomp[[Stanowisko / Position ]:[Stanowisko / Position ]],0))-FQ35),"")</f>
        <v>n/a</v>
      </c>
      <c r="FR36" s="315" t="str">
        <f>IF(INDEX(tab_MinKomp[MINIMUM 1 ROK / min. 1 Jahr],MATCH($B35,tab_MinKomp[[Stanowisko / Position ]:[Stanowisko / Position ]],0))="n/a","n/a",INDEX(tab_MinKomp[MINIMUM 1 ROK / min. 1 Jahr],MATCH($B35,tab_MinKomp[[Stanowisko / Position ]:[Stanowisko / Position ]],0)))</f>
        <v>n/a</v>
      </c>
      <c r="FS36" s="315" t="str">
        <f>IF(INDEX(tab_MinKomp[MINIMUM 2 LATA / min. 2 Jahre],MATCH($B35,tab_MinKomp[[Stanowisko / Position ]:[Stanowisko / Position ]],0))="n/a","n/a",INDEX(tab_MinKomp[MINIMUM 2 LATA / min. 2 Jahre],MATCH($B35,tab_MinKomp[[Stanowisko / Position ]:[Stanowisko / Position ]],0)))</f>
        <v>n/a</v>
      </c>
      <c r="FT36" s="315" t="str">
        <f>IF(INDEX(tab_MinKomp[MINIMUM 3 LATA / min. 3 Jahre],MATCH($B35,tab_MinKomp[[Stanowisko / Position ]:[Stanowisko / Position ]],0))="n/a","n/a",INDEX(tab_MinKomp[MINIMUM 3 LATA / min. 3 Jahre],MATCH($B35,tab_MinKomp[[Stanowisko / Position ]:[Stanowisko / Position ]],0)))</f>
        <v>X</v>
      </c>
      <c r="FU36" s="315" t="str">
        <f>IF(INDEX(tab_MinKomp[MINIMUM 4 LATA / min. 4 Jahre],MATCH($B35,tab_MinKomp[[Stanowisko / Position ]:[Stanowisko / Position ]],0))="n/a","n/a",INDEX(tab_MinKomp[MINIMUM 4 LATA / min. 4 Jahre],MATCH($B35,tab_MinKomp[[Stanowisko / Position ]:[Stanowisko / Position ]],0)))</f>
        <v>n/a</v>
      </c>
      <c r="FV36" s="319" t="str">
        <f>IF(INDEX(tab_MinKomp[MINIMUM 5 LAT / min. 5 Jahre],MATCH($B35,tab_MinKomp[[Stanowisko / Position ]:[Stanowisko / Position ]],0))="n/a","n/a",INDEX(tab_MinKomp[MINIMUM 5 LAT / min. 5 Jahre],MATCH($B35,tab_MinKomp[[Stanowisko / Position ]:[Stanowisko / Position ]],0)))</f>
        <v>n/a</v>
      </c>
      <c r="FW36" s="318" t="str">
        <f>IF(INDEX(tab_MinKomp[BRAK / Keine9],MATCH($B35,tab_MinKomp[[Stanowisko / Position ]:[Stanowisko / Position ]],0))="n/a","n/a",INDEX(tab_MinKomp[BRAK / Keine9],MATCH($B35,tab_MinKomp[[Stanowisko / Position ]:[Stanowisko / Position ]],0)))</f>
        <v>n/a</v>
      </c>
      <c r="FX36" s="315" t="str">
        <f>IF(INDEX(tab_MinKomp[ZAWODOWE / Berufsausbildung],MATCH($B35,tab_MinKomp[[Stanowisko / Position ]:[Stanowisko / Position ]],0))="n/a","n/a",INDEX(tab_MinKomp[ZAWODOWE / Berufsausbildung],MATCH($B35,tab_MinKomp[[Stanowisko / Position ]:[Stanowisko / Position ]],0)))</f>
        <v>n/a</v>
      </c>
      <c r="FY36" s="315" t="str">
        <f>IF(INDEX(tab_MinKomp[ŚREDNIE OGÓLNE / Abitur allgemeine],MATCH($B35,tab_MinKomp[[Stanowisko / Position ]:[Stanowisko / Position ]],0))="n/a","n/a",INDEX(tab_MinKomp[ŚREDNIE OGÓLNE / Abitur allgemeine],MATCH($B35,tab_MinKomp[[Stanowisko / Position ]:[Stanowisko / Position ]],0)))</f>
        <v>n/a</v>
      </c>
      <c r="FZ36" s="315" t="str">
        <f>IF(INDEX(tab_MinKomp[ŚREDNIE KIERUNKOWE / berufliches Gymnasium],MATCH($B35,tab_MinKomp[[Stanowisko / Position ]:[Stanowisko / Position ]],0))="n/a","n/a",INDEX(tab_MinKomp[ŚREDNIE KIERUNKOWE / berufliches Gymnasium],MATCH($B35,tab_MinKomp[[Stanowisko / Position ]:[Stanowisko / Position ]],0)))</f>
        <v>n/a</v>
      </c>
      <c r="GA36" s="315" t="str">
        <f>IF(INDEX(tab_MinKomp[WYŻSZE OGÓLNE / Hochschule allgemeine],MATCH($B35,tab_MinKomp[[Stanowisko / Position ]:[Stanowisko / Position ]],0))="n/a","n/a",INDEX(tab_MinKomp[WYŻSZE OGÓLNE / Hochschule allgemeine],MATCH($B35,tab_MinKomp[[Stanowisko / Position ]:[Stanowisko / Position ]],0)))</f>
        <v>n/a</v>
      </c>
      <c r="GB36" s="319" t="str">
        <f>IF(INDEX(tab_MinKomp[WYŻSZE KIERUNKOWE / Hochschule berufliche],MATCH($B35,tab_MinKomp[[Stanowisko / Position ]:[Stanowisko / Position ]],0))="n/a","n/a",INDEX(tab_MinKomp[WYŻSZE KIERUNKOWE / Hochschule berufliche],MATCH($B35,tab_MinKomp[[Stanowisko / Position ]:[Stanowisko / Position ]],0)))</f>
        <v>X</v>
      </c>
      <c r="GC36" s="318" t="str">
        <f>IF(INDEX(tab_MinKomp[PIERWSZA POMOC / Erste Hilfe],MATCH($B35,tab_MinKomp[[Stanowisko / Position ]:[Stanowisko / Position ]],0))="n/a","n/a",INDEX(tab_MinKomp[PIERWSZA POMOC / Erste Hilfe],MATCH($B35,tab_MinKomp[[Stanowisko / Position ]:[Stanowisko / Position ]],0)))</f>
        <v>n/a</v>
      </c>
      <c r="GD36" s="315" t="str">
        <f>IF(INDEX(tab_MinKomp[Specjalista BHP / BHP Spezialist],MATCH($B35,tab_MinKomp[[Stanowisko / Position ]:[Stanowisko / Position ]],0))="n/a","n/a",INDEX(tab_MinKomp[Specjalista BHP / BHP Spezialist],MATCH($B35,tab_MinKomp[[Stanowisko / Position ]:[Stanowisko / Position ]],0)))</f>
        <v>n/a</v>
      </c>
      <c r="GE36" s="315" t="str">
        <f>IF(INDEX(tab_MinKomp[Inspektor ochrony PPOŻ / Brandschutzinspektor],MATCH($B35,tab_MinKomp[[Stanowisko / Position ]:[Stanowisko / Position ]],0))="n/a","n/a",INDEX(tab_MinKomp[Inspektor ochrony PPOŻ / Brandschutzinspektor],MATCH($B35,tab_MinKomp[[Stanowisko / Position ]:[Stanowisko / Position ]],0)))</f>
        <v>n/a</v>
      </c>
      <c r="GF36" s="315" t="str">
        <f>IF(INDEX(tab_MinKomp[WÓZKI JEZDNIOWE / Gebelstapler],MATCH($B35,tab_MinKomp[[Stanowisko / Position ]:[Stanowisko / Position ]],0))="n/a","n/a",INDEX(tab_MinKomp[WÓZKI JEZDNIOWE / Gebelstapler],MATCH($B35,tab_MinKomp[[Stanowisko / Position ]:[Stanowisko / Position ]],0)))</f>
        <v>n/a</v>
      </c>
      <c r="GG36" s="315" t="str">
        <f>IF(INDEX(tab_MinKomp[SEP],MATCH($B35,tab_MinKomp[[Stanowisko / Position ]:[Stanowisko / Position ]],0))="n/a","n/a",INDEX(tab_MinKomp[SEP],MATCH($B35,tab_MinKomp[[Stanowisko / Position ]:[Stanowisko / Position ]],0)))</f>
        <v>n/a</v>
      </c>
      <c r="GH36" s="315" t="str">
        <f>IF(INDEX(tab_MinKomp[SEP  DOZÓR / SEP Aufsicht],MATCH($B35,tab_MinKomp[[Stanowisko / Position ]:[Stanowisko / Position ]],0))="n/a","n/a",INDEX(tab_MinKomp[SEP  DOZÓR / SEP Aufsicht],MATCH($B35,tab_MinKomp[[Stanowisko / Position ]:[Stanowisko / Position ]],0)))</f>
        <v>n/a</v>
      </c>
      <c r="GI36" s="315" t="str">
        <f>IF(INDEX(tab_MinKomp[PODNOŚNIKI / Hebevorrichtung],MATCH($B35,tab_MinKomp[[Stanowisko / Position ]:[Stanowisko / Position ]],0))="n/a","n/a",INDEX(tab_MinKomp[PODNOŚNIKI / Hebevorrichtung],MATCH($B35,tab_MinKomp[[Stanowisko / Position ]:[Stanowisko / Position ]],0)))</f>
        <v>n/a</v>
      </c>
      <c r="GJ36" s="315" t="str">
        <f>IF(INDEX(tab_MinKomp[SUWNICE / Laufkran],MATCH($B35,tab_MinKomp[[Stanowisko / Position ]:[Stanowisko / Position ]],0))="n/a","n/a",INDEX(tab_MinKomp[SUWNICE / Laufkran],MATCH($B35,tab_MinKomp[[Stanowisko / Position ]:[Stanowisko / Position ]],0)))</f>
        <v>n/a</v>
      </c>
      <c r="GK36" s="319" t="str">
        <f>IF(INDEX(tab_MinKomp[WYSOKOŚCIOWE / Höhenberechtigungen],MATCH($B35,tab_MinKomp[[Stanowisko / Position ]:[Stanowisko / Position ]],0))="n/a","n/a",INDEX(tab_MinKomp[WYSOKOŚCIOWE / Höhenberechtigungen],MATCH($B35,tab_MinKomp[[Stanowisko / Position ]:[Stanowisko / Position ]],0)))</f>
        <v>n/a</v>
      </c>
      <c r="GL36" s="320">
        <f>SUM(G36:FP36)/(GL35-(SUM(G36:FP36)))</f>
        <v>0.10810810810810811</v>
      </c>
      <c r="GM36" s="132"/>
    </row>
    <row r="37" spans="1:195" s="133" customFormat="1" ht="28.35" customHeight="1" x14ac:dyDescent="0.25">
      <c r="A37" s="135" t="s">
        <v>183</v>
      </c>
      <c r="B37" s="135" t="s">
        <v>381</v>
      </c>
      <c r="C37" s="138" t="s">
        <v>230</v>
      </c>
      <c r="D37" s="135">
        <v>1360</v>
      </c>
      <c r="E37" s="565" t="s">
        <v>585</v>
      </c>
      <c r="F37" s="307" t="s">
        <v>165</v>
      </c>
      <c r="G37" s="308">
        <v>1</v>
      </c>
      <c r="H37" s="308">
        <v>1</v>
      </c>
      <c r="I37" s="308">
        <v>1</v>
      </c>
      <c r="J37" s="308">
        <v>2</v>
      </c>
      <c r="K37" s="308">
        <v>3</v>
      </c>
      <c r="L37" s="308">
        <v>1</v>
      </c>
      <c r="M37" s="308" t="s">
        <v>176</v>
      </c>
      <c r="N37" s="308" t="s">
        <v>176</v>
      </c>
      <c r="O37" s="308">
        <v>1</v>
      </c>
      <c r="P37" s="308">
        <v>1</v>
      </c>
      <c r="Q37" s="308" t="s">
        <v>176</v>
      </c>
      <c r="R37" s="308" t="s">
        <v>176</v>
      </c>
      <c r="S37" s="308" t="s">
        <v>176</v>
      </c>
      <c r="T37" s="308" t="s">
        <v>176</v>
      </c>
      <c r="U37" s="308">
        <v>1</v>
      </c>
      <c r="V37" s="308" t="s">
        <v>176</v>
      </c>
      <c r="W37" s="308">
        <v>1</v>
      </c>
      <c r="X37" s="308">
        <v>1</v>
      </c>
      <c r="Y37" s="308" t="s">
        <v>176</v>
      </c>
      <c r="Z37" s="308" t="s">
        <v>176</v>
      </c>
      <c r="AA37" s="308">
        <v>1</v>
      </c>
      <c r="AB37" s="308">
        <v>2</v>
      </c>
      <c r="AC37" s="308">
        <v>1</v>
      </c>
      <c r="AD37" s="308">
        <v>1</v>
      </c>
      <c r="AE37" s="308">
        <v>1</v>
      </c>
      <c r="AF37" s="308">
        <v>1</v>
      </c>
      <c r="AG37" s="308">
        <v>1</v>
      </c>
      <c r="AH37" s="308">
        <v>1</v>
      </c>
      <c r="AI37" s="308" t="s">
        <v>176</v>
      </c>
      <c r="AJ37" s="308" t="s">
        <v>176</v>
      </c>
      <c r="AK37" s="308" t="s">
        <v>176</v>
      </c>
      <c r="AL37" s="308">
        <v>1</v>
      </c>
      <c r="AM37" s="308">
        <v>1</v>
      </c>
      <c r="AN37" s="308" t="s">
        <v>176</v>
      </c>
      <c r="AO37" s="308" t="s">
        <v>176</v>
      </c>
      <c r="AP37" s="323" t="s">
        <v>176</v>
      </c>
      <c r="AQ37" s="323">
        <v>1</v>
      </c>
      <c r="AR37" s="308" t="s">
        <v>176</v>
      </c>
      <c r="AS37" s="308" t="s">
        <v>176</v>
      </c>
      <c r="AT37" s="308" t="s">
        <v>176</v>
      </c>
      <c r="AU37" s="323" t="s">
        <v>176</v>
      </c>
      <c r="AV37" s="308">
        <v>1</v>
      </c>
      <c r="AW37" s="308">
        <v>1</v>
      </c>
      <c r="AX37" s="308">
        <v>1</v>
      </c>
      <c r="AY37" s="308" t="s">
        <v>176</v>
      </c>
      <c r="AZ37" s="308">
        <v>1</v>
      </c>
      <c r="BA37" s="308">
        <v>2</v>
      </c>
      <c r="BB37" s="308">
        <v>2</v>
      </c>
      <c r="BC37" s="308">
        <v>2</v>
      </c>
      <c r="BD37" s="308" t="s">
        <v>176</v>
      </c>
      <c r="BE37" s="308">
        <v>2</v>
      </c>
      <c r="BF37" s="308" t="s">
        <v>176</v>
      </c>
      <c r="BG37" s="308" t="s">
        <v>176</v>
      </c>
      <c r="BH37" s="308" t="s">
        <v>176</v>
      </c>
      <c r="BI37" s="308" t="s">
        <v>176</v>
      </c>
      <c r="BJ37" s="308" t="s">
        <v>176</v>
      </c>
      <c r="BK37" s="308" t="s">
        <v>176</v>
      </c>
      <c r="BL37" s="308" t="s">
        <v>176</v>
      </c>
      <c r="BM37" s="308" t="s">
        <v>176</v>
      </c>
      <c r="BN37" s="308" t="s">
        <v>176</v>
      </c>
      <c r="BO37" s="308" t="s">
        <v>176</v>
      </c>
      <c r="BP37" s="308" t="s">
        <v>176</v>
      </c>
      <c r="BQ37" s="308" t="s">
        <v>176</v>
      </c>
      <c r="BR37" s="308" t="s">
        <v>176</v>
      </c>
      <c r="BS37" s="308" t="s">
        <v>176</v>
      </c>
      <c r="BT37" s="308" t="s">
        <v>176</v>
      </c>
      <c r="BU37" s="308" t="s">
        <v>176</v>
      </c>
      <c r="BV37" s="308" t="s">
        <v>176</v>
      </c>
      <c r="BW37" s="308" t="s">
        <v>176</v>
      </c>
      <c r="BX37" s="308" t="s">
        <v>176</v>
      </c>
      <c r="BY37" s="308" t="s">
        <v>176</v>
      </c>
      <c r="BZ37" s="308" t="s">
        <v>176</v>
      </c>
      <c r="CA37" s="308" t="s">
        <v>176</v>
      </c>
      <c r="CB37" s="308" t="s">
        <v>176</v>
      </c>
      <c r="CC37" s="308" t="s">
        <v>176</v>
      </c>
      <c r="CD37" s="308" t="s">
        <v>176</v>
      </c>
      <c r="CE37" s="308" t="s">
        <v>176</v>
      </c>
      <c r="CF37" s="308" t="s">
        <v>176</v>
      </c>
      <c r="CG37" s="308" t="s">
        <v>176</v>
      </c>
      <c r="CH37" s="308" t="s">
        <v>176</v>
      </c>
      <c r="CI37" s="308">
        <v>3</v>
      </c>
      <c r="CJ37" s="308">
        <v>3</v>
      </c>
      <c r="CK37" s="308">
        <v>2</v>
      </c>
      <c r="CL37" s="308">
        <v>2</v>
      </c>
      <c r="CM37" s="308">
        <v>1</v>
      </c>
      <c r="CN37" s="308">
        <v>1</v>
      </c>
      <c r="CO37" s="308">
        <v>1</v>
      </c>
      <c r="CP37" s="308" t="s">
        <v>176</v>
      </c>
      <c r="CQ37" s="308" t="s">
        <v>176</v>
      </c>
      <c r="CR37" s="308" t="s">
        <v>176</v>
      </c>
      <c r="CS37" s="308" t="s">
        <v>176</v>
      </c>
      <c r="CT37" s="308">
        <v>2</v>
      </c>
      <c r="CU37" s="308" t="s">
        <v>176</v>
      </c>
      <c r="CV37" s="308" t="s">
        <v>176</v>
      </c>
      <c r="CW37" s="308" t="s">
        <v>176</v>
      </c>
      <c r="CX37" s="308" t="s">
        <v>176</v>
      </c>
      <c r="CY37" s="308" t="s">
        <v>176</v>
      </c>
      <c r="CZ37" s="308" t="s">
        <v>176</v>
      </c>
      <c r="DA37" s="308" t="s">
        <v>176</v>
      </c>
      <c r="DB37" s="308" t="s">
        <v>176</v>
      </c>
      <c r="DC37" s="308" t="s">
        <v>176</v>
      </c>
      <c r="DD37" s="308" t="s">
        <v>176</v>
      </c>
      <c r="DE37" s="308" t="s">
        <v>176</v>
      </c>
      <c r="DF37" s="308" t="s">
        <v>176</v>
      </c>
      <c r="DG37" s="308" t="s">
        <v>176</v>
      </c>
      <c r="DH37" s="308" t="s">
        <v>176</v>
      </c>
      <c r="DI37" s="308" t="s">
        <v>176</v>
      </c>
      <c r="DJ37" s="308" t="s">
        <v>176</v>
      </c>
      <c r="DK37" s="308" t="s">
        <v>176</v>
      </c>
      <c r="DL37" s="308" t="s">
        <v>176</v>
      </c>
      <c r="DM37" s="308" t="s">
        <v>176</v>
      </c>
      <c r="DN37" s="308" t="s">
        <v>176</v>
      </c>
      <c r="DO37" s="308" t="s">
        <v>176</v>
      </c>
      <c r="DP37" s="308" t="s">
        <v>176</v>
      </c>
      <c r="DQ37" s="308" t="s">
        <v>176</v>
      </c>
      <c r="DR37" s="308" t="s">
        <v>176</v>
      </c>
      <c r="DS37" s="308" t="s">
        <v>176</v>
      </c>
      <c r="DT37" s="308" t="s">
        <v>176</v>
      </c>
      <c r="DU37" s="308" t="s">
        <v>176</v>
      </c>
      <c r="DV37" s="306" t="s">
        <v>176</v>
      </c>
      <c r="DW37" s="306" t="s">
        <v>176</v>
      </c>
      <c r="DX37" s="306" t="s">
        <v>176</v>
      </c>
      <c r="DY37" s="308" t="s">
        <v>176</v>
      </c>
      <c r="DZ37" s="308" t="s">
        <v>176</v>
      </c>
      <c r="EA37" s="308" t="s">
        <v>176</v>
      </c>
      <c r="EB37" s="308" t="s">
        <v>176</v>
      </c>
      <c r="EC37" s="308" t="s">
        <v>176</v>
      </c>
      <c r="ED37" s="308" t="s">
        <v>176</v>
      </c>
      <c r="EE37" s="308" t="s">
        <v>176</v>
      </c>
      <c r="EF37" s="308" t="s">
        <v>176</v>
      </c>
      <c r="EG37" s="308" t="s">
        <v>176</v>
      </c>
      <c r="EH37" s="308" t="s">
        <v>176</v>
      </c>
      <c r="EI37" s="308" t="s">
        <v>176</v>
      </c>
      <c r="EJ37" s="308" t="s">
        <v>176</v>
      </c>
      <c r="EK37" s="308" t="s">
        <v>176</v>
      </c>
      <c r="EL37" s="308" t="s">
        <v>176</v>
      </c>
      <c r="EM37" s="308" t="s">
        <v>176</v>
      </c>
      <c r="EN37" s="308" t="s">
        <v>176</v>
      </c>
      <c r="EO37" s="308" t="s">
        <v>176</v>
      </c>
      <c r="EP37" s="308" t="s">
        <v>176</v>
      </c>
      <c r="EQ37" s="308" t="s">
        <v>176</v>
      </c>
      <c r="ER37" s="308" t="s">
        <v>176</v>
      </c>
      <c r="ES37" s="308" t="s">
        <v>176</v>
      </c>
      <c r="ET37" s="308" t="s">
        <v>176</v>
      </c>
      <c r="EU37" s="308" t="s">
        <v>176</v>
      </c>
      <c r="EV37" s="308" t="s">
        <v>176</v>
      </c>
      <c r="EW37" s="308" t="s">
        <v>176</v>
      </c>
      <c r="EX37" s="308" t="s">
        <v>176</v>
      </c>
      <c r="EY37" s="308">
        <v>1</v>
      </c>
      <c r="EZ37" s="308">
        <v>2</v>
      </c>
      <c r="FA37" s="308">
        <v>2</v>
      </c>
      <c r="FB37" s="309">
        <v>1</v>
      </c>
      <c r="FC37" s="309"/>
      <c r="FD37" s="308">
        <v>2</v>
      </c>
      <c r="FE37" s="308">
        <v>2</v>
      </c>
      <c r="FF37" s="308">
        <v>2</v>
      </c>
      <c r="FG37" s="308">
        <v>3</v>
      </c>
      <c r="FH37" s="308">
        <v>3</v>
      </c>
      <c r="FI37" s="308">
        <v>2</v>
      </c>
      <c r="FJ37" s="308">
        <v>3</v>
      </c>
      <c r="FK37" s="308">
        <v>3</v>
      </c>
      <c r="FL37" s="308">
        <v>2</v>
      </c>
      <c r="FM37" s="308">
        <v>1</v>
      </c>
      <c r="FN37" s="308">
        <v>2</v>
      </c>
      <c r="FO37" s="308">
        <v>3</v>
      </c>
      <c r="FP37" s="308" t="s">
        <v>176</v>
      </c>
      <c r="FQ37" s="308" t="s">
        <v>176</v>
      </c>
      <c r="FR37" s="308" t="s">
        <v>176</v>
      </c>
      <c r="FS37" s="308" t="s">
        <v>160</v>
      </c>
      <c r="FT37" s="308" t="s">
        <v>176</v>
      </c>
      <c r="FU37" s="308" t="s">
        <v>176</v>
      </c>
      <c r="FV37" s="308" t="s">
        <v>176</v>
      </c>
      <c r="FW37" s="308" t="s">
        <v>176</v>
      </c>
      <c r="FX37" s="308" t="s">
        <v>176</v>
      </c>
      <c r="FY37" s="308" t="s">
        <v>176</v>
      </c>
      <c r="FZ37" s="308" t="s">
        <v>176</v>
      </c>
      <c r="GA37" s="308" t="s">
        <v>160</v>
      </c>
      <c r="GB37" s="308" t="s">
        <v>176</v>
      </c>
      <c r="GC37" s="308" t="s">
        <v>176</v>
      </c>
      <c r="GD37" s="308" t="s">
        <v>176</v>
      </c>
      <c r="GE37" s="308" t="s">
        <v>176</v>
      </c>
      <c r="GF37" s="308" t="s">
        <v>176</v>
      </c>
      <c r="GG37" s="308" t="s">
        <v>176</v>
      </c>
      <c r="GH37" s="308" t="s">
        <v>176</v>
      </c>
      <c r="GI37" s="308" t="s">
        <v>176</v>
      </c>
      <c r="GJ37" s="308" t="s">
        <v>176</v>
      </c>
      <c r="GK37" s="321" t="s">
        <v>176</v>
      </c>
      <c r="GL37" s="311">
        <f>SUM(G37:FP37)</f>
        <v>87</v>
      </c>
      <c r="GM37" s="132"/>
    </row>
    <row r="38" spans="1:195" s="133" customFormat="1" ht="28.35" customHeight="1" thickBot="1" x14ac:dyDescent="0.3">
      <c r="A38" s="138" t="str">
        <f>A37</f>
        <v>Logistyka-Logistic</v>
      </c>
      <c r="B38" s="138" t="str">
        <f>B37</f>
        <v>Specjalista ds. zakupów</v>
      </c>
      <c r="C38" s="138" t="s">
        <v>230</v>
      </c>
      <c r="D38" s="138">
        <f>D37</f>
        <v>1360</v>
      </c>
      <c r="E38" s="566" t="str">
        <f>E37</f>
        <v>Gromadzki Witold</v>
      </c>
      <c r="F38" s="312" t="s">
        <v>166</v>
      </c>
      <c r="G38" s="313">
        <f>IF(INDEX(tab_MinKomp[Przepisy BHP / BHP Vorschriften],MATCH($B37,tab_MinKomp[[Stanowisko / Position ]:[Stanowisko / Position ]],0))="n/a","n/a",G37-INDEX(tab_MinKomp[Przepisy BHP / BHP Vorschriften],MATCH($B37,tab_MinKomp[[Stanowisko / Position ]:[Stanowisko / Position ]],0)))</f>
        <v>0</v>
      </c>
      <c r="H38" s="314">
        <f>IF(INDEX(tab_MinKomp[Przepisy PPOŻ / Brandschutzbestimmungen],MATCH($B37,tab_MinKomp[[Stanowisko / Position ]:[Stanowisko / Position ]],0))="n/a","n/a",H37-INDEX(tab_MinKomp[Przepisy PPOŻ / Brandschutzbestimmungen],MATCH($B37,tab_MinKomp[[Stanowisko / Position ]:[Stanowisko / Position ]],0)))</f>
        <v>0</v>
      </c>
      <c r="I38" s="314">
        <f>IF(INDEX(tab_MinKomp[Ryzyko zawodowe na stanowiskach pracyv/ Berufliche Risiken an Arbeitsstellen],MATCH($B37,tab_MinKomp[[Stanowisko / Position ]:[Stanowisko / Position ]],0))="n/a","n/a",I37-INDEX(tab_MinKomp[Ryzyko zawodowe na stanowiskach pracyv/ Berufliche Risiken an Arbeitsstellen],MATCH($B37,tab_MinKomp[[Stanowisko / Position ]:[Stanowisko / Position ]],0)))</f>
        <v>0</v>
      </c>
      <c r="J38" s="314">
        <f>IF(INDEX(tab_MinKomp[Gospodarka substancjami niebezpiecznymi / Gefahrstoffmanagement],MATCH($B37,tab_MinKomp[[Stanowisko / Position ]:[Stanowisko / Position ]],0))="n/a","n/a",J37-INDEX(tab_MinKomp[Gospodarka substancjami niebezpiecznymi / Gefahrstoffmanagement],MATCH($B37,tab_MinKomp[[Stanowisko / Position ]:[Stanowisko / Position ]],0)))</f>
        <v>0</v>
      </c>
      <c r="K38" s="314">
        <f>IF(INDEX(tab_MinKomp[Gospodarka odpadami / Abfallwirtschaft],MATCH($B37,tab_MinKomp[[Stanowisko / Position ]:[Stanowisko / Position ]],0))="n/a","n/a",K37-INDEX(tab_MinKomp[Gospodarka odpadami / Abfallwirtschaft],MATCH($B37,tab_MinKomp[[Stanowisko / Position ]:[Stanowisko / Position ]],0)))</f>
        <v>1</v>
      </c>
      <c r="L38" s="315">
        <f>IF(INDEX(tab_MinKomp[Przepisy kodeksu pracy / Bestimmungen des Arbeitsgesetzes],MATCH($B37,tab_MinKomp[[Stanowisko / Position ]:[Stanowisko / Position ]],0))="n/a","n/a",L37-INDEX(tab_MinKomp[Przepisy kodeksu pracy / Bestimmungen des Arbeitsgesetzes],MATCH($B37,tab_MinKomp[[Stanowisko / Position ]:[Stanowisko / Position ]],0)))</f>
        <v>0</v>
      </c>
      <c r="M38" s="316" t="str">
        <f>IF(INDEX(tab_MinKomp[Przepisy o ub.społ. ZUS  / Sozialversicherungsvorschriften],MATCH($B37,tab_MinKomp[[Stanowisko / Position ]:[Stanowisko / Position ]],0))="n/a","n/a",M37-INDEX(tab_MinKomp[Przepisy o ub.społ. ZUS  / Sozialversicherungsvorschriften],MATCH($B37,tab_MinKomp[[Stanowisko / Position ]:[Stanowisko / Position ]],0)))</f>
        <v>n/a</v>
      </c>
      <c r="N38" s="315" t="str">
        <f>IF(INDEX(tab_MinKomp[PRZEPISY O PDOF /persönlich Einkommensteuergesetz ],MATCH($B37,tab_MinKomp[[Stanowisko / Position ]:[Stanowisko / Position ]],0))="n/a","n/a",N37-INDEX(tab_MinKomp[PRZEPISY O PDOF /persönlich Einkommensteuergesetz ],MATCH($B37,tab_MinKomp[[Stanowisko / Position ]:[Stanowisko / Position ]],0)))</f>
        <v>n/a</v>
      </c>
      <c r="O38" s="315">
        <f>IF(INDEX(tab_MinKomp[Regulamin pracy / Arbeitsordnung],MATCH($B37,tab_MinKomp[[Stanowisko / Position ]:[Stanowisko / Position ]],0))="n/a","n/a",O37-INDEX(tab_MinKomp[Regulamin pracy / Arbeitsordnung],MATCH($B37,tab_MinKomp[[Stanowisko / Position ]:[Stanowisko / Position ]],0)))</f>
        <v>0</v>
      </c>
      <c r="P38" s="315">
        <f>IF(INDEX(tab_MinKomp[Regulamin wynagradzania / Vergütungsordnung],MATCH($B37,tab_MinKomp[[Stanowisko / Position ]:[Stanowisko / Position ]],0))="n/a","n/a",P37-INDEX(tab_MinKomp[Regulamin wynagradzania / Vergütungsordnung],MATCH($B37,tab_MinKomp[[Stanowisko / Position ]:[Stanowisko / Position ]],0)))</f>
        <v>0</v>
      </c>
      <c r="Q38" s="315" t="str">
        <f>IF(INDEX(tab_MinKomp[System R2PŁATNIK PRO: Płace / Lohnabrechnung],MATCH($B37,tab_MinKomp[[Stanowisko / Position ]:[Stanowisko / Position ]],0))="n/a","n/a",Q37-INDEX(tab_MinKomp[System R2PŁATNIK PRO: Płace / Lohnabrechnung],MATCH($B37,tab_MinKomp[[Stanowisko / Position ]:[Stanowisko / Position ]],0)))</f>
        <v>n/a</v>
      </c>
      <c r="R38" s="315" t="str">
        <f>IF(INDEX(tab_MinKomp[SystemR2PŁATNIK PRO: KADRY / Personaldaten],MATCH($B37,tab_MinKomp[[Stanowisko / Position ]:[Stanowisko / Position ]],0))="n/a","n/a",R37-INDEX(tab_MinKomp[SystemR2PŁATNIK PRO: KADRY / Personaldaten],MATCH($B37,tab_MinKomp[[Stanowisko / Position ]:[Stanowisko / Position ]],0)))</f>
        <v>n/a</v>
      </c>
      <c r="S38" s="315" t="str">
        <f>IF(INDEX(tab_MinKomp[SYSTEM R2PŁATNIK PRO: zarządzanie pracownikami / Arbeitsverwaltung],MATCH($B37,tab_MinKomp[[Stanowisko / Position ]:[Stanowisko / Position ]],0))="n/a","n/a",S37-INDEX(tab_MinKomp[SYSTEM R2PŁATNIK PRO: zarządzanie pracownikami / Arbeitsverwaltung],MATCH($B37,tab_MinKomp[[Stanowisko / Position ]:[Stanowisko / Position ]],0)))</f>
        <v>n/a</v>
      </c>
      <c r="T38" s="315" t="str">
        <f>IF(INDEX(tab_MinKomp[Doradztwo, wsparcie personalne / Personalberatung und Unterstützung],MATCH($B37,tab_MinKomp[[Stanowisko / Position ]:[Stanowisko / Position ]],0))="n/a","n/a",T37-INDEX(tab_MinKomp[Doradztwo, wsparcie personalne / Personalberatung und Unterstützung],MATCH($B37,tab_MinKomp[[Stanowisko / Position ]:[Stanowisko / Position ]],0)))</f>
        <v>n/a</v>
      </c>
      <c r="U38" s="315">
        <f>IF(INDEX(tab_MinKomp[Przepisy o podatku VAT / MwSt.- Gesetz],MATCH($B37,tab_MinKomp[[Stanowisko / Position ]:[Stanowisko / Position ]],0))="n/a","n/a",U37-INDEX(tab_MinKomp[Przepisy o podatku VAT / MwSt.- Gesetz],MATCH($B37,tab_MinKomp[[Stanowisko / Position ]:[Stanowisko / Position ]],0)))</f>
        <v>0</v>
      </c>
      <c r="V38" s="315" t="str">
        <f>IF(INDEX(tab_MinKomp[PrzepisyPDOP / geschäftlich Einkommensteuergesetz],MATCH($B37,tab_MinKomp[[Stanowisko / Position ]:[Stanowisko / Position ]],0))="n/a","n/a",V37-INDEX(tab_MinKomp[PrzepisyPDOP / geschäftlich Einkommensteuergesetz],MATCH($B37,tab_MinKomp[[Stanowisko / Position ]:[Stanowisko / Position ]],0)))</f>
        <v>n/a</v>
      </c>
      <c r="W38" s="315">
        <f>IF(INDEX(tab_MinKomp[System BAAN / FINANSE (FIBU)],MATCH($B37,tab_MinKomp[[Stanowisko / Position ]:[Stanowisko / Position ]],0))="n/a","n/a",W37-INDEX(tab_MinKomp[System BAAN / FINANSE (FIBU)],MATCH($B37,tab_MinKomp[[Stanowisko / Position ]:[Stanowisko / Position ]],0)))</f>
        <v>-1</v>
      </c>
      <c r="X38" s="315" t="str">
        <f>IF(INDEX(tab_MinKomp[Systemy pomocnicze / Hilfssysteme(STOCKPROGRAM, KALK2000 etc.)],MATCH($B37,tab_MinKomp[[Stanowisko / Position ]:[Stanowisko / Position ]],0))="n/a","n/a",X37-INDEX(tab_MinKomp[Systemy pomocnicze / Hilfssysteme(STOCKPROGRAM, KALK2000 etc.)],MATCH($B37,tab_MinKomp[[Stanowisko / Position ]:[Stanowisko / Position ]],0)))</f>
        <v>n/a</v>
      </c>
      <c r="Y38" s="315" t="str">
        <f>IF(INDEX(tab_MinKomp[Polityka rachunkowości / Buchführungspolitik],MATCH($B37,tab_MinKomp[[Stanowisko / Position ]:[Stanowisko / Position ]],0))="n/a","n/a",Y37-INDEX(tab_MinKomp[Polityka rachunkowości / Buchführungspolitik],MATCH($B37,tab_MinKomp[[Stanowisko / Position ]:[Stanowisko / Position ]],0)))</f>
        <v>n/a</v>
      </c>
      <c r="Z38" s="315" t="str">
        <f>IF(INDEX(tab_MinKomp[Ustawa o rachunkowości / Rechnungslegungsgesetz],MATCH($B37,tab_MinKomp[[Stanowisko / Position ]:[Stanowisko / Position ]],0))="n/a","n/a",Z37-INDEX(tab_MinKomp[Ustawa o rachunkowości / Rechnungslegungsgesetz],MATCH($B37,tab_MinKomp[[Stanowisko / Position ]:[Stanowisko / Position ]],0)))</f>
        <v>n/a</v>
      </c>
      <c r="AA38" s="315">
        <f>IF(INDEX(tab_MinKomp[WORKFLOW - TS-100],MATCH($B37,tab_MinKomp[[Stanowisko / Position ]:[Stanowisko / Position ]],0))="n/a","n/a",AA37-INDEX(tab_MinKomp[WORKFLOW - TS-100],MATCH($B37,tab_MinKomp[[Stanowisko / Position ]:[Stanowisko / Position ]],0)))</f>
        <v>0</v>
      </c>
      <c r="AB38" s="315">
        <f>IF(INDEX(tab_MinKomp[WORKFLOW - SFMS],MATCH($B37,tab_MinKomp[[Stanowisko / Position ]:[Stanowisko / Position ]],0))="n/a","n/a",AB37-INDEX(tab_MinKomp[WORKFLOW - SFMS],MATCH($B37,tab_MinKomp[[Stanowisko / Position ]:[Stanowisko / Position ]],0)))</f>
        <v>0</v>
      </c>
      <c r="AC38" s="315">
        <f>IF(INDEX(tab_MinKomp[System ISO 9001:2015],MATCH($B37,tab_MinKomp[[Stanowisko / Position ]:[Stanowisko / Position ]],0))="n/a","n/a",AC37-INDEX(tab_MinKomp[System ISO 9001:2015],MATCH($B37,tab_MinKomp[[Stanowisko / Position ]:[Stanowisko / Position ]],0)))</f>
        <v>0</v>
      </c>
      <c r="AD38" s="315">
        <f>IF(INDEX(tab_MinKomp[System IATF 16949:2016],MATCH($B37,tab_MinKomp[[Stanowisko / Position ]:[Stanowisko / Position ]],0))="n/a","n/a",AD37-INDEX(tab_MinKomp[System IATF 16949:2016],MATCH($B37,tab_MinKomp[[Stanowisko / Position ]:[Stanowisko / Position ]],0)))</f>
        <v>0</v>
      </c>
      <c r="AE38" s="315">
        <f>IF(INDEX(tab_MinKomp[System ISO 14001:2015],MATCH($B37,tab_MinKomp[[Stanowisko / Position ]:[Stanowisko / Position ]],0))="n/a","n/a",AE37-INDEX(tab_MinKomp[System ISO 14001:2015],MATCH($B37,tab_MinKomp[[Stanowisko / Position ]:[Stanowisko / Position ]],0)))</f>
        <v>0</v>
      </c>
      <c r="AF38" s="315">
        <f>IF(INDEX(tab_MinKomp[System PN-N 18001:2004 / ISO 45001:2018],MATCH($B37,tab_MinKomp[[Stanowisko / Position ]:[Stanowisko / Position ]],0))="n/a","n/a",AF37-INDEX(tab_MinKomp[System PN-N 18001:2004 / ISO 45001:2018],MATCH($B37,tab_MinKomp[[Stanowisko / Position ]:[Stanowisko / Position ]],0)))</f>
        <v>0</v>
      </c>
      <c r="AG38" s="315">
        <f>IF(INDEX(tab_MinKomp[Wymagania VDA 6.3 Process / Forderungen],MATCH($B37,tab_MinKomp[[Stanowisko / Position ]:[Stanowisko / Position ]],0))="n/a","n/a",AG37-INDEX(tab_MinKomp[Wymagania VDA 6.3 Process / Forderungen],MATCH($B37,tab_MinKomp[[Stanowisko / Position ]:[Stanowisko / Position ]],0)))</f>
        <v>0</v>
      </c>
      <c r="AH38" s="315">
        <f>IF(INDEX(tab_MinKomp[Wymagania VDA 6.5 Product / Forderungen],MATCH($B37,tab_MinKomp[[Stanowisko / Position ]:[Stanowisko / Position ]],0))="n/a","n/a",AH37-INDEX(tab_MinKomp[Wymagania VDA 6.5 Product / Forderungen],MATCH($B37,tab_MinKomp[[Stanowisko / Position ]:[Stanowisko / Position ]],0)))</f>
        <v>0</v>
      </c>
      <c r="AI38" s="315" t="str">
        <f>IF(INDEX(tab_MinKomp[PSCR (VW Product Safety &amp; Conformity Representative)],MATCH($B37,tab_MinKomp[[Stanowisko / Position ]:[Stanowisko / Position ]],0))="n/a","n/a",AI37-INDEX(tab_MinKomp[PSCR (VW Product Safety &amp; Conformity Representative)],MATCH($B37,tab_MinKomp[[Stanowisko / Position ]:[Stanowisko / Position ]],0)))</f>
        <v>n/a</v>
      </c>
      <c r="AJ38" s="315" t="str">
        <f>IF(INDEX(tab_MinKomp[Auditor systemu ISO 17025:2018],MATCH($B37,tab_MinKomp[[Stanowisko / Position ]:[Stanowisko / Position ]],0))="n/a","n/a",AJ37-INDEX(tab_MinKomp[Auditor systemu ISO 17025:2018],MATCH($B37,tab_MinKomp[[Stanowisko / Position ]:[Stanowisko / Position ]],0)))</f>
        <v>n/a</v>
      </c>
      <c r="AK38" s="315" t="str">
        <f>IF(INDEX(tab_MinKomp[Pełnomocnik systemu / Systemvertreter],MATCH($B37,tab_MinKomp[[Stanowisko / Position ]:[Stanowisko / Position ]],0))="n/a","n/a",AK37-INDEX(tab_MinKomp[Pełnomocnik systemu / Systemvertreter],MATCH($B37,tab_MinKomp[[Stanowisko / Position ]:[Stanowisko / Position ]],0)))</f>
        <v>n/a</v>
      </c>
      <c r="AL38" s="315">
        <f>IF(INDEX(tab_MinKomp[Polityka Etyczna - Compliance],MATCH($B37,tab_MinKomp[[Stanowisko / Position ]:[Stanowisko / Position ]],0))="n/a","n/a",AL37-INDEX(tab_MinKomp[Polityka Etyczna - Compliance],MATCH($B37,tab_MinKomp[[Stanowisko / Position ]:[Stanowisko / Position ]],0)))</f>
        <v>-1</v>
      </c>
      <c r="AM38" s="315">
        <f>IF(INDEX(tab_MinKomp[WDRAŻANIE NOWYCH PROJEKTÓW/ PROCEDURA CTM],MATCH($B37,tab_MinKomp[[Stanowisko / Position ]:[Stanowisko / Position ]],0))="n/a","n/a",AM37-INDEX(tab_MinKomp[WDRAŻANIE NOWYCH PROJEKTÓW/ PROCEDURA CTM],MATCH($B37,tab_MinKomp[[Stanowisko / Position ]:[Stanowisko / Position ]],0)))</f>
        <v>0</v>
      </c>
      <c r="AN38" s="315" t="str">
        <f>IF(INDEX(tab_MinKomp[KAMIENIE MILOWE MSL/PIFF],MATCH($B37,tab_MinKomp[[Stanowisko / Position ]:[Stanowisko / Position ]],0))="n/a","n/a",AN37-INDEX(tab_MinKomp[KAMIENIE MILOWE MSL/PIFF],MATCH($B37,tab_MinKomp[[Stanowisko / Position ]:[Stanowisko / Position ]],0)))</f>
        <v>n/a</v>
      </c>
      <c r="AO38" s="315" t="str">
        <f>IF(INDEX(tab_MinKomp[CP],MATCH($B37,tab_MinKomp[[Stanowisko / Position ]:[Stanowisko / Position ]],0))="n/a","n/a",AO37-INDEX(tab_MinKomp[CP],MATCH($B37,tab_MinKomp[[Stanowisko / Position ]:[Stanowisko / Position ]],0)))</f>
        <v>n/a</v>
      </c>
      <c r="AP38" s="315" t="str">
        <f>IF(INDEX(tab_MinKomp[FMEA],MATCH($B37,tab_MinKomp[[Stanowisko / Position ]:[Stanowisko / Position ]],0))="n/a","n/a",AP37-INDEX(tab_MinKomp[FMEA],MATCH($B37,tab_MinKomp[[Stanowisko / Position ]:[Stanowisko / Position ]],0)))</f>
        <v>n/a</v>
      </c>
      <c r="AQ38" s="315">
        <f>IF(INDEX(tab_MinKomp[FLOW CHART],MATCH($B37,tab_MinKomp[[Stanowisko / Position ]:[Stanowisko / Position ]],0))="n/a","n/a",AQ37-INDEX(tab_MinKomp[FLOW CHART],MATCH($B37,tab_MinKomp[[Stanowisko / Position ]:[Stanowisko / Position ]],0)))</f>
        <v>0</v>
      </c>
      <c r="AR38" s="315" t="str">
        <f>IF(INDEX(tab_MinKomp[APQP],MATCH($B37,tab_MinKomp[[Stanowisko / Position ]:[Stanowisko / Position ]],0))="n/a","n/a",AR37-INDEX(tab_MinKomp[APQP],MATCH($B37,tab_MinKomp[[Stanowisko / Position ]:[Stanowisko / Position ]],0)))</f>
        <v>n/a</v>
      </c>
      <c r="AS38" s="315" t="str">
        <f>IF(INDEX(tab_MinKomp[MSA],MATCH($B37,tab_MinKomp[[Stanowisko / Position ]:[Stanowisko / Position ]],0))="n/a","n/a",AS37-INDEX(tab_MinKomp[MSA],MATCH($B37,tab_MinKomp[[Stanowisko / Position ]:[Stanowisko / Position ]],0)))</f>
        <v>n/a</v>
      </c>
      <c r="AT38" s="315" t="str">
        <f>IF(INDEX(tab_MinKomp[SPC],MATCH($B37,tab_MinKomp[[Stanowisko / Position ]:[Stanowisko / Position ]],0))="n/a","n/a",AT37-INDEX(tab_MinKomp[SPC],MATCH($B37,tab_MinKomp[[Stanowisko / Position ]:[Stanowisko / Position ]],0)))</f>
        <v>n/a</v>
      </c>
      <c r="AU38" s="315" t="str">
        <f>IF(INDEX(tab_MinKomp[CSR (SPECYFICZNE WYMAGANIA KLIENTA)],MATCH($B37,tab_MinKomp[[Stanowisko / Position ]:[Stanowisko / Position ]],0))="n/a","n/a",AU37-INDEX(tab_MinKomp[CSR (SPECYFICZNE WYMAGANIA KLIENTA)],MATCH($B37,tab_MinKomp[[Stanowisko / Position ]:[Stanowisko / Position ]],0)))</f>
        <v>n/a</v>
      </c>
      <c r="AV38" s="315">
        <f>IF(INDEX(tab_MinKomp[5S],MATCH($B37,tab_MinKomp[[Stanowisko / Position ]:[Stanowisko / Position ]],0))="n/a","n/a",AV37-INDEX(tab_MinKomp[5S],MATCH($B37,tab_MinKomp[[Stanowisko / Position ]:[Stanowisko / Position ]],0)))</f>
        <v>-1</v>
      </c>
      <c r="AW38" s="315">
        <f>IF(INDEX(tab_MinKomp[LEAN MANAGEMENT],MATCH($B37,tab_MinKomp[[Stanowisko / Position ]:[Stanowisko / Position ]],0))="n/a","n/a",AW37-INDEX(tab_MinKomp[LEAN MANAGEMENT],MATCH($B37,tab_MinKomp[[Stanowisko / Position ]:[Stanowisko / Position ]],0)))</f>
        <v>0</v>
      </c>
      <c r="AX38" s="315">
        <f>IF(INDEX(tab_MinKomp[5R],MATCH($B37,tab_MinKomp[[Stanowisko / Position ]:[Stanowisko / Position ]],0))="n/a","n/a",AX37-INDEX(tab_MinKomp[5R],MATCH($B37,tab_MinKomp[[Stanowisko / Position ]:[Stanowisko / Position ]],0)))</f>
        <v>-1</v>
      </c>
      <c r="AY38" s="315" t="str">
        <f>IF(INDEX(tab_MinKomp[Six Sigma],MATCH($B37,tab_MinKomp[[Stanowisko / Position ]:[Stanowisko / Position ]],0))="n/a","n/a",AY37-INDEX(tab_MinKomp[Six Sigma],MATCH($B37,tab_MinKomp[[Stanowisko / Position ]:[Stanowisko / Position ]],0)))</f>
        <v>n/a</v>
      </c>
      <c r="AZ38" s="315">
        <f>IF(INDEX(tab_MinKomp[System BAAN / Distribution &amp; Supply Chain],MATCH($B37,tab_MinKomp[[Stanowisko / Position ]:[Stanowisko / Position ]],0))="n/a","n/a",AZ37-INDEX(tab_MinKomp[System BAAN / Distribution &amp; Supply Chain],MATCH($B37,tab_MinKomp[[Stanowisko / Position ]:[Stanowisko / Position ]],0)))</f>
        <v>0</v>
      </c>
      <c r="BA38" s="315">
        <f>IF(INDEX(tab_MinKomp[Gospodarka magazynowa / Lagerverwaltung],MATCH($B37,tab_MinKomp[[Stanowisko / Position ]:[Stanowisko / Position ]],0))="n/a","n/a",BA37-INDEX(tab_MinKomp[Gospodarka magazynowa / Lagerverwaltung],MATCH($B37,tab_MinKomp[[Stanowisko / Position ]:[Stanowisko / Position ]],0)))</f>
        <v>-1</v>
      </c>
      <c r="BB38" s="315">
        <f>IF(INDEX(tab_MinKomp[Inwentaryzacja - organizacja i przebieg / Inventurprozess],MATCH($B37,tab_MinKomp[[Stanowisko / Position ]:[Stanowisko / Position ]],0))="n/a","n/a",BB37-INDEX(tab_MinKomp[Inwentaryzacja - organizacja i przebieg / Inventurprozess],MATCH($B37,tab_MinKomp[[Stanowisko / Position ]:[Stanowisko / Position ]],0)))</f>
        <v>0</v>
      </c>
      <c r="BC38" s="315">
        <f>IF(INDEX(tab_MinKomp[Organizacja dostaw / Versorgungsorganisation],MATCH($B37,tab_MinKomp[[Stanowisko / Position ]:[Stanowisko / Position ]],0))="n/a","n/a",BC37-INDEX(tab_MinKomp[Organizacja dostaw / Versorgungsorganisation],MATCH($B37,tab_MinKomp[[Stanowisko / Position ]:[Stanowisko / Position ]],0)))</f>
        <v>0</v>
      </c>
      <c r="BD38" s="315" t="str">
        <f>IF(INDEX(tab_MinKomp[Organizacja wysyłek / Organisation von Lieferungen],MATCH($B37,tab_MinKomp[[Stanowisko / Position ]:[Stanowisko / Position ]],0))="n/a","n/a",BD37-INDEX(tab_MinKomp[Organizacja wysyłek / Organisation von Lieferungen],MATCH($B37,tab_MinKomp[[Stanowisko / Position ]:[Stanowisko / Position ]],0)))</f>
        <v>n/a</v>
      </c>
      <c r="BE38" s="315">
        <f>IF(INDEX(tab_MinKomp[Analiza magazynowa - Program Polen.mdb / Inventuranalyse],MATCH($B37,tab_MinKomp[[Stanowisko / Position ]:[Stanowisko / Position ]],0))="n/a","n/a",BE37-INDEX(tab_MinKomp[Analiza magazynowa - Program Polen.mdb / Inventuranalyse],MATCH($B37,tab_MinKomp[[Stanowisko / Position ]:[Stanowisko / Position ]],0)))</f>
        <v>0</v>
      </c>
      <c r="BF38" s="315" t="str">
        <f>IF(INDEX(tab_MinKomp[MMOG (Materials Management Operations Guidelines)],MATCH($B37,tab_MinKomp[[Stanowisko / Position ]:[Stanowisko / Position ]],0))="n/a","n/a",BF37-INDEX(tab_MinKomp[MMOG (Materials Management Operations Guidelines)],MATCH($B37,tab_MinKomp[[Stanowisko / Position ]:[Stanowisko / Position ]],0)))</f>
        <v>n/a</v>
      </c>
      <c r="BG38" s="315" t="str">
        <f>IF(INDEX(tab_MinKomp[GPP],MATCH($B37,tab_MinKomp[[Stanowisko / Position ]:[Stanowisko / Position ]],0))="n/a","n/a",BG37-INDEX(tab_MinKomp[GPP],MATCH($B37,tab_MinKomp[[Stanowisko / Position ]:[Stanowisko / Position ]],0)))</f>
        <v>n/a</v>
      </c>
      <c r="BH38" s="315" t="str">
        <f>IF(INDEX(tab_MinKomp[AIAG (Automotive Industry Action Group)],MATCH($B37,tab_MinKomp[[Stanowisko / Position ]:[Stanowisko / Position ]],0))="n/a","n/a",BH37-INDEX(tab_MinKomp[AIAG (Automotive Industry Action Group)],MATCH($B37,tab_MinKomp[[Stanowisko / Position ]:[Stanowisko / Position ]],0)))</f>
        <v>n/a</v>
      </c>
      <c r="BI38" s="315" t="str">
        <f>IF(INDEX(tab_MinKomp[Super-G disputes],MATCH($B37,tab_MinKomp[[Stanowisko / Position ]:[Stanowisko / Position ]],0))="n/a","n/a",BI37-INDEX(tab_MinKomp[Super-G disputes],MATCH($B37,tab_MinKomp[[Stanowisko / Position ]:[Stanowisko / Position ]],0)))</f>
        <v>n/a</v>
      </c>
      <c r="BJ38" s="315" t="str">
        <f>IF(INDEX(tab_MinKomp[CMMS3/eDDL (Direct Data Link)],MATCH($B37,tab_MinKomp[[Stanowisko / Position ]:[Stanowisko / Position ]],0))="n/a","n/a",BJ37-INDEX(tab_MinKomp[CMMS3/eDDL (Direct Data Link)],MATCH($B37,tab_MinKomp[[Stanowisko / Position ]:[Stanowisko / Position ]],0)))</f>
        <v>n/a</v>
      </c>
      <c r="BK38" s="315" t="str">
        <f>IF(INDEX(tab_MinKomp[MP&amp;L (Material Planning and Logistics)],MATCH($B37,tab_MinKomp[[Stanowisko / Position ]:[Stanowisko / Position ]],0))="n/a","n/a",BK37-INDEX(tab_MinKomp[MP&amp;L (Material Planning and Logistics)],MATCH($B37,tab_MinKomp[[Stanowisko / Position ]:[Stanowisko / Position ]],0)))</f>
        <v>n/a</v>
      </c>
      <c r="BL38" s="315" t="str">
        <f>IF(INDEX(tab_MinKomp[Supplier delivery rating],MATCH($B37,tab_MinKomp[[Stanowisko / Position ]:[Stanowisko / Position ]],0))="n/a","n/a",BL37-INDEX(tab_MinKomp[Supplier delivery rating],MATCH($B37,tab_MinKomp[[Stanowisko / Position ]:[Stanowisko / Position ]],0)))</f>
        <v>n/a</v>
      </c>
      <c r="BM38" s="315" t="str">
        <f>IF(INDEX(tab_MinKomp[Planowanie produkcji / Produktionsplanung],MATCH($B37,tab_MinKomp[[Stanowisko / Position ]:[Stanowisko / Position ]],0))="n/a","n/a",BM37-INDEX(tab_MinKomp[Planowanie produkcji / Produktionsplanung],MATCH($B37,tab_MinKomp[[Stanowisko / Position ]:[Stanowisko / Position ]],0)))</f>
        <v>n/a</v>
      </c>
      <c r="BN38" s="315" t="str">
        <f>IF(INDEX(tab_MinKomp[Obsługa maszyn Engel / Engel Maschinenbedienung],MATCH($B37,tab_MinKomp[[Stanowisko / Position ]:[Stanowisko / Position ]],0))="n/a","n/a",BN37-INDEX(tab_MinKomp[Obsługa maszyn Engel / Engel Maschinenbedienung],MATCH($B37,tab_MinKomp[[Stanowisko / Position ]:[Stanowisko / Position ]],0)))</f>
        <v>n/a</v>
      </c>
      <c r="BO38" s="315" t="str">
        <f>IF(INDEX(tab_MinKomp[Obsługa maszyn Novapax / Novapax Maschinenbedienung],MATCH($B37,tab_MinKomp[[Stanowisko / Position ]:[Stanowisko / Position ]],0))="n/a","n/a",BO37-INDEX(tab_MinKomp[Obsługa maszyn Novapax / Novapax Maschinenbedienung],MATCH($B37,tab_MinKomp[[Stanowisko / Position ]:[Stanowisko / Position ]],0)))</f>
        <v>n/a</v>
      </c>
      <c r="BP38" s="315" t="str">
        <f>IF(INDEX(tab_MinKomp[Obsługa maszyn KVT / KVT Maschinenbedienung],MATCH($B37,tab_MinKomp[[Stanowisko / Position ]:[Stanowisko / Position ]],0))="n/a","n/a",BP37-INDEX(tab_MinKomp[Obsługa maszyn KVT / KVT Maschinenbedienung],MATCH($B37,tab_MinKomp[[Stanowisko / Position ]:[Stanowisko / Position ]],0)))</f>
        <v>n/a</v>
      </c>
      <c r="BQ38" s="315" t="str">
        <f>IF(INDEX(tab_MinKomp[Obsługa maszyn ASL / ASL Maschinenbedienung],MATCH($B37,tab_MinKomp[[Stanowisko / Position ]:[Stanowisko / Position ]],0))="n/a","n/a",BQ37-INDEX(tab_MinKomp[Obsługa maszyn ASL / ASL Maschinenbedienung],MATCH($B37,tab_MinKomp[[Stanowisko / Position ]:[Stanowisko / Position ]],0)))</f>
        <v>n/a</v>
      </c>
      <c r="BR38" s="315" t="str">
        <f>IF(INDEX(tab_MinKomp[Obsługa maszyn Branson / Branson Maschinenbedienung],MATCH($B37,tab_MinKomp[[Stanowisko / Position ]:[Stanowisko / Position ]],0))="n/a","n/a",BR37-INDEX(tab_MinKomp[Obsługa maszyn Branson / Branson Maschinenbedienung],MATCH($B37,tab_MinKomp[[Stanowisko / Position ]:[Stanowisko / Position ]],0)))</f>
        <v>n/a</v>
      </c>
      <c r="BS38" s="315" t="str">
        <f>IF(INDEX(tab_MinKomp[Obsługa maszyn Kamtec / Kamtec Maschinenbedienung],MATCH($B37,tab_MinKomp[[Stanowisko / Position ]:[Stanowisko / Position ]],0))="n/a","n/a",BS37-INDEX(tab_MinKomp[Obsługa maszyn Kamtec / Kamtec Maschinenbedienung],MATCH($B37,tab_MinKomp[[Stanowisko / Position ]:[Stanowisko / Position ]],0)))</f>
        <v>n/a</v>
      </c>
      <c r="BT38" s="315" t="str">
        <f>IF(INDEX(tab_MinKomp[Obsługa maszyn Piovan / Piovan Maschinenbedienung],MATCH($B37,tab_MinKomp[[Stanowisko / Position ]:[Stanowisko / Position ]],0))="n/a","n/a",BT37-INDEX(tab_MinKomp[Obsługa maszyn Piovan / Piovan Maschinenbedienung],MATCH($B37,tab_MinKomp[[Stanowisko / Position ]:[Stanowisko / Position ]],0)))</f>
        <v>n/a</v>
      </c>
      <c r="BU38" s="315" t="str">
        <f>IF(INDEX(tab_MinKomp[Obsługa maszyn REP / REP Maschinenbedienung],MATCH($B37,tab_MinKomp[[Stanowisko / Position ]:[Stanowisko / Position ]],0))="n/a","n/a",BU37-INDEX(tab_MinKomp[Obsługa maszyn REP / REP Maschinenbedienung],MATCH($B37,tab_MinKomp[[Stanowisko / Position ]:[Stanowisko / Position ]],0)))</f>
        <v>n/a</v>
      </c>
      <c r="BV38" s="315" t="str">
        <f>IF(INDEX(tab_MinKomp[Eliminacja awarii / Beseitigung von Ausfällen],MATCH($B37,tab_MinKomp[[Stanowisko / Position ]:[Stanowisko / Position ]],0))="n/a","n/a",BV37-INDEX(tab_MinKomp[Eliminacja awarii / Beseitigung von Ausfällen],MATCH($B37,tab_MinKomp[[Stanowisko / Position ]:[Stanowisko / Position ]],0)))</f>
        <v>n/a</v>
      </c>
      <c r="BW38" s="315" t="str">
        <f>IF(INDEX(tab_MinKomp[Informatyka ogólna (techniczne i systemowe) / Allgemeine IT (Technik und System)],MATCH($B37,tab_MinKomp[[Stanowisko / Position ]:[Stanowisko / Position ]],0))="n/a","n/a",BW37-INDEX(tab_MinKomp[Informatyka ogólna (techniczne i systemowe) / Allgemeine IT (Technik und System)],MATCH($B37,tab_MinKomp[[Stanowisko / Position ]:[Stanowisko / Position ]],0)))</f>
        <v>n/a</v>
      </c>
      <c r="BX38" s="315" t="str">
        <f>IF(INDEX(tab_MinKomp[Sieci komputerowe / Computernetzwerke],MATCH($B37,tab_MinKomp[[Stanowisko / Position ]:[Stanowisko / Position ]],0))="n/a","n/a",BX37-INDEX(tab_MinKomp[Sieci komputerowe / Computernetzwerke],MATCH($B37,tab_MinKomp[[Stanowisko / Position ]:[Stanowisko / Position ]],0)))</f>
        <v>n/a</v>
      </c>
      <c r="BY38" s="315" t="str">
        <f>IF(INDEX(tab_MinKomp[Hardware (komputery PC, drukarki biurowe i etykietowe, telefonia stacjonarna i mobilna) (PC, Drucker, Telefpne, Handys)],MATCH($B37,tab_MinKomp[[Stanowisko / Position ]:[Stanowisko / Position ]],0))="n/a","n/a",BY37-INDEX(tab_MinKomp[Hardware (komputery PC, drukarki biurowe i etykietowe, telefonia stacjonarna i mobilna) (PC, Drucker, Telefpne, Handys)],MATCH($B37,tab_MinKomp[[Stanowisko / Position ]:[Stanowisko / Position ]],0)))</f>
        <v>n/a</v>
      </c>
      <c r="BZ38" s="315" t="str">
        <f>IF(INDEX(tab_MinKomp[Software &amp; Systems (MS Office, MS Remote Desktop)],MATCH($B37,tab_MinKomp[[Stanowisko / Position ]:[Stanowisko / Position ]],0))="n/a","n/a",BZ37-INDEX(tab_MinKomp[Software &amp; Systems (MS Office, MS Remote Desktop)],MATCH($B37,tab_MinKomp[[Stanowisko / Position ]:[Stanowisko / Position ]],0)))</f>
        <v>n/a</v>
      </c>
      <c r="CA38" s="315" t="str">
        <f>IF(INDEX(tab_MinKomp[Programowanie obiektowe (PHP) / Objektprogrammierung],MATCH($B37,tab_MinKomp[[Stanowisko / Position ]:[Stanowisko / Position ]],0))="n/a","n/a",CA37-INDEX(tab_MinKomp[Programowanie obiektowe (PHP) / Objektprogrammierung],MATCH($B37,tab_MinKomp[[Stanowisko / Position ]:[Stanowisko / Position ]],0)))</f>
        <v>n/a</v>
      </c>
      <c r="CB38" s="315" t="str">
        <f>IF(INDEX(tab_MinKomp[Scrum],MATCH($B37,tab_MinKomp[[Stanowisko / Position ]:[Stanowisko / Position ]],0))="n/a","n/a",CB37-INDEX(tab_MinKomp[Scrum],MATCH($B37,tab_MinKomp[[Stanowisko / Position ]:[Stanowisko / Position ]],0)))</f>
        <v>n/a</v>
      </c>
      <c r="CC38" s="315" t="str">
        <f>IF(INDEX(tab_MinKomp[SQL (MySQL)],MATCH($B37,tab_MinKomp[[Stanowisko / Position ]:[Stanowisko / Position ]],0))="n/a","n/a",CC37-INDEX(tab_MinKomp[SQL (MySQL)],MATCH($B37,tab_MinKomp[[Stanowisko / Position ]:[Stanowisko / Position ]],0)))</f>
        <v>n/a</v>
      </c>
      <c r="CD38" s="315" t="str">
        <f>IF(INDEX(tab_MinKomp[Javascript],MATCH($B37,tab_MinKomp[[Stanowisko / Position ]:[Stanowisko / Position ]],0))="n/a","n/a",CD37-INDEX(tab_MinKomp[Javascript],MATCH($B37,tab_MinKomp[[Stanowisko / Position ]:[Stanowisko / Position ]],0)))</f>
        <v>n/a</v>
      </c>
      <c r="CE38" s="315" t="str">
        <f>IF(INDEX(tab_MinKomp[Joomla],MATCH($B37,tab_MinKomp[[Stanowisko / Position ]:[Stanowisko / Position ]],0))="n/a","n/a",CE37-INDEX(tab_MinKomp[Joomla],MATCH($B37,tab_MinKomp[[Stanowisko / Position ]:[Stanowisko / Position ]],0)))</f>
        <v>n/a</v>
      </c>
      <c r="CF38" s="315" t="str">
        <f>IF(INDEX(tab_MinKomp[Bash],MATCH($B37,tab_MinKomp[[Stanowisko / Position ]:[Stanowisko / Position ]],0))="n/a","n/a",CF37-INDEX(tab_MinKomp[Bash],MATCH($B37,tab_MinKomp[[Stanowisko / Position ]:[Stanowisko / Position ]],0)))</f>
        <v>n/a</v>
      </c>
      <c r="CG38" s="315" t="str">
        <f>IF(INDEX(tab_MinKomp[Systemy MES (HYDRA / SFMS)],MATCH($B37,tab_MinKomp[[Stanowisko / Position ]:[Stanowisko / Position ]],0))="n/a","n/a",CG37-INDEX(tab_MinKomp[Systemy MES (HYDRA / SFMS)],MATCH($B37,tab_MinKomp[[Stanowisko / Position ]:[Stanowisko / Position ]],0)))</f>
        <v>n/a</v>
      </c>
      <c r="CH38" s="315" t="str">
        <f>IF(INDEX(tab_MinKomp[HTML / CSS],MATCH($B37,tab_MinKomp[[Stanowisko / Position ]:[Stanowisko / Position ]],0))="n/a","n/a",CH37-INDEX(tab_MinKomp[HTML / CSS],MATCH($B37,tab_MinKomp[[Stanowisko / Position ]:[Stanowisko / Position ]],0)))</f>
        <v>n/a</v>
      </c>
      <c r="CI38" s="315">
        <f>IF(INDEX(tab_MinKomp[SYSTEM PR],MATCH($B37,tab_MinKomp[[Stanowisko / Position ]:[Stanowisko / Position ]],0))="n/a","n/a",CI37-INDEX(tab_MinKomp[SYSTEM PR],MATCH($B37,tab_MinKomp[[Stanowisko / Position ]:[Stanowisko / Position ]],0)))</f>
        <v>0</v>
      </c>
      <c r="CJ38" s="315">
        <f>IF(INDEX(tab_MinKomp[System Einkauf XP / EBA],MATCH($B37,tab_MinKomp[[Stanowisko / Position ]:[Stanowisko / Position ]],0))="n/a","n/a",CJ37-INDEX(tab_MinKomp[System Einkauf XP / EBA],MATCH($B37,tab_MinKomp[[Stanowisko / Position ]:[Stanowisko / Position ]],0)))</f>
        <v>0</v>
      </c>
      <c r="CK38" s="315">
        <f>IF(INDEX(tab_MinKomp[Techniki negocjacyjne / Verhandlungstechniken],MATCH($B37,tab_MinKomp[[Stanowisko / Position ]:[Stanowisko / Position ]],0))="n/a","n/a",CK37-INDEX(tab_MinKomp[Techniki negocjacyjne / Verhandlungstechniken],MATCH($B37,tab_MinKomp[[Stanowisko / Position ]:[Stanowisko / Position ]],0)))</f>
        <v>0</v>
      </c>
      <c r="CL38" s="315">
        <f>IF(INDEX(tab_MinKomp[Znajomość rynku branżowego / Kenntnis des Industrie Marktes],MATCH($B37,tab_MinKomp[[Stanowisko / Position ]:[Stanowisko / Position ]],0))="n/a","n/a",CL37-INDEX(tab_MinKomp[Znajomość rynku branżowego / Kenntnis des Industrie Marktes],MATCH($B37,tab_MinKomp[[Stanowisko / Position ]:[Stanowisko / Position ]],0)))</f>
        <v>0</v>
      </c>
      <c r="CM38" s="315">
        <f>IF(INDEX(tab_MinKomp[RAPORTY 8D / 8D Berichten],MATCH($B37,tab_MinKomp[[Stanowisko / Position ]:[Stanowisko / Position ]],0))="n/a","n/a",CM37-INDEX(tab_MinKomp[RAPORTY 8D / 8D Berichten],MATCH($B37,tab_MinKomp[[Stanowisko / Position ]:[Stanowisko / Position ]],0)))</f>
        <v>0</v>
      </c>
      <c r="CN38" s="315">
        <f>IF(INDEX(tab_MinKomp[NARZĘDZIA JAKOŚCIOWE (5WHY, Ishikawa, etc) / QS-Werkzeuge],MATCH($B37,tab_MinKomp[[Stanowisko / Position ]:[Stanowisko / Position ]],0))="n/a","n/a",CN37-INDEX(tab_MinKomp[NARZĘDZIA JAKOŚCIOWE (5WHY, Ishikawa, etc) / QS-Werkzeuge],MATCH($B37,tab_MinKomp[[Stanowisko / Position ]:[Stanowisko / Position ]],0)))</f>
        <v>0</v>
      </c>
      <c r="CO38" s="315">
        <f>IF(INDEX(tab_MinKomp[PDCA],MATCH($B37,tab_MinKomp[[Stanowisko / Position ]:[Stanowisko / Position ]],0))="n/a","n/a",CO37-INDEX(tab_MinKomp[PDCA],MATCH($B37,tab_MinKomp[[Stanowisko / Position ]:[Stanowisko / Position ]],0)))</f>
        <v>0</v>
      </c>
      <c r="CP38" s="315" t="str">
        <f>IF(INDEX(tab_MinKomp[Pareto],MATCH($B37,tab_MinKomp[[Stanowisko / Position ]:[Stanowisko / Position ]],0))="n/a","n/a",CP37-INDEX(tab_MinKomp[Pareto],MATCH($B37,tab_MinKomp[[Stanowisko / Position ]:[Stanowisko / Position ]],0)))</f>
        <v>n/a</v>
      </c>
      <c r="CQ38" s="315" t="str">
        <f>IF(INDEX(tab_MinKomp[PPAP/PSW],MATCH($B37,tab_MinKomp[[Stanowisko / Position ]:[Stanowisko / Position ]],0))="n/a","n/a",CQ37-INDEX(tab_MinKomp[PPAP/PSW],MATCH($B37,tab_MinKomp[[Stanowisko / Position ]:[Stanowisko / Position ]],0)))</f>
        <v>n/a</v>
      </c>
      <c r="CR38" s="315" t="str">
        <f>IF(INDEX(tab_MinKomp[SUPPLIER MANAGEMENT],MATCH($B37,tab_MinKomp[[Stanowisko / Position ]:[Stanowisko / Position ]],0))="n/a","n/a",CR37-INDEX(tab_MinKomp[SUPPLIER MANAGEMENT],MATCH($B37,tab_MinKomp[[Stanowisko / Position ]:[Stanowisko / Position ]],0)))</f>
        <v>n/a</v>
      </c>
      <c r="CS38" s="315" t="str">
        <f>IF(INDEX(tab_MinKomp[OBSŁUGA PORTALI KLIENTA / Kundenportale],MATCH($B37,tab_MinKomp[[Stanowisko / Position ]:[Stanowisko / Position ]],0))="n/a","n/a",CS37-INDEX(tab_MinKomp[OBSŁUGA PORTALI KLIENTA / Kundenportale],MATCH($B37,tab_MinKomp[[Stanowisko / Position ]:[Stanowisko / Position ]],0)))</f>
        <v>n/a</v>
      </c>
      <c r="CT38" s="315">
        <f>IF(INDEX(tab_MinKomp[Obsługa systemu BABTECQ / BABTECQ System],MATCH($B37,tab_MinKomp[[Stanowisko / Position ]:[Stanowisko / Position ]],0))="n/a","n/a",CT37-INDEX(tab_MinKomp[Obsługa systemu BABTECQ / BABTECQ System],MATCH($B37,tab_MinKomp[[Stanowisko / Position ]:[Stanowisko / Position ]],0)))</f>
        <v>0</v>
      </c>
      <c r="CU38" s="315" t="str">
        <f>IF(INDEX(tab_MinKomp[Rysunek techniczny / technische Zeichnung],MATCH($B37,tab_MinKomp[[Stanowisko / Position ]:[Stanowisko / Position ]],0))="n/a","n/a",CU37-INDEX(tab_MinKomp[Rysunek techniczny / technische Zeichnung],MATCH($B37,tab_MinKomp[[Stanowisko / Position ]:[Stanowisko / Position ]],0)))</f>
        <v>n/a</v>
      </c>
      <c r="CV38" s="315" t="str">
        <f>IF(INDEX(tab_MinKomp[Kalibracja / Kalibrierung],MATCH($B37,tab_MinKomp[[Stanowisko / Position ]:[Stanowisko / Position ]],0))="n/a","n/a",CV37-INDEX(tab_MinKomp[Kalibracja / Kalibrierung],MATCH($B37,tab_MinKomp[[Stanowisko / Position ]:[Stanowisko / Position ]],0)))</f>
        <v>n/a</v>
      </c>
      <c r="CW38" s="315" t="str">
        <f>IF(INDEX(tab_MinKomp[Rekwalifikacja / Requalifizierung],MATCH($B37,tab_MinKomp[[Stanowisko / Position ]:[Stanowisko / Position ]],0))="n/a","n/a",CW37-INDEX(tab_MinKomp[Rekwalifikacja / Requalifizierung],MATCH($B37,tab_MinKomp[[Stanowisko / Position ]:[Stanowisko / Position ]],0)))</f>
        <v>n/a</v>
      </c>
      <c r="CX38" s="315" t="str">
        <f>IF(INDEX(tab_MinKomp[CMM - Contura Zeiss],MATCH($B37,tab_MinKomp[[Stanowisko / Position ]:[Stanowisko / Position ]],0))="n/a","n/a",CX37-INDEX(tab_MinKomp[CMM - Contura Zeiss],MATCH($B37,tab_MinKomp[[Stanowisko / Position ]:[Stanowisko / Position ]],0)))</f>
        <v>n/a</v>
      </c>
      <c r="CY38" s="318" t="str">
        <f>IF(INDEX(tab_MinKomp[CMM - Contura Zeiss],MATCH($B37,tab_MinKomp[[Stanowisko / Position ]:[Stanowisko / Position ]],0))="n/a","n/a",CY37-INDEX(tab_MinKomp[CMM - Contura Zeiss],MATCH($B37,tab_MinKomp[[Stanowisko / Position ]:[Stanowisko / Position ]],0)))</f>
        <v>n/a</v>
      </c>
      <c r="CZ38" s="315" t="str">
        <f>IF(INDEX(tab_MinKomp[CMM - Contura Zeiss],MATCH($B37,tab_MinKomp[[Stanowisko / Position ]:[Stanowisko / Position ]],0))="n/a","n/a",CZ37-INDEX(tab_MinKomp[CMM - Contura Zeiss],MATCH($B37,tab_MinKomp[[Stanowisko / Position ]:[Stanowisko / Position ]],0)))</f>
        <v>n/a</v>
      </c>
      <c r="DA38" s="315" t="str">
        <f>IF(INDEX(tab_MinKomp[CMM - Contura Zeiss],MATCH($B37,tab_MinKomp[[Stanowisko / Position ]:[Stanowisko / Position ]],0))="n/a","n/a",DA37-INDEX(tab_MinKomp[CMM - Contura Zeiss],MATCH($B37,tab_MinKomp[[Stanowisko / Position ]:[Stanowisko / Position ]],0)))</f>
        <v>n/a</v>
      </c>
      <c r="DB38" s="315" t="str">
        <f>IF(INDEX(tab_MinKomp[CMM - Contura Zeiss],MATCH($B37,tab_MinKomp[[Stanowisko / Position ]:[Stanowisko / Position ]],0))="n/a","n/a",DB37-INDEX(tab_MinKomp[CMM - Contura Zeiss],MATCH($B37,tab_MinKomp[[Stanowisko / Position ]:[Stanowisko / Position ]],0)))</f>
        <v>n/a</v>
      </c>
      <c r="DC38" s="318" t="str">
        <f>IF(INDEX(tab_MinKomp[CMM - Contura Zeiss],MATCH($B37,tab_MinKomp[[Stanowisko / Position ]:[Stanowisko / Position ]],0))="n/a","n/a",DC37-INDEX(tab_MinKomp[CMM - Contura Zeiss],MATCH($B37,tab_MinKomp[[Stanowisko / Position ]:[Stanowisko / Position ]],0)))</f>
        <v>n/a</v>
      </c>
      <c r="DD38" s="315" t="str">
        <f>IF(INDEX(tab_MinKomp[Pisanie programów / Programme schreiben],MATCH($B37,tab_MinKomp[[Stanowisko / Position ]:[Stanowisko / Position ]],0))="n/a","n/a",DD37-INDEX(tab_MinKomp[Pisanie programów / Programme schreiben],MATCH($B37,tab_MinKomp[[Stanowisko / Position ]:[Stanowisko / Position ]],0)))</f>
        <v>n/a</v>
      </c>
      <c r="DE38" s="315" t="str">
        <f>IF(INDEX(tab_MinKomp[CMM - Contura Zeiss],MATCH($B37,tab_MinKomp[[Stanowisko / Position ]:[Stanowisko / Position ]],0))="n/a","n/a",DE37-INDEX(tab_MinKomp[CMM - Contura Zeiss],MATCH($B37,tab_MinKomp[[Stanowisko / Position ]:[Stanowisko / Position ]],0)))</f>
        <v>n/a</v>
      </c>
      <c r="DF38" s="315" t="str">
        <f>IF(INDEX(tab_MinKomp[CMM - Contura Zeiss],MATCH($B37,tab_MinKomp[[Stanowisko / Position ]:[Stanowisko / Position ]],0))="n/a","n/a",DF37-INDEX(tab_MinKomp[CMM - Contura Zeiss],MATCH($B37,tab_MinKomp[[Stanowisko / Position ]:[Stanowisko / Position ]],0)))</f>
        <v>n/a</v>
      </c>
      <c r="DG38" s="315" t="str">
        <f>IF(INDEX(tab_MinKomp[CMM - Contura Zeiss],MATCH($B37,tab_MinKomp[[Stanowisko / Position ]:[Stanowisko / Position ]],0))="n/a","n/a",DG37-INDEX(tab_MinKomp[CMM - Contura Zeiss],MATCH($B37,tab_MinKomp[[Stanowisko / Position ]:[Stanowisko / Position ]],0)))</f>
        <v>n/a</v>
      </c>
      <c r="DH38" s="315" t="str">
        <f>IF(INDEX(tab_MinKomp[CMM - Contura Zeiss],MATCH($B37,tab_MinKomp[[Stanowisko / Position ]:[Stanowisko / Position ]],0))="n/a","n/a",DH37-INDEX(tab_MinKomp[CMM - Contura Zeiss],MATCH($B37,tab_MinKomp[[Stanowisko / Position ]:[Stanowisko / Position ]],0)))</f>
        <v>n/a</v>
      </c>
      <c r="DI38" s="315" t="str">
        <f>IF(INDEX(tab_MinKomp[CMM - Contura Zeiss],MATCH($B37,tab_MinKomp[[Stanowisko / Position ]:[Stanowisko / Position ]],0))="n/a","n/a",DI37-INDEX(tab_MinKomp[CMM - Contura Zeiss],MATCH($B37,tab_MinKomp[[Stanowisko / Position ]:[Stanowisko / Position ]],0)))</f>
        <v>n/a</v>
      </c>
      <c r="DJ38" s="315" t="str">
        <f>IF(INDEX(tab_MinKomp[CMM - Contura Zeiss],MATCH($B37,tab_MinKomp[[Stanowisko / Position ]:[Stanowisko / Position ]],0))="n/a","n/a",DJ37-INDEX(tab_MinKomp[CMM - Contura Zeiss],MATCH($B37,tab_MinKomp[[Stanowisko / Position ]:[Stanowisko / Position ]],0)))</f>
        <v>n/a</v>
      </c>
      <c r="DK38" s="315" t="str">
        <f>IF(INDEX(tab_MinKomp[Pisanie programów / Programme schreiben],MATCH($B37,tab_MinKomp[[Stanowisko / Position ]:[Stanowisko / Position ]],0))="n/a","n/a",DK37-INDEX(tab_MinKomp[Pisanie programów / Programme schreiben],MATCH($B37,tab_MinKomp[[Stanowisko / Position ]:[Stanowisko / Position ]],0)))</f>
        <v>n/a</v>
      </c>
      <c r="DL38" s="315" t="str">
        <f>IF(INDEX(tab_MinKomp[CMM - Contura Zeiss],MATCH($B37,tab_MinKomp[[Stanowisko / Position ]:[Stanowisko / Position ]],0))="n/a","n/a",DL37-INDEX(tab_MinKomp[CMM - Contura Zeiss],MATCH($B37,tab_MinKomp[[Stanowisko / Position ]:[Stanowisko / Position ]],0)))</f>
        <v>n/a</v>
      </c>
      <c r="DM38" s="315" t="str">
        <f>IF(INDEX(tab_MinKomp[CMM - Contura Zeiss],MATCH($B37,tab_MinKomp[[Stanowisko / Position ]:[Stanowisko / Position ]],0))="n/a","n/a",DM37-INDEX(tab_MinKomp[CMM - Contura Zeiss],MATCH($B37,tab_MinKomp[[Stanowisko / Position ]:[Stanowisko / Position ]],0)))</f>
        <v>n/a</v>
      </c>
      <c r="DN38" s="315" t="str">
        <f>IF(INDEX(tab_MinKomp[CMM - Contura Zeiss],MATCH($B37,tab_MinKomp[[Stanowisko / Position ]:[Stanowisko / Position ]],0))="n/a","n/a",DN37-INDEX(tab_MinKomp[CMM - Contura Zeiss],MATCH($B37,tab_MinKomp[[Stanowisko / Position ]:[Stanowisko / Position ]],0)))</f>
        <v>n/a</v>
      </c>
      <c r="DO38" s="315" t="str">
        <f>IF(INDEX(tab_MinKomp[CMM - Contura Zeiss],MATCH($B37,tab_MinKomp[[Stanowisko / Position ]:[Stanowisko / Position ]],0))="n/a","n/a",DO37-INDEX(tab_MinKomp[CMM - Contura Zeiss],MATCH($B37,tab_MinKomp[[Stanowisko / Position ]:[Stanowisko / Position ]],0)))</f>
        <v>n/a</v>
      </c>
      <c r="DP38" s="315" t="str">
        <f>IF(INDEX(tab_MinKomp[CMM - Contura Zeiss],MATCH($B37,tab_MinKomp[[Stanowisko / Position ]:[Stanowisko / Position ]],0))="n/a","n/a",DP37-INDEX(tab_MinKomp[CMM - Contura Zeiss],MATCH($B37,tab_MinKomp[[Stanowisko / Position ]:[Stanowisko / Position ]],0)))</f>
        <v>n/a</v>
      </c>
      <c r="DQ38" s="315" t="str">
        <f>IF(INDEX(tab_MinKomp[CMM - Contura Zeiss],MATCH($B37,tab_MinKomp[[Stanowisko / Position ]:[Stanowisko / Position ]],0))="n/a","n/a",DQ37-INDEX(tab_MinKomp[CMM - Contura Zeiss],MATCH($B37,tab_MinKomp[[Stanowisko / Position ]:[Stanowisko / Position ]],0)))</f>
        <v>n/a</v>
      </c>
      <c r="DR38" s="315" t="str">
        <f>IF(INDEX(tab_MinKomp[Pisanie programów / Programme schreiben],MATCH($B37,tab_MinKomp[[Stanowisko / Position ]:[Stanowisko / Position ]],0))="n/a","n/a",DR37-INDEX(tab_MinKomp[Pisanie programów / Programme schreiben],MATCH($B37,tab_MinKomp[[Stanowisko / Position ]:[Stanowisko / Position ]],0)))</f>
        <v>n/a</v>
      </c>
      <c r="DS38" s="315" t="str">
        <f>IF(INDEX(tab_MinKomp[CMM - Contura Zeiss],MATCH($B37,tab_MinKomp[[Stanowisko / Position ]:[Stanowisko / Position ]],0))="n/a","n/a",DS37-INDEX(tab_MinKomp[CMM - Contura Zeiss],MATCH($B37,tab_MinKomp[[Stanowisko / Position ]:[Stanowisko / Position ]],0)))</f>
        <v>n/a</v>
      </c>
      <c r="DT38" s="318" t="str">
        <f>IF(INDEX(tab_MinKomp[CMM - Contura Zeiss],MATCH($B37,tab_MinKomp[[Stanowisko / Position ]:[Stanowisko / Position ]],0))="n/a","n/a",DT37-INDEX(tab_MinKomp[CMM - Contura Zeiss],MATCH($B37,tab_MinKomp[[Stanowisko / Position ]:[Stanowisko / Position ]],0)))</f>
        <v>n/a</v>
      </c>
      <c r="DU38" s="315" t="str">
        <f>IF(INDEX(tab_MinKomp[CMM - Contura Zeiss],MATCH($B37,tab_MinKomp[[Stanowisko / Position ]:[Stanowisko / Position ]],0))="n/a","n/a",DU37-INDEX(tab_MinKomp[CMM - Contura Zeiss],MATCH($B37,tab_MinKomp[[Stanowisko / Position ]:[Stanowisko / Position ]],0)))</f>
        <v>n/a</v>
      </c>
      <c r="DV38" s="315" t="str">
        <f>IF(INDEX(tab_MinKomp[CMM - Contura Zeiss],MATCH($B37,tab_MinKomp[[Stanowisko / Position ]:[Stanowisko / Position ]],0))="n/a","n/a",DV37-INDEX(tab_MinKomp[CMM - Contura Zeiss],MATCH($B37,tab_MinKomp[[Stanowisko / Position ]:[Stanowisko / Position ]],0)))</f>
        <v>n/a</v>
      </c>
      <c r="DW38" s="315" t="str">
        <f>IF(INDEX(tab_MinKomp[CMM - Contura Zeiss],MATCH($B37,tab_MinKomp[[Stanowisko / Position ]:[Stanowisko / Position ]],0))="n/a","n/a",DW37-INDEX(tab_MinKomp[CMM - Contura Zeiss],MATCH($B37,tab_MinKomp[[Stanowisko / Position ]:[Stanowisko / Position ]],0)))</f>
        <v>n/a</v>
      </c>
      <c r="DX38" s="318" t="str">
        <f>IF(INDEX(tab_MinKomp[CMM - Contura Zeiss],MATCH($B37,tab_MinKomp[[Stanowisko / Position ]:[Stanowisko / Position ]],0))="n/a","n/a",DX37-INDEX(tab_MinKomp[CMM - Contura Zeiss],MATCH($B37,tab_MinKomp[[Stanowisko / Position ]:[Stanowisko / Position ]],0)))</f>
        <v>n/a</v>
      </c>
      <c r="DY38" s="315" t="str">
        <f>IF(INDEX(tab_MinKomp[Konserwacja Rep],MATCH($B37,tab_MinKomp[[Stanowisko / Position ]:[Stanowisko / Position ]],0))="n/a","n/a",DY37-INDEX(tab_MinKomp[Konserwacja Rep],MATCH($B37,tab_MinKomp[[Stanowisko / Position ]:[Stanowisko / Position ]],0)))</f>
        <v>n/a</v>
      </c>
      <c r="DZ38" s="315" t="str">
        <f>IF(INDEX(tab_MinKomp[[Konserwacja Engel ]],MATCH($B37,tab_MinKomp[[Stanowisko / Position ]:[Stanowisko / Position ]],0))="n/a","n/a",DZ37-INDEX(tab_MinKomp[[Konserwacja Engel ]],MATCH($B37,tab_MinKomp[[Stanowisko / Position ]:[Stanowisko / Position ]],0)))</f>
        <v>n/a</v>
      </c>
      <c r="EA38" s="315" t="str">
        <f>IF(INDEX(tab_MinKomp[Konserwacja B 50],MATCH($B37,tab_MinKomp[[Stanowisko / Position ]:[Stanowisko / Position ]],0))="n/a","n/a",EA37-INDEX(tab_MinKomp[Konserwacja B 50],MATCH($B37,tab_MinKomp[[Stanowisko / Position ]:[Stanowisko / Position ]],0)))</f>
        <v>n/a</v>
      </c>
      <c r="EB38" s="315" t="str">
        <f>IF(INDEX(tab_MinKomp[[Konserwacja EOL ]],MATCH($B37,tab_MinKomp[[Stanowisko / Position ]:[Stanowisko / Position ]],0))="n/a","n/a",EB37-INDEX(tab_MinKomp[[Konserwacja EOL ]],MATCH($B37,tab_MinKomp[[Stanowisko / Position ]:[Stanowisko / Position ]],0)))</f>
        <v>n/a</v>
      </c>
      <c r="EC38" s="315" t="str">
        <f>IF(INDEX(tab_MinKomp[Konserwacja Branson],MATCH($B37,tab_MinKomp[[Stanowisko / Position ]:[Stanowisko / Position ]],0))="n/a","n/a",EC37-INDEX(tab_MinKomp[Konserwacja Branson],MATCH($B37,tab_MinKomp[[Stanowisko / Position ]:[Stanowisko / Position ]],0)))</f>
        <v>n/a</v>
      </c>
      <c r="ED38" s="315" t="str">
        <f>IF(INDEX(tab_MinKomp[Konserwacja coolery],MATCH($B37,tab_MinKomp[[Stanowisko / Position ]:[Stanowisko / Position ]],0))="n/a","n/a",ED37-INDEX(tab_MinKomp[Konserwacja coolery],MATCH($B37,tab_MinKomp[[Stanowisko / Position ]:[Stanowisko / Position ]],0)))</f>
        <v>n/a</v>
      </c>
      <c r="EE38" s="315" t="str">
        <f>IF(INDEX(tab_MinKomp[Konserwacja piecy],MATCH($B37,tab_MinKomp[[Stanowisko / Position ]:[Stanowisko / Position ]],0))="n/a","n/a",EE37-INDEX(tab_MinKomp[Konserwacja piecy],MATCH($B37,tab_MinKomp[[Stanowisko / Position ]:[Stanowisko / Position ]],0)))</f>
        <v>n/a</v>
      </c>
      <c r="EF38" s="315" t="str">
        <f>IF(INDEX(tab_MinKomp[Rysunek techniczny- czytanie],MATCH($B37,tab_MinKomp[[Stanowisko / Position ]:[Stanowisko / Position ]],0))="n/a","n/a",EF37-INDEX(tab_MinKomp[Rysunek techniczny- czytanie],MATCH($B37,tab_MinKomp[[Stanowisko / Position ]:[Stanowisko / Position ]],0)))</f>
        <v>n/a</v>
      </c>
      <c r="EG38" s="315" t="str">
        <f>IF(INDEX(tab_MinKomp[Elektryka],MATCH($B37,tab_MinKomp[[Stanowisko / Position ]:[Stanowisko / Position ]],0))="n/a","n/a",EG37-INDEX(tab_MinKomp[Elektryka],MATCH($B37,tab_MinKomp[[Stanowisko / Position ]:[Stanowisko / Position ]],0)))</f>
        <v>n/a</v>
      </c>
      <c r="EH38" s="315" t="str">
        <f>IF(INDEX(tab_MinKomp[Pneumatyka],MATCH($B37,tab_MinKomp[[Stanowisko / Position ]:[Stanowisko / Position ]],0))="n/a","n/a",EH37-INDEX(tab_MinKomp[Pneumatyka],MATCH($B37,tab_MinKomp[[Stanowisko / Position ]:[Stanowisko / Position ]],0)))</f>
        <v>n/a</v>
      </c>
      <c r="EI38" s="315" t="str">
        <f>IF(INDEX(tab_MinKomp[[Hydraulika ]],MATCH($B37,tab_MinKomp[[Stanowisko / Position ]:[Stanowisko / Position ]],0))="n/a","n/a",EI37-INDEX(tab_MinKomp[[Hydraulika ]],MATCH($B37,tab_MinKomp[[Stanowisko / Position ]:[Stanowisko / Position ]],0)))</f>
        <v>n/a</v>
      </c>
      <c r="EJ38" s="315" t="str">
        <f>IF(INDEX(tab_MinKomp[Podciśnienie],MATCH($B37,tab_MinKomp[[Stanowisko / Position ]:[Stanowisko / Position ]],0))="n/a","n/a",EJ37-INDEX(tab_MinKomp[Podciśnienie],MATCH($B37,tab_MinKomp[[Stanowisko / Position ]:[Stanowisko / Position ]],0)))</f>
        <v>n/a</v>
      </c>
      <c r="EK38" s="315" t="str">
        <f>IF(INDEX(tab_MinKomp[Usuwanie awarii],MATCH($B37,tab_MinKomp[[Stanowisko / Position ]:[Stanowisko / Position ]],0))="n/a","n/a",EK37-INDEX(tab_MinKomp[Usuwanie awarii],MATCH($B37,tab_MinKomp[[Stanowisko / Position ]:[Stanowisko / Position ]],0)))</f>
        <v>n/a</v>
      </c>
      <c r="EL38" s="315" t="str">
        <f>IF(INDEX(tab_MinKomp[Obsługa robotów],MATCH($B37,tab_MinKomp[[Stanowisko / Position ]:[Stanowisko / Position ]],0))="n/a","n/a",EL37-INDEX(tab_MinKomp[Obsługa robotów],MATCH($B37,tab_MinKomp[[Stanowisko / Position ]:[Stanowisko / Position ]],0)))</f>
        <v>n/a</v>
      </c>
      <c r="EM38" s="315" t="str">
        <f>IF(INDEX(tab_MinKomp[Obsługa sterowania maszyny],MATCH($B37,tab_MinKomp[[Stanowisko / Position ]:[Stanowisko / Position ]],0))="n/a","n/a",EM37-INDEX(tab_MinKomp[Obsługa sterowania maszyny],MATCH($B37,tab_MinKomp[[Stanowisko / Position ]:[Stanowisko / Position ]],0)))</f>
        <v>n/a</v>
      </c>
      <c r="EN38" s="315" t="str">
        <f>IF(INDEX(tab_MinKomp[Usuwanie przyczyn żródłowych],MATCH($B37,tab_MinKomp[[Stanowisko / Position ]:[Stanowisko / Position ]],0))="n/a","n/a",EN37-INDEX(tab_MinKomp[Usuwanie przyczyn żródłowych],MATCH($B37,tab_MinKomp[[Stanowisko / Position ]:[Stanowisko / Position ]],0)))</f>
        <v>n/a</v>
      </c>
      <c r="EO38" s="315" t="str">
        <f>IF(INDEX(tab_MinKomp[Cmms stosowanie],MATCH($B37,tab_MinKomp[[Stanowisko / Position ]:[Stanowisko / Position ]],0))="n/a","n/a",EO37-INDEX(tab_MinKomp[Cmms stosowanie],MATCH($B37,tab_MinKomp[[Stanowisko / Position ]:[Stanowisko / Position ]],0)))</f>
        <v>n/a</v>
      </c>
      <c r="EP38" s="315" t="str">
        <f>IF(INDEX(tab_MinKomp[[Czyszczenie form gumowych ]],MATCH($B37,tab_MinKomp[[Stanowisko / Position ]:[Stanowisko / Position ]],0))="n/a","n/a",EP37-INDEX(tab_MinKomp[[Czyszczenie form gumowych ]],MATCH($B37,tab_MinKomp[[Stanowisko / Position ]:[Stanowisko / Position ]],0)))</f>
        <v>n/a</v>
      </c>
      <c r="EQ38" s="315" t="str">
        <f>IF(INDEX(tab_MinKomp[Czyszczenie form plastikowych],MATCH($B37,tab_MinKomp[[Stanowisko / Position ]:[Stanowisko / Position ]],0))="n/a","n/a",EQ37-INDEX(tab_MinKomp[Czyszczenie form plastikowych],MATCH($B37,tab_MinKomp[[Stanowisko / Position ]:[Stanowisko / Position ]],0)))</f>
        <v>n/a</v>
      </c>
      <c r="ER38" s="315" t="str">
        <f>IF(INDEX(tab_MinKomp[Wymiana form plastik],MATCH($B37,tab_MinKomp[[Stanowisko / Position ]:[Stanowisko / Position ]],0))="n/a","n/a",ER37-INDEX(tab_MinKomp[Wymiana form plastik],MATCH($B37,tab_MinKomp[[Stanowisko / Position ]:[Stanowisko / Position ]],0)))</f>
        <v>n/a</v>
      </c>
      <c r="ES38" s="315" t="str">
        <f>IF(INDEX(tab_MinKomp[Wymiana form guma],MATCH($B37,tab_MinKomp[[Stanowisko / Position ]:[Stanowisko / Position ]],0))="n/a","n/a",ES37-INDEX(tab_MinKomp[Wymiana form guma],MATCH($B37,tab_MinKomp[[Stanowisko / Position ]:[Stanowisko / Position ]],0)))</f>
        <v>n/a</v>
      </c>
      <c r="ET38" s="315" t="str">
        <f>IF(INDEX(tab_MinKomp[Konserwacja KK],MATCH($B37,tab_MinKomp[[Stanowisko / Position ]:[Stanowisko / Position ]],0))="n/a","n/a",ET37-INDEX(tab_MinKomp[Konserwacja KK],MATCH($B37,tab_MinKomp[[Stanowisko / Position ]:[Stanowisko / Position ]],0)))</f>
        <v>n/a</v>
      </c>
      <c r="EU38" s="315" t="str">
        <f>IF(INDEX(tab_MinKomp[Konserwacja form guma],MATCH($B37,tab_MinKomp[[Stanowisko / Position ]:[Stanowisko / Position ]],0))="n/a","n/a",EU37-INDEX(tab_MinKomp[Konserwacja form guma],MATCH($B37,tab_MinKomp[[Stanowisko / Position ]:[Stanowisko / Position ]],0)))</f>
        <v>n/a</v>
      </c>
      <c r="EV38" s="315" t="str">
        <f>IF(INDEX(tab_MinKomp[Konserwacja form plastiki],MATCH($B37,tab_MinKomp[[Stanowisko / Position ]:[Stanowisko / Position ]],0))="n/a","n/a",EV37-INDEX(tab_MinKomp[Konserwacja form plastiki],MATCH($B37,tab_MinKomp[[Stanowisko / Position ]:[Stanowisko / Position ]],0)))</f>
        <v>n/a</v>
      </c>
      <c r="EW38" s="330" t="str">
        <f>IF(INDEX(tab_MinKomp[Konserwacja form plastiki],MATCH($B37,tab_MinKomp[[Stanowisko / Position ]:[Stanowisko / Position ]],0))="n/a","n/a",EW37-INDEX(tab_MinKomp[Konserwacja form plastiki],MATCH($B37,tab_MinKomp[[Stanowisko / Position ]:[Stanowisko / Position ]],0)))</f>
        <v>n/a</v>
      </c>
      <c r="EX38" s="315" t="str">
        <f>IF(INDEX(tab_MinKomp[Konserwacja Gorącego Kanału],MATCH($B37,tab_MinKomp[[Stanowisko / Position ]:[Stanowisko / Position ]],0))="n/a","n/a",EX37-INDEX(tab_MinKomp[Konserwacja Gorącego Kanału],MATCH($B37,tab_MinKomp[[Stanowisko / Position ]:[Stanowisko / Position ]],0)))</f>
        <v>n/a</v>
      </c>
      <c r="EY38" s="315">
        <f>IF(INDEX(tab_MinKomp[MS Office (Excel)],MATCH($B37,tab_MinKomp[[Stanowisko / Position ]:[Stanowisko / Position ]],0))="n/a","n/a",EY37-INDEX(tab_MinKomp[MS Office (Excel)],MATCH($B37,tab_MinKomp[[Stanowisko / Position ]:[Stanowisko / Position ]],0)))</f>
        <v>-1</v>
      </c>
      <c r="EZ38" s="315">
        <f>IF(INDEX(tab_MinKomp[MS Office (Word)],MATCH($B37,tab_MinKomp[[Stanowisko / Position ]:[Stanowisko / Position ]],0))="n/a","n/a",EZ37-INDEX(tab_MinKomp[MS Office (Word)],MATCH($B37,tab_MinKomp[[Stanowisko / Position ]:[Stanowisko / Position ]],0)))</f>
        <v>0</v>
      </c>
      <c r="FA38" s="315">
        <f>IF(INDEX(tab_MinKomp[MS Office (Power Point)],MATCH($B37,tab_MinKomp[[Stanowisko / Position ]:[Stanowisko / Position ]],0))="n/a","n/a",FA37-INDEX(tab_MinKomp[MS Office (Power Point)],MATCH($B37,tab_MinKomp[[Stanowisko / Position ]:[Stanowisko / Position ]],0)))</f>
        <v>0</v>
      </c>
      <c r="FB38" s="317">
        <f>IF(INDEX(tab_MinKomp[Język angielski / Englisch],MATCH($B37,tab_MinKomp[[Stanowisko / Position ]:[Stanowisko / Position ]],0))="n/a","n/a",FB37-INDEX(tab_MinKomp[Język angielski / Englisch],MATCH($B37,tab_MinKomp[[Stanowisko / Position ]:[Stanowisko / Position ]],0)))</f>
        <v>-1</v>
      </c>
      <c r="FC38" s="317" t="str">
        <f>IF(INDEX(tab_MinKomp[Język niemiecki / Deutsch],MATCH($B37,tab_MinKomp[[Stanowisko / Position ]:[Stanowisko / Position ]],0))="n/a","n/a",FC37-INDEX(tab_MinKomp[Język niemiecki / Deutsch],MATCH($B37,tab_MinKomp[[Stanowisko / Position ]:[Stanowisko / Position ]],0)))</f>
        <v>n/a</v>
      </c>
      <c r="FD38" s="315">
        <f>IF(INDEX(tab_MinKomp[Zarządzanie dokumentacją procesową / Process dokumentation management],MATCH($B37,tab_MinKomp[[Stanowisko / Position ]:[Stanowisko / Position ]],0))="n/a","n/a",FD37-INDEX(tab_MinKomp[Zarządzanie dokumentacją procesową / Process dokumentation management],MATCH($B37,tab_MinKomp[[Stanowisko / Position ]:[Stanowisko / Position ]],0)))</f>
        <v>-1</v>
      </c>
      <c r="FE38" s="315">
        <f>IF(INDEX(tab_MinKomp[Znajomość procesów z obszaru / Kenntiss der prozesse in dem Bereich],MATCH($B37,tab_MinKomp[[Stanowisko / Position ]:[Stanowisko / Position ]],0))="n/a","n/a",FE37-INDEX(tab_MinKomp[Znajomość procesów z obszaru / Kenntiss der prozesse in dem Bereich],MATCH($B37,tab_MinKomp[[Stanowisko / Position ]:[Stanowisko / Position ]],0)))</f>
        <v>-1</v>
      </c>
      <c r="FF38" s="315">
        <f>IF(INDEX(tab_MinKomp[optymalizacja procesów / Prozessoptymalisierung],MATCH($B37,tab_MinKomp[[Stanowisko / Position ]:[Stanowisko / Position ]],0))="n/a","n/a",FF37-INDEX(tab_MinKomp[optymalizacja procesów / Prozessoptymalisierung],MATCH($B37,tab_MinKomp[[Stanowisko / Position ]:[Stanowisko / Position ]],0)))</f>
        <v>-1</v>
      </c>
      <c r="FG38" s="315">
        <f>IF(INDEX(tab_MinKomp[Umiejętności szkoleniowe / Trainingsfähigkeiten],MATCH($B37,tab_MinKomp[[Stanowisko / Position ]:[Stanowisko / Position ]],0))="n/a","n/a",FG37-INDEX(tab_MinKomp[Umiejętności szkoleniowe / Trainingsfähigkeiten],MATCH($B37,tab_MinKomp[[Stanowisko / Position ]:[Stanowisko / Position ]],0)))</f>
        <v>1</v>
      </c>
      <c r="FH38" s="315">
        <f>IF(INDEX(tab_MinKomp[Analityczne myślenie, podejście / Analitysches Denken, Einstellung],MATCH($B37,tab_MinKomp[[Stanowisko / Position ]:[Stanowisko / Position ]],0))="n/a","n/a",FH37-INDEX(tab_MinKomp[Analityczne myślenie, podejście / Analitysches Denken, Einstellung],MATCH($B37,tab_MinKomp[[Stanowisko / Position ]:[Stanowisko / Position ]],0)))</f>
        <v>1</v>
      </c>
      <c r="FI38" s="315">
        <f>IF(INDEX(tab_MinKomp[Dokładność, precyzja w dzialaniu / Genauigkeit, Präzision in die Arbeit],MATCH($B37,tab_MinKomp[[Stanowisko / Position ]:[Stanowisko / Position ]],0))="n/a","n/a",FI37-INDEX(tab_MinKomp[Dokładność, precyzja w dzialaniu / Genauigkeit, Präzision in die Arbeit],MATCH($B37,tab_MinKomp[[Stanowisko / Position ]:[Stanowisko / Position ]],0)))</f>
        <v>-1</v>
      </c>
      <c r="FJ38" s="315">
        <f>IF(INDEX(tab_MinKomp[Dyspozycyjność / Verfügbarkeit],MATCH($B37,tab_MinKomp[[Stanowisko / Position ]:[Stanowisko / Position ]],0))="n/a","n/a",FJ37-INDEX(tab_MinKomp[Dyspozycyjność / Verfügbarkeit],MATCH($B37,tab_MinKomp[[Stanowisko / Position ]:[Stanowisko / Position ]],0)))</f>
        <v>0</v>
      </c>
      <c r="FK38" s="315">
        <f>IF(INDEX(tab_MinKomp[Zaangażowanie / 
Engagement],MATCH($B37,tab_MinKomp[[Stanowisko / Position ]:[Stanowisko / Position ]],0))="n/a","n/a",FK37-INDEX(tab_MinKomp[Zaangażowanie / 
Engagement],MATCH($B37,tab_MinKomp[[Stanowisko / Position ]:[Stanowisko / Position ]],0)))</f>
        <v>1</v>
      </c>
      <c r="FL38" s="315">
        <f>IF(INDEX(tab_MinKomp[Planowanie strategiczne / Strategische Planung],MATCH($B37,tab_MinKomp[[Stanowisko / Position ]:[Stanowisko / Position ]],0))="n/a","n/a",FL37-INDEX(tab_MinKomp[Planowanie strategiczne / Strategische Planung],MATCH($B37,tab_MinKomp[[Stanowisko / Position ]:[Stanowisko / Position ]],0)))</f>
        <v>0</v>
      </c>
      <c r="FM38" s="315">
        <f>IF(INDEX(tab_MinKomp[Konsekwentne i dynamiczne działanie],MATCH($B37,tab_MinKomp[[Stanowisko / Position ]:[Stanowisko / Position ]],0))="n/a","n/a",FM37-INDEX(tab_MinKomp[Konsekwentne i dynamiczne działanie],MATCH($B37,tab_MinKomp[[Stanowisko / Position ]:[Stanowisko / Position ]],0)))</f>
        <v>-1</v>
      </c>
      <c r="FN38" s="315">
        <f>IF(INDEX(tab_MinKomp[Elastyczność w działaniu],MATCH($B37,tab_MinKomp[[Stanowisko / Position ]:[Stanowisko / Position ]],0))="n/a","n/a",FN37-INDEX(tab_MinKomp[Elastyczność w działaniu],MATCH($B37,tab_MinKomp[[Stanowisko / Position ]:[Stanowisko / Position ]],0)))</f>
        <v>0</v>
      </c>
      <c r="FO38" s="315">
        <f>IF(INDEX(tab_MinKomp[Komunikatywność],MATCH($B37,tab_MinKomp[[Stanowisko / Position ]:[Stanowisko / Position ]],0))="n/a","n/a",FO37-INDEX(tab_MinKomp[Komunikatywność],MATCH($B37,tab_MinKomp[[Stanowisko / Position ]:[Stanowisko / Position ]],0)))</f>
        <v>1</v>
      </c>
      <c r="FP38" s="314" t="str">
        <f>IF(INDEX(tab_MinKomp[Motywowanie i budowanie zaangażowania zespołu],MATCH($B37,tab_MinKomp[[Stanowisko / Position ]:[Stanowisko / Position ]],0))="n/a","n/a",FP37-INDEX(tab_MinKomp[Motywowanie i budowanie zaangażowania zespołu],MATCH($B37,tab_MinKomp[[Stanowisko / Position ]:[Stanowisko / Position ]],0)))</f>
        <v>n/a</v>
      </c>
      <c r="FQ38" s="318" t="str">
        <f>IFERROR(IF(INDEX(tab_MinKomp[BRAK / Keine],MATCH($B37,tab_MinKomp[[Stanowisko / Position ]:[Stanowisko / Position ]],0))="n/a","n/a",INDEX(tab_MinKomp[BRAK / Keine],MATCH($B37,tab_MinKomp[[Stanowisko / Position ]:[Stanowisko / Position ]],0))-FQ37),"")</f>
        <v>n/a</v>
      </c>
      <c r="FR38" s="315" t="str">
        <f>IF(INDEX(tab_MinKomp[MINIMUM 1 ROK / min. 1 Jahr],MATCH($B37,tab_MinKomp[[Stanowisko / Position ]:[Stanowisko / Position ]],0))="n/a","n/a",INDEX(tab_MinKomp[MINIMUM 1 ROK / min. 1 Jahr],MATCH($B37,tab_MinKomp[[Stanowisko / Position ]:[Stanowisko / Position ]],0)))</f>
        <v>n/a</v>
      </c>
      <c r="FS38" s="315" t="str">
        <f>IF(INDEX(tab_MinKomp[MINIMUM 2 LATA / min. 2 Jahre],MATCH($B37,tab_MinKomp[[Stanowisko / Position ]:[Stanowisko / Position ]],0))="n/a","n/a",INDEX(tab_MinKomp[MINIMUM 2 LATA / min. 2 Jahre],MATCH($B37,tab_MinKomp[[Stanowisko / Position ]:[Stanowisko / Position ]],0)))</f>
        <v>X</v>
      </c>
      <c r="FT38" s="315" t="str">
        <f>IF(INDEX(tab_MinKomp[MINIMUM 3 LATA / min. 3 Jahre],MATCH($B37,tab_MinKomp[[Stanowisko / Position ]:[Stanowisko / Position ]],0))="n/a","n/a",INDEX(tab_MinKomp[MINIMUM 3 LATA / min. 3 Jahre],MATCH($B37,tab_MinKomp[[Stanowisko / Position ]:[Stanowisko / Position ]],0)))</f>
        <v>n/a</v>
      </c>
      <c r="FU38" s="315" t="str">
        <f>IF(INDEX(tab_MinKomp[MINIMUM 4 LATA / min. 4 Jahre],MATCH($B37,tab_MinKomp[[Stanowisko / Position ]:[Stanowisko / Position ]],0))="n/a","n/a",INDEX(tab_MinKomp[MINIMUM 4 LATA / min. 4 Jahre],MATCH($B37,tab_MinKomp[[Stanowisko / Position ]:[Stanowisko / Position ]],0)))</f>
        <v>n/a</v>
      </c>
      <c r="FV38" s="319" t="str">
        <f>IF(INDEX(tab_MinKomp[MINIMUM 5 LAT / min. 5 Jahre],MATCH($B37,tab_MinKomp[[Stanowisko / Position ]:[Stanowisko / Position ]],0))="n/a","n/a",INDEX(tab_MinKomp[MINIMUM 5 LAT / min. 5 Jahre],MATCH($B37,tab_MinKomp[[Stanowisko / Position ]:[Stanowisko / Position ]],0)))</f>
        <v>n/a</v>
      </c>
      <c r="FW38" s="318" t="str">
        <f>IF(INDEX(tab_MinKomp[BRAK / Keine9],MATCH($B37,tab_MinKomp[[Stanowisko / Position ]:[Stanowisko / Position ]],0))="n/a","n/a",INDEX(tab_MinKomp[BRAK / Keine9],MATCH($B37,tab_MinKomp[[Stanowisko / Position ]:[Stanowisko / Position ]],0)))</f>
        <v>n/a</v>
      </c>
      <c r="FX38" s="315" t="str">
        <f>IF(INDEX(tab_MinKomp[ZAWODOWE / Berufsausbildung],MATCH($B37,tab_MinKomp[[Stanowisko / Position ]:[Stanowisko / Position ]],0))="n/a","n/a",INDEX(tab_MinKomp[ZAWODOWE / Berufsausbildung],MATCH($B37,tab_MinKomp[[Stanowisko / Position ]:[Stanowisko / Position ]],0)))</f>
        <v>n/a</v>
      </c>
      <c r="FY38" s="315" t="str">
        <f>IF(INDEX(tab_MinKomp[ŚREDNIE OGÓLNE / Abitur allgemeine],MATCH($B37,tab_MinKomp[[Stanowisko / Position ]:[Stanowisko / Position ]],0))="n/a","n/a",INDEX(tab_MinKomp[ŚREDNIE OGÓLNE / Abitur allgemeine],MATCH($B37,tab_MinKomp[[Stanowisko / Position ]:[Stanowisko / Position ]],0)))</f>
        <v>n/a</v>
      </c>
      <c r="FZ38" s="315" t="str">
        <f>IF(INDEX(tab_MinKomp[ŚREDNIE KIERUNKOWE / berufliches Gymnasium],MATCH($B37,tab_MinKomp[[Stanowisko / Position ]:[Stanowisko / Position ]],0))="n/a","n/a",INDEX(tab_MinKomp[ŚREDNIE KIERUNKOWE / berufliches Gymnasium],MATCH($B37,tab_MinKomp[[Stanowisko / Position ]:[Stanowisko / Position ]],0)))</f>
        <v>n/a</v>
      </c>
      <c r="GA38" s="315" t="str">
        <f>IF(INDEX(tab_MinKomp[WYŻSZE OGÓLNE / Hochschule allgemeine],MATCH($B37,tab_MinKomp[[Stanowisko / Position ]:[Stanowisko / Position ]],0))="n/a","n/a",INDEX(tab_MinKomp[WYŻSZE OGÓLNE / Hochschule allgemeine],MATCH($B37,tab_MinKomp[[Stanowisko / Position ]:[Stanowisko / Position ]],0)))</f>
        <v>X</v>
      </c>
      <c r="GB38" s="319" t="str">
        <f>IF(INDEX(tab_MinKomp[WYŻSZE KIERUNKOWE / Hochschule berufliche],MATCH($B37,tab_MinKomp[[Stanowisko / Position ]:[Stanowisko / Position ]],0))="n/a","n/a",INDEX(tab_MinKomp[WYŻSZE KIERUNKOWE / Hochschule berufliche],MATCH($B37,tab_MinKomp[[Stanowisko / Position ]:[Stanowisko / Position ]],0)))</f>
        <v>n/a</v>
      </c>
      <c r="GC38" s="318" t="str">
        <f>IF(INDEX(tab_MinKomp[PIERWSZA POMOC / Erste Hilfe],MATCH($B37,tab_MinKomp[[Stanowisko / Position ]:[Stanowisko / Position ]],0))="n/a","n/a",INDEX(tab_MinKomp[PIERWSZA POMOC / Erste Hilfe],MATCH($B37,tab_MinKomp[[Stanowisko / Position ]:[Stanowisko / Position ]],0)))</f>
        <v>n/a</v>
      </c>
      <c r="GD38" s="315" t="str">
        <f>IF(INDEX(tab_MinKomp[Specjalista BHP / BHP Spezialist],MATCH($B37,tab_MinKomp[[Stanowisko / Position ]:[Stanowisko / Position ]],0))="n/a","n/a",INDEX(tab_MinKomp[Specjalista BHP / BHP Spezialist],MATCH($B37,tab_MinKomp[[Stanowisko / Position ]:[Stanowisko / Position ]],0)))</f>
        <v>n/a</v>
      </c>
      <c r="GE38" s="315" t="str">
        <f>IF(INDEX(tab_MinKomp[Inspektor ochrony PPOŻ / Brandschutzinspektor],MATCH($B37,tab_MinKomp[[Stanowisko / Position ]:[Stanowisko / Position ]],0))="n/a","n/a",INDEX(tab_MinKomp[Inspektor ochrony PPOŻ / Brandschutzinspektor],MATCH($B37,tab_MinKomp[[Stanowisko / Position ]:[Stanowisko / Position ]],0)))</f>
        <v>n/a</v>
      </c>
      <c r="GF38" s="315" t="str">
        <f>IF(INDEX(tab_MinKomp[WÓZKI JEZDNIOWE / Gebelstapler],MATCH($B37,tab_MinKomp[[Stanowisko / Position ]:[Stanowisko / Position ]],0))="n/a","n/a",INDEX(tab_MinKomp[WÓZKI JEZDNIOWE / Gebelstapler],MATCH($B37,tab_MinKomp[[Stanowisko / Position ]:[Stanowisko / Position ]],0)))</f>
        <v>n/a</v>
      </c>
      <c r="GG38" s="315" t="str">
        <f>IF(INDEX(tab_MinKomp[SEP],MATCH($B37,tab_MinKomp[[Stanowisko / Position ]:[Stanowisko / Position ]],0))="n/a","n/a",INDEX(tab_MinKomp[SEP],MATCH($B37,tab_MinKomp[[Stanowisko / Position ]:[Stanowisko / Position ]],0)))</f>
        <v>n/a</v>
      </c>
      <c r="GH38" s="315" t="str">
        <f>IF(INDEX(tab_MinKomp[SEP  DOZÓR / SEP Aufsicht],MATCH($B37,tab_MinKomp[[Stanowisko / Position ]:[Stanowisko / Position ]],0))="n/a","n/a",INDEX(tab_MinKomp[SEP  DOZÓR / SEP Aufsicht],MATCH($B37,tab_MinKomp[[Stanowisko / Position ]:[Stanowisko / Position ]],0)))</f>
        <v>n/a</v>
      </c>
      <c r="GI38" s="315" t="str">
        <f>IF(INDEX(tab_MinKomp[PODNOŚNIKI / Hebevorrichtung],MATCH($B37,tab_MinKomp[[Stanowisko / Position ]:[Stanowisko / Position ]],0))="n/a","n/a",INDEX(tab_MinKomp[PODNOŚNIKI / Hebevorrichtung],MATCH($B37,tab_MinKomp[[Stanowisko / Position ]:[Stanowisko / Position ]],0)))</f>
        <v>n/a</v>
      </c>
      <c r="GJ38" s="315" t="str">
        <f>IF(INDEX(tab_MinKomp[SUWNICE / Laufkran],MATCH($B37,tab_MinKomp[[Stanowisko / Position ]:[Stanowisko / Position ]],0))="n/a","n/a",INDEX(tab_MinKomp[SUWNICE / Laufkran],MATCH($B37,tab_MinKomp[[Stanowisko / Position ]:[Stanowisko / Position ]],0)))</f>
        <v>n/a</v>
      </c>
      <c r="GK38" s="319" t="str">
        <f>IF(INDEX(tab_MinKomp[WYSOKOŚCIOWE / Höhenberechtigungen],MATCH($B37,tab_MinKomp[[Stanowisko / Position ]:[Stanowisko / Position ]],0))="n/a","n/a",INDEX(tab_MinKomp[WYSOKOŚCIOWE / Höhenberechtigungen],MATCH($B37,tab_MinKomp[[Stanowisko / Position ]:[Stanowisko / Position ]],0)))</f>
        <v>n/a</v>
      </c>
      <c r="GL38" s="320">
        <f>SUM(G38:FP38)/(GL37-(SUM(G38:FP38)))</f>
        <v>-7.4468085106382975E-2</v>
      </c>
      <c r="GM38" s="132"/>
    </row>
    <row r="39" spans="1:195" s="187" customFormat="1" ht="28.35" customHeight="1" x14ac:dyDescent="0.25">
      <c r="A39" s="498" t="s">
        <v>183</v>
      </c>
      <c r="B39" s="498" t="s">
        <v>219</v>
      </c>
      <c r="C39" s="152" t="s">
        <v>230</v>
      </c>
      <c r="D39" s="498">
        <v>1367</v>
      </c>
      <c r="E39" s="565" t="s">
        <v>583</v>
      </c>
      <c r="F39" s="307" t="s">
        <v>165</v>
      </c>
      <c r="G39" s="322"/>
      <c r="H39" s="322"/>
      <c r="I39" s="322"/>
      <c r="J39" s="322"/>
      <c r="K39" s="322"/>
      <c r="L39" s="322"/>
      <c r="M39" s="322" t="s">
        <v>176</v>
      </c>
      <c r="N39" s="322" t="s">
        <v>176</v>
      </c>
      <c r="O39" s="322"/>
      <c r="P39" s="322"/>
      <c r="Q39" s="322" t="s">
        <v>176</v>
      </c>
      <c r="R39" s="322" t="s">
        <v>176</v>
      </c>
      <c r="S39" s="322" t="s">
        <v>176</v>
      </c>
      <c r="T39" s="322" t="s">
        <v>176</v>
      </c>
      <c r="U39" s="322"/>
      <c r="V39" s="322" t="s">
        <v>176</v>
      </c>
      <c r="W39" s="322"/>
      <c r="X39" s="322" t="s">
        <v>176</v>
      </c>
      <c r="Y39" s="322" t="s">
        <v>176</v>
      </c>
      <c r="Z39" s="322" t="s">
        <v>176</v>
      </c>
      <c r="AA39" s="322" t="s">
        <v>176</v>
      </c>
      <c r="AB39" s="322"/>
      <c r="AC39" s="322"/>
      <c r="AD39" s="322"/>
      <c r="AE39" s="322"/>
      <c r="AF39" s="322"/>
      <c r="AG39" s="322"/>
      <c r="AH39" s="322"/>
      <c r="AI39" s="322" t="s">
        <v>176</v>
      </c>
      <c r="AJ39" s="322" t="s">
        <v>176</v>
      </c>
      <c r="AK39" s="322" t="s">
        <v>176</v>
      </c>
      <c r="AL39" s="322"/>
      <c r="AM39" s="322"/>
      <c r="AN39" s="322" t="s">
        <v>176</v>
      </c>
      <c r="AO39" s="322" t="s">
        <v>176</v>
      </c>
      <c r="AP39" s="322"/>
      <c r="AQ39" s="322"/>
      <c r="AR39" s="322" t="s">
        <v>176</v>
      </c>
      <c r="AS39" s="322" t="s">
        <v>176</v>
      </c>
      <c r="AT39" s="322" t="s">
        <v>176</v>
      </c>
      <c r="AU39" s="322" t="s">
        <v>176</v>
      </c>
      <c r="AV39" s="322"/>
      <c r="AW39" s="322"/>
      <c r="AX39" s="322"/>
      <c r="AY39" s="322" t="s">
        <v>176</v>
      </c>
      <c r="AZ39" s="322"/>
      <c r="BA39" s="322"/>
      <c r="BB39" s="322"/>
      <c r="BC39" s="322"/>
      <c r="BD39" s="322"/>
      <c r="BE39" s="322"/>
      <c r="BF39" s="322"/>
      <c r="BG39" s="322"/>
      <c r="BH39" s="322"/>
      <c r="BI39" s="322"/>
      <c r="BJ39" s="322"/>
      <c r="BK39" s="322"/>
      <c r="BL39" s="322"/>
      <c r="BM39" s="322" t="s">
        <v>176</v>
      </c>
      <c r="BN39" s="322" t="s">
        <v>176</v>
      </c>
      <c r="BO39" s="322" t="s">
        <v>176</v>
      </c>
      <c r="BP39" s="322" t="s">
        <v>176</v>
      </c>
      <c r="BQ39" s="322" t="s">
        <v>176</v>
      </c>
      <c r="BR39" s="322" t="s">
        <v>176</v>
      </c>
      <c r="BS39" s="322" t="s">
        <v>176</v>
      </c>
      <c r="BT39" s="322" t="s">
        <v>176</v>
      </c>
      <c r="BU39" s="322" t="s">
        <v>176</v>
      </c>
      <c r="BV39" s="322" t="s">
        <v>176</v>
      </c>
      <c r="BW39" s="322" t="s">
        <v>176</v>
      </c>
      <c r="BX39" s="322" t="s">
        <v>176</v>
      </c>
      <c r="BY39" s="322" t="s">
        <v>176</v>
      </c>
      <c r="BZ39" s="322" t="s">
        <v>176</v>
      </c>
      <c r="CA39" s="322" t="s">
        <v>176</v>
      </c>
      <c r="CB39" s="322" t="s">
        <v>176</v>
      </c>
      <c r="CC39" s="322" t="s">
        <v>176</v>
      </c>
      <c r="CD39" s="322" t="s">
        <v>176</v>
      </c>
      <c r="CE39" s="322" t="s">
        <v>176</v>
      </c>
      <c r="CF39" s="322" t="s">
        <v>176</v>
      </c>
      <c r="CG39" s="322" t="s">
        <v>176</v>
      </c>
      <c r="CH39" s="322" t="s">
        <v>176</v>
      </c>
      <c r="CI39" s="322"/>
      <c r="CJ39" s="322" t="s">
        <v>176</v>
      </c>
      <c r="CK39" s="322" t="s">
        <v>176</v>
      </c>
      <c r="CL39" s="322" t="s">
        <v>176</v>
      </c>
      <c r="CM39" s="322"/>
      <c r="CN39" s="322"/>
      <c r="CO39" s="322"/>
      <c r="CP39" s="322"/>
      <c r="CQ39" s="322"/>
      <c r="CR39" s="322"/>
      <c r="CS39" s="322"/>
      <c r="CT39" s="322"/>
      <c r="CU39" s="322" t="s">
        <v>176</v>
      </c>
      <c r="CV39" s="322" t="s">
        <v>176</v>
      </c>
      <c r="CW39" s="322" t="s">
        <v>176</v>
      </c>
      <c r="CX39" s="308" t="s">
        <v>176</v>
      </c>
      <c r="CY39" s="308" t="s">
        <v>176</v>
      </c>
      <c r="CZ39" s="308" t="s">
        <v>176</v>
      </c>
      <c r="DA39" s="308" t="s">
        <v>176</v>
      </c>
      <c r="DB39" s="308" t="s">
        <v>176</v>
      </c>
      <c r="DC39" s="308" t="s">
        <v>176</v>
      </c>
      <c r="DD39" s="308" t="s">
        <v>176</v>
      </c>
      <c r="DE39" s="308" t="s">
        <v>176</v>
      </c>
      <c r="DF39" s="308" t="s">
        <v>176</v>
      </c>
      <c r="DG39" s="308" t="s">
        <v>176</v>
      </c>
      <c r="DH39" s="308" t="s">
        <v>176</v>
      </c>
      <c r="DI39" s="308" t="s">
        <v>176</v>
      </c>
      <c r="DJ39" s="308" t="s">
        <v>176</v>
      </c>
      <c r="DK39" s="308" t="s">
        <v>176</v>
      </c>
      <c r="DL39" s="308" t="s">
        <v>176</v>
      </c>
      <c r="DM39" s="308" t="s">
        <v>176</v>
      </c>
      <c r="DN39" s="308" t="s">
        <v>176</v>
      </c>
      <c r="DO39" s="308" t="s">
        <v>176</v>
      </c>
      <c r="DP39" s="308" t="s">
        <v>176</v>
      </c>
      <c r="DQ39" s="308" t="s">
        <v>176</v>
      </c>
      <c r="DR39" s="308" t="s">
        <v>176</v>
      </c>
      <c r="DS39" s="308" t="s">
        <v>176</v>
      </c>
      <c r="DT39" s="308" t="s">
        <v>176</v>
      </c>
      <c r="DU39" s="308" t="s">
        <v>176</v>
      </c>
      <c r="DV39" s="306" t="s">
        <v>176</v>
      </c>
      <c r="DW39" s="306" t="s">
        <v>176</v>
      </c>
      <c r="DX39" s="306" t="s">
        <v>176</v>
      </c>
      <c r="DY39" s="322" t="s">
        <v>176</v>
      </c>
      <c r="DZ39" s="322" t="s">
        <v>176</v>
      </c>
      <c r="EA39" s="322" t="s">
        <v>176</v>
      </c>
      <c r="EB39" s="322" t="s">
        <v>176</v>
      </c>
      <c r="EC39" s="322" t="s">
        <v>176</v>
      </c>
      <c r="ED39" s="322" t="s">
        <v>176</v>
      </c>
      <c r="EE39" s="322" t="s">
        <v>176</v>
      </c>
      <c r="EF39" s="322" t="s">
        <v>176</v>
      </c>
      <c r="EG39" s="322" t="s">
        <v>176</v>
      </c>
      <c r="EH39" s="322" t="s">
        <v>176</v>
      </c>
      <c r="EI39" s="322" t="s">
        <v>176</v>
      </c>
      <c r="EJ39" s="322" t="s">
        <v>176</v>
      </c>
      <c r="EK39" s="322" t="s">
        <v>176</v>
      </c>
      <c r="EL39" s="322" t="s">
        <v>176</v>
      </c>
      <c r="EM39" s="322" t="s">
        <v>176</v>
      </c>
      <c r="EN39" s="322" t="s">
        <v>176</v>
      </c>
      <c r="EO39" s="322" t="s">
        <v>176</v>
      </c>
      <c r="EP39" s="322" t="s">
        <v>176</v>
      </c>
      <c r="EQ39" s="322" t="s">
        <v>176</v>
      </c>
      <c r="ER39" s="322" t="s">
        <v>176</v>
      </c>
      <c r="ES39" s="322" t="s">
        <v>176</v>
      </c>
      <c r="ET39" s="322" t="s">
        <v>176</v>
      </c>
      <c r="EU39" s="322" t="s">
        <v>176</v>
      </c>
      <c r="EV39" s="322" t="s">
        <v>176</v>
      </c>
      <c r="EW39" s="308" t="s">
        <v>176</v>
      </c>
      <c r="EX39" s="322" t="s">
        <v>176</v>
      </c>
      <c r="EY39" s="322"/>
      <c r="EZ39" s="322"/>
      <c r="FA39" s="322"/>
      <c r="FB39" s="325"/>
      <c r="FC39" s="325" t="s">
        <v>176</v>
      </c>
      <c r="FD39" s="322"/>
      <c r="FE39" s="322"/>
      <c r="FF39" s="322"/>
      <c r="FG39" s="322"/>
      <c r="FH39" s="322"/>
      <c r="FI39" s="322"/>
      <c r="FJ39" s="322"/>
      <c r="FK39" s="322"/>
      <c r="FL39" s="322"/>
      <c r="FM39" s="322"/>
      <c r="FN39" s="322"/>
      <c r="FO39" s="322"/>
      <c r="FP39" s="322" t="s">
        <v>176</v>
      </c>
      <c r="FQ39" s="326" t="s">
        <v>176</v>
      </c>
      <c r="FR39" s="326" t="s">
        <v>176</v>
      </c>
      <c r="FS39" s="322" t="s">
        <v>387</v>
      </c>
      <c r="FT39" s="326" t="s">
        <v>176</v>
      </c>
      <c r="FU39" s="326" t="s">
        <v>176</v>
      </c>
      <c r="FV39" s="326" t="s">
        <v>176</v>
      </c>
      <c r="FW39" s="326" t="s">
        <v>176</v>
      </c>
      <c r="FX39" s="326" t="s">
        <v>176</v>
      </c>
      <c r="FY39" s="322" t="s">
        <v>387</v>
      </c>
      <c r="FZ39" s="326" t="s">
        <v>176</v>
      </c>
      <c r="GA39" s="326" t="s">
        <v>176</v>
      </c>
      <c r="GB39" s="326" t="s">
        <v>176</v>
      </c>
      <c r="GC39" s="326" t="s">
        <v>176</v>
      </c>
      <c r="GD39" s="326" t="s">
        <v>176</v>
      </c>
      <c r="GE39" s="326" t="s">
        <v>176</v>
      </c>
      <c r="GF39" s="326" t="s">
        <v>176</v>
      </c>
      <c r="GG39" s="326" t="s">
        <v>176</v>
      </c>
      <c r="GH39" s="326" t="s">
        <v>176</v>
      </c>
      <c r="GI39" s="326" t="s">
        <v>176</v>
      </c>
      <c r="GJ39" s="326" t="s">
        <v>176</v>
      </c>
      <c r="GK39" s="327" t="s">
        <v>176</v>
      </c>
      <c r="GL39" s="311">
        <f>SUM(G39:FP39)</f>
        <v>0</v>
      </c>
      <c r="GM39" s="132"/>
    </row>
    <row r="40" spans="1:195" s="187" customFormat="1" ht="28.35" customHeight="1" thickBot="1" x14ac:dyDescent="0.3">
      <c r="A40" s="152" t="str">
        <f>A39</f>
        <v>Logistyka-Logistic</v>
      </c>
      <c r="B40" s="152" t="str">
        <f>B39</f>
        <v>Specjalista ds. logistyki</v>
      </c>
      <c r="C40" s="152" t="s">
        <v>230</v>
      </c>
      <c r="D40" s="152">
        <f>D39</f>
        <v>1367</v>
      </c>
      <c r="E40" s="566" t="str">
        <f>E39</f>
        <v>Olewnik Hanna</v>
      </c>
      <c r="F40" s="312" t="s">
        <v>166</v>
      </c>
      <c r="G40" s="313">
        <f>IF(INDEX(tab_MinKomp[Przepisy BHP / BHP Vorschriften],MATCH($B39,tab_MinKomp[[Stanowisko / Position ]:[Stanowisko / Position ]],0))="n/a","n/a",G39-INDEX(tab_MinKomp[Przepisy BHP / BHP Vorschriften],MATCH($B39,tab_MinKomp[[Stanowisko / Position ]:[Stanowisko / Position ]],0)))</f>
        <v>-1</v>
      </c>
      <c r="H40" s="314">
        <f>IF(INDEX(tab_MinKomp[Przepisy PPOŻ / Brandschutzbestimmungen],MATCH($B39,tab_MinKomp[[Stanowisko / Position ]:[Stanowisko / Position ]],0))="n/a","n/a",H39-INDEX(tab_MinKomp[Przepisy PPOŻ / Brandschutzbestimmungen],MATCH($B39,tab_MinKomp[[Stanowisko / Position ]:[Stanowisko / Position ]],0)))</f>
        <v>-1</v>
      </c>
      <c r="I40" s="314">
        <f>IF(INDEX(tab_MinKomp[Ryzyko zawodowe na stanowiskach pracyv/ Berufliche Risiken an Arbeitsstellen],MATCH($B39,tab_MinKomp[[Stanowisko / Position ]:[Stanowisko / Position ]],0))="n/a","n/a",I39-INDEX(tab_MinKomp[Ryzyko zawodowe na stanowiskach pracyv/ Berufliche Risiken an Arbeitsstellen],MATCH($B39,tab_MinKomp[[Stanowisko / Position ]:[Stanowisko / Position ]],0)))</f>
        <v>-1</v>
      </c>
      <c r="J40" s="314">
        <f>IF(INDEX(tab_MinKomp[Gospodarka substancjami niebezpiecznymi / Gefahrstoffmanagement],MATCH($B39,tab_MinKomp[[Stanowisko / Position ]:[Stanowisko / Position ]],0))="n/a","n/a",J39-INDEX(tab_MinKomp[Gospodarka substancjami niebezpiecznymi / Gefahrstoffmanagement],MATCH($B39,tab_MinKomp[[Stanowisko / Position ]:[Stanowisko / Position ]],0)))</f>
        <v>-1</v>
      </c>
      <c r="K40" s="314">
        <f>IF(INDEX(tab_MinKomp[Gospodarka odpadami / Abfallwirtschaft],MATCH($B39,tab_MinKomp[[Stanowisko / Position ]:[Stanowisko / Position ]],0))="n/a","n/a",K39-INDEX(tab_MinKomp[Gospodarka odpadami / Abfallwirtschaft],MATCH($B39,tab_MinKomp[[Stanowisko / Position ]:[Stanowisko / Position ]],0)))</f>
        <v>-1</v>
      </c>
      <c r="L40" s="315">
        <f>IF(INDEX(tab_MinKomp[Przepisy kodeksu pracy / Bestimmungen des Arbeitsgesetzes],MATCH($B39,tab_MinKomp[[Stanowisko / Position ]:[Stanowisko / Position ]],0))="n/a","n/a",L39-INDEX(tab_MinKomp[Przepisy kodeksu pracy / Bestimmungen des Arbeitsgesetzes],MATCH($B39,tab_MinKomp[[Stanowisko / Position ]:[Stanowisko / Position ]],0)))</f>
        <v>-1</v>
      </c>
      <c r="M40" s="316" t="str">
        <f>IF(INDEX(tab_MinKomp[Przepisy o ub.społ. ZUS  / Sozialversicherungsvorschriften],MATCH($B39,tab_MinKomp[[Stanowisko / Position ]:[Stanowisko / Position ]],0))="n/a","n/a",M39-INDEX(tab_MinKomp[Przepisy o ub.społ. ZUS  / Sozialversicherungsvorschriften],MATCH($B39,tab_MinKomp[[Stanowisko / Position ]:[Stanowisko / Position ]],0)))</f>
        <v>n/a</v>
      </c>
      <c r="N40" s="315" t="str">
        <f>IF(INDEX(tab_MinKomp[PRZEPISY O PDOF /persönlich Einkommensteuergesetz ],MATCH($B39,tab_MinKomp[[Stanowisko / Position ]:[Stanowisko / Position ]],0))="n/a","n/a",N39-INDEX(tab_MinKomp[PRZEPISY O PDOF /persönlich Einkommensteuergesetz ],MATCH($B39,tab_MinKomp[[Stanowisko / Position ]:[Stanowisko / Position ]],0)))</f>
        <v>n/a</v>
      </c>
      <c r="O40" s="315">
        <f>IF(INDEX(tab_MinKomp[Regulamin pracy / Arbeitsordnung],MATCH($B39,tab_MinKomp[[Stanowisko / Position ]:[Stanowisko / Position ]],0))="n/a","n/a",O39-INDEX(tab_MinKomp[Regulamin pracy / Arbeitsordnung],MATCH($B39,tab_MinKomp[[Stanowisko / Position ]:[Stanowisko / Position ]],0)))</f>
        <v>-1</v>
      </c>
      <c r="P40" s="315">
        <f>IF(INDEX(tab_MinKomp[Regulamin wynagradzania / Vergütungsordnung],MATCH($B39,tab_MinKomp[[Stanowisko / Position ]:[Stanowisko / Position ]],0))="n/a","n/a",P39-INDEX(tab_MinKomp[Regulamin wynagradzania / Vergütungsordnung],MATCH($B39,tab_MinKomp[[Stanowisko / Position ]:[Stanowisko / Position ]],0)))</f>
        <v>-1</v>
      </c>
      <c r="Q40" s="315" t="str">
        <f>IF(INDEX(tab_MinKomp[System R2PŁATNIK PRO: Płace / Lohnabrechnung],MATCH($B39,tab_MinKomp[[Stanowisko / Position ]:[Stanowisko / Position ]],0))="n/a","n/a",Q39-INDEX(tab_MinKomp[System R2PŁATNIK PRO: Płace / Lohnabrechnung],MATCH($B39,tab_MinKomp[[Stanowisko / Position ]:[Stanowisko / Position ]],0)))</f>
        <v>n/a</v>
      </c>
      <c r="R40" s="315" t="str">
        <f>IF(INDEX(tab_MinKomp[SystemR2PŁATNIK PRO: KADRY / Personaldaten],MATCH($B39,tab_MinKomp[[Stanowisko / Position ]:[Stanowisko / Position ]],0))="n/a","n/a",R39-INDEX(tab_MinKomp[SystemR2PŁATNIK PRO: KADRY / Personaldaten],MATCH($B39,tab_MinKomp[[Stanowisko / Position ]:[Stanowisko / Position ]],0)))</f>
        <v>n/a</v>
      </c>
      <c r="S40" s="315" t="str">
        <f>IF(INDEX(tab_MinKomp[SYSTEM R2PŁATNIK PRO: zarządzanie pracownikami / Arbeitsverwaltung],MATCH($B39,tab_MinKomp[[Stanowisko / Position ]:[Stanowisko / Position ]],0))="n/a","n/a",S39-INDEX(tab_MinKomp[SYSTEM R2PŁATNIK PRO: zarządzanie pracownikami / Arbeitsverwaltung],MATCH($B39,tab_MinKomp[[Stanowisko / Position ]:[Stanowisko / Position ]],0)))</f>
        <v>n/a</v>
      </c>
      <c r="T40" s="315" t="str">
        <f>IF(INDEX(tab_MinKomp[Doradztwo, wsparcie personalne / Personalberatung und Unterstützung],MATCH($B39,tab_MinKomp[[Stanowisko / Position ]:[Stanowisko / Position ]],0))="n/a","n/a",T39-INDEX(tab_MinKomp[Doradztwo, wsparcie personalne / Personalberatung und Unterstützung],MATCH($B39,tab_MinKomp[[Stanowisko / Position ]:[Stanowisko / Position ]],0)))</f>
        <v>n/a</v>
      </c>
      <c r="U40" s="315">
        <f>IF(INDEX(tab_MinKomp[Przepisy o podatku VAT / MwSt.- Gesetz],MATCH($B39,tab_MinKomp[[Stanowisko / Position ]:[Stanowisko / Position ]],0))="n/a","n/a",U39-INDEX(tab_MinKomp[Przepisy o podatku VAT / MwSt.- Gesetz],MATCH($B39,tab_MinKomp[[Stanowisko / Position ]:[Stanowisko / Position ]],0)))</f>
        <v>-1</v>
      </c>
      <c r="V40" s="315" t="str">
        <f>IF(INDEX(tab_MinKomp[PrzepisyPDOP / geschäftlich Einkommensteuergesetz],MATCH($B39,tab_MinKomp[[Stanowisko / Position ]:[Stanowisko / Position ]],0))="n/a","n/a",V39-INDEX(tab_MinKomp[PrzepisyPDOP / geschäftlich Einkommensteuergesetz],MATCH($B39,tab_MinKomp[[Stanowisko / Position ]:[Stanowisko / Position ]],0)))</f>
        <v>n/a</v>
      </c>
      <c r="W40" s="315">
        <f>IF(INDEX(tab_MinKomp[System BAAN / FINANSE (FIBU)],MATCH($B39,tab_MinKomp[[Stanowisko / Position ]:[Stanowisko / Position ]],0))="n/a","n/a",W39-INDEX(tab_MinKomp[System BAAN / FINANSE (FIBU)],MATCH($B39,tab_MinKomp[[Stanowisko / Position ]:[Stanowisko / Position ]],0)))</f>
        <v>-2</v>
      </c>
      <c r="X40" s="315" t="str">
        <f>IF(INDEX(tab_MinKomp[Systemy pomocnicze / Hilfssysteme(STOCKPROGRAM, KALK2000 etc.)],MATCH($B39,tab_MinKomp[[Stanowisko / Position ]:[Stanowisko / Position ]],0))="n/a","n/a",X39-INDEX(tab_MinKomp[Systemy pomocnicze / Hilfssysteme(STOCKPROGRAM, KALK2000 etc.)],MATCH($B39,tab_MinKomp[[Stanowisko / Position ]:[Stanowisko / Position ]],0)))</f>
        <v>n/a</v>
      </c>
      <c r="Y40" s="315" t="str">
        <f>IF(INDEX(tab_MinKomp[Polityka rachunkowości / Buchführungspolitik],MATCH($B39,tab_MinKomp[[Stanowisko / Position ]:[Stanowisko / Position ]],0))="n/a","n/a",Y39-INDEX(tab_MinKomp[Polityka rachunkowości / Buchführungspolitik],MATCH($B39,tab_MinKomp[[Stanowisko / Position ]:[Stanowisko / Position ]],0)))</f>
        <v>n/a</v>
      </c>
      <c r="Z40" s="315" t="str">
        <f>IF(INDEX(tab_MinKomp[Ustawa o rachunkowości / Rechnungslegungsgesetz],MATCH($B39,tab_MinKomp[[Stanowisko / Position ]:[Stanowisko / Position ]],0))="n/a","n/a",Z39-INDEX(tab_MinKomp[Ustawa o rachunkowości / Rechnungslegungsgesetz],MATCH($B39,tab_MinKomp[[Stanowisko / Position ]:[Stanowisko / Position ]],0)))</f>
        <v>n/a</v>
      </c>
      <c r="AA40" s="315" t="str">
        <f>IF(INDEX(tab_MinKomp[WORKFLOW - TS-100],MATCH($B39,tab_MinKomp[[Stanowisko / Position ]:[Stanowisko / Position ]],0))="n/a","n/a",AA39-INDEX(tab_MinKomp[WORKFLOW - TS-100],MATCH($B39,tab_MinKomp[[Stanowisko / Position ]:[Stanowisko / Position ]],0)))</f>
        <v>n/a</v>
      </c>
      <c r="AB40" s="315">
        <f>IF(INDEX(tab_MinKomp[WORKFLOW - SFMS],MATCH($B39,tab_MinKomp[[Stanowisko / Position ]:[Stanowisko / Position ]],0))="n/a","n/a",AB39-INDEX(tab_MinKomp[WORKFLOW - SFMS],MATCH($B39,tab_MinKomp[[Stanowisko / Position ]:[Stanowisko / Position ]],0)))</f>
        <v>-2</v>
      </c>
      <c r="AC40" s="315">
        <f>IF(INDEX(tab_MinKomp[System ISO 9001:2015],MATCH($B39,tab_MinKomp[[Stanowisko / Position ]:[Stanowisko / Position ]],0))="n/a","n/a",AC39-INDEX(tab_MinKomp[System ISO 9001:2015],MATCH($B39,tab_MinKomp[[Stanowisko / Position ]:[Stanowisko / Position ]],0)))</f>
        <v>-1</v>
      </c>
      <c r="AD40" s="315">
        <f>IF(INDEX(tab_MinKomp[System IATF 16949:2016],MATCH($B39,tab_MinKomp[[Stanowisko / Position ]:[Stanowisko / Position ]],0))="n/a","n/a",AD39-INDEX(tab_MinKomp[System IATF 16949:2016],MATCH($B39,tab_MinKomp[[Stanowisko / Position ]:[Stanowisko / Position ]],0)))</f>
        <v>-1</v>
      </c>
      <c r="AE40" s="315">
        <f>IF(INDEX(tab_MinKomp[System ISO 14001:2015],MATCH($B39,tab_MinKomp[[Stanowisko / Position ]:[Stanowisko / Position ]],0))="n/a","n/a",AE39-INDEX(tab_MinKomp[System ISO 14001:2015],MATCH($B39,tab_MinKomp[[Stanowisko / Position ]:[Stanowisko / Position ]],0)))</f>
        <v>-1</v>
      </c>
      <c r="AF40" s="315">
        <f>IF(INDEX(tab_MinKomp[System PN-N 18001:2004 / ISO 45001:2018],MATCH($B39,tab_MinKomp[[Stanowisko / Position ]:[Stanowisko / Position ]],0))="n/a","n/a",AF39-INDEX(tab_MinKomp[System PN-N 18001:2004 / ISO 45001:2018],MATCH($B39,tab_MinKomp[[Stanowisko / Position ]:[Stanowisko / Position ]],0)))</f>
        <v>-1</v>
      </c>
      <c r="AG40" s="315">
        <f>IF(INDEX(tab_MinKomp[Wymagania VDA 6.3 Process / Forderungen],MATCH($B39,tab_MinKomp[[Stanowisko / Position ]:[Stanowisko / Position ]],0))="n/a","n/a",AG39-INDEX(tab_MinKomp[Wymagania VDA 6.3 Process / Forderungen],MATCH($B39,tab_MinKomp[[Stanowisko / Position ]:[Stanowisko / Position ]],0)))</f>
        <v>-1</v>
      </c>
      <c r="AH40" s="315">
        <f>IF(INDEX(tab_MinKomp[Wymagania VDA 6.5 Product / Forderungen],MATCH($B39,tab_MinKomp[[Stanowisko / Position ]:[Stanowisko / Position ]],0))="n/a","n/a",AH39-INDEX(tab_MinKomp[Wymagania VDA 6.5 Product / Forderungen],MATCH($B39,tab_MinKomp[[Stanowisko / Position ]:[Stanowisko / Position ]],0)))</f>
        <v>-1</v>
      </c>
      <c r="AI40" s="315" t="str">
        <f>IF(INDEX(tab_MinKomp[PSCR (VW Product Safety &amp; Conformity Representative)],MATCH($B39,tab_MinKomp[[Stanowisko / Position ]:[Stanowisko / Position ]],0))="n/a","n/a",AI39-INDEX(tab_MinKomp[PSCR (VW Product Safety &amp; Conformity Representative)],MATCH($B39,tab_MinKomp[[Stanowisko / Position ]:[Stanowisko / Position ]],0)))</f>
        <v>n/a</v>
      </c>
      <c r="AJ40" s="315" t="str">
        <f>IF(INDEX(tab_MinKomp[Auditor systemu ISO 17025:2018],MATCH($B39,tab_MinKomp[[Stanowisko / Position ]:[Stanowisko / Position ]],0))="n/a","n/a",AJ39-INDEX(tab_MinKomp[Auditor systemu ISO 17025:2018],MATCH($B39,tab_MinKomp[[Stanowisko / Position ]:[Stanowisko / Position ]],0)))</f>
        <v>n/a</v>
      </c>
      <c r="AK40" s="315" t="str">
        <f>IF(INDEX(tab_MinKomp[Pełnomocnik systemu / Systemvertreter],MATCH($B39,tab_MinKomp[[Stanowisko / Position ]:[Stanowisko / Position ]],0))="n/a","n/a",AK39-INDEX(tab_MinKomp[Pełnomocnik systemu / Systemvertreter],MATCH($B39,tab_MinKomp[[Stanowisko / Position ]:[Stanowisko / Position ]],0)))</f>
        <v>n/a</v>
      </c>
      <c r="AL40" s="315">
        <f>IF(INDEX(tab_MinKomp[Polityka Etyczna - Compliance],MATCH($B39,tab_MinKomp[[Stanowisko / Position ]:[Stanowisko / Position ]],0))="n/a","n/a",AL39-INDEX(tab_MinKomp[Polityka Etyczna - Compliance],MATCH($B39,tab_MinKomp[[Stanowisko / Position ]:[Stanowisko / Position ]],0)))</f>
        <v>-1</v>
      </c>
      <c r="AM40" s="315">
        <f>IF(INDEX(tab_MinKomp[WDRAŻANIE NOWYCH PROJEKTÓW/ PROCEDURA CTM],MATCH($B39,tab_MinKomp[[Stanowisko / Position ]:[Stanowisko / Position ]],0))="n/a","n/a",AM39-INDEX(tab_MinKomp[WDRAŻANIE NOWYCH PROJEKTÓW/ PROCEDURA CTM],MATCH($B39,tab_MinKomp[[Stanowisko / Position ]:[Stanowisko / Position ]],0)))</f>
        <v>-1</v>
      </c>
      <c r="AN40" s="315" t="str">
        <f>IF(INDEX(tab_MinKomp[KAMIENIE MILOWE MSL/PIFF],MATCH($B39,tab_MinKomp[[Stanowisko / Position ]:[Stanowisko / Position ]],0))="n/a","n/a",AN39-INDEX(tab_MinKomp[KAMIENIE MILOWE MSL/PIFF],MATCH($B39,tab_MinKomp[[Stanowisko / Position ]:[Stanowisko / Position ]],0)))</f>
        <v>n/a</v>
      </c>
      <c r="AO40" s="315" t="str">
        <f>IF(INDEX(tab_MinKomp[CP],MATCH($B39,tab_MinKomp[[Stanowisko / Position ]:[Stanowisko / Position ]],0))="n/a","n/a",AO39-INDEX(tab_MinKomp[CP],MATCH($B39,tab_MinKomp[[Stanowisko / Position ]:[Stanowisko / Position ]],0)))</f>
        <v>n/a</v>
      </c>
      <c r="AP40" s="315">
        <f>IF(INDEX(tab_MinKomp[FMEA],MATCH($B39,tab_MinKomp[[Stanowisko / Position ]:[Stanowisko / Position ]],0))="n/a","n/a",AP39-INDEX(tab_MinKomp[FMEA],MATCH($B39,tab_MinKomp[[Stanowisko / Position ]:[Stanowisko / Position ]],0)))</f>
        <v>-1</v>
      </c>
      <c r="AQ40" s="315">
        <f>IF(INDEX(tab_MinKomp[FLOW CHART],MATCH($B39,tab_MinKomp[[Stanowisko / Position ]:[Stanowisko / Position ]],0))="n/a","n/a",AQ39-INDEX(tab_MinKomp[FLOW CHART],MATCH($B39,tab_MinKomp[[Stanowisko / Position ]:[Stanowisko / Position ]],0)))</f>
        <v>-1</v>
      </c>
      <c r="AR40" s="315" t="str">
        <f>IF(INDEX(tab_MinKomp[APQP],MATCH($B39,tab_MinKomp[[Stanowisko / Position ]:[Stanowisko / Position ]],0))="n/a","n/a",AR39-INDEX(tab_MinKomp[APQP],MATCH($B39,tab_MinKomp[[Stanowisko / Position ]:[Stanowisko / Position ]],0)))</f>
        <v>n/a</v>
      </c>
      <c r="AS40" s="315" t="str">
        <f>IF(INDEX(tab_MinKomp[MSA],MATCH($B39,tab_MinKomp[[Stanowisko / Position ]:[Stanowisko / Position ]],0))="n/a","n/a",AS39-INDEX(tab_MinKomp[MSA],MATCH($B39,tab_MinKomp[[Stanowisko / Position ]:[Stanowisko / Position ]],0)))</f>
        <v>n/a</v>
      </c>
      <c r="AT40" s="315" t="str">
        <f>IF(INDEX(tab_MinKomp[SPC],MATCH($B39,tab_MinKomp[[Stanowisko / Position ]:[Stanowisko / Position ]],0))="n/a","n/a",AT39-INDEX(tab_MinKomp[SPC],MATCH($B39,tab_MinKomp[[Stanowisko / Position ]:[Stanowisko / Position ]],0)))</f>
        <v>n/a</v>
      </c>
      <c r="AU40" s="315" t="str">
        <f>IF(INDEX(tab_MinKomp[CSR (SPECYFICZNE WYMAGANIA KLIENTA)],MATCH($B39,tab_MinKomp[[Stanowisko / Position ]:[Stanowisko / Position ]],0))="n/a","n/a",AU39-INDEX(tab_MinKomp[CSR (SPECYFICZNE WYMAGANIA KLIENTA)],MATCH($B39,tab_MinKomp[[Stanowisko / Position ]:[Stanowisko / Position ]],0)))</f>
        <v>n/a</v>
      </c>
      <c r="AV40" s="315">
        <f>IF(INDEX(tab_MinKomp[5S],MATCH($B39,tab_MinKomp[[Stanowisko / Position ]:[Stanowisko / Position ]],0))="n/a","n/a",AV39-INDEX(tab_MinKomp[5S],MATCH($B39,tab_MinKomp[[Stanowisko / Position ]:[Stanowisko / Position ]],0)))</f>
        <v>-2</v>
      </c>
      <c r="AW40" s="315">
        <f>IF(INDEX(tab_MinKomp[LEAN MANAGEMENT],MATCH($B39,tab_MinKomp[[Stanowisko / Position ]:[Stanowisko / Position ]],0))="n/a","n/a",AW39-INDEX(tab_MinKomp[LEAN MANAGEMENT],MATCH($B39,tab_MinKomp[[Stanowisko / Position ]:[Stanowisko / Position ]],0)))</f>
        <v>-1</v>
      </c>
      <c r="AX40" s="315">
        <f>IF(INDEX(tab_MinKomp[5R],MATCH($B39,tab_MinKomp[[Stanowisko / Position ]:[Stanowisko / Position ]],0))="n/a","n/a",AX39-INDEX(tab_MinKomp[5R],MATCH($B39,tab_MinKomp[[Stanowisko / Position ]:[Stanowisko / Position ]],0)))</f>
        <v>-2</v>
      </c>
      <c r="AY40" s="315" t="str">
        <f>IF(INDEX(tab_MinKomp[Six Sigma],MATCH($B39,tab_MinKomp[[Stanowisko / Position ]:[Stanowisko / Position ]],0))="n/a","n/a",AY39-INDEX(tab_MinKomp[Six Sigma],MATCH($B39,tab_MinKomp[[Stanowisko / Position ]:[Stanowisko / Position ]],0)))</f>
        <v>n/a</v>
      </c>
      <c r="AZ40" s="315">
        <f>IF(INDEX(tab_MinKomp[System BAAN / Distribution &amp; Supply Chain],MATCH($B39,tab_MinKomp[[Stanowisko / Position ]:[Stanowisko / Position ]],0))="n/a","n/a",AZ39-INDEX(tab_MinKomp[System BAAN / Distribution &amp; Supply Chain],MATCH($B39,tab_MinKomp[[Stanowisko / Position ]:[Stanowisko / Position ]],0)))</f>
        <v>-3</v>
      </c>
      <c r="BA40" s="315">
        <f>IF(INDEX(tab_MinKomp[Gospodarka magazynowa / Lagerverwaltung],MATCH($B39,tab_MinKomp[[Stanowisko / Position ]:[Stanowisko / Position ]],0))="n/a","n/a",BA39-INDEX(tab_MinKomp[Gospodarka magazynowa / Lagerverwaltung],MATCH($B39,tab_MinKomp[[Stanowisko / Position ]:[Stanowisko / Position ]],0)))</f>
        <v>-3</v>
      </c>
      <c r="BB40" s="315">
        <f>IF(INDEX(tab_MinKomp[Inwentaryzacja - organizacja i przebieg / Inventurprozess],MATCH($B39,tab_MinKomp[[Stanowisko / Position ]:[Stanowisko / Position ]],0))="n/a","n/a",BB39-INDEX(tab_MinKomp[Inwentaryzacja - organizacja i przebieg / Inventurprozess],MATCH($B39,tab_MinKomp[[Stanowisko / Position ]:[Stanowisko / Position ]],0)))</f>
        <v>-2</v>
      </c>
      <c r="BC40" s="315">
        <f>IF(INDEX(tab_MinKomp[Organizacja dostaw / Versorgungsorganisation],MATCH($B39,tab_MinKomp[[Stanowisko / Position ]:[Stanowisko / Position ]],0))="n/a","n/a",BC39-INDEX(tab_MinKomp[Organizacja dostaw / Versorgungsorganisation],MATCH($B39,tab_MinKomp[[Stanowisko / Position ]:[Stanowisko / Position ]],0)))</f>
        <v>-2</v>
      </c>
      <c r="BD40" s="315">
        <f>IF(INDEX(tab_MinKomp[Organizacja wysyłek / Organisation von Lieferungen],MATCH($B39,tab_MinKomp[[Stanowisko / Position ]:[Stanowisko / Position ]],0))="n/a","n/a",BD39-INDEX(tab_MinKomp[Organizacja wysyłek / Organisation von Lieferungen],MATCH($B39,tab_MinKomp[[Stanowisko / Position ]:[Stanowisko / Position ]],0)))</f>
        <v>-3</v>
      </c>
      <c r="BE40" s="315">
        <f>IF(INDEX(tab_MinKomp[Analiza magazynowa - Program Polen.mdb / Inventuranalyse],MATCH($B39,tab_MinKomp[[Stanowisko / Position ]:[Stanowisko / Position ]],0))="n/a","n/a",BE39-INDEX(tab_MinKomp[Analiza magazynowa - Program Polen.mdb / Inventuranalyse],MATCH($B39,tab_MinKomp[[Stanowisko / Position ]:[Stanowisko / Position ]],0)))</f>
        <v>-2</v>
      </c>
      <c r="BF40" s="315">
        <f>IF(INDEX(tab_MinKomp[MMOG (Materials Management Operations Guidelines)],MATCH($B39,tab_MinKomp[[Stanowisko / Position ]:[Stanowisko / Position ]],0))="n/a","n/a",BF39-INDEX(tab_MinKomp[MMOG (Materials Management Operations Guidelines)],MATCH($B39,tab_MinKomp[[Stanowisko / Position ]:[Stanowisko / Position ]],0)))</f>
        <v>-2</v>
      </c>
      <c r="BG40" s="315">
        <f>IF(INDEX(tab_MinKomp[GPP],MATCH($B39,tab_MinKomp[[Stanowisko / Position ]:[Stanowisko / Position ]],0))="n/a","n/a",BG39-INDEX(tab_MinKomp[GPP],MATCH($B39,tab_MinKomp[[Stanowisko / Position ]:[Stanowisko / Position ]],0)))</f>
        <v>-1</v>
      </c>
      <c r="BH40" s="315">
        <f>IF(INDEX(tab_MinKomp[AIAG (Automotive Industry Action Group)],MATCH($B39,tab_MinKomp[[Stanowisko / Position ]:[Stanowisko / Position ]],0))="n/a","n/a",BH39-INDEX(tab_MinKomp[AIAG (Automotive Industry Action Group)],MATCH($B39,tab_MinKomp[[Stanowisko / Position ]:[Stanowisko / Position ]],0)))</f>
        <v>-1</v>
      </c>
      <c r="BI40" s="315">
        <f>IF(INDEX(tab_MinKomp[Super-G disputes],MATCH($B39,tab_MinKomp[[Stanowisko / Position ]:[Stanowisko / Position ]],0))="n/a","n/a",BI39-INDEX(tab_MinKomp[Super-G disputes],MATCH($B39,tab_MinKomp[[Stanowisko / Position ]:[Stanowisko / Position ]],0)))</f>
        <v>-2</v>
      </c>
      <c r="BJ40" s="315">
        <f>IF(INDEX(tab_MinKomp[CMMS3/eDDL (Direct Data Link)],MATCH($B39,tab_MinKomp[[Stanowisko / Position ]:[Stanowisko / Position ]],0))="n/a","n/a",BJ39-INDEX(tab_MinKomp[CMMS3/eDDL (Direct Data Link)],MATCH($B39,tab_MinKomp[[Stanowisko / Position ]:[Stanowisko / Position ]],0)))</f>
        <v>-2</v>
      </c>
      <c r="BK40" s="315">
        <f>IF(INDEX(tab_MinKomp[MP&amp;L (Material Planning and Logistics)],MATCH($B39,tab_MinKomp[[Stanowisko / Position ]:[Stanowisko / Position ]],0))="n/a","n/a",BK39-INDEX(tab_MinKomp[MP&amp;L (Material Planning and Logistics)],MATCH($B39,tab_MinKomp[[Stanowisko / Position ]:[Stanowisko / Position ]],0)))</f>
        <v>-2</v>
      </c>
      <c r="BL40" s="315">
        <f>IF(INDEX(tab_MinKomp[Supplier delivery rating],MATCH($B39,tab_MinKomp[[Stanowisko / Position ]:[Stanowisko / Position ]],0))="n/a","n/a",BL39-INDEX(tab_MinKomp[Supplier delivery rating],MATCH($B39,tab_MinKomp[[Stanowisko / Position ]:[Stanowisko / Position ]],0)))</f>
        <v>-2</v>
      </c>
      <c r="BM40" s="315" t="str">
        <f>IF(INDEX(tab_MinKomp[Planowanie produkcji / Produktionsplanung],MATCH($B39,tab_MinKomp[[Stanowisko / Position ]:[Stanowisko / Position ]],0))="n/a","n/a",BM39-INDEX(tab_MinKomp[Planowanie produkcji / Produktionsplanung],MATCH($B39,tab_MinKomp[[Stanowisko / Position ]:[Stanowisko / Position ]],0)))</f>
        <v>n/a</v>
      </c>
      <c r="BN40" s="315" t="str">
        <f>IF(INDEX(tab_MinKomp[Obsługa maszyn Engel / Engel Maschinenbedienung],MATCH($B39,tab_MinKomp[[Stanowisko / Position ]:[Stanowisko / Position ]],0))="n/a","n/a",BN39-INDEX(tab_MinKomp[Obsługa maszyn Engel / Engel Maschinenbedienung],MATCH($B39,tab_MinKomp[[Stanowisko / Position ]:[Stanowisko / Position ]],0)))</f>
        <v>n/a</v>
      </c>
      <c r="BO40" s="315" t="str">
        <f>IF(INDEX(tab_MinKomp[Obsługa maszyn Novapax / Novapax Maschinenbedienung],MATCH($B39,tab_MinKomp[[Stanowisko / Position ]:[Stanowisko / Position ]],0))="n/a","n/a",BO39-INDEX(tab_MinKomp[Obsługa maszyn Novapax / Novapax Maschinenbedienung],MATCH($B39,tab_MinKomp[[Stanowisko / Position ]:[Stanowisko / Position ]],0)))</f>
        <v>n/a</v>
      </c>
      <c r="BP40" s="315" t="str">
        <f>IF(INDEX(tab_MinKomp[Obsługa maszyn KVT / KVT Maschinenbedienung],MATCH($B39,tab_MinKomp[[Stanowisko / Position ]:[Stanowisko / Position ]],0))="n/a","n/a",BP39-INDEX(tab_MinKomp[Obsługa maszyn KVT / KVT Maschinenbedienung],MATCH($B39,tab_MinKomp[[Stanowisko / Position ]:[Stanowisko / Position ]],0)))</f>
        <v>n/a</v>
      </c>
      <c r="BQ40" s="315" t="str">
        <f>IF(INDEX(tab_MinKomp[Obsługa maszyn ASL / ASL Maschinenbedienung],MATCH($B39,tab_MinKomp[[Stanowisko / Position ]:[Stanowisko / Position ]],0))="n/a","n/a",BQ39-INDEX(tab_MinKomp[Obsługa maszyn ASL / ASL Maschinenbedienung],MATCH($B39,tab_MinKomp[[Stanowisko / Position ]:[Stanowisko / Position ]],0)))</f>
        <v>n/a</v>
      </c>
      <c r="BR40" s="315" t="str">
        <f>IF(INDEX(tab_MinKomp[Obsługa maszyn Branson / Branson Maschinenbedienung],MATCH($B39,tab_MinKomp[[Stanowisko / Position ]:[Stanowisko / Position ]],0))="n/a","n/a",BR39-INDEX(tab_MinKomp[Obsługa maszyn Branson / Branson Maschinenbedienung],MATCH($B39,tab_MinKomp[[Stanowisko / Position ]:[Stanowisko / Position ]],0)))</f>
        <v>n/a</v>
      </c>
      <c r="BS40" s="315" t="str">
        <f>IF(INDEX(tab_MinKomp[Obsługa maszyn Kamtec / Kamtec Maschinenbedienung],MATCH($B39,tab_MinKomp[[Stanowisko / Position ]:[Stanowisko / Position ]],0))="n/a","n/a",BS39-INDEX(tab_MinKomp[Obsługa maszyn Kamtec / Kamtec Maschinenbedienung],MATCH($B39,tab_MinKomp[[Stanowisko / Position ]:[Stanowisko / Position ]],0)))</f>
        <v>n/a</v>
      </c>
      <c r="BT40" s="315" t="str">
        <f>IF(INDEX(tab_MinKomp[Obsługa maszyn Piovan / Piovan Maschinenbedienung],MATCH($B39,tab_MinKomp[[Stanowisko / Position ]:[Stanowisko / Position ]],0))="n/a","n/a",BT39-INDEX(tab_MinKomp[Obsługa maszyn Piovan / Piovan Maschinenbedienung],MATCH($B39,tab_MinKomp[[Stanowisko / Position ]:[Stanowisko / Position ]],0)))</f>
        <v>n/a</v>
      </c>
      <c r="BU40" s="315" t="str">
        <f>IF(INDEX(tab_MinKomp[Obsługa maszyn REP / REP Maschinenbedienung],MATCH($B39,tab_MinKomp[[Stanowisko / Position ]:[Stanowisko / Position ]],0))="n/a","n/a",BU39-INDEX(tab_MinKomp[Obsługa maszyn REP / REP Maschinenbedienung],MATCH($B39,tab_MinKomp[[Stanowisko / Position ]:[Stanowisko / Position ]],0)))</f>
        <v>n/a</v>
      </c>
      <c r="BV40" s="315" t="str">
        <f>IF(INDEX(tab_MinKomp[Eliminacja awarii / Beseitigung von Ausfällen],MATCH($B39,tab_MinKomp[[Stanowisko / Position ]:[Stanowisko / Position ]],0))="n/a","n/a",BV39-INDEX(tab_MinKomp[Eliminacja awarii / Beseitigung von Ausfällen],MATCH($B39,tab_MinKomp[[Stanowisko / Position ]:[Stanowisko / Position ]],0)))</f>
        <v>n/a</v>
      </c>
      <c r="BW40" s="315" t="str">
        <f>IF(INDEX(tab_MinKomp[Informatyka ogólna (techniczne i systemowe) / Allgemeine IT (Technik und System)],MATCH($B39,tab_MinKomp[[Stanowisko / Position ]:[Stanowisko / Position ]],0))="n/a","n/a",BW39-INDEX(tab_MinKomp[Informatyka ogólna (techniczne i systemowe) / Allgemeine IT (Technik und System)],MATCH($B39,tab_MinKomp[[Stanowisko / Position ]:[Stanowisko / Position ]],0)))</f>
        <v>n/a</v>
      </c>
      <c r="BX40" s="315" t="str">
        <f>IF(INDEX(tab_MinKomp[Sieci komputerowe / Computernetzwerke],MATCH($B39,tab_MinKomp[[Stanowisko / Position ]:[Stanowisko / Position ]],0))="n/a","n/a",BX39-INDEX(tab_MinKomp[Sieci komputerowe / Computernetzwerke],MATCH($B39,tab_MinKomp[[Stanowisko / Position ]:[Stanowisko / Position ]],0)))</f>
        <v>n/a</v>
      </c>
      <c r="BY40" s="315" t="str">
        <f>IF(INDEX(tab_MinKomp[Hardware (komputery PC, drukarki biurowe i etykietowe, telefonia stacjonarna i mobilna) (PC, Drucker, Telefpne, Handys)],MATCH($B39,tab_MinKomp[[Stanowisko / Position ]:[Stanowisko / Position ]],0))="n/a","n/a",BY39-INDEX(tab_MinKomp[Hardware (komputery PC, drukarki biurowe i etykietowe, telefonia stacjonarna i mobilna) (PC, Drucker, Telefpne, Handys)],MATCH($B39,tab_MinKomp[[Stanowisko / Position ]:[Stanowisko / Position ]],0)))</f>
        <v>n/a</v>
      </c>
      <c r="BZ40" s="315" t="str">
        <f>IF(INDEX(tab_MinKomp[Software &amp; Systems (MS Office, MS Remote Desktop)],MATCH($B39,tab_MinKomp[[Stanowisko / Position ]:[Stanowisko / Position ]],0))="n/a","n/a",BZ39-INDEX(tab_MinKomp[Software &amp; Systems (MS Office, MS Remote Desktop)],MATCH($B39,tab_MinKomp[[Stanowisko / Position ]:[Stanowisko / Position ]],0)))</f>
        <v>n/a</v>
      </c>
      <c r="CA40" s="315" t="str">
        <f>IF(INDEX(tab_MinKomp[Programowanie obiektowe (PHP) / Objektprogrammierung],MATCH($B39,tab_MinKomp[[Stanowisko / Position ]:[Stanowisko / Position ]],0))="n/a","n/a",CA39-INDEX(tab_MinKomp[Programowanie obiektowe (PHP) / Objektprogrammierung],MATCH($B39,tab_MinKomp[[Stanowisko / Position ]:[Stanowisko / Position ]],0)))</f>
        <v>n/a</v>
      </c>
      <c r="CB40" s="315" t="str">
        <f>IF(INDEX(tab_MinKomp[Scrum],MATCH($B39,tab_MinKomp[[Stanowisko / Position ]:[Stanowisko / Position ]],0))="n/a","n/a",CB39-INDEX(tab_MinKomp[Scrum],MATCH($B39,tab_MinKomp[[Stanowisko / Position ]:[Stanowisko / Position ]],0)))</f>
        <v>n/a</v>
      </c>
      <c r="CC40" s="315" t="str">
        <f>IF(INDEX(tab_MinKomp[SQL (MySQL)],MATCH($B39,tab_MinKomp[[Stanowisko / Position ]:[Stanowisko / Position ]],0))="n/a","n/a",CC39-INDEX(tab_MinKomp[SQL (MySQL)],MATCH($B39,tab_MinKomp[[Stanowisko / Position ]:[Stanowisko / Position ]],0)))</f>
        <v>n/a</v>
      </c>
      <c r="CD40" s="315" t="str">
        <f>IF(INDEX(tab_MinKomp[Javascript],MATCH($B39,tab_MinKomp[[Stanowisko / Position ]:[Stanowisko / Position ]],0))="n/a","n/a",CD39-INDEX(tab_MinKomp[Javascript],MATCH($B39,tab_MinKomp[[Stanowisko / Position ]:[Stanowisko / Position ]],0)))</f>
        <v>n/a</v>
      </c>
      <c r="CE40" s="315" t="str">
        <f>IF(INDEX(tab_MinKomp[Joomla],MATCH($B39,tab_MinKomp[[Stanowisko / Position ]:[Stanowisko / Position ]],0))="n/a","n/a",CE39-INDEX(tab_MinKomp[Joomla],MATCH($B39,tab_MinKomp[[Stanowisko / Position ]:[Stanowisko / Position ]],0)))</f>
        <v>n/a</v>
      </c>
      <c r="CF40" s="315" t="str">
        <f>IF(INDEX(tab_MinKomp[Bash],MATCH($B39,tab_MinKomp[[Stanowisko / Position ]:[Stanowisko / Position ]],0))="n/a","n/a",CF39-INDEX(tab_MinKomp[Bash],MATCH($B39,tab_MinKomp[[Stanowisko / Position ]:[Stanowisko / Position ]],0)))</f>
        <v>n/a</v>
      </c>
      <c r="CG40" s="315" t="str">
        <f>IF(INDEX(tab_MinKomp[Systemy MES (HYDRA / SFMS)],MATCH($B39,tab_MinKomp[[Stanowisko / Position ]:[Stanowisko / Position ]],0))="n/a","n/a",CG39-INDEX(tab_MinKomp[Systemy MES (HYDRA / SFMS)],MATCH($B39,tab_MinKomp[[Stanowisko / Position ]:[Stanowisko / Position ]],0)))</f>
        <v>n/a</v>
      </c>
      <c r="CH40" s="315" t="str">
        <f>IF(INDEX(tab_MinKomp[HTML / CSS],MATCH($B39,tab_MinKomp[[Stanowisko / Position ]:[Stanowisko / Position ]],0))="n/a","n/a",CH39-INDEX(tab_MinKomp[HTML / CSS],MATCH($B39,tab_MinKomp[[Stanowisko / Position ]:[Stanowisko / Position ]],0)))</f>
        <v>n/a</v>
      </c>
      <c r="CI40" s="315">
        <f>IF(INDEX(tab_MinKomp[SYSTEM PR],MATCH($B39,tab_MinKomp[[Stanowisko / Position ]:[Stanowisko / Position ]],0))="n/a","n/a",CI39-INDEX(tab_MinKomp[SYSTEM PR],MATCH($B39,tab_MinKomp[[Stanowisko / Position ]:[Stanowisko / Position ]],0)))</f>
        <v>-2</v>
      </c>
      <c r="CJ40" s="315" t="str">
        <f>IF(INDEX(tab_MinKomp[System Einkauf XP / EBA],MATCH($B39,tab_MinKomp[[Stanowisko / Position ]:[Stanowisko / Position ]],0))="n/a","n/a",CJ39-INDEX(tab_MinKomp[System Einkauf XP / EBA],MATCH($B39,tab_MinKomp[[Stanowisko / Position ]:[Stanowisko / Position ]],0)))</f>
        <v>n/a</v>
      </c>
      <c r="CK40" s="315" t="str">
        <f>IF(INDEX(tab_MinKomp[Techniki negocjacyjne / Verhandlungstechniken],MATCH($B39,tab_MinKomp[[Stanowisko / Position ]:[Stanowisko / Position ]],0))="n/a","n/a",CK39-INDEX(tab_MinKomp[Techniki negocjacyjne / Verhandlungstechniken],MATCH($B39,tab_MinKomp[[Stanowisko / Position ]:[Stanowisko / Position ]],0)))</f>
        <v>n/a</v>
      </c>
      <c r="CL40" s="315" t="str">
        <f>IF(INDEX(tab_MinKomp[System Einkauf XP / EBA],MATCH($B39,tab_MinKomp[[Stanowisko / Position ]:[Stanowisko / Position ]],0))="n/a","n/a",CL39-INDEX(tab_MinKomp[System Einkauf XP / EBA],MATCH($B39,tab_MinKomp[[Stanowisko / Position ]:[Stanowisko / Position ]],0)))</f>
        <v>n/a</v>
      </c>
      <c r="CM40" s="315">
        <f>IF(INDEX(tab_MinKomp[RAPORTY 8D / 8D Berichten],MATCH($B39,tab_MinKomp[[Stanowisko / Position ]:[Stanowisko / Position ]],0))="n/a","n/a",CM39-INDEX(tab_MinKomp[RAPORTY 8D / 8D Berichten],MATCH($B39,tab_MinKomp[[Stanowisko / Position ]:[Stanowisko / Position ]],0)))</f>
        <v>-2</v>
      </c>
      <c r="CN40" s="315">
        <f>IF(INDEX(tab_MinKomp[NARZĘDZIA JAKOŚCIOWE (5WHY, Ishikawa, etc) / QS-Werkzeuge],MATCH($B39,tab_MinKomp[[Stanowisko / Position ]:[Stanowisko / Position ]],0))="n/a","n/a",CN39-INDEX(tab_MinKomp[NARZĘDZIA JAKOŚCIOWE (5WHY, Ishikawa, etc) / QS-Werkzeuge],MATCH($B39,tab_MinKomp[[Stanowisko / Position ]:[Stanowisko / Position ]],0)))</f>
        <v>-1</v>
      </c>
      <c r="CO40" s="315">
        <f>IF(INDEX(tab_MinKomp[PDCA],MATCH($B39,tab_MinKomp[[Stanowisko / Position ]:[Stanowisko / Position ]],0))="n/a","n/a",CO39-INDEX(tab_MinKomp[PDCA],MATCH($B39,tab_MinKomp[[Stanowisko / Position ]:[Stanowisko / Position ]],0)))</f>
        <v>-1</v>
      </c>
      <c r="CP40" s="315">
        <f>IF(INDEX(tab_MinKomp[Pareto],MATCH($B39,tab_MinKomp[[Stanowisko / Position ]:[Stanowisko / Position ]],0))="n/a","n/a",CP39-INDEX(tab_MinKomp[Pareto],MATCH($B39,tab_MinKomp[[Stanowisko / Position ]:[Stanowisko / Position ]],0)))</f>
        <v>-1</v>
      </c>
      <c r="CQ40" s="315">
        <f>IF(INDEX(tab_MinKomp[PPAP/PSW],MATCH($B39,tab_MinKomp[[Stanowisko / Position ]:[Stanowisko / Position ]],0))="n/a","n/a",CQ39-INDEX(tab_MinKomp[PPAP/PSW],MATCH($B39,tab_MinKomp[[Stanowisko / Position ]:[Stanowisko / Position ]],0)))</f>
        <v>-1</v>
      </c>
      <c r="CR40" s="315">
        <f>IF(INDEX(tab_MinKomp[SUPPLIER MANAGEMENT],MATCH($B39,tab_MinKomp[[Stanowisko / Position ]:[Stanowisko / Position ]],0))="n/a","n/a",CR39-INDEX(tab_MinKomp[SUPPLIER MANAGEMENT],MATCH($B39,tab_MinKomp[[Stanowisko / Position ]:[Stanowisko / Position ]],0)))</f>
        <v>-1</v>
      </c>
      <c r="CS40" s="315">
        <f>IF(INDEX(tab_MinKomp[OBSŁUGA PORTALI KLIENTA / Kundenportale],MATCH($B39,tab_MinKomp[[Stanowisko / Position ]:[Stanowisko / Position ]],0))="n/a","n/a",CS39-INDEX(tab_MinKomp[OBSŁUGA PORTALI KLIENTA / Kundenportale],MATCH($B39,tab_MinKomp[[Stanowisko / Position ]:[Stanowisko / Position ]],0)))</f>
        <v>-1</v>
      </c>
      <c r="CT40" s="315">
        <f>IF(INDEX(tab_MinKomp[Obsługa systemu BABTECQ / BABTECQ System],MATCH($B39,tab_MinKomp[[Stanowisko / Position ]:[Stanowisko / Position ]],0))="n/a","n/a",CT39-INDEX(tab_MinKomp[Obsługa systemu BABTECQ / BABTECQ System],MATCH($B39,tab_MinKomp[[Stanowisko / Position ]:[Stanowisko / Position ]],0)))</f>
        <v>-1</v>
      </c>
      <c r="CU40" s="315" t="str">
        <f>IF(INDEX(tab_MinKomp[Rysunek techniczny / technische Zeichnung],MATCH($B39,tab_MinKomp[[Stanowisko / Position ]:[Stanowisko / Position ]],0))="n/a","n/a",CU39-INDEX(tab_MinKomp[Rysunek techniczny / technische Zeichnung],MATCH($B39,tab_MinKomp[[Stanowisko / Position ]:[Stanowisko / Position ]],0)))</f>
        <v>n/a</v>
      </c>
      <c r="CV40" s="315" t="str">
        <f>IF(INDEX(tab_MinKomp[Kalibracja / Kalibrierung],MATCH($B39,tab_MinKomp[[Stanowisko / Position ]:[Stanowisko / Position ]],0))="n/a","n/a",CV39-INDEX(tab_MinKomp[Kalibracja / Kalibrierung],MATCH($B39,tab_MinKomp[[Stanowisko / Position ]:[Stanowisko / Position ]],0)))</f>
        <v>n/a</v>
      </c>
      <c r="CW40" s="315" t="str">
        <f>IF(INDEX(tab_MinKomp[Rekwalifikacja / Requalifizierung],MATCH($B39,tab_MinKomp[[Stanowisko / Position ]:[Stanowisko / Position ]],0))="n/a","n/a",CW39-INDEX(tab_MinKomp[Rekwalifikacja / Requalifizierung],MATCH($B39,tab_MinKomp[[Stanowisko / Position ]:[Stanowisko / Position ]],0)))</f>
        <v>n/a</v>
      </c>
      <c r="CX40" s="315" t="str">
        <f>IF(INDEX(tab_MinKomp[CMM - Contura Zeiss],MATCH($B39,tab_MinKomp[[Stanowisko / Position ]:[Stanowisko / Position ]],0))="n/a","n/a",CX39-INDEX(tab_MinKomp[CMM - Contura Zeiss],MATCH($B39,tab_MinKomp[[Stanowisko / Position ]:[Stanowisko / Position ]],0)))</f>
        <v>n/a</v>
      </c>
      <c r="CY40" s="318" t="str">
        <f>IF(INDEX(tab_MinKomp[CMM - Contura Zeiss],MATCH($B39,tab_MinKomp[[Stanowisko / Position ]:[Stanowisko / Position ]],0))="n/a","n/a",CY39-INDEX(tab_MinKomp[CMM - Contura Zeiss],MATCH($B39,tab_MinKomp[[Stanowisko / Position ]:[Stanowisko / Position ]],0)))</f>
        <v>n/a</v>
      </c>
      <c r="CZ40" s="315" t="str">
        <f>IF(INDEX(tab_MinKomp[CMM - Contura Zeiss],MATCH($B39,tab_MinKomp[[Stanowisko / Position ]:[Stanowisko / Position ]],0))="n/a","n/a",CZ39-INDEX(tab_MinKomp[CMM - Contura Zeiss],MATCH($B39,tab_MinKomp[[Stanowisko / Position ]:[Stanowisko / Position ]],0)))</f>
        <v>n/a</v>
      </c>
      <c r="DA40" s="315" t="str">
        <f>IF(INDEX(tab_MinKomp[CMM - Contura Zeiss],MATCH($B39,tab_MinKomp[[Stanowisko / Position ]:[Stanowisko / Position ]],0))="n/a","n/a",DA39-INDEX(tab_MinKomp[CMM - Contura Zeiss],MATCH($B39,tab_MinKomp[[Stanowisko / Position ]:[Stanowisko / Position ]],0)))</f>
        <v>n/a</v>
      </c>
      <c r="DB40" s="315" t="str">
        <f>IF(INDEX(tab_MinKomp[CMM - Contura Zeiss],MATCH($B39,tab_MinKomp[[Stanowisko / Position ]:[Stanowisko / Position ]],0))="n/a","n/a",DB39-INDEX(tab_MinKomp[CMM - Contura Zeiss],MATCH($B39,tab_MinKomp[[Stanowisko / Position ]:[Stanowisko / Position ]],0)))</f>
        <v>n/a</v>
      </c>
      <c r="DC40" s="318" t="str">
        <f>IF(INDEX(tab_MinKomp[CMM - Contura Zeiss],MATCH($B39,tab_MinKomp[[Stanowisko / Position ]:[Stanowisko / Position ]],0))="n/a","n/a",DC39-INDEX(tab_MinKomp[CMM - Contura Zeiss],MATCH($B39,tab_MinKomp[[Stanowisko / Position ]:[Stanowisko / Position ]],0)))</f>
        <v>n/a</v>
      </c>
      <c r="DD40" s="315" t="str">
        <f>IF(INDEX(tab_MinKomp[Pisanie programów / Programme schreiben],MATCH($B39,tab_MinKomp[[Stanowisko / Position ]:[Stanowisko / Position ]],0))="n/a","n/a",DD39-INDEX(tab_MinKomp[Pisanie programów / Programme schreiben],MATCH($B39,tab_MinKomp[[Stanowisko / Position ]:[Stanowisko / Position ]],0)))</f>
        <v>n/a</v>
      </c>
      <c r="DE40" s="315" t="str">
        <f>IF(INDEX(tab_MinKomp[CMM - Contura Zeiss],MATCH($B39,tab_MinKomp[[Stanowisko / Position ]:[Stanowisko / Position ]],0))="n/a","n/a",DE39-INDEX(tab_MinKomp[CMM - Contura Zeiss],MATCH($B39,tab_MinKomp[[Stanowisko / Position ]:[Stanowisko / Position ]],0)))</f>
        <v>n/a</v>
      </c>
      <c r="DF40" s="315" t="str">
        <f>IF(INDEX(tab_MinKomp[CMM - Contura Zeiss],MATCH($B39,tab_MinKomp[[Stanowisko / Position ]:[Stanowisko / Position ]],0))="n/a","n/a",DF39-INDEX(tab_MinKomp[CMM - Contura Zeiss],MATCH($B39,tab_MinKomp[[Stanowisko / Position ]:[Stanowisko / Position ]],0)))</f>
        <v>n/a</v>
      </c>
      <c r="DG40" s="315" t="str">
        <f>IF(INDEX(tab_MinKomp[CMM - Contura Zeiss],MATCH($B39,tab_MinKomp[[Stanowisko / Position ]:[Stanowisko / Position ]],0))="n/a","n/a",DG39-INDEX(tab_MinKomp[CMM - Contura Zeiss],MATCH($B39,tab_MinKomp[[Stanowisko / Position ]:[Stanowisko / Position ]],0)))</f>
        <v>n/a</v>
      </c>
      <c r="DH40" s="315" t="str">
        <f>IF(INDEX(tab_MinKomp[CMM - Contura Zeiss],MATCH($B39,tab_MinKomp[[Stanowisko / Position ]:[Stanowisko / Position ]],0))="n/a","n/a",DH39-INDEX(tab_MinKomp[CMM - Contura Zeiss],MATCH($B39,tab_MinKomp[[Stanowisko / Position ]:[Stanowisko / Position ]],0)))</f>
        <v>n/a</v>
      </c>
      <c r="DI40" s="315" t="str">
        <f>IF(INDEX(tab_MinKomp[CMM - Contura Zeiss],MATCH($B39,tab_MinKomp[[Stanowisko / Position ]:[Stanowisko / Position ]],0))="n/a","n/a",DI39-INDEX(tab_MinKomp[CMM - Contura Zeiss],MATCH($B39,tab_MinKomp[[Stanowisko / Position ]:[Stanowisko / Position ]],0)))</f>
        <v>n/a</v>
      </c>
      <c r="DJ40" s="315" t="str">
        <f>IF(INDEX(tab_MinKomp[CMM - Contura Zeiss],MATCH($B39,tab_MinKomp[[Stanowisko / Position ]:[Stanowisko / Position ]],0))="n/a","n/a",DJ39-INDEX(tab_MinKomp[CMM - Contura Zeiss],MATCH($B39,tab_MinKomp[[Stanowisko / Position ]:[Stanowisko / Position ]],0)))</f>
        <v>n/a</v>
      </c>
      <c r="DK40" s="315" t="str">
        <f>IF(INDEX(tab_MinKomp[Pisanie programów / Programme schreiben],MATCH($B39,tab_MinKomp[[Stanowisko / Position ]:[Stanowisko / Position ]],0))="n/a","n/a",DK39-INDEX(tab_MinKomp[Pisanie programów / Programme schreiben],MATCH($B39,tab_MinKomp[[Stanowisko / Position ]:[Stanowisko / Position ]],0)))</f>
        <v>n/a</v>
      </c>
      <c r="DL40" s="315" t="str">
        <f>IF(INDEX(tab_MinKomp[CMM - Contura Zeiss],MATCH($B39,tab_MinKomp[[Stanowisko / Position ]:[Stanowisko / Position ]],0))="n/a","n/a",DL39-INDEX(tab_MinKomp[CMM - Contura Zeiss],MATCH($B39,tab_MinKomp[[Stanowisko / Position ]:[Stanowisko / Position ]],0)))</f>
        <v>n/a</v>
      </c>
      <c r="DM40" s="315" t="str">
        <f>IF(INDEX(tab_MinKomp[CMM - Contura Zeiss],MATCH($B39,tab_MinKomp[[Stanowisko / Position ]:[Stanowisko / Position ]],0))="n/a","n/a",DM39-INDEX(tab_MinKomp[CMM - Contura Zeiss],MATCH($B39,tab_MinKomp[[Stanowisko / Position ]:[Stanowisko / Position ]],0)))</f>
        <v>n/a</v>
      </c>
      <c r="DN40" s="315" t="str">
        <f>IF(INDEX(tab_MinKomp[CMM - Contura Zeiss],MATCH($B39,tab_MinKomp[[Stanowisko / Position ]:[Stanowisko / Position ]],0))="n/a","n/a",DN39-INDEX(tab_MinKomp[CMM - Contura Zeiss],MATCH($B39,tab_MinKomp[[Stanowisko / Position ]:[Stanowisko / Position ]],0)))</f>
        <v>n/a</v>
      </c>
      <c r="DO40" s="315" t="str">
        <f>IF(INDEX(tab_MinKomp[CMM - Contura Zeiss],MATCH($B39,tab_MinKomp[[Stanowisko / Position ]:[Stanowisko / Position ]],0))="n/a","n/a",DO39-INDEX(tab_MinKomp[CMM - Contura Zeiss],MATCH($B39,tab_MinKomp[[Stanowisko / Position ]:[Stanowisko / Position ]],0)))</f>
        <v>n/a</v>
      </c>
      <c r="DP40" s="315" t="str">
        <f>IF(INDEX(tab_MinKomp[CMM - Contura Zeiss],MATCH($B39,tab_MinKomp[[Stanowisko / Position ]:[Stanowisko / Position ]],0))="n/a","n/a",DP39-INDEX(tab_MinKomp[CMM - Contura Zeiss],MATCH($B39,tab_MinKomp[[Stanowisko / Position ]:[Stanowisko / Position ]],0)))</f>
        <v>n/a</v>
      </c>
      <c r="DQ40" s="315" t="str">
        <f>IF(INDEX(tab_MinKomp[CMM - Contura Zeiss],MATCH($B39,tab_MinKomp[[Stanowisko / Position ]:[Stanowisko / Position ]],0))="n/a","n/a",DQ39-INDEX(tab_MinKomp[CMM - Contura Zeiss],MATCH($B39,tab_MinKomp[[Stanowisko / Position ]:[Stanowisko / Position ]],0)))</f>
        <v>n/a</v>
      </c>
      <c r="DR40" s="315" t="str">
        <f>IF(INDEX(tab_MinKomp[Pisanie programów / Programme schreiben],MATCH($B39,tab_MinKomp[[Stanowisko / Position ]:[Stanowisko / Position ]],0))="n/a","n/a",DR39-INDEX(tab_MinKomp[Pisanie programów / Programme schreiben],MATCH($B39,tab_MinKomp[[Stanowisko / Position ]:[Stanowisko / Position ]],0)))</f>
        <v>n/a</v>
      </c>
      <c r="DS40" s="315" t="str">
        <f>IF(INDEX(tab_MinKomp[CMM - Contura Zeiss],MATCH($B39,tab_MinKomp[[Stanowisko / Position ]:[Stanowisko / Position ]],0))="n/a","n/a",DS39-INDEX(tab_MinKomp[CMM - Contura Zeiss],MATCH($B39,tab_MinKomp[[Stanowisko / Position ]:[Stanowisko / Position ]],0)))</f>
        <v>n/a</v>
      </c>
      <c r="DT40" s="318" t="str">
        <f>IF(INDEX(tab_MinKomp[CMM - Contura Zeiss],MATCH($B39,tab_MinKomp[[Stanowisko / Position ]:[Stanowisko / Position ]],0))="n/a","n/a",DT39-INDEX(tab_MinKomp[CMM - Contura Zeiss],MATCH($B39,tab_MinKomp[[Stanowisko / Position ]:[Stanowisko / Position ]],0)))</f>
        <v>n/a</v>
      </c>
      <c r="DU40" s="315" t="str">
        <f>IF(INDEX(tab_MinKomp[CMM - Contura Zeiss],MATCH($B39,tab_MinKomp[[Stanowisko / Position ]:[Stanowisko / Position ]],0))="n/a","n/a",DU39-INDEX(tab_MinKomp[CMM - Contura Zeiss],MATCH($B39,tab_MinKomp[[Stanowisko / Position ]:[Stanowisko / Position ]],0)))</f>
        <v>n/a</v>
      </c>
      <c r="DV40" s="315" t="str">
        <f>IF(INDEX(tab_MinKomp[CMM - Contura Zeiss],MATCH($B39,tab_MinKomp[[Stanowisko / Position ]:[Stanowisko / Position ]],0))="n/a","n/a",DV39-INDEX(tab_MinKomp[CMM - Contura Zeiss],MATCH($B39,tab_MinKomp[[Stanowisko / Position ]:[Stanowisko / Position ]],0)))</f>
        <v>n/a</v>
      </c>
      <c r="DW40" s="315" t="str">
        <f>IF(INDEX(tab_MinKomp[CMM - Contura Zeiss],MATCH($B39,tab_MinKomp[[Stanowisko / Position ]:[Stanowisko / Position ]],0))="n/a","n/a",DW39-INDEX(tab_MinKomp[CMM - Contura Zeiss],MATCH($B39,tab_MinKomp[[Stanowisko / Position ]:[Stanowisko / Position ]],0)))</f>
        <v>n/a</v>
      </c>
      <c r="DX40" s="318" t="str">
        <f>IF(INDEX(tab_MinKomp[CMM - Contura Zeiss],MATCH($B39,tab_MinKomp[[Stanowisko / Position ]:[Stanowisko / Position ]],0))="n/a","n/a",DX39-INDEX(tab_MinKomp[CMM - Contura Zeiss],MATCH($B39,tab_MinKomp[[Stanowisko / Position ]:[Stanowisko / Position ]],0)))</f>
        <v>n/a</v>
      </c>
      <c r="DY40" s="315" t="str">
        <f>IF(INDEX(tab_MinKomp[Konserwacja Rep],MATCH($B39,tab_MinKomp[[Stanowisko / Position ]:[Stanowisko / Position ]],0))="n/a","n/a",DY39-INDEX(tab_MinKomp[Konserwacja Rep],MATCH($B39,tab_MinKomp[[Stanowisko / Position ]:[Stanowisko / Position ]],0)))</f>
        <v>n/a</v>
      </c>
      <c r="DZ40" s="315" t="str">
        <f>IF(INDEX(tab_MinKomp[[Konserwacja Engel ]],MATCH($B39,tab_MinKomp[[Stanowisko / Position ]:[Stanowisko / Position ]],0))="n/a","n/a",DZ39-INDEX(tab_MinKomp[[Konserwacja Engel ]],MATCH($B39,tab_MinKomp[[Stanowisko / Position ]:[Stanowisko / Position ]],0)))</f>
        <v>n/a</v>
      </c>
      <c r="EA40" s="315" t="str">
        <f>IF(INDEX(tab_MinKomp[Konserwacja B 50],MATCH($B39,tab_MinKomp[[Stanowisko / Position ]:[Stanowisko / Position ]],0))="n/a","n/a",EA39-INDEX(tab_MinKomp[Konserwacja B 50],MATCH($B39,tab_MinKomp[[Stanowisko / Position ]:[Stanowisko / Position ]],0)))</f>
        <v>n/a</v>
      </c>
      <c r="EB40" s="315" t="str">
        <f>IF(INDEX(tab_MinKomp[[Konserwacja EOL ]],MATCH($B39,tab_MinKomp[[Stanowisko / Position ]:[Stanowisko / Position ]],0))="n/a","n/a",EB39-INDEX(tab_MinKomp[[Konserwacja EOL ]],MATCH($B39,tab_MinKomp[[Stanowisko / Position ]:[Stanowisko / Position ]],0)))</f>
        <v>n/a</v>
      </c>
      <c r="EC40" s="315" t="str">
        <f>IF(INDEX(tab_MinKomp[Konserwacja Branson],MATCH($B39,tab_MinKomp[[Stanowisko / Position ]:[Stanowisko / Position ]],0))="n/a","n/a",EC39-INDEX(tab_MinKomp[Konserwacja Branson],MATCH($B39,tab_MinKomp[[Stanowisko / Position ]:[Stanowisko / Position ]],0)))</f>
        <v>n/a</v>
      </c>
      <c r="ED40" s="315" t="str">
        <f>IF(INDEX(tab_MinKomp[Konserwacja coolery],MATCH($B39,tab_MinKomp[[Stanowisko / Position ]:[Stanowisko / Position ]],0))="n/a","n/a",ED39-INDEX(tab_MinKomp[Konserwacja coolery],MATCH($B39,tab_MinKomp[[Stanowisko / Position ]:[Stanowisko / Position ]],0)))</f>
        <v>n/a</v>
      </c>
      <c r="EE40" s="315" t="str">
        <f>IF(INDEX(tab_MinKomp[Konserwacja piecy],MATCH($B39,tab_MinKomp[[Stanowisko / Position ]:[Stanowisko / Position ]],0))="n/a","n/a",EE39-INDEX(tab_MinKomp[Konserwacja piecy],MATCH($B39,tab_MinKomp[[Stanowisko / Position ]:[Stanowisko / Position ]],0)))</f>
        <v>n/a</v>
      </c>
      <c r="EF40" s="315" t="str">
        <f>IF(INDEX(tab_MinKomp[Rysunek techniczny- czytanie],MATCH($B39,tab_MinKomp[[Stanowisko / Position ]:[Stanowisko / Position ]],0))="n/a","n/a",EF39-INDEX(tab_MinKomp[Rysunek techniczny- czytanie],MATCH($B39,tab_MinKomp[[Stanowisko / Position ]:[Stanowisko / Position ]],0)))</f>
        <v>n/a</v>
      </c>
      <c r="EG40" s="315" t="str">
        <f>IF(INDEX(tab_MinKomp[Elektryka],MATCH($B39,tab_MinKomp[[Stanowisko / Position ]:[Stanowisko / Position ]],0))="n/a","n/a",EG39-INDEX(tab_MinKomp[Elektryka],MATCH($B39,tab_MinKomp[[Stanowisko / Position ]:[Stanowisko / Position ]],0)))</f>
        <v>n/a</v>
      </c>
      <c r="EH40" s="315" t="str">
        <f>IF(INDEX(tab_MinKomp[Pneumatyka],MATCH($B39,tab_MinKomp[[Stanowisko / Position ]:[Stanowisko / Position ]],0))="n/a","n/a",EH39-INDEX(tab_MinKomp[Pneumatyka],MATCH($B39,tab_MinKomp[[Stanowisko / Position ]:[Stanowisko / Position ]],0)))</f>
        <v>n/a</v>
      </c>
      <c r="EI40" s="315" t="str">
        <f>IF(INDEX(tab_MinKomp[[Hydraulika ]],MATCH($B39,tab_MinKomp[[Stanowisko / Position ]:[Stanowisko / Position ]],0))="n/a","n/a",EI39-INDEX(tab_MinKomp[[Hydraulika ]],MATCH($B39,tab_MinKomp[[Stanowisko / Position ]:[Stanowisko / Position ]],0)))</f>
        <v>n/a</v>
      </c>
      <c r="EJ40" s="315" t="str">
        <f>IF(INDEX(tab_MinKomp[Podciśnienie],MATCH($B39,tab_MinKomp[[Stanowisko / Position ]:[Stanowisko / Position ]],0))="n/a","n/a",EJ39-INDEX(tab_MinKomp[Podciśnienie],MATCH($B39,tab_MinKomp[[Stanowisko / Position ]:[Stanowisko / Position ]],0)))</f>
        <v>n/a</v>
      </c>
      <c r="EK40" s="315" t="str">
        <f>IF(INDEX(tab_MinKomp[Usuwanie awarii],MATCH($B39,tab_MinKomp[[Stanowisko / Position ]:[Stanowisko / Position ]],0))="n/a","n/a",EK39-INDEX(tab_MinKomp[Usuwanie awarii],MATCH($B39,tab_MinKomp[[Stanowisko / Position ]:[Stanowisko / Position ]],0)))</f>
        <v>n/a</v>
      </c>
      <c r="EL40" s="315" t="str">
        <f>IF(INDEX(tab_MinKomp[Obsługa robotów],MATCH($B39,tab_MinKomp[[Stanowisko / Position ]:[Stanowisko / Position ]],0))="n/a","n/a",EL39-INDEX(tab_MinKomp[Obsługa robotów],MATCH($B39,tab_MinKomp[[Stanowisko / Position ]:[Stanowisko / Position ]],0)))</f>
        <v>n/a</v>
      </c>
      <c r="EM40" s="315" t="str">
        <f>IF(INDEX(tab_MinKomp[Obsługa sterowania maszyny],MATCH($B39,tab_MinKomp[[Stanowisko / Position ]:[Stanowisko / Position ]],0))="n/a","n/a",EM39-INDEX(tab_MinKomp[Obsługa sterowania maszyny],MATCH($B39,tab_MinKomp[[Stanowisko / Position ]:[Stanowisko / Position ]],0)))</f>
        <v>n/a</v>
      </c>
      <c r="EN40" s="315" t="str">
        <f>IF(INDEX(tab_MinKomp[Usuwanie przyczyn żródłowych],MATCH($B39,tab_MinKomp[[Stanowisko / Position ]:[Stanowisko / Position ]],0))="n/a","n/a",EN39-INDEX(tab_MinKomp[Usuwanie przyczyn żródłowych],MATCH($B39,tab_MinKomp[[Stanowisko / Position ]:[Stanowisko / Position ]],0)))</f>
        <v>n/a</v>
      </c>
      <c r="EO40" s="315" t="str">
        <f>IF(INDEX(tab_MinKomp[Cmms stosowanie],MATCH($B39,tab_MinKomp[[Stanowisko / Position ]:[Stanowisko / Position ]],0))="n/a","n/a",EO39-INDEX(tab_MinKomp[Cmms stosowanie],MATCH($B39,tab_MinKomp[[Stanowisko / Position ]:[Stanowisko / Position ]],0)))</f>
        <v>n/a</v>
      </c>
      <c r="EP40" s="315" t="str">
        <f>IF(INDEX(tab_MinKomp[[Czyszczenie form gumowych ]],MATCH($B39,tab_MinKomp[[Stanowisko / Position ]:[Stanowisko / Position ]],0))="n/a","n/a",EP39-INDEX(tab_MinKomp[[Czyszczenie form gumowych ]],MATCH($B39,tab_MinKomp[[Stanowisko / Position ]:[Stanowisko / Position ]],0)))</f>
        <v>n/a</v>
      </c>
      <c r="EQ40" s="315" t="str">
        <f>IF(INDEX(tab_MinKomp[Czyszczenie form plastikowych],MATCH($B39,tab_MinKomp[[Stanowisko / Position ]:[Stanowisko / Position ]],0))="n/a","n/a",EQ39-INDEX(tab_MinKomp[Czyszczenie form plastikowych],MATCH($B39,tab_MinKomp[[Stanowisko / Position ]:[Stanowisko / Position ]],0)))</f>
        <v>n/a</v>
      </c>
      <c r="ER40" s="315" t="str">
        <f>IF(INDEX(tab_MinKomp[Wymiana form plastik],MATCH($B39,tab_MinKomp[[Stanowisko / Position ]:[Stanowisko / Position ]],0))="n/a","n/a",ER39-INDEX(tab_MinKomp[Wymiana form plastik],MATCH($B39,tab_MinKomp[[Stanowisko / Position ]:[Stanowisko / Position ]],0)))</f>
        <v>n/a</v>
      </c>
      <c r="ES40" s="315" t="str">
        <f>IF(INDEX(tab_MinKomp[Wymiana form guma],MATCH($B39,tab_MinKomp[[Stanowisko / Position ]:[Stanowisko / Position ]],0))="n/a","n/a",ES39-INDEX(tab_MinKomp[Wymiana form guma],MATCH($B39,tab_MinKomp[[Stanowisko / Position ]:[Stanowisko / Position ]],0)))</f>
        <v>n/a</v>
      </c>
      <c r="ET40" s="315" t="str">
        <f>IF(INDEX(tab_MinKomp[Konserwacja KK],MATCH($B39,tab_MinKomp[[Stanowisko / Position ]:[Stanowisko / Position ]],0))="n/a","n/a",ET39-INDEX(tab_MinKomp[Konserwacja KK],MATCH($B39,tab_MinKomp[[Stanowisko / Position ]:[Stanowisko / Position ]],0)))</f>
        <v>n/a</v>
      </c>
      <c r="EU40" s="315" t="str">
        <f>IF(INDEX(tab_MinKomp[Konserwacja form guma],MATCH($B39,tab_MinKomp[[Stanowisko / Position ]:[Stanowisko / Position ]],0))="n/a","n/a",EU39-INDEX(tab_MinKomp[Konserwacja form guma],MATCH($B39,tab_MinKomp[[Stanowisko / Position ]:[Stanowisko / Position ]],0)))</f>
        <v>n/a</v>
      </c>
      <c r="EV40" s="315" t="str">
        <f>IF(INDEX(tab_MinKomp[Konserwacja form plastiki],MATCH($B39,tab_MinKomp[[Stanowisko / Position ]:[Stanowisko / Position ]],0))="n/a","n/a",EV39-INDEX(tab_MinKomp[Konserwacja form plastiki],MATCH($B39,tab_MinKomp[[Stanowisko / Position ]:[Stanowisko / Position ]],0)))</f>
        <v>n/a</v>
      </c>
      <c r="EW40" s="330" t="str">
        <f>IF(INDEX(tab_MinKomp[Konserwacja form plastiki],MATCH($B39,tab_MinKomp[[Stanowisko / Position ]:[Stanowisko / Position ]],0))="n/a","n/a",EW39-INDEX(tab_MinKomp[Konserwacja form plastiki],MATCH($B39,tab_MinKomp[[Stanowisko / Position ]:[Stanowisko / Position ]],0)))</f>
        <v>n/a</v>
      </c>
      <c r="EX40" s="315" t="str">
        <f>IF(INDEX(tab_MinKomp[Konserwacja Gorącego Kanału],MATCH($B39,tab_MinKomp[[Stanowisko / Position ]:[Stanowisko / Position ]],0))="n/a","n/a",EX39-INDEX(tab_MinKomp[Konserwacja Gorącego Kanału],MATCH($B39,tab_MinKomp[[Stanowisko / Position ]:[Stanowisko / Position ]],0)))</f>
        <v>n/a</v>
      </c>
      <c r="EY40" s="315">
        <f>IF(INDEX(tab_MinKomp[MS Office (Excel)],MATCH($B39,tab_MinKomp[[Stanowisko / Position ]:[Stanowisko / Position ]],0))="n/a","n/a",EY39-INDEX(tab_MinKomp[MS Office (Excel)],MATCH($B39,tab_MinKomp[[Stanowisko / Position ]:[Stanowisko / Position ]],0)))</f>
        <v>-2</v>
      </c>
      <c r="EZ40" s="315">
        <f>IF(INDEX(tab_MinKomp[MS Office (Word)],MATCH($B39,tab_MinKomp[[Stanowisko / Position ]:[Stanowisko / Position ]],0))="n/a","n/a",EZ39-INDEX(tab_MinKomp[MS Office (Word)],MATCH($B39,tab_MinKomp[[Stanowisko / Position ]:[Stanowisko / Position ]],0)))</f>
        <v>-2</v>
      </c>
      <c r="FA40" s="315">
        <f>IF(INDEX(tab_MinKomp[MS Office (Power Point)],MATCH($B39,tab_MinKomp[[Stanowisko / Position ]:[Stanowisko / Position ]],0))="n/a","n/a",FA39-INDEX(tab_MinKomp[MS Office (Power Point)],MATCH($B39,tab_MinKomp[[Stanowisko / Position ]:[Stanowisko / Position ]],0)))</f>
        <v>-2</v>
      </c>
      <c r="FB40" s="317">
        <f>IF(INDEX(tab_MinKomp[Język angielski / Englisch],MATCH($B39,tab_MinKomp[[Stanowisko / Position ]:[Stanowisko / Position ]],0))="n/a","n/a",FB39-INDEX(tab_MinKomp[Język angielski / Englisch],MATCH($B39,tab_MinKomp[[Stanowisko / Position ]:[Stanowisko / Position ]],0)))</f>
        <v>-2</v>
      </c>
      <c r="FC40" s="317" t="str">
        <f>IF(INDEX(tab_MinKomp[Język niemiecki / Deutsch],MATCH($B39,tab_MinKomp[[Stanowisko / Position ]:[Stanowisko / Position ]],0))="n/a","n/a",FC39-INDEX(tab_MinKomp[Język niemiecki / Deutsch],MATCH($B39,tab_MinKomp[[Stanowisko / Position ]:[Stanowisko / Position ]],0)))</f>
        <v>n/a</v>
      </c>
      <c r="FD40" s="315">
        <f>IF(INDEX(tab_MinKomp[Zarządzanie dokumentacją procesową / Process dokumentation management],MATCH($B39,tab_MinKomp[[Stanowisko / Position ]:[Stanowisko / Position ]],0))="n/a","n/a",FD39-INDEX(tab_MinKomp[Zarządzanie dokumentacją procesową / Process dokumentation management],MATCH($B39,tab_MinKomp[[Stanowisko / Position ]:[Stanowisko / Position ]],0)))</f>
        <v>-2</v>
      </c>
      <c r="FE40" s="315">
        <f>IF(INDEX(tab_MinKomp[Znajomość procesów z obszaru / Kenntiss der prozesse in dem Bereich],MATCH($B39,tab_MinKomp[[Stanowisko / Position ]:[Stanowisko / Position ]],0))="n/a","n/a",FE39-INDEX(tab_MinKomp[Znajomość procesów z obszaru / Kenntiss der prozesse in dem Bereich],MATCH($B39,tab_MinKomp[[Stanowisko / Position ]:[Stanowisko / Position ]],0)))</f>
        <v>-3</v>
      </c>
      <c r="FF40" s="315">
        <f>IF(INDEX(tab_MinKomp[optymalizacja procesów / Prozessoptymalisierung],MATCH($B39,tab_MinKomp[[Stanowisko / Position ]:[Stanowisko / Position ]],0))="n/a","n/a",FF39-INDEX(tab_MinKomp[optymalizacja procesów / Prozessoptymalisierung],MATCH($B39,tab_MinKomp[[Stanowisko / Position ]:[Stanowisko / Position ]],0)))</f>
        <v>-3</v>
      </c>
      <c r="FG40" s="315">
        <f>IF(INDEX(tab_MinKomp[Umiejętności szkoleniowe / Trainingsfähigkeiten],MATCH($B39,tab_MinKomp[[Stanowisko / Position ]:[Stanowisko / Position ]],0))="n/a","n/a",FG39-INDEX(tab_MinKomp[Umiejętności szkoleniowe / Trainingsfähigkeiten],MATCH($B39,tab_MinKomp[[Stanowisko / Position ]:[Stanowisko / Position ]],0)))</f>
        <v>-2</v>
      </c>
      <c r="FH40" s="315">
        <f>IF(INDEX(tab_MinKomp[Analityczne myślenie, podejście / Analitysches Denken, Einstellung],MATCH($B39,tab_MinKomp[[Stanowisko / Position ]:[Stanowisko / Position ]],0))="n/a","n/a",FH39-INDEX(tab_MinKomp[Analityczne myślenie, podejście / Analitysches Denken, Einstellung],MATCH($B39,tab_MinKomp[[Stanowisko / Position ]:[Stanowisko / Position ]],0)))</f>
        <v>-2</v>
      </c>
      <c r="FI40" s="315">
        <f>IF(INDEX(tab_MinKomp[Dokładność, precyzja w dzialaniu / Genauigkeit, Präzision in die Arbeit],MATCH($B39,tab_MinKomp[[Stanowisko / Position ]:[Stanowisko / Position ]],0))="n/a","n/a",FI39-INDEX(tab_MinKomp[Dokładność, precyzja w dzialaniu / Genauigkeit, Präzision in die Arbeit],MATCH($B39,tab_MinKomp[[Stanowisko / Position ]:[Stanowisko / Position ]],0)))</f>
        <v>-3</v>
      </c>
      <c r="FJ40" s="315">
        <f>IF(INDEX(tab_MinKomp[Dyspozycyjność / Verfügbarkeit],MATCH($B39,tab_MinKomp[[Stanowisko / Position ]:[Stanowisko / Position ]],0))="n/a","n/a",FJ39-INDEX(tab_MinKomp[Dyspozycyjność / Verfügbarkeit],MATCH($B39,tab_MinKomp[[Stanowisko / Position ]:[Stanowisko / Position ]],0)))</f>
        <v>-3</v>
      </c>
      <c r="FK40" s="315">
        <f>IF(INDEX(tab_MinKomp[Zaangażowanie / 
Engagement],MATCH($B39,tab_MinKomp[[Stanowisko / Position ]:[Stanowisko / Position ]],0))="n/a","n/a",FK39-INDEX(tab_MinKomp[Zaangażowanie / 
Engagement],MATCH($B39,tab_MinKomp[[Stanowisko / Position ]:[Stanowisko / Position ]],0)))</f>
        <v>-2</v>
      </c>
      <c r="FL40" s="315">
        <f>IF(INDEX(tab_MinKomp[Planowanie strategiczne / Strategische Planung],MATCH($B39,tab_MinKomp[[Stanowisko / Position ]:[Stanowisko / Position ]],0))="n/a","n/a",FL39-INDEX(tab_MinKomp[Planowanie strategiczne / Strategische Planung],MATCH($B39,tab_MinKomp[[Stanowisko / Position ]:[Stanowisko / Position ]],0)))</f>
        <v>-2</v>
      </c>
      <c r="FM40" s="315">
        <f>IF(INDEX(tab_MinKomp[Konsekwentne i dynamiczne działanie],MATCH($B39,tab_MinKomp[[Stanowisko / Position ]:[Stanowisko / Position ]],0))="n/a","n/a",FM39-INDEX(tab_MinKomp[Konsekwentne i dynamiczne działanie],MATCH($B39,tab_MinKomp[[Stanowisko / Position ]:[Stanowisko / Position ]],0)))</f>
        <v>-2</v>
      </c>
      <c r="FN40" s="315">
        <f>IF(INDEX(tab_MinKomp[Elastyczność w działaniu],MATCH($B39,tab_MinKomp[[Stanowisko / Position ]:[Stanowisko / Position ]],0))="n/a","n/a",FN39-INDEX(tab_MinKomp[Elastyczność w działaniu],MATCH($B39,tab_MinKomp[[Stanowisko / Position ]:[Stanowisko / Position ]],0)))</f>
        <v>-2</v>
      </c>
      <c r="FO40" s="315">
        <f>IF(INDEX(tab_MinKomp[Komunikatywność],MATCH($B39,tab_MinKomp[[Stanowisko / Position ]:[Stanowisko / Position ]],0))="n/a","n/a",FO39-INDEX(tab_MinKomp[Komunikatywność],MATCH($B39,tab_MinKomp[[Stanowisko / Position ]:[Stanowisko / Position ]],0)))</f>
        <v>-2</v>
      </c>
      <c r="FP40" s="314" t="str">
        <f>IF(INDEX(tab_MinKomp[Motywowanie i budowanie zaangażowania zespołu],MATCH($B39,tab_MinKomp[[Stanowisko / Position ]:[Stanowisko / Position ]],0))="n/a","n/a",FP39-INDEX(tab_MinKomp[Motywowanie i budowanie zaangażowania zespołu],MATCH($B39,tab_MinKomp[[Stanowisko / Position ]:[Stanowisko / Position ]],0)))</f>
        <v>n/a</v>
      </c>
      <c r="FQ40" s="318" t="str">
        <f>IFERROR(IF(INDEX(tab_MinKomp[BRAK / Keine],MATCH($B39,tab_MinKomp[[Stanowisko / Position ]:[Stanowisko / Position ]],0))="n/a","n/a",INDEX(tab_MinKomp[BRAK / Keine],MATCH($B39,tab_MinKomp[[Stanowisko / Position ]:[Stanowisko / Position ]],0))-FQ39),"")</f>
        <v>n/a</v>
      </c>
      <c r="FR40" s="315" t="str">
        <f>IF(INDEX(tab_MinKomp[MINIMUM 1 ROK / min. 1 Jahr],MATCH($B39,tab_MinKomp[[Stanowisko / Position ]:[Stanowisko / Position ]],0))="n/a","n/a",INDEX(tab_MinKomp[MINIMUM 1 ROK / min. 1 Jahr],MATCH($B39,tab_MinKomp[[Stanowisko / Position ]:[Stanowisko / Position ]],0)))</f>
        <v>n/a</v>
      </c>
      <c r="FS40" s="315" t="str">
        <f>IF(INDEX(tab_MinKomp[MINIMUM 2 LATA / min. 2 Jahre],MATCH($B39,tab_MinKomp[[Stanowisko / Position ]:[Stanowisko / Position ]],0))="n/a","n/a",INDEX(tab_MinKomp[MINIMUM 2 LATA / min. 2 Jahre],MATCH($B39,tab_MinKomp[[Stanowisko / Position ]:[Stanowisko / Position ]],0)))</f>
        <v>x</v>
      </c>
      <c r="FT40" s="315" t="str">
        <f>IF(INDEX(tab_MinKomp[MINIMUM 3 LATA / min. 3 Jahre],MATCH($B39,tab_MinKomp[[Stanowisko / Position ]:[Stanowisko / Position ]],0))="n/a","n/a",INDEX(tab_MinKomp[MINIMUM 3 LATA / min. 3 Jahre],MATCH($B39,tab_MinKomp[[Stanowisko / Position ]:[Stanowisko / Position ]],0)))</f>
        <v>n/a</v>
      </c>
      <c r="FU40" s="315" t="str">
        <f>IF(INDEX(tab_MinKomp[MINIMUM 4 LATA / min. 4 Jahre],MATCH($B39,tab_MinKomp[[Stanowisko / Position ]:[Stanowisko / Position ]],0))="n/a","n/a",INDEX(tab_MinKomp[MINIMUM 4 LATA / min. 4 Jahre],MATCH($B39,tab_MinKomp[[Stanowisko / Position ]:[Stanowisko / Position ]],0)))</f>
        <v>n/a</v>
      </c>
      <c r="FV40" s="319" t="str">
        <f>IF(INDEX(tab_MinKomp[MINIMUM 5 LAT / min. 5 Jahre],MATCH($B39,tab_MinKomp[[Stanowisko / Position ]:[Stanowisko / Position ]],0))="n/a","n/a",INDEX(tab_MinKomp[MINIMUM 5 LAT / min. 5 Jahre],MATCH($B39,tab_MinKomp[[Stanowisko / Position ]:[Stanowisko / Position ]],0)))</f>
        <v>n/a</v>
      </c>
      <c r="FW40" s="318" t="str">
        <f>IF(INDEX(tab_MinKomp[BRAK / Keine9],MATCH($B39,tab_MinKomp[[Stanowisko / Position ]:[Stanowisko / Position ]],0))="n/a","n/a",INDEX(tab_MinKomp[BRAK / Keine9],MATCH($B39,tab_MinKomp[[Stanowisko / Position ]:[Stanowisko / Position ]],0)))</f>
        <v>n/a</v>
      </c>
      <c r="FX40" s="315" t="str">
        <f>IF(INDEX(tab_MinKomp[ZAWODOWE / Berufsausbildung],MATCH($B39,tab_MinKomp[[Stanowisko / Position ]:[Stanowisko / Position ]],0))="n/a","n/a",INDEX(tab_MinKomp[ZAWODOWE / Berufsausbildung],MATCH($B39,tab_MinKomp[[Stanowisko / Position ]:[Stanowisko / Position ]],0)))</f>
        <v>n/a</v>
      </c>
      <c r="FY40" s="315" t="str">
        <f>IF(INDEX(tab_MinKomp[ŚREDNIE OGÓLNE / Abitur allgemeine],MATCH($B39,tab_MinKomp[[Stanowisko / Position ]:[Stanowisko / Position ]],0))="n/a","n/a",INDEX(tab_MinKomp[ŚREDNIE OGÓLNE / Abitur allgemeine],MATCH($B39,tab_MinKomp[[Stanowisko / Position ]:[Stanowisko / Position ]],0)))</f>
        <v>x</v>
      </c>
      <c r="FZ40" s="315" t="str">
        <f>IF(INDEX(tab_MinKomp[ŚREDNIE KIERUNKOWE / berufliches Gymnasium],MATCH($B39,tab_MinKomp[[Stanowisko / Position ]:[Stanowisko / Position ]],0))="n/a","n/a",INDEX(tab_MinKomp[ŚREDNIE KIERUNKOWE / berufliches Gymnasium],MATCH($B39,tab_MinKomp[[Stanowisko / Position ]:[Stanowisko / Position ]],0)))</f>
        <v>n/a</v>
      </c>
      <c r="GA40" s="315" t="str">
        <f>IF(INDEX(tab_MinKomp[WYŻSZE OGÓLNE / Hochschule allgemeine],MATCH($B39,tab_MinKomp[[Stanowisko / Position ]:[Stanowisko / Position ]],0))="n/a","n/a",INDEX(tab_MinKomp[WYŻSZE OGÓLNE / Hochschule allgemeine],MATCH($B39,tab_MinKomp[[Stanowisko / Position ]:[Stanowisko / Position ]],0)))</f>
        <v>n/a</v>
      </c>
      <c r="GB40" s="319" t="str">
        <f>IF(INDEX(tab_MinKomp[WYŻSZE KIERUNKOWE / Hochschule berufliche],MATCH($B39,tab_MinKomp[[Stanowisko / Position ]:[Stanowisko / Position ]],0))="n/a","n/a",INDEX(tab_MinKomp[WYŻSZE KIERUNKOWE / Hochschule berufliche],MATCH($B39,tab_MinKomp[[Stanowisko / Position ]:[Stanowisko / Position ]],0)))</f>
        <v>n/a</v>
      </c>
      <c r="GC40" s="318" t="str">
        <f>IF(INDEX(tab_MinKomp[PIERWSZA POMOC / Erste Hilfe],MATCH($B39,tab_MinKomp[[Stanowisko / Position ]:[Stanowisko / Position ]],0))="n/a","n/a",INDEX(tab_MinKomp[PIERWSZA POMOC / Erste Hilfe],MATCH($B39,tab_MinKomp[[Stanowisko / Position ]:[Stanowisko / Position ]],0)))</f>
        <v>n/a</v>
      </c>
      <c r="GD40" s="315" t="str">
        <f>IF(INDEX(tab_MinKomp[Specjalista BHP / BHP Spezialist],MATCH($B39,tab_MinKomp[[Stanowisko / Position ]:[Stanowisko / Position ]],0))="n/a","n/a",INDEX(tab_MinKomp[Specjalista BHP / BHP Spezialist],MATCH($B39,tab_MinKomp[[Stanowisko / Position ]:[Stanowisko / Position ]],0)))</f>
        <v>n/a</v>
      </c>
      <c r="GE40" s="315" t="str">
        <f>IF(INDEX(tab_MinKomp[Inspektor ochrony PPOŻ / Brandschutzinspektor],MATCH($B39,tab_MinKomp[[Stanowisko / Position ]:[Stanowisko / Position ]],0))="n/a","n/a",INDEX(tab_MinKomp[Inspektor ochrony PPOŻ / Brandschutzinspektor],MATCH($B39,tab_MinKomp[[Stanowisko / Position ]:[Stanowisko / Position ]],0)))</f>
        <v>n/a</v>
      </c>
      <c r="GF40" s="315" t="str">
        <f>IF(INDEX(tab_MinKomp[WÓZKI JEZDNIOWE / Gebelstapler],MATCH($B39,tab_MinKomp[[Stanowisko / Position ]:[Stanowisko / Position ]],0))="n/a","n/a",INDEX(tab_MinKomp[WÓZKI JEZDNIOWE / Gebelstapler],MATCH($B39,tab_MinKomp[[Stanowisko / Position ]:[Stanowisko / Position ]],0)))</f>
        <v>n/a</v>
      </c>
      <c r="GG40" s="315" t="str">
        <f>IF(INDEX(tab_MinKomp[SEP],MATCH($B39,tab_MinKomp[[Stanowisko / Position ]:[Stanowisko / Position ]],0))="n/a","n/a",INDEX(tab_MinKomp[SEP],MATCH($B39,tab_MinKomp[[Stanowisko / Position ]:[Stanowisko / Position ]],0)))</f>
        <v>n/a</v>
      </c>
      <c r="GH40" s="315" t="str">
        <f>IF(INDEX(tab_MinKomp[SEP  DOZÓR / SEP Aufsicht],MATCH($B39,tab_MinKomp[[Stanowisko / Position ]:[Stanowisko / Position ]],0))="n/a","n/a",INDEX(tab_MinKomp[SEP  DOZÓR / SEP Aufsicht],MATCH($B39,tab_MinKomp[[Stanowisko / Position ]:[Stanowisko / Position ]],0)))</f>
        <v>n/a</v>
      </c>
      <c r="GI40" s="315" t="str">
        <f>IF(INDEX(tab_MinKomp[PODNOŚNIKI / Hebevorrichtung],MATCH($B39,tab_MinKomp[[Stanowisko / Position ]:[Stanowisko / Position ]],0))="n/a","n/a",INDEX(tab_MinKomp[PODNOŚNIKI / Hebevorrichtung],MATCH($B39,tab_MinKomp[[Stanowisko / Position ]:[Stanowisko / Position ]],0)))</f>
        <v>n/a</v>
      </c>
      <c r="GJ40" s="315" t="str">
        <f>IF(INDEX(tab_MinKomp[SUWNICE / Laufkran],MATCH($B39,tab_MinKomp[[Stanowisko / Position ]:[Stanowisko / Position ]],0))="n/a","n/a",INDEX(tab_MinKomp[SUWNICE / Laufkran],MATCH($B39,tab_MinKomp[[Stanowisko / Position ]:[Stanowisko / Position ]],0)))</f>
        <v>n/a</v>
      </c>
      <c r="GK40" s="319" t="str">
        <f>IF(INDEX(tab_MinKomp[WYSOKOŚCIOWE / Höhenberechtigungen],MATCH($B39,tab_MinKomp[[Stanowisko / Position ]:[Stanowisko / Position ]],0))="n/a","n/a",INDEX(tab_MinKomp[WYSOKOŚCIOWE / Höhenberechtigungen],MATCH($B39,tab_MinKomp[[Stanowisko / Position ]:[Stanowisko / Position ]],0)))</f>
        <v>n/a</v>
      </c>
      <c r="GL40" s="320">
        <f>SUM(G40:FP40)/(GL39-(SUM(G40:FP40)))</f>
        <v>-1</v>
      </c>
      <c r="GM40" s="132"/>
    </row>
    <row r="41" spans="1:195" s="187" customFormat="1" ht="28.35" customHeight="1" x14ac:dyDescent="0.25">
      <c r="A41" s="135" t="s">
        <v>183</v>
      </c>
      <c r="B41" s="135" t="s">
        <v>605</v>
      </c>
      <c r="C41" s="138" t="s">
        <v>230</v>
      </c>
      <c r="D41" s="135">
        <v>616</v>
      </c>
      <c r="E41" s="565" t="s">
        <v>614</v>
      </c>
      <c r="F41" s="307" t="s">
        <v>165</v>
      </c>
      <c r="G41" s="322">
        <v>1</v>
      </c>
      <c r="H41" s="322">
        <v>1</v>
      </c>
      <c r="I41" s="322">
        <v>1</v>
      </c>
      <c r="J41" s="322">
        <v>2</v>
      </c>
      <c r="K41" s="322">
        <v>2</v>
      </c>
      <c r="L41" s="322">
        <v>1</v>
      </c>
      <c r="M41" s="322" t="s">
        <v>176</v>
      </c>
      <c r="N41" s="322" t="s">
        <v>176</v>
      </c>
      <c r="O41" s="322">
        <v>1</v>
      </c>
      <c r="P41" s="322">
        <v>1</v>
      </c>
      <c r="Q41" s="322" t="s">
        <v>176</v>
      </c>
      <c r="R41" s="322" t="s">
        <v>176</v>
      </c>
      <c r="S41" s="322" t="s">
        <v>176</v>
      </c>
      <c r="T41" s="322" t="s">
        <v>176</v>
      </c>
      <c r="U41" s="322">
        <v>1</v>
      </c>
      <c r="V41" s="322" t="s">
        <v>176</v>
      </c>
      <c r="W41" s="322">
        <v>1</v>
      </c>
      <c r="X41" s="322" t="s">
        <v>176</v>
      </c>
      <c r="Y41" s="322" t="s">
        <v>176</v>
      </c>
      <c r="Z41" s="322" t="s">
        <v>176</v>
      </c>
      <c r="AA41" s="322" t="s">
        <v>176</v>
      </c>
      <c r="AB41" s="322">
        <v>2</v>
      </c>
      <c r="AC41" s="322">
        <v>1</v>
      </c>
      <c r="AD41" s="322">
        <v>1</v>
      </c>
      <c r="AE41" s="322">
        <v>1</v>
      </c>
      <c r="AF41" s="322">
        <v>1</v>
      </c>
      <c r="AG41" s="322">
        <v>1</v>
      </c>
      <c r="AH41" s="322">
        <v>1</v>
      </c>
      <c r="AI41" s="322" t="s">
        <v>176</v>
      </c>
      <c r="AJ41" s="322" t="s">
        <v>176</v>
      </c>
      <c r="AK41" s="322" t="s">
        <v>176</v>
      </c>
      <c r="AL41" s="322">
        <v>1</v>
      </c>
      <c r="AM41" s="322">
        <v>1</v>
      </c>
      <c r="AN41" s="322" t="s">
        <v>176</v>
      </c>
      <c r="AO41" s="322" t="s">
        <v>176</v>
      </c>
      <c r="AP41" s="322" t="s">
        <v>176</v>
      </c>
      <c r="AQ41" s="322">
        <v>1</v>
      </c>
      <c r="AR41" s="322" t="s">
        <v>176</v>
      </c>
      <c r="AS41" s="322" t="s">
        <v>176</v>
      </c>
      <c r="AT41" s="322" t="s">
        <v>176</v>
      </c>
      <c r="AU41" s="322" t="s">
        <v>176</v>
      </c>
      <c r="AV41" s="322">
        <v>2</v>
      </c>
      <c r="AW41" s="322">
        <v>1</v>
      </c>
      <c r="AX41" s="322">
        <v>2</v>
      </c>
      <c r="AY41" s="322" t="s">
        <v>176</v>
      </c>
      <c r="AZ41" s="322">
        <v>3</v>
      </c>
      <c r="BA41" s="322">
        <v>3</v>
      </c>
      <c r="BB41" s="322">
        <v>2</v>
      </c>
      <c r="BC41" s="322">
        <v>3</v>
      </c>
      <c r="BD41" s="322">
        <v>1</v>
      </c>
      <c r="BE41" s="322">
        <v>3</v>
      </c>
      <c r="BF41" s="322">
        <v>1</v>
      </c>
      <c r="BG41" s="322">
        <v>1</v>
      </c>
      <c r="BH41" s="322">
        <v>1</v>
      </c>
      <c r="BI41" s="322">
        <v>1</v>
      </c>
      <c r="BJ41" s="322">
        <v>1</v>
      </c>
      <c r="BK41" s="322">
        <v>1</v>
      </c>
      <c r="BL41" s="322">
        <v>1</v>
      </c>
      <c r="BM41" s="322" t="s">
        <v>176</v>
      </c>
      <c r="BN41" s="322" t="s">
        <v>176</v>
      </c>
      <c r="BO41" s="322" t="s">
        <v>176</v>
      </c>
      <c r="BP41" s="322" t="s">
        <v>176</v>
      </c>
      <c r="BQ41" s="322" t="s">
        <v>176</v>
      </c>
      <c r="BR41" s="322" t="s">
        <v>176</v>
      </c>
      <c r="BS41" s="322" t="s">
        <v>176</v>
      </c>
      <c r="BT41" s="322" t="s">
        <v>176</v>
      </c>
      <c r="BU41" s="322" t="s">
        <v>176</v>
      </c>
      <c r="BV41" s="322" t="s">
        <v>176</v>
      </c>
      <c r="BW41" s="322" t="s">
        <v>176</v>
      </c>
      <c r="BX41" s="322" t="s">
        <v>176</v>
      </c>
      <c r="BY41" s="322" t="s">
        <v>176</v>
      </c>
      <c r="BZ41" s="322" t="s">
        <v>176</v>
      </c>
      <c r="CA41" s="322" t="s">
        <v>176</v>
      </c>
      <c r="CB41" s="322" t="s">
        <v>176</v>
      </c>
      <c r="CC41" s="322" t="s">
        <v>176</v>
      </c>
      <c r="CD41" s="322" t="s">
        <v>176</v>
      </c>
      <c r="CE41" s="322" t="s">
        <v>176</v>
      </c>
      <c r="CF41" s="322" t="s">
        <v>176</v>
      </c>
      <c r="CG41" s="322" t="s">
        <v>176</v>
      </c>
      <c r="CH41" s="322" t="s">
        <v>176</v>
      </c>
      <c r="CI41" s="322">
        <v>2</v>
      </c>
      <c r="CJ41" s="322" t="s">
        <v>176</v>
      </c>
      <c r="CK41" s="322" t="s">
        <v>176</v>
      </c>
      <c r="CL41" s="322" t="s">
        <v>176</v>
      </c>
      <c r="CM41" s="322">
        <v>1</v>
      </c>
      <c r="CN41" s="322">
        <v>1</v>
      </c>
      <c r="CO41" s="322">
        <v>1</v>
      </c>
      <c r="CP41" s="322">
        <v>1</v>
      </c>
      <c r="CQ41" s="322">
        <v>1</v>
      </c>
      <c r="CR41" s="322" t="s">
        <v>176</v>
      </c>
      <c r="CS41" s="322">
        <v>1</v>
      </c>
      <c r="CT41" s="322">
        <v>1</v>
      </c>
      <c r="CU41" s="322" t="s">
        <v>176</v>
      </c>
      <c r="CV41" s="322" t="s">
        <v>176</v>
      </c>
      <c r="CW41" s="322" t="s">
        <v>176</v>
      </c>
      <c r="CX41" s="308" t="s">
        <v>176</v>
      </c>
      <c r="CY41" s="308" t="s">
        <v>176</v>
      </c>
      <c r="CZ41" s="308" t="s">
        <v>176</v>
      </c>
      <c r="DA41" s="308" t="s">
        <v>176</v>
      </c>
      <c r="DB41" s="308" t="s">
        <v>176</v>
      </c>
      <c r="DC41" s="308" t="s">
        <v>176</v>
      </c>
      <c r="DD41" s="308" t="s">
        <v>176</v>
      </c>
      <c r="DE41" s="308" t="s">
        <v>176</v>
      </c>
      <c r="DF41" s="308" t="s">
        <v>176</v>
      </c>
      <c r="DG41" s="308" t="s">
        <v>176</v>
      </c>
      <c r="DH41" s="308" t="s">
        <v>176</v>
      </c>
      <c r="DI41" s="308" t="s">
        <v>176</v>
      </c>
      <c r="DJ41" s="308" t="s">
        <v>176</v>
      </c>
      <c r="DK41" s="308" t="s">
        <v>176</v>
      </c>
      <c r="DL41" s="308" t="s">
        <v>176</v>
      </c>
      <c r="DM41" s="308" t="s">
        <v>176</v>
      </c>
      <c r="DN41" s="308" t="s">
        <v>176</v>
      </c>
      <c r="DO41" s="308" t="s">
        <v>176</v>
      </c>
      <c r="DP41" s="308" t="s">
        <v>176</v>
      </c>
      <c r="DQ41" s="308" t="s">
        <v>176</v>
      </c>
      <c r="DR41" s="308" t="s">
        <v>176</v>
      </c>
      <c r="DS41" s="308" t="s">
        <v>176</v>
      </c>
      <c r="DT41" s="308" t="s">
        <v>176</v>
      </c>
      <c r="DU41" s="308" t="s">
        <v>176</v>
      </c>
      <c r="DV41" s="306" t="s">
        <v>176</v>
      </c>
      <c r="DW41" s="306" t="s">
        <v>176</v>
      </c>
      <c r="DX41" s="306" t="s">
        <v>176</v>
      </c>
      <c r="DY41" s="322" t="s">
        <v>176</v>
      </c>
      <c r="DZ41" s="322" t="s">
        <v>176</v>
      </c>
      <c r="EA41" s="322" t="s">
        <v>176</v>
      </c>
      <c r="EB41" s="322" t="s">
        <v>176</v>
      </c>
      <c r="EC41" s="322" t="s">
        <v>176</v>
      </c>
      <c r="ED41" s="322" t="s">
        <v>176</v>
      </c>
      <c r="EE41" s="322" t="s">
        <v>176</v>
      </c>
      <c r="EF41" s="322" t="s">
        <v>176</v>
      </c>
      <c r="EG41" s="322" t="s">
        <v>176</v>
      </c>
      <c r="EH41" s="322" t="s">
        <v>176</v>
      </c>
      <c r="EI41" s="322" t="s">
        <v>176</v>
      </c>
      <c r="EJ41" s="322" t="s">
        <v>176</v>
      </c>
      <c r="EK41" s="322" t="s">
        <v>176</v>
      </c>
      <c r="EL41" s="322" t="s">
        <v>176</v>
      </c>
      <c r="EM41" s="322" t="s">
        <v>176</v>
      </c>
      <c r="EN41" s="322" t="s">
        <v>176</v>
      </c>
      <c r="EO41" s="322" t="s">
        <v>176</v>
      </c>
      <c r="EP41" s="322" t="s">
        <v>176</v>
      </c>
      <c r="EQ41" s="322" t="s">
        <v>176</v>
      </c>
      <c r="ER41" s="322" t="s">
        <v>176</v>
      </c>
      <c r="ES41" s="322" t="s">
        <v>176</v>
      </c>
      <c r="ET41" s="322" t="s">
        <v>176</v>
      </c>
      <c r="EU41" s="322" t="s">
        <v>176</v>
      </c>
      <c r="EV41" s="322" t="s">
        <v>176</v>
      </c>
      <c r="EW41" s="308" t="s">
        <v>176</v>
      </c>
      <c r="EX41" s="322" t="s">
        <v>176</v>
      </c>
      <c r="EY41" s="322">
        <v>3</v>
      </c>
      <c r="EZ41" s="322">
        <v>2</v>
      </c>
      <c r="FA41" s="322">
        <v>2</v>
      </c>
      <c r="FB41" s="325">
        <v>2</v>
      </c>
      <c r="FC41" s="325" t="s">
        <v>176</v>
      </c>
      <c r="FD41" s="322">
        <v>2</v>
      </c>
      <c r="FE41" s="322">
        <v>3</v>
      </c>
      <c r="FF41" s="322">
        <v>3</v>
      </c>
      <c r="FG41" s="322">
        <v>2</v>
      </c>
      <c r="FH41" s="322">
        <v>3</v>
      </c>
      <c r="FI41" s="322">
        <v>3</v>
      </c>
      <c r="FJ41" s="322">
        <v>3</v>
      </c>
      <c r="FK41" s="322">
        <v>2</v>
      </c>
      <c r="FL41" s="322">
        <v>2</v>
      </c>
      <c r="FM41" s="322">
        <v>2</v>
      </c>
      <c r="FN41" s="322">
        <v>2</v>
      </c>
      <c r="FO41" s="322">
        <v>2</v>
      </c>
      <c r="FP41" s="322" t="s">
        <v>176</v>
      </c>
      <c r="FQ41" s="326" t="s">
        <v>176</v>
      </c>
      <c r="FR41" s="326" t="s">
        <v>176</v>
      </c>
      <c r="FS41" s="322" t="s">
        <v>387</v>
      </c>
      <c r="FT41" s="326" t="s">
        <v>176</v>
      </c>
      <c r="FU41" s="326" t="s">
        <v>176</v>
      </c>
      <c r="FV41" s="326" t="s">
        <v>176</v>
      </c>
      <c r="FW41" s="326" t="s">
        <v>176</v>
      </c>
      <c r="FX41" s="326" t="s">
        <v>176</v>
      </c>
      <c r="FY41" s="322" t="s">
        <v>387</v>
      </c>
      <c r="FZ41" s="326" t="s">
        <v>176</v>
      </c>
      <c r="GA41" s="326" t="s">
        <v>176</v>
      </c>
      <c r="GB41" s="326" t="s">
        <v>176</v>
      </c>
      <c r="GC41" s="326" t="s">
        <v>176</v>
      </c>
      <c r="GD41" s="326" t="s">
        <v>176</v>
      </c>
      <c r="GE41" s="326" t="s">
        <v>176</v>
      </c>
      <c r="GF41" s="326" t="s">
        <v>176</v>
      </c>
      <c r="GG41" s="326" t="s">
        <v>176</v>
      </c>
      <c r="GH41" s="326" t="s">
        <v>176</v>
      </c>
      <c r="GI41" s="326" t="s">
        <v>176</v>
      </c>
      <c r="GJ41" s="326" t="s">
        <v>176</v>
      </c>
      <c r="GK41" s="327" t="s">
        <v>176</v>
      </c>
      <c r="GL41" s="311">
        <f>SUM(G41:FP41)</f>
        <v>97</v>
      </c>
      <c r="GM41" s="132"/>
    </row>
    <row r="42" spans="1:195" s="187" customFormat="1" ht="28.35" customHeight="1" thickBot="1" x14ac:dyDescent="0.3">
      <c r="A42" s="138" t="str">
        <f>A41</f>
        <v>Logistyka-Logistic</v>
      </c>
      <c r="B42" s="138" t="str">
        <f>B41</f>
        <v>Specialista ds. logistyki i obsługi klienta</v>
      </c>
      <c r="C42" s="138" t="s">
        <v>230</v>
      </c>
      <c r="D42" s="138">
        <f>D41</f>
        <v>616</v>
      </c>
      <c r="E42" s="566" t="str">
        <f>E41</f>
        <v>Gnatkowska Aleksandra</v>
      </c>
      <c r="F42" s="312" t="s">
        <v>166</v>
      </c>
      <c r="G42" s="313">
        <f>IF(INDEX(tab_MinKomp[Przepisy BHP / BHP Vorschriften],MATCH($B41,tab_MinKomp[[Stanowisko / Position ]:[Stanowisko / Position ]],0))="n/a","n/a",G41-INDEX(tab_MinKomp[Przepisy BHP / BHP Vorschriften],MATCH($B41,tab_MinKomp[[Stanowisko / Position ]:[Stanowisko / Position ]],0)))</f>
        <v>0</v>
      </c>
      <c r="H42" s="314">
        <f>IF(INDEX(tab_MinKomp[Przepisy PPOŻ / Brandschutzbestimmungen],MATCH($B41,tab_MinKomp[[Stanowisko / Position ]:[Stanowisko / Position ]],0))="n/a","n/a",H41-INDEX(tab_MinKomp[Przepisy PPOŻ / Brandschutzbestimmungen],MATCH($B41,tab_MinKomp[[Stanowisko / Position ]:[Stanowisko / Position ]],0)))</f>
        <v>0</v>
      </c>
      <c r="I42" s="314">
        <f>IF(INDEX(tab_MinKomp[Ryzyko zawodowe na stanowiskach pracyv/ Berufliche Risiken an Arbeitsstellen],MATCH($B41,tab_MinKomp[[Stanowisko / Position ]:[Stanowisko / Position ]],0))="n/a","n/a",I41-INDEX(tab_MinKomp[Ryzyko zawodowe na stanowiskach pracyv/ Berufliche Risiken an Arbeitsstellen],MATCH($B41,tab_MinKomp[[Stanowisko / Position ]:[Stanowisko / Position ]],0)))</f>
        <v>0</v>
      </c>
      <c r="J42" s="314">
        <f>IF(INDEX(tab_MinKomp[Gospodarka substancjami niebezpiecznymi / Gefahrstoffmanagement],MATCH($B41,tab_MinKomp[[Stanowisko / Position ]:[Stanowisko / Position ]],0))="n/a","n/a",J41-INDEX(tab_MinKomp[Gospodarka substancjami niebezpiecznymi / Gefahrstoffmanagement],MATCH($B41,tab_MinKomp[[Stanowisko / Position ]:[Stanowisko / Position ]],0)))</f>
        <v>1</v>
      </c>
      <c r="K42" s="314">
        <f>IF(INDEX(tab_MinKomp[Gospodarka odpadami / Abfallwirtschaft],MATCH($B41,tab_MinKomp[[Stanowisko / Position ]:[Stanowisko / Position ]],0))="n/a","n/a",K41-INDEX(tab_MinKomp[Gospodarka odpadami / Abfallwirtschaft],MATCH($B41,tab_MinKomp[[Stanowisko / Position ]:[Stanowisko / Position ]],0)))</f>
        <v>1</v>
      </c>
      <c r="L42" s="315">
        <f>IF(INDEX(tab_MinKomp[Przepisy kodeksu pracy / Bestimmungen des Arbeitsgesetzes],MATCH($B41,tab_MinKomp[[Stanowisko / Position ]:[Stanowisko / Position ]],0))="n/a","n/a",L41-INDEX(tab_MinKomp[Przepisy kodeksu pracy / Bestimmungen des Arbeitsgesetzes],MATCH($B41,tab_MinKomp[[Stanowisko / Position ]:[Stanowisko / Position ]],0)))</f>
        <v>0</v>
      </c>
      <c r="M42" s="316" t="str">
        <f>IF(INDEX(tab_MinKomp[Przepisy o ub.społ. ZUS  / Sozialversicherungsvorschriften],MATCH($B41,tab_MinKomp[[Stanowisko / Position ]:[Stanowisko / Position ]],0))="n/a","n/a",M41-INDEX(tab_MinKomp[Przepisy o ub.społ. ZUS  / Sozialversicherungsvorschriften],MATCH($B41,tab_MinKomp[[Stanowisko / Position ]:[Stanowisko / Position ]],0)))</f>
        <v>n/a</v>
      </c>
      <c r="N42" s="315" t="str">
        <f>IF(INDEX(tab_MinKomp[PRZEPISY O PDOF /persönlich Einkommensteuergesetz ],MATCH($B41,tab_MinKomp[[Stanowisko / Position ]:[Stanowisko / Position ]],0))="n/a","n/a",N41-INDEX(tab_MinKomp[PRZEPISY O PDOF /persönlich Einkommensteuergesetz ],MATCH($B41,tab_MinKomp[[Stanowisko / Position ]:[Stanowisko / Position ]],0)))</f>
        <v>n/a</v>
      </c>
      <c r="O42" s="315">
        <f>IF(INDEX(tab_MinKomp[Regulamin pracy / Arbeitsordnung],MATCH($B41,tab_MinKomp[[Stanowisko / Position ]:[Stanowisko / Position ]],0))="n/a","n/a",O41-INDEX(tab_MinKomp[Regulamin pracy / Arbeitsordnung],MATCH($B41,tab_MinKomp[[Stanowisko / Position ]:[Stanowisko / Position ]],0)))</f>
        <v>0</v>
      </c>
      <c r="P42" s="315">
        <f>IF(INDEX(tab_MinKomp[Regulamin wynagradzania / Vergütungsordnung],MATCH($B41,tab_MinKomp[[Stanowisko / Position ]:[Stanowisko / Position ]],0))="n/a","n/a",P41-INDEX(tab_MinKomp[Regulamin wynagradzania / Vergütungsordnung],MATCH($B41,tab_MinKomp[[Stanowisko / Position ]:[Stanowisko / Position ]],0)))</f>
        <v>0</v>
      </c>
      <c r="Q42" s="315" t="str">
        <f>IF(INDEX(tab_MinKomp[System R2PŁATNIK PRO: Płace / Lohnabrechnung],MATCH($B41,tab_MinKomp[[Stanowisko / Position ]:[Stanowisko / Position ]],0))="n/a","n/a",Q41-INDEX(tab_MinKomp[System R2PŁATNIK PRO: Płace / Lohnabrechnung],MATCH($B41,tab_MinKomp[[Stanowisko / Position ]:[Stanowisko / Position ]],0)))</f>
        <v>n/a</v>
      </c>
      <c r="R42" s="315" t="str">
        <f>IF(INDEX(tab_MinKomp[SystemR2PŁATNIK PRO: KADRY / Personaldaten],MATCH($B41,tab_MinKomp[[Stanowisko / Position ]:[Stanowisko / Position ]],0))="n/a","n/a",R41-INDEX(tab_MinKomp[SystemR2PŁATNIK PRO: KADRY / Personaldaten],MATCH($B41,tab_MinKomp[[Stanowisko / Position ]:[Stanowisko / Position ]],0)))</f>
        <v>n/a</v>
      </c>
      <c r="S42" s="315" t="str">
        <f>IF(INDEX(tab_MinKomp[SYSTEM R2PŁATNIK PRO: zarządzanie pracownikami / Arbeitsverwaltung],MATCH($B41,tab_MinKomp[[Stanowisko / Position ]:[Stanowisko / Position ]],0))="n/a","n/a",S41-INDEX(tab_MinKomp[SYSTEM R2PŁATNIK PRO: zarządzanie pracownikami / Arbeitsverwaltung],MATCH($B41,tab_MinKomp[[Stanowisko / Position ]:[Stanowisko / Position ]],0)))</f>
        <v>n/a</v>
      </c>
      <c r="T42" s="315" t="str">
        <f>IF(INDEX(tab_MinKomp[Doradztwo, wsparcie personalne / Personalberatung und Unterstützung],MATCH($B41,tab_MinKomp[[Stanowisko / Position ]:[Stanowisko / Position ]],0))="n/a","n/a",T41-INDEX(tab_MinKomp[Doradztwo, wsparcie personalne / Personalberatung und Unterstützung],MATCH($B41,tab_MinKomp[[Stanowisko / Position ]:[Stanowisko / Position ]],0)))</f>
        <v>n/a</v>
      </c>
      <c r="U42" s="315">
        <f>IF(INDEX(tab_MinKomp[Przepisy o podatku VAT / MwSt.- Gesetz],MATCH($B41,tab_MinKomp[[Stanowisko / Position ]:[Stanowisko / Position ]],0))="n/a","n/a",U41-INDEX(tab_MinKomp[Przepisy o podatku VAT / MwSt.- Gesetz],MATCH($B41,tab_MinKomp[[Stanowisko / Position ]:[Stanowisko / Position ]],0)))</f>
        <v>0</v>
      </c>
      <c r="V42" s="315" t="str">
        <f>IF(INDEX(tab_MinKomp[PrzepisyPDOP / geschäftlich Einkommensteuergesetz],MATCH($B41,tab_MinKomp[[Stanowisko / Position ]:[Stanowisko / Position ]],0))="n/a","n/a",V41-INDEX(tab_MinKomp[PrzepisyPDOP / geschäftlich Einkommensteuergesetz],MATCH($B41,tab_MinKomp[[Stanowisko / Position ]:[Stanowisko / Position ]],0)))</f>
        <v>n/a</v>
      </c>
      <c r="W42" s="315">
        <f>IF(INDEX(tab_MinKomp[System BAAN / FINANSE (FIBU)],MATCH($B41,tab_MinKomp[[Stanowisko / Position ]:[Stanowisko / Position ]],0))="n/a","n/a",W41-INDEX(tab_MinKomp[System BAAN / FINANSE (FIBU)],MATCH($B41,tab_MinKomp[[Stanowisko / Position ]:[Stanowisko / Position ]],0)))</f>
        <v>-1</v>
      </c>
      <c r="X42" s="315" t="str">
        <f>IF(INDEX(tab_MinKomp[Systemy pomocnicze / Hilfssysteme(STOCKPROGRAM, KALK2000 etc.)],MATCH($B41,tab_MinKomp[[Stanowisko / Position ]:[Stanowisko / Position ]],0))="n/a","n/a",X41-INDEX(tab_MinKomp[Systemy pomocnicze / Hilfssysteme(STOCKPROGRAM, KALK2000 etc.)],MATCH($B41,tab_MinKomp[[Stanowisko / Position ]:[Stanowisko / Position ]],0)))</f>
        <v>n/a</v>
      </c>
      <c r="Y42" s="315" t="str">
        <f>IF(INDEX(tab_MinKomp[Polityka rachunkowości / Buchführungspolitik],MATCH($B41,tab_MinKomp[[Stanowisko / Position ]:[Stanowisko / Position ]],0))="n/a","n/a",Y41-INDEX(tab_MinKomp[Polityka rachunkowości / Buchführungspolitik],MATCH($B41,tab_MinKomp[[Stanowisko / Position ]:[Stanowisko / Position ]],0)))</f>
        <v>n/a</v>
      </c>
      <c r="Z42" s="315" t="str">
        <f>IF(INDEX(tab_MinKomp[Ustawa o rachunkowości / Rechnungslegungsgesetz],MATCH($B41,tab_MinKomp[[Stanowisko / Position ]:[Stanowisko / Position ]],0))="n/a","n/a",Z41-INDEX(tab_MinKomp[Ustawa o rachunkowości / Rechnungslegungsgesetz],MATCH($B41,tab_MinKomp[[Stanowisko / Position ]:[Stanowisko / Position ]],0)))</f>
        <v>n/a</v>
      </c>
      <c r="AA42" s="315" t="str">
        <f>IF(INDEX(tab_MinKomp[WORKFLOW - TS-100],MATCH($B41,tab_MinKomp[[Stanowisko / Position ]:[Stanowisko / Position ]],0))="n/a","n/a",AA41-INDEX(tab_MinKomp[WORKFLOW - TS-100],MATCH($B41,tab_MinKomp[[Stanowisko / Position ]:[Stanowisko / Position ]],0)))</f>
        <v>n/a</v>
      </c>
      <c r="AB42" s="315">
        <f>IF(INDEX(tab_MinKomp[WORKFLOW - SFMS],MATCH($B41,tab_MinKomp[[Stanowisko / Position ]:[Stanowisko / Position ]],0))="n/a","n/a",AB41-INDEX(tab_MinKomp[WORKFLOW - SFMS],MATCH($B41,tab_MinKomp[[Stanowisko / Position ]:[Stanowisko / Position ]],0)))</f>
        <v>0</v>
      </c>
      <c r="AC42" s="315">
        <f>IF(INDEX(tab_MinKomp[System ISO 9001:2015],MATCH($B41,tab_MinKomp[[Stanowisko / Position ]:[Stanowisko / Position ]],0))="n/a","n/a",AC41-INDEX(tab_MinKomp[System ISO 9001:2015],MATCH($B41,tab_MinKomp[[Stanowisko / Position ]:[Stanowisko / Position ]],0)))</f>
        <v>0</v>
      </c>
      <c r="AD42" s="315">
        <f>IF(INDEX(tab_MinKomp[System IATF 16949:2016],MATCH($B41,tab_MinKomp[[Stanowisko / Position ]:[Stanowisko / Position ]],0))="n/a","n/a",AD41-INDEX(tab_MinKomp[System IATF 16949:2016],MATCH($B41,tab_MinKomp[[Stanowisko / Position ]:[Stanowisko / Position ]],0)))</f>
        <v>0</v>
      </c>
      <c r="AE42" s="315">
        <f>IF(INDEX(tab_MinKomp[System ISO 14001:2015],MATCH($B41,tab_MinKomp[[Stanowisko / Position ]:[Stanowisko / Position ]],0))="n/a","n/a",AE41-INDEX(tab_MinKomp[System ISO 14001:2015],MATCH($B41,tab_MinKomp[[Stanowisko / Position ]:[Stanowisko / Position ]],0)))</f>
        <v>0</v>
      </c>
      <c r="AF42" s="315">
        <f>IF(INDEX(tab_MinKomp[System PN-N 18001:2004 / ISO 45001:2018],MATCH($B41,tab_MinKomp[[Stanowisko / Position ]:[Stanowisko / Position ]],0))="n/a","n/a",AF41-INDEX(tab_MinKomp[System PN-N 18001:2004 / ISO 45001:2018],MATCH($B41,tab_MinKomp[[Stanowisko / Position ]:[Stanowisko / Position ]],0)))</f>
        <v>0</v>
      </c>
      <c r="AG42" s="315">
        <f>IF(INDEX(tab_MinKomp[Wymagania VDA 6.3 Process / Forderungen],MATCH($B41,tab_MinKomp[[Stanowisko / Position ]:[Stanowisko / Position ]],0))="n/a","n/a",AG41-INDEX(tab_MinKomp[Wymagania VDA 6.3 Process / Forderungen],MATCH($B41,tab_MinKomp[[Stanowisko / Position ]:[Stanowisko / Position ]],0)))</f>
        <v>0</v>
      </c>
      <c r="AH42" s="315">
        <f>IF(INDEX(tab_MinKomp[Wymagania VDA 6.5 Product / Forderungen],MATCH($B41,tab_MinKomp[[Stanowisko / Position ]:[Stanowisko / Position ]],0))="n/a","n/a",AH41-INDEX(tab_MinKomp[Wymagania VDA 6.5 Product / Forderungen],MATCH($B41,tab_MinKomp[[Stanowisko / Position ]:[Stanowisko / Position ]],0)))</f>
        <v>0</v>
      </c>
      <c r="AI42" s="315" t="str">
        <f>IF(INDEX(tab_MinKomp[PSCR (VW Product Safety &amp; Conformity Representative)],MATCH($B41,tab_MinKomp[[Stanowisko / Position ]:[Stanowisko / Position ]],0))="n/a","n/a",AI41-INDEX(tab_MinKomp[PSCR (VW Product Safety &amp; Conformity Representative)],MATCH($B41,tab_MinKomp[[Stanowisko / Position ]:[Stanowisko / Position ]],0)))</f>
        <v>n/a</v>
      </c>
      <c r="AJ42" s="315" t="str">
        <f>IF(INDEX(tab_MinKomp[Auditor systemu ISO 17025:2018],MATCH($B41,tab_MinKomp[[Stanowisko / Position ]:[Stanowisko / Position ]],0))="n/a","n/a",AJ41-INDEX(tab_MinKomp[Auditor systemu ISO 17025:2018],MATCH($B41,tab_MinKomp[[Stanowisko / Position ]:[Stanowisko / Position ]],0)))</f>
        <v>n/a</v>
      </c>
      <c r="AK42" s="315" t="str">
        <f>IF(INDEX(tab_MinKomp[Pełnomocnik systemu / Systemvertreter],MATCH($B41,tab_MinKomp[[Stanowisko / Position ]:[Stanowisko / Position ]],0))="n/a","n/a",AK41-INDEX(tab_MinKomp[Pełnomocnik systemu / Systemvertreter],MATCH($B41,tab_MinKomp[[Stanowisko / Position ]:[Stanowisko / Position ]],0)))</f>
        <v>n/a</v>
      </c>
      <c r="AL42" s="315">
        <f>IF(INDEX(tab_MinKomp[Polityka Etyczna - Compliance],MATCH($B41,tab_MinKomp[[Stanowisko / Position ]:[Stanowisko / Position ]],0))="n/a","n/a",AL41-INDEX(tab_MinKomp[Polityka Etyczna - Compliance],MATCH($B41,tab_MinKomp[[Stanowisko / Position ]:[Stanowisko / Position ]],0)))</f>
        <v>0</v>
      </c>
      <c r="AM42" s="315">
        <f>IF(INDEX(tab_MinKomp[WDRAŻANIE NOWYCH PROJEKTÓW/ PROCEDURA CTM],MATCH($B41,tab_MinKomp[[Stanowisko / Position ]:[Stanowisko / Position ]],0))="n/a","n/a",AM41-INDEX(tab_MinKomp[WDRAŻANIE NOWYCH PROJEKTÓW/ PROCEDURA CTM],MATCH($B41,tab_MinKomp[[Stanowisko / Position ]:[Stanowisko / Position ]],0)))</f>
        <v>0</v>
      </c>
      <c r="AN42" s="315" t="str">
        <f>IF(INDEX(tab_MinKomp[KAMIENIE MILOWE MSL/PIFF],MATCH($B41,tab_MinKomp[[Stanowisko / Position ]:[Stanowisko / Position ]],0))="n/a","n/a",AN41-INDEX(tab_MinKomp[KAMIENIE MILOWE MSL/PIFF],MATCH($B41,tab_MinKomp[[Stanowisko / Position ]:[Stanowisko / Position ]],0)))</f>
        <v>n/a</v>
      </c>
      <c r="AO42" s="315" t="str">
        <f>IF(INDEX(tab_MinKomp[CP],MATCH($B41,tab_MinKomp[[Stanowisko / Position ]:[Stanowisko / Position ]],0))="n/a","n/a",AO41-INDEX(tab_MinKomp[CP],MATCH($B41,tab_MinKomp[[Stanowisko / Position ]:[Stanowisko / Position ]],0)))</f>
        <v>n/a</v>
      </c>
      <c r="AP42" s="315" t="str">
        <f>IF(INDEX(tab_MinKomp[FMEA],MATCH($B41,tab_MinKomp[[Stanowisko / Position ]:[Stanowisko / Position ]],0))="n/a","n/a",AP41-INDEX(tab_MinKomp[FMEA],MATCH($B41,tab_MinKomp[[Stanowisko / Position ]:[Stanowisko / Position ]],0)))</f>
        <v>n/a</v>
      </c>
      <c r="AQ42" s="315">
        <f>IF(INDEX(tab_MinKomp[FLOW CHART],MATCH($B41,tab_MinKomp[[Stanowisko / Position ]:[Stanowisko / Position ]],0))="n/a","n/a",AQ41-INDEX(tab_MinKomp[FLOW CHART],MATCH($B41,tab_MinKomp[[Stanowisko / Position ]:[Stanowisko / Position ]],0)))</f>
        <v>0</v>
      </c>
      <c r="AR42" s="315" t="str">
        <f>IF(INDEX(tab_MinKomp[APQP],MATCH($B41,tab_MinKomp[[Stanowisko / Position ]:[Stanowisko / Position ]],0))="n/a","n/a",AR41-INDEX(tab_MinKomp[APQP],MATCH($B41,tab_MinKomp[[Stanowisko / Position ]:[Stanowisko / Position ]],0)))</f>
        <v>n/a</v>
      </c>
      <c r="AS42" s="315" t="str">
        <f>IF(INDEX(tab_MinKomp[MSA],MATCH($B41,tab_MinKomp[[Stanowisko / Position ]:[Stanowisko / Position ]],0))="n/a","n/a",AS41-INDEX(tab_MinKomp[MSA],MATCH($B41,tab_MinKomp[[Stanowisko / Position ]:[Stanowisko / Position ]],0)))</f>
        <v>n/a</v>
      </c>
      <c r="AT42" s="315" t="str">
        <f>IF(INDEX(tab_MinKomp[SPC],MATCH($B41,tab_MinKomp[[Stanowisko / Position ]:[Stanowisko / Position ]],0))="n/a","n/a",AT41-INDEX(tab_MinKomp[SPC],MATCH($B41,tab_MinKomp[[Stanowisko / Position ]:[Stanowisko / Position ]],0)))</f>
        <v>n/a</v>
      </c>
      <c r="AU42" s="315" t="str">
        <f>IF(INDEX(tab_MinKomp[CSR (SPECYFICZNE WYMAGANIA KLIENTA)],MATCH($B41,tab_MinKomp[[Stanowisko / Position ]:[Stanowisko / Position ]],0))="n/a","n/a",AU41-INDEX(tab_MinKomp[CSR (SPECYFICZNE WYMAGANIA KLIENTA)],MATCH($B41,tab_MinKomp[[Stanowisko / Position ]:[Stanowisko / Position ]],0)))</f>
        <v>n/a</v>
      </c>
      <c r="AV42" s="315">
        <f>IF(INDEX(tab_MinKomp[5S],MATCH($B41,tab_MinKomp[[Stanowisko / Position ]:[Stanowisko / Position ]],0))="n/a","n/a",AV41-INDEX(tab_MinKomp[5S],MATCH($B41,tab_MinKomp[[Stanowisko / Position ]:[Stanowisko / Position ]],0)))</f>
        <v>0</v>
      </c>
      <c r="AW42" s="315">
        <f>IF(INDEX(tab_MinKomp[LEAN MANAGEMENT],MATCH($B41,tab_MinKomp[[Stanowisko / Position ]:[Stanowisko / Position ]],0))="n/a","n/a",AW41-INDEX(tab_MinKomp[LEAN MANAGEMENT],MATCH($B41,tab_MinKomp[[Stanowisko / Position ]:[Stanowisko / Position ]],0)))</f>
        <v>0</v>
      </c>
      <c r="AX42" s="315">
        <f>IF(INDEX(tab_MinKomp[5R],MATCH($B41,tab_MinKomp[[Stanowisko / Position ]:[Stanowisko / Position ]],0))="n/a","n/a",AX41-INDEX(tab_MinKomp[5R],MATCH($B41,tab_MinKomp[[Stanowisko / Position ]:[Stanowisko / Position ]],0)))</f>
        <v>0</v>
      </c>
      <c r="AY42" s="315" t="str">
        <f>IF(INDEX(tab_MinKomp[Six Sigma],MATCH($B41,tab_MinKomp[[Stanowisko / Position ]:[Stanowisko / Position ]],0))="n/a","n/a",AY41-INDEX(tab_MinKomp[Six Sigma],MATCH($B41,tab_MinKomp[[Stanowisko / Position ]:[Stanowisko / Position ]],0)))</f>
        <v>n/a</v>
      </c>
      <c r="AZ42" s="315">
        <f>IF(INDEX(tab_MinKomp[System BAAN / Distribution &amp; Supply Chain],MATCH($B41,tab_MinKomp[[Stanowisko / Position ]:[Stanowisko / Position ]],0))="n/a","n/a",AZ41-INDEX(tab_MinKomp[System BAAN / Distribution &amp; Supply Chain],MATCH($B41,tab_MinKomp[[Stanowisko / Position ]:[Stanowisko / Position ]],0)))</f>
        <v>0</v>
      </c>
      <c r="BA42" s="315">
        <f>IF(INDEX(tab_MinKomp[Gospodarka magazynowa / Lagerverwaltung],MATCH($B41,tab_MinKomp[[Stanowisko / Position ]:[Stanowisko / Position ]],0))="n/a","n/a",BA41-INDEX(tab_MinKomp[Gospodarka magazynowa / Lagerverwaltung],MATCH($B41,tab_MinKomp[[Stanowisko / Position ]:[Stanowisko / Position ]],0)))</f>
        <v>0</v>
      </c>
      <c r="BB42" s="315">
        <f>IF(INDEX(tab_MinKomp[Inwentaryzacja - organizacja i przebieg / Inventurprozess],MATCH($B41,tab_MinKomp[[Stanowisko / Position ]:[Stanowisko / Position ]],0))="n/a","n/a",BB41-INDEX(tab_MinKomp[Inwentaryzacja - organizacja i przebieg / Inventurprozess],MATCH($B41,tab_MinKomp[[Stanowisko / Position ]:[Stanowisko / Position ]],0)))</f>
        <v>0</v>
      </c>
      <c r="BC42" s="315">
        <f>IF(INDEX(tab_MinKomp[Organizacja dostaw / Versorgungsorganisation],MATCH($B41,tab_MinKomp[[Stanowisko / Position ]:[Stanowisko / Position ]],0))="n/a","n/a",BC41-INDEX(tab_MinKomp[Organizacja dostaw / Versorgungsorganisation],MATCH($B41,tab_MinKomp[[Stanowisko / Position ]:[Stanowisko / Position ]],0)))</f>
        <v>0</v>
      </c>
      <c r="BD42" s="315">
        <f>IF(INDEX(tab_MinKomp[Organizacja wysyłek / Organisation von Lieferungen],MATCH($B41,tab_MinKomp[[Stanowisko / Position ]:[Stanowisko / Position ]],0))="n/a","n/a",BD41-INDEX(tab_MinKomp[Organizacja wysyłek / Organisation von Lieferungen],MATCH($B41,tab_MinKomp[[Stanowisko / Position ]:[Stanowisko / Position ]],0)))</f>
        <v>0</v>
      </c>
      <c r="BE42" s="315">
        <f>IF(INDEX(tab_MinKomp[Analiza magazynowa - Program Polen.mdb / Inventuranalyse],MATCH($B41,tab_MinKomp[[Stanowisko / Position ]:[Stanowisko / Position ]],0))="n/a","n/a",BE41-INDEX(tab_MinKomp[Analiza magazynowa - Program Polen.mdb / Inventuranalyse],MATCH($B41,tab_MinKomp[[Stanowisko / Position ]:[Stanowisko / Position ]],0)))</f>
        <v>1</v>
      </c>
      <c r="BF42" s="315">
        <f>IF(INDEX(tab_MinKomp[MMOG (Materials Management Operations Guidelines)],MATCH($B41,tab_MinKomp[[Stanowisko / Position ]:[Stanowisko / Position ]],0))="n/a","n/a",BF41-INDEX(tab_MinKomp[MMOG (Materials Management Operations Guidelines)],MATCH($B41,tab_MinKomp[[Stanowisko / Position ]:[Stanowisko / Position ]],0)))</f>
        <v>-1</v>
      </c>
      <c r="BG42" s="315">
        <f>IF(INDEX(tab_MinKomp[GPP],MATCH($B41,tab_MinKomp[[Stanowisko / Position ]:[Stanowisko / Position ]],0))="n/a","n/a",BG41-INDEX(tab_MinKomp[GPP],MATCH($B41,tab_MinKomp[[Stanowisko / Position ]:[Stanowisko / Position ]],0)))</f>
        <v>-1</v>
      </c>
      <c r="BH42" s="315">
        <f>IF(INDEX(tab_MinKomp[AIAG (Automotive Industry Action Group)],MATCH($B41,tab_MinKomp[[Stanowisko / Position ]:[Stanowisko / Position ]],0))="n/a","n/a",BH41-INDEX(tab_MinKomp[AIAG (Automotive Industry Action Group)],MATCH($B41,tab_MinKomp[[Stanowisko / Position ]:[Stanowisko / Position ]],0)))</f>
        <v>0</v>
      </c>
      <c r="BI42" s="315">
        <f>IF(INDEX(tab_MinKomp[Super-G disputes],MATCH($B41,tab_MinKomp[[Stanowisko / Position ]:[Stanowisko / Position ]],0))="n/a","n/a",BI41-INDEX(tab_MinKomp[Super-G disputes],MATCH($B41,tab_MinKomp[[Stanowisko / Position ]:[Stanowisko / Position ]],0)))</f>
        <v>-1</v>
      </c>
      <c r="BJ42" s="315">
        <f>IF(INDEX(tab_MinKomp[CMMS3/eDDL (Direct Data Link)],MATCH($B41,tab_MinKomp[[Stanowisko / Position ]:[Stanowisko / Position ]],0))="n/a","n/a",BJ41-INDEX(tab_MinKomp[CMMS3/eDDL (Direct Data Link)],MATCH($B41,tab_MinKomp[[Stanowisko / Position ]:[Stanowisko / Position ]],0)))</f>
        <v>0</v>
      </c>
      <c r="BK42" s="315">
        <f>IF(INDEX(tab_MinKomp[MP&amp;L (Material Planning and Logistics)],MATCH($B41,tab_MinKomp[[Stanowisko / Position ]:[Stanowisko / Position ]],0))="n/a","n/a",BK41-INDEX(tab_MinKomp[MP&amp;L (Material Planning and Logistics)],MATCH($B41,tab_MinKomp[[Stanowisko / Position ]:[Stanowisko / Position ]],0)))</f>
        <v>-1</v>
      </c>
      <c r="BL42" s="315">
        <f>IF(INDEX(tab_MinKomp[Supplier delivery rating],MATCH($B41,tab_MinKomp[[Stanowisko / Position ]:[Stanowisko / Position ]],0))="n/a","n/a",BL41-INDEX(tab_MinKomp[Supplier delivery rating],MATCH($B41,tab_MinKomp[[Stanowisko / Position ]:[Stanowisko / Position ]],0)))</f>
        <v>0</v>
      </c>
      <c r="BM42" s="315" t="str">
        <f>IF(INDEX(tab_MinKomp[Planowanie produkcji / Produktionsplanung],MATCH($B41,tab_MinKomp[[Stanowisko / Position ]:[Stanowisko / Position ]],0))="n/a","n/a",BM41-INDEX(tab_MinKomp[Planowanie produkcji / Produktionsplanung],MATCH($B41,tab_MinKomp[[Stanowisko / Position ]:[Stanowisko / Position ]],0)))</f>
        <v>n/a</v>
      </c>
      <c r="BN42" s="315" t="str">
        <f>IF(INDEX(tab_MinKomp[Obsługa maszyn Engel / Engel Maschinenbedienung],MATCH($B41,tab_MinKomp[[Stanowisko / Position ]:[Stanowisko / Position ]],0))="n/a","n/a",BN41-INDEX(tab_MinKomp[Obsługa maszyn Engel / Engel Maschinenbedienung],MATCH($B41,tab_MinKomp[[Stanowisko / Position ]:[Stanowisko / Position ]],0)))</f>
        <v>n/a</v>
      </c>
      <c r="BO42" s="315" t="str">
        <f>IF(INDEX(tab_MinKomp[Obsługa maszyn Novapax / Novapax Maschinenbedienung],MATCH($B41,tab_MinKomp[[Stanowisko / Position ]:[Stanowisko / Position ]],0))="n/a","n/a",BO41-INDEX(tab_MinKomp[Obsługa maszyn Novapax / Novapax Maschinenbedienung],MATCH($B41,tab_MinKomp[[Stanowisko / Position ]:[Stanowisko / Position ]],0)))</f>
        <v>n/a</v>
      </c>
      <c r="BP42" s="315" t="str">
        <f>IF(INDEX(tab_MinKomp[Obsługa maszyn KVT / KVT Maschinenbedienung],MATCH($B41,tab_MinKomp[[Stanowisko / Position ]:[Stanowisko / Position ]],0))="n/a","n/a",BP41-INDEX(tab_MinKomp[Obsługa maszyn KVT / KVT Maschinenbedienung],MATCH($B41,tab_MinKomp[[Stanowisko / Position ]:[Stanowisko / Position ]],0)))</f>
        <v>n/a</v>
      </c>
      <c r="BQ42" s="315" t="str">
        <f>IF(INDEX(tab_MinKomp[Obsługa maszyn ASL / ASL Maschinenbedienung],MATCH($B41,tab_MinKomp[[Stanowisko / Position ]:[Stanowisko / Position ]],0))="n/a","n/a",BQ41-INDEX(tab_MinKomp[Obsługa maszyn ASL / ASL Maschinenbedienung],MATCH($B41,tab_MinKomp[[Stanowisko / Position ]:[Stanowisko / Position ]],0)))</f>
        <v>n/a</v>
      </c>
      <c r="BR42" s="315" t="str">
        <f>IF(INDEX(tab_MinKomp[Obsługa maszyn Branson / Branson Maschinenbedienung],MATCH($B41,tab_MinKomp[[Stanowisko / Position ]:[Stanowisko / Position ]],0))="n/a","n/a",BR41-INDEX(tab_MinKomp[Obsługa maszyn Branson / Branson Maschinenbedienung],MATCH($B41,tab_MinKomp[[Stanowisko / Position ]:[Stanowisko / Position ]],0)))</f>
        <v>n/a</v>
      </c>
      <c r="BS42" s="315" t="str">
        <f>IF(INDEX(tab_MinKomp[Obsługa maszyn Kamtec / Kamtec Maschinenbedienung],MATCH($B41,tab_MinKomp[[Stanowisko / Position ]:[Stanowisko / Position ]],0))="n/a","n/a",BS41-INDEX(tab_MinKomp[Obsługa maszyn Kamtec / Kamtec Maschinenbedienung],MATCH($B41,tab_MinKomp[[Stanowisko / Position ]:[Stanowisko / Position ]],0)))</f>
        <v>n/a</v>
      </c>
      <c r="BT42" s="315" t="str">
        <f>IF(INDEX(tab_MinKomp[Obsługa maszyn Piovan / Piovan Maschinenbedienung],MATCH($B41,tab_MinKomp[[Stanowisko / Position ]:[Stanowisko / Position ]],0))="n/a","n/a",BT41-INDEX(tab_MinKomp[Obsługa maszyn Piovan / Piovan Maschinenbedienung],MATCH($B41,tab_MinKomp[[Stanowisko / Position ]:[Stanowisko / Position ]],0)))</f>
        <v>n/a</v>
      </c>
      <c r="BU42" s="315" t="str">
        <f>IF(INDEX(tab_MinKomp[Obsługa maszyn REP / REP Maschinenbedienung],MATCH($B41,tab_MinKomp[[Stanowisko / Position ]:[Stanowisko / Position ]],0))="n/a","n/a",BU41-INDEX(tab_MinKomp[Obsługa maszyn REP / REP Maschinenbedienung],MATCH($B41,tab_MinKomp[[Stanowisko / Position ]:[Stanowisko / Position ]],0)))</f>
        <v>n/a</v>
      </c>
      <c r="BV42" s="315" t="str">
        <f>IF(INDEX(tab_MinKomp[Eliminacja awarii / Beseitigung von Ausfällen],MATCH($B41,tab_MinKomp[[Stanowisko / Position ]:[Stanowisko / Position ]],0))="n/a","n/a",BV41-INDEX(tab_MinKomp[Eliminacja awarii / Beseitigung von Ausfällen],MATCH($B41,tab_MinKomp[[Stanowisko / Position ]:[Stanowisko / Position ]],0)))</f>
        <v>n/a</v>
      </c>
      <c r="BW42" s="315" t="str">
        <f>IF(INDEX(tab_MinKomp[Informatyka ogólna (techniczne i systemowe) / Allgemeine IT (Technik und System)],MATCH($B41,tab_MinKomp[[Stanowisko / Position ]:[Stanowisko / Position ]],0))="n/a","n/a",BW41-INDEX(tab_MinKomp[Informatyka ogólna (techniczne i systemowe) / Allgemeine IT (Technik und System)],MATCH($B41,tab_MinKomp[[Stanowisko / Position ]:[Stanowisko / Position ]],0)))</f>
        <v>n/a</v>
      </c>
      <c r="BX42" s="315" t="str">
        <f>IF(INDEX(tab_MinKomp[Sieci komputerowe / Computernetzwerke],MATCH($B41,tab_MinKomp[[Stanowisko / Position ]:[Stanowisko / Position ]],0))="n/a","n/a",BX41-INDEX(tab_MinKomp[Sieci komputerowe / Computernetzwerke],MATCH($B41,tab_MinKomp[[Stanowisko / Position ]:[Stanowisko / Position ]],0)))</f>
        <v>n/a</v>
      </c>
      <c r="BY42" s="315" t="str">
        <f>IF(INDEX(tab_MinKomp[Hardware (komputery PC, drukarki biurowe i etykietowe, telefonia stacjonarna i mobilna) (PC, Drucker, Telefpne, Handys)],MATCH($B41,tab_MinKomp[[Stanowisko / Position ]:[Stanowisko / Position ]],0))="n/a","n/a",BY41-INDEX(tab_MinKomp[Hardware (komputery PC, drukarki biurowe i etykietowe, telefonia stacjonarna i mobilna) (PC, Drucker, Telefpne, Handys)],MATCH($B41,tab_MinKomp[[Stanowisko / Position ]:[Stanowisko / Position ]],0)))</f>
        <v>n/a</v>
      </c>
      <c r="BZ42" s="315" t="str">
        <f>IF(INDEX(tab_MinKomp[Software &amp; Systems (MS Office, MS Remote Desktop)],MATCH($B41,tab_MinKomp[[Stanowisko / Position ]:[Stanowisko / Position ]],0))="n/a","n/a",BZ41-INDEX(tab_MinKomp[Software &amp; Systems (MS Office, MS Remote Desktop)],MATCH($B41,tab_MinKomp[[Stanowisko / Position ]:[Stanowisko / Position ]],0)))</f>
        <v>n/a</v>
      </c>
      <c r="CA42" s="315" t="str">
        <f>IF(INDEX(tab_MinKomp[Programowanie obiektowe (PHP) / Objektprogrammierung],MATCH($B41,tab_MinKomp[[Stanowisko / Position ]:[Stanowisko / Position ]],0))="n/a","n/a",CA41-INDEX(tab_MinKomp[Programowanie obiektowe (PHP) / Objektprogrammierung],MATCH($B41,tab_MinKomp[[Stanowisko / Position ]:[Stanowisko / Position ]],0)))</f>
        <v>n/a</v>
      </c>
      <c r="CB42" s="315" t="str">
        <f>IF(INDEX(tab_MinKomp[Scrum],MATCH($B41,tab_MinKomp[[Stanowisko / Position ]:[Stanowisko / Position ]],0))="n/a","n/a",CB41-INDEX(tab_MinKomp[Scrum],MATCH($B41,tab_MinKomp[[Stanowisko / Position ]:[Stanowisko / Position ]],0)))</f>
        <v>n/a</v>
      </c>
      <c r="CC42" s="315" t="str">
        <f>IF(INDEX(tab_MinKomp[SQL (MySQL)],MATCH($B41,tab_MinKomp[[Stanowisko / Position ]:[Stanowisko / Position ]],0))="n/a","n/a",CC41-INDEX(tab_MinKomp[SQL (MySQL)],MATCH($B41,tab_MinKomp[[Stanowisko / Position ]:[Stanowisko / Position ]],0)))</f>
        <v>n/a</v>
      </c>
      <c r="CD42" s="315" t="str">
        <f>IF(INDEX(tab_MinKomp[Javascript],MATCH($B41,tab_MinKomp[[Stanowisko / Position ]:[Stanowisko / Position ]],0))="n/a","n/a",CD41-INDEX(tab_MinKomp[Javascript],MATCH($B41,tab_MinKomp[[Stanowisko / Position ]:[Stanowisko / Position ]],0)))</f>
        <v>n/a</v>
      </c>
      <c r="CE42" s="315" t="str">
        <f>IF(INDEX(tab_MinKomp[Joomla],MATCH($B41,tab_MinKomp[[Stanowisko / Position ]:[Stanowisko / Position ]],0))="n/a","n/a",CE41-INDEX(tab_MinKomp[Joomla],MATCH($B41,tab_MinKomp[[Stanowisko / Position ]:[Stanowisko / Position ]],0)))</f>
        <v>n/a</v>
      </c>
      <c r="CF42" s="315" t="str">
        <f>IF(INDEX(tab_MinKomp[Bash],MATCH($B41,tab_MinKomp[[Stanowisko / Position ]:[Stanowisko / Position ]],0))="n/a","n/a",CF41-INDEX(tab_MinKomp[Bash],MATCH($B41,tab_MinKomp[[Stanowisko / Position ]:[Stanowisko / Position ]],0)))</f>
        <v>n/a</v>
      </c>
      <c r="CG42" s="315" t="str">
        <f>IF(INDEX(tab_MinKomp[Systemy MES (HYDRA / SFMS)],MATCH($B41,tab_MinKomp[[Stanowisko / Position ]:[Stanowisko / Position ]],0))="n/a","n/a",CG41-INDEX(tab_MinKomp[Systemy MES (HYDRA / SFMS)],MATCH($B41,tab_MinKomp[[Stanowisko / Position ]:[Stanowisko / Position ]],0)))</f>
        <v>n/a</v>
      </c>
      <c r="CH42" s="315" t="str">
        <f>IF(INDEX(tab_MinKomp[HTML / CSS],MATCH($B41,tab_MinKomp[[Stanowisko / Position ]:[Stanowisko / Position ]],0))="n/a","n/a",CH41-INDEX(tab_MinKomp[HTML / CSS],MATCH($B41,tab_MinKomp[[Stanowisko / Position ]:[Stanowisko / Position ]],0)))</f>
        <v>n/a</v>
      </c>
      <c r="CI42" s="315">
        <f>IF(INDEX(tab_MinKomp[SYSTEM PR],MATCH($B41,tab_MinKomp[[Stanowisko / Position ]:[Stanowisko / Position ]],0))="n/a","n/a",CI41-INDEX(tab_MinKomp[SYSTEM PR],MATCH($B41,tab_MinKomp[[Stanowisko / Position ]:[Stanowisko / Position ]],0)))</f>
        <v>0</v>
      </c>
      <c r="CJ42" s="315" t="str">
        <f>IF(INDEX(tab_MinKomp[System Einkauf XP / EBA],MATCH($B41,tab_MinKomp[[Stanowisko / Position ]:[Stanowisko / Position ]],0))="n/a","n/a",CJ41-INDEX(tab_MinKomp[System Einkauf XP / EBA],MATCH($B41,tab_MinKomp[[Stanowisko / Position ]:[Stanowisko / Position ]],0)))</f>
        <v>n/a</v>
      </c>
      <c r="CK42" s="315" t="str">
        <f>IF(INDEX(tab_MinKomp[Techniki negocjacyjne / Verhandlungstechniken],MATCH($B41,tab_MinKomp[[Stanowisko / Position ]:[Stanowisko / Position ]],0))="n/a","n/a",CK41-INDEX(tab_MinKomp[Techniki negocjacyjne / Verhandlungstechniken],MATCH($B41,tab_MinKomp[[Stanowisko / Position ]:[Stanowisko / Position ]],0)))</f>
        <v>n/a</v>
      </c>
      <c r="CL42" s="315"/>
      <c r="CM42" s="315">
        <f>IF(INDEX(tab_MinKomp[RAPORTY 8D / 8D Berichten],MATCH($B41,tab_MinKomp[[Stanowisko / Position ]:[Stanowisko / Position ]],0))="n/a","n/a",CM41-INDEX(tab_MinKomp[RAPORTY 8D / 8D Berichten],MATCH($B41,tab_MinKomp[[Stanowisko / Position ]:[Stanowisko / Position ]],0)))</f>
        <v>0</v>
      </c>
      <c r="CN42" s="315">
        <f>IF(INDEX(tab_MinKomp[NARZĘDZIA JAKOŚCIOWE (5WHY, Ishikawa, etc) / QS-Werkzeuge],MATCH($B41,tab_MinKomp[[Stanowisko / Position ]:[Stanowisko / Position ]],0))="n/a","n/a",CN41-INDEX(tab_MinKomp[NARZĘDZIA JAKOŚCIOWE (5WHY, Ishikawa, etc) / QS-Werkzeuge],MATCH($B41,tab_MinKomp[[Stanowisko / Position ]:[Stanowisko / Position ]],0)))</f>
        <v>0</v>
      </c>
      <c r="CO42" s="315">
        <f>IF(INDEX(tab_MinKomp[PDCA],MATCH($B41,tab_MinKomp[[Stanowisko / Position ]:[Stanowisko / Position ]],0))="n/a","n/a",CO41-INDEX(tab_MinKomp[PDCA],MATCH($B41,tab_MinKomp[[Stanowisko / Position ]:[Stanowisko / Position ]],0)))</f>
        <v>0</v>
      </c>
      <c r="CP42" s="315">
        <f>IF(INDEX(tab_MinKomp[Pareto],MATCH($B41,tab_MinKomp[[Stanowisko / Position ]:[Stanowisko / Position ]],0))="n/a","n/a",CP41-INDEX(tab_MinKomp[Pareto],MATCH($B41,tab_MinKomp[[Stanowisko / Position ]:[Stanowisko / Position ]],0)))</f>
        <v>0</v>
      </c>
      <c r="CQ42" s="315">
        <f>IF(INDEX(tab_MinKomp[PPAP/PSW],MATCH($B41,tab_MinKomp[[Stanowisko / Position ]:[Stanowisko / Position ]],0))="n/a","n/a",CQ41-INDEX(tab_MinKomp[PPAP/PSW],MATCH($B41,tab_MinKomp[[Stanowisko / Position ]:[Stanowisko / Position ]],0)))</f>
        <v>0</v>
      </c>
      <c r="CR42" s="315" t="str">
        <f>IF(INDEX(tab_MinKomp[SUPPLIER MANAGEMENT],MATCH($B41,tab_MinKomp[[Stanowisko / Position ]:[Stanowisko / Position ]],0))="n/a","n/a",CR41-INDEX(tab_MinKomp[SUPPLIER MANAGEMENT],MATCH($B41,tab_MinKomp[[Stanowisko / Position ]:[Stanowisko / Position ]],0)))</f>
        <v>n/a</v>
      </c>
      <c r="CS42" s="315">
        <f>IF(INDEX(tab_MinKomp[OBSŁUGA PORTALI KLIENTA / Kundenportale],MATCH($B41,tab_MinKomp[[Stanowisko / Position ]:[Stanowisko / Position ]],0))="n/a","n/a",CS41-INDEX(tab_MinKomp[OBSŁUGA PORTALI KLIENTA / Kundenportale],MATCH($B41,tab_MinKomp[[Stanowisko / Position ]:[Stanowisko / Position ]],0)))</f>
        <v>-1</v>
      </c>
      <c r="CT42" s="315">
        <f>IF(INDEX(tab_MinKomp[Obsługa systemu BABTECQ / BABTECQ System],MATCH($B41,tab_MinKomp[[Stanowisko / Position ]:[Stanowisko / Position ]],0))="n/a","n/a",CT41-INDEX(tab_MinKomp[Obsługa systemu BABTECQ / BABTECQ System],MATCH($B41,tab_MinKomp[[Stanowisko / Position ]:[Stanowisko / Position ]],0)))</f>
        <v>0</v>
      </c>
      <c r="CU42" s="315" t="str">
        <f>IF(INDEX(tab_MinKomp[Rysunek techniczny / technische Zeichnung],MATCH($B41,tab_MinKomp[[Stanowisko / Position ]:[Stanowisko / Position ]],0))="n/a","n/a",CU41-INDEX(tab_MinKomp[Rysunek techniczny / technische Zeichnung],MATCH($B41,tab_MinKomp[[Stanowisko / Position ]:[Stanowisko / Position ]],0)))</f>
        <v>n/a</v>
      </c>
      <c r="CV42" s="315" t="str">
        <f>IF(INDEX(tab_MinKomp[Kalibracja / Kalibrierung],MATCH($B41,tab_MinKomp[[Stanowisko / Position ]:[Stanowisko / Position ]],0))="n/a","n/a",CV41-INDEX(tab_MinKomp[Kalibracja / Kalibrierung],MATCH($B41,tab_MinKomp[[Stanowisko / Position ]:[Stanowisko / Position ]],0)))</f>
        <v>n/a</v>
      </c>
      <c r="CW42" s="315" t="str">
        <f>IF(INDEX(tab_MinKomp[Rekwalifikacja / Requalifizierung],MATCH($B41,tab_MinKomp[[Stanowisko / Position ]:[Stanowisko / Position ]],0))="n/a","n/a",CW41-INDEX(tab_MinKomp[Rekwalifikacja / Requalifizierung],MATCH($B41,tab_MinKomp[[Stanowisko / Position ]:[Stanowisko / Position ]],0)))</f>
        <v>n/a</v>
      </c>
      <c r="CX42" s="315" t="str">
        <f>IF(INDEX(tab_MinKomp[CMM - Contura Zeiss],MATCH($B41,tab_MinKomp[[Stanowisko / Position ]:[Stanowisko / Position ]],0))="n/a","n/a",CX41-INDEX(tab_MinKomp[CMM - Contura Zeiss],MATCH($B41,tab_MinKomp[[Stanowisko / Position ]:[Stanowisko / Position ]],0)))</f>
        <v>n/a</v>
      </c>
      <c r="CY42" s="318" t="str">
        <f>IF(INDEX(tab_MinKomp[CMM - Contura Zeiss],MATCH($B41,tab_MinKomp[[Stanowisko / Position ]:[Stanowisko / Position ]],0))="n/a","n/a",CY41-INDEX(tab_MinKomp[CMM - Contura Zeiss],MATCH($B41,tab_MinKomp[[Stanowisko / Position ]:[Stanowisko / Position ]],0)))</f>
        <v>n/a</v>
      </c>
      <c r="CZ42" s="315" t="str">
        <f>IF(INDEX(tab_MinKomp[CMM - Contura Zeiss],MATCH($B41,tab_MinKomp[[Stanowisko / Position ]:[Stanowisko / Position ]],0))="n/a","n/a",CZ41-INDEX(tab_MinKomp[CMM - Contura Zeiss],MATCH($B41,tab_MinKomp[[Stanowisko / Position ]:[Stanowisko / Position ]],0)))</f>
        <v>n/a</v>
      </c>
      <c r="DA42" s="315" t="str">
        <f>IF(INDEX(tab_MinKomp[CMM - Contura Zeiss],MATCH($B41,tab_MinKomp[[Stanowisko / Position ]:[Stanowisko / Position ]],0))="n/a","n/a",DA41-INDEX(tab_MinKomp[CMM - Contura Zeiss],MATCH($B41,tab_MinKomp[[Stanowisko / Position ]:[Stanowisko / Position ]],0)))</f>
        <v>n/a</v>
      </c>
      <c r="DB42" s="315" t="str">
        <f>IF(INDEX(tab_MinKomp[CMM - Contura Zeiss],MATCH($B41,tab_MinKomp[[Stanowisko / Position ]:[Stanowisko / Position ]],0))="n/a","n/a",DB41-INDEX(tab_MinKomp[CMM - Contura Zeiss],MATCH($B41,tab_MinKomp[[Stanowisko / Position ]:[Stanowisko / Position ]],0)))</f>
        <v>n/a</v>
      </c>
      <c r="DC42" s="318" t="str">
        <f>IF(INDEX(tab_MinKomp[CMM - Contura Zeiss],MATCH($B41,tab_MinKomp[[Stanowisko / Position ]:[Stanowisko / Position ]],0))="n/a","n/a",DC41-INDEX(tab_MinKomp[CMM - Contura Zeiss],MATCH($B41,tab_MinKomp[[Stanowisko / Position ]:[Stanowisko / Position ]],0)))</f>
        <v>n/a</v>
      </c>
      <c r="DD42" s="315" t="str">
        <f>IF(INDEX(tab_MinKomp[Pisanie programów / Programme schreiben],MATCH($B41,tab_MinKomp[[Stanowisko / Position ]:[Stanowisko / Position ]],0))="n/a","n/a",DD41-INDEX(tab_MinKomp[Pisanie programów / Programme schreiben],MATCH($B41,tab_MinKomp[[Stanowisko / Position ]:[Stanowisko / Position ]],0)))</f>
        <v>n/a</v>
      </c>
      <c r="DE42" s="315" t="str">
        <f>IF(INDEX(tab_MinKomp[CMM - Contura Zeiss],MATCH($B41,tab_MinKomp[[Stanowisko / Position ]:[Stanowisko / Position ]],0))="n/a","n/a",DE41-INDEX(tab_MinKomp[CMM - Contura Zeiss],MATCH($B41,tab_MinKomp[[Stanowisko / Position ]:[Stanowisko / Position ]],0)))</f>
        <v>n/a</v>
      </c>
      <c r="DF42" s="315" t="str">
        <f>IF(INDEX(tab_MinKomp[CMM - Contura Zeiss],MATCH($B41,tab_MinKomp[[Stanowisko / Position ]:[Stanowisko / Position ]],0))="n/a","n/a",DF41-INDEX(tab_MinKomp[CMM - Contura Zeiss],MATCH($B41,tab_MinKomp[[Stanowisko / Position ]:[Stanowisko / Position ]],0)))</f>
        <v>n/a</v>
      </c>
      <c r="DG42" s="315" t="str">
        <f>IF(INDEX(tab_MinKomp[CMM - Contura Zeiss],MATCH($B41,tab_MinKomp[[Stanowisko / Position ]:[Stanowisko / Position ]],0))="n/a","n/a",DG41-INDEX(tab_MinKomp[CMM - Contura Zeiss],MATCH($B41,tab_MinKomp[[Stanowisko / Position ]:[Stanowisko / Position ]],0)))</f>
        <v>n/a</v>
      </c>
      <c r="DH42" s="315" t="str">
        <f>IF(INDEX(tab_MinKomp[CMM - Contura Zeiss],MATCH($B41,tab_MinKomp[[Stanowisko / Position ]:[Stanowisko / Position ]],0))="n/a","n/a",DH41-INDEX(tab_MinKomp[CMM - Contura Zeiss],MATCH($B41,tab_MinKomp[[Stanowisko / Position ]:[Stanowisko / Position ]],0)))</f>
        <v>n/a</v>
      </c>
      <c r="DI42" s="315" t="str">
        <f>IF(INDEX(tab_MinKomp[CMM - Contura Zeiss],MATCH($B41,tab_MinKomp[[Stanowisko / Position ]:[Stanowisko / Position ]],0))="n/a","n/a",DI41-INDEX(tab_MinKomp[CMM - Contura Zeiss],MATCH($B41,tab_MinKomp[[Stanowisko / Position ]:[Stanowisko / Position ]],0)))</f>
        <v>n/a</v>
      </c>
      <c r="DJ42" s="315" t="str">
        <f>IF(INDEX(tab_MinKomp[CMM - Contura Zeiss],MATCH($B41,tab_MinKomp[[Stanowisko / Position ]:[Stanowisko / Position ]],0))="n/a","n/a",DJ41-INDEX(tab_MinKomp[CMM - Contura Zeiss],MATCH($B41,tab_MinKomp[[Stanowisko / Position ]:[Stanowisko / Position ]],0)))</f>
        <v>n/a</v>
      </c>
      <c r="DK42" s="315" t="str">
        <f>IF(INDEX(tab_MinKomp[Pisanie programów / Programme schreiben],MATCH($B41,tab_MinKomp[[Stanowisko / Position ]:[Stanowisko / Position ]],0))="n/a","n/a",DK41-INDEX(tab_MinKomp[Pisanie programów / Programme schreiben],MATCH($B41,tab_MinKomp[[Stanowisko / Position ]:[Stanowisko / Position ]],0)))</f>
        <v>n/a</v>
      </c>
      <c r="DL42" s="315" t="str">
        <f>IF(INDEX(tab_MinKomp[CMM - Contura Zeiss],MATCH($B41,tab_MinKomp[[Stanowisko / Position ]:[Stanowisko / Position ]],0))="n/a","n/a",DL41-INDEX(tab_MinKomp[CMM - Contura Zeiss],MATCH($B41,tab_MinKomp[[Stanowisko / Position ]:[Stanowisko / Position ]],0)))</f>
        <v>n/a</v>
      </c>
      <c r="DM42" s="315" t="str">
        <f>IF(INDEX(tab_MinKomp[CMM - Contura Zeiss],MATCH($B41,tab_MinKomp[[Stanowisko / Position ]:[Stanowisko / Position ]],0))="n/a","n/a",DM41-INDEX(tab_MinKomp[CMM - Contura Zeiss],MATCH($B41,tab_MinKomp[[Stanowisko / Position ]:[Stanowisko / Position ]],0)))</f>
        <v>n/a</v>
      </c>
      <c r="DN42" s="315" t="str">
        <f>IF(INDEX(tab_MinKomp[CMM - Contura Zeiss],MATCH($B41,tab_MinKomp[[Stanowisko / Position ]:[Stanowisko / Position ]],0))="n/a","n/a",DN41-INDEX(tab_MinKomp[CMM - Contura Zeiss],MATCH($B41,tab_MinKomp[[Stanowisko / Position ]:[Stanowisko / Position ]],0)))</f>
        <v>n/a</v>
      </c>
      <c r="DO42" s="315" t="str">
        <f>IF(INDEX(tab_MinKomp[CMM - Contura Zeiss],MATCH($B41,tab_MinKomp[[Stanowisko / Position ]:[Stanowisko / Position ]],0))="n/a","n/a",DO41-INDEX(tab_MinKomp[CMM - Contura Zeiss],MATCH($B41,tab_MinKomp[[Stanowisko / Position ]:[Stanowisko / Position ]],0)))</f>
        <v>n/a</v>
      </c>
      <c r="DP42" s="315" t="str">
        <f>IF(INDEX(tab_MinKomp[CMM - Contura Zeiss],MATCH($B41,tab_MinKomp[[Stanowisko / Position ]:[Stanowisko / Position ]],0))="n/a","n/a",DP41-INDEX(tab_MinKomp[CMM - Contura Zeiss],MATCH($B41,tab_MinKomp[[Stanowisko / Position ]:[Stanowisko / Position ]],0)))</f>
        <v>n/a</v>
      </c>
      <c r="DQ42" s="315" t="str">
        <f>IF(INDEX(tab_MinKomp[CMM - Contura Zeiss],MATCH($B41,tab_MinKomp[[Stanowisko / Position ]:[Stanowisko / Position ]],0))="n/a","n/a",DQ41-INDEX(tab_MinKomp[CMM - Contura Zeiss],MATCH($B41,tab_MinKomp[[Stanowisko / Position ]:[Stanowisko / Position ]],0)))</f>
        <v>n/a</v>
      </c>
      <c r="DR42" s="315" t="str">
        <f>IF(INDEX(tab_MinKomp[Pisanie programów / Programme schreiben],MATCH($B41,tab_MinKomp[[Stanowisko / Position ]:[Stanowisko / Position ]],0))="n/a","n/a",DR41-INDEX(tab_MinKomp[Pisanie programów / Programme schreiben],MATCH($B41,tab_MinKomp[[Stanowisko / Position ]:[Stanowisko / Position ]],0)))</f>
        <v>n/a</v>
      </c>
      <c r="DS42" s="315" t="str">
        <f>IF(INDEX(tab_MinKomp[CMM - Contura Zeiss],MATCH($B41,tab_MinKomp[[Stanowisko / Position ]:[Stanowisko / Position ]],0))="n/a","n/a",DS41-INDEX(tab_MinKomp[CMM - Contura Zeiss],MATCH($B41,tab_MinKomp[[Stanowisko / Position ]:[Stanowisko / Position ]],0)))</f>
        <v>n/a</v>
      </c>
      <c r="DT42" s="318" t="str">
        <f>IF(INDEX(tab_MinKomp[CMM - Contura Zeiss],MATCH($B41,tab_MinKomp[[Stanowisko / Position ]:[Stanowisko / Position ]],0))="n/a","n/a",DT41-INDEX(tab_MinKomp[CMM - Contura Zeiss],MATCH($B41,tab_MinKomp[[Stanowisko / Position ]:[Stanowisko / Position ]],0)))</f>
        <v>n/a</v>
      </c>
      <c r="DU42" s="315" t="str">
        <f>IF(INDEX(tab_MinKomp[CMM - Contura Zeiss],MATCH($B41,tab_MinKomp[[Stanowisko / Position ]:[Stanowisko / Position ]],0))="n/a","n/a",DU41-INDEX(tab_MinKomp[CMM - Contura Zeiss],MATCH($B41,tab_MinKomp[[Stanowisko / Position ]:[Stanowisko / Position ]],0)))</f>
        <v>n/a</v>
      </c>
      <c r="DV42" s="315" t="str">
        <f>IF(INDEX(tab_MinKomp[CMM - Contura Zeiss],MATCH($B41,tab_MinKomp[[Stanowisko / Position ]:[Stanowisko / Position ]],0))="n/a","n/a",DV41-INDEX(tab_MinKomp[CMM - Contura Zeiss],MATCH($B41,tab_MinKomp[[Stanowisko / Position ]:[Stanowisko / Position ]],0)))</f>
        <v>n/a</v>
      </c>
      <c r="DW42" s="315" t="str">
        <f>IF(INDEX(tab_MinKomp[CMM - Contura Zeiss],MATCH($B41,tab_MinKomp[[Stanowisko / Position ]:[Stanowisko / Position ]],0))="n/a","n/a",DW41-INDEX(tab_MinKomp[CMM - Contura Zeiss],MATCH($B41,tab_MinKomp[[Stanowisko / Position ]:[Stanowisko / Position ]],0)))</f>
        <v>n/a</v>
      </c>
      <c r="DX42" s="318" t="str">
        <f>IF(INDEX(tab_MinKomp[CMM - Contura Zeiss],MATCH($B41,tab_MinKomp[[Stanowisko / Position ]:[Stanowisko / Position ]],0))="n/a","n/a",DX41-INDEX(tab_MinKomp[CMM - Contura Zeiss],MATCH($B41,tab_MinKomp[[Stanowisko / Position ]:[Stanowisko / Position ]],0)))</f>
        <v>n/a</v>
      </c>
      <c r="DY42" s="315" t="str">
        <f>IF(INDEX(tab_MinKomp[Konserwacja Rep],MATCH($B41,tab_MinKomp[[Stanowisko / Position ]:[Stanowisko / Position ]],0))="n/a","n/a",DY41-INDEX(tab_MinKomp[Konserwacja Rep],MATCH($B41,tab_MinKomp[[Stanowisko / Position ]:[Stanowisko / Position ]],0)))</f>
        <v>n/a</v>
      </c>
      <c r="DZ42" s="315" t="str">
        <f>IF(INDEX(tab_MinKomp[[Konserwacja Engel ]],MATCH($B41,tab_MinKomp[[Stanowisko / Position ]:[Stanowisko / Position ]],0))="n/a","n/a",DZ41-INDEX(tab_MinKomp[[Konserwacja Engel ]],MATCH($B41,tab_MinKomp[[Stanowisko / Position ]:[Stanowisko / Position ]],0)))</f>
        <v>n/a</v>
      </c>
      <c r="EA42" s="315" t="str">
        <f>IF(INDEX(tab_MinKomp[Konserwacja B 50],MATCH($B41,tab_MinKomp[[Stanowisko / Position ]:[Stanowisko / Position ]],0))="n/a","n/a",EA41-INDEX(tab_MinKomp[Konserwacja B 50],MATCH($B41,tab_MinKomp[[Stanowisko / Position ]:[Stanowisko / Position ]],0)))</f>
        <v>n/a</v>
      </c>
      <c r="EB42" s="315" t="str">
        <f>IF(INDEX(tab_MinKomp[[Konserwacja EOL ]],MATCH($B41,tab_MinKomp[[Stanowisko / Position ]:[Stanowisko / Position ]],0))="n/a","n/a",EB41-INDEX(tab_MinKomp[[Konserwacja EOL ]],MATCH($B41,tab_MinKomp[[Stanowisko / Position ]:[Stanowisko / Position ]],0)))</f>
        <v>n/a</v>
      </c>
      <c r="EC42" s="315" t="str">
        <f>IF(INDEX(tab_MinKomp[Konserwacja Branson],MATCH($B41,tab_MinKomp[[Stanowisko / Position ]:[Stanowisko / Position ]],0))="n/a","n/a",EC41-INDEX(tab_MinKomp[Konserwacja Branson],MATCH($B41,tab_MinKomp[[Stanowisko / Position ]:[Stanowisko / Position ]],0)))</f>
        <v>n/a</v>
      </c>
      <c r="ED42" s="315" t="str">
        <f>IF(INDEX(tab_MinKomp[Konserwacja coolery],MATCH($B41,tab_MinKomp[[Stanowisko / Position ]:[Stanowisko / Position ]],0))="n/a","n/a",ED41-INDEX(tab_MinKomp[Konserwacja coolery],MATCH($B41,tab_MinKomp[[Stanowisko / Position ]:[Stanowisko / Position ]],0)))</f>
        <v>n/a</v>
      </c>
      <c r="EE42" s="315" t="str">
        <f>IF(INDEX(tab_MinKomp[Konserwacja piecy],MATCH($B41,tab_MinKomp[[Stanowisko / Position ]:[Stanowisko / Position ]],0))="n/a","n/a",EE41-INDEX(tab_MinKomp[Konserwacja piecy],MATCH($B41,tab_MinKomp[[Stanowisko / Position ]:[Stanowisko / Position ]],0)))</f>
        <v>n/a</v>
      </c>
      <c r="EF42" s="315" t="str">
        <f>IF(INDEX(tab_MinKomp[Rysunek techniczny- czytanie],MATCH($B41,tab_MinKomp[[Stanowisko / Position ]:[Stanowisko / Position ]],0))="n/a","n/a",EF41-INDEX(tab_MinKomp[Rysunek techniczny- czytanie],MATCH($B41,tab_MinKomp[[Stanowisko / Position ]:[Stanowisko / Position ]],0)))</f>
        <v>n/a</v>
      </c>
      <c r="EG42" s="315" t="str">
        <f>IF(INDEX(tab_MinKomp[Elektryka],MATCH($B41,tab_MinKomp[[Stanowisko / Position ]:[Stanowisko / Position ]],0))="n/a","n/a",EG41-INDEX(tab_MinKomp[Elektryka],MATCH($B41,tab_MinKomp[[Stanowisko / Position ]:[Stanowisko / Position ]],0)))</f>
        <v>n/a</v>
      </c>
      <c r="EH42" s="315" t="str">
        <f>IF(INDEX(tab_MinKomp[Pneumatyka],MATCH($B41,tab_MinKomp[[Stanowisko / Position ]:[Stanowisko / Position ]],0))="n/a","n/a",EH41-INDEX(tab_MinKomp[Pneumatyka],MATCH($B41,tab_MinKomp[[Stanowisko / Position ]:[Stanowisko / Position ]],0)))</f>
        <v>n/a</v>
      </c>
      <c r="EI42" s="315" t="str">
        <f>IF(INDEX(tab_MinKomp[[Hydraulika ]],MATCH($B41,tab_MinKomp[[Stanowisko / Position ]:[Stanowisko / Position ]],0))="n/a","n/a",EI41-INDEX(tab_MinKomp[[Hydraulika ]],MATCH($B41,tab_MinKomp[[Stanowisko / Position ]:[Stanowisko / Position ]],0)))</f>
        <v>n/a</v>
      </c>
      <c r="EJ42" s="315" t="str">
        <f>IF(INDEX(tab_MinKomp[Podciśnienie],MATCH($B41,tab_MinKomp[[Stanowisko / Position ]:[Stanowisko / Position ]],0))="n/a","n/a",EJ41-INDEX(tab_MinKomp[Podciśnienie],MATCH($B41,tab_MinKomp[[Stanowisko / Position ]:[Stanowisko / Position ]],0)))</f>
        <v>n/a</v>
      </c>
      <c r="EK42" s="315" t="str">
        <f>IF(INDEX(tab_MinKomp[Usuwanie awarii],MATCH($B41,tab_MinKomp[[Stanowisko / Position ]:[Stanowisko / Position ]],0))="n/a","n/a",EK41-INDEX(tab_MinKomp[Usuwanie awarii],MATCH($B41,tab_MinKomp[[Stanowisko / Position ]:[Stanowisko / Position ]],0)))</f>
        <v>n/a</v>
      </c>
      <c r="EL42" s="315" t="str">
        <f>IF(INDEX(tab_MinKomp[Obsługa robotów],MATCH($B41,tab_MinKomp[[Stanowisko / Position ]:[Stanowisko / Position ]],0))="n/a","n/a",EL41-INDEX(tab_MinKomp[Obsługa robotów],MATCH($B41,tab_MinKomp[[Stanowisko / Position ]:[Stanowisko / Position ]],0)))</f>
        <v>n/a</v>
      </c>
      <c r="EM42" s="315" t="str">
        <f>IF(INDEX(tab_MinKomp[Obsługa sterowania maszyny],MATCH($B41,tab_MinKomp[[Stanowisko / Position ]:[Stanowisko / Position ]],0))="n/a","n/a",EM41-INDEX(tab_MinKomp[Obsługa sterowania maszyny],MATCH($B41,tab_MinKomp[[Stanowisko / Position ]:[Stanowisko / Position ]],0)))</f>
        <v>n/a</v>
      </c>
      <c r="EN42" s="315" t="str">
        <f>IF(INDEX(tab_MinKomp[Usuwanie przyczyn żródłowych],MATCH($B41,tab_MinKomp[[Stanowisko / Position ]:[Stanowisko / Position ]],0))="n/a","n/a",EN41-INDEX(tab_MinKomp[Usuwanie przyczyn żródłowych],MATCH($B41,tab_MinKomp[[Stanowisko / Position ]:[Stanowisko / Position ]],0)))</f>
        <v>n/a</v>
      </c>
      <c r="EO42" s="315" t="str">
        <f>IF(INDEX(tab_MinKomp[Cmms stosowanie],MATCH($B41,tab_MinKomp[[Stanowisko / Position ]:[Stanowisko / Position ]],0))="n/a","n/a",EO41-INDEX(tab_MinKomp[Cmms stosowanie],MATCH($B41,tab_MinKomp[[Stanowisko / Position ]:[Stanowisko / Position ]],0)))</f>
        <v>n/a</v>
      </c>
      <c r="EP42" s="315" t="str">
        <f>IF(INDEX(tab_MinKomp[[Czyszczenie form gumowych ]],MATCH($B41,tab_MinKomp[[Stanowisko / Position ]:[Stanowisko / Position ]],0))="n/a","n/a",EP41-INDEX(tab_MinKomp[[Czyszczenie form gumowych ]],MATCH($B41,tab_MinKomp[[Stanowisko / Position ]:[Stanowisko / Position ]],0)))</f>
        <v>n/a</v>
      </c>
      <c r="EQ42" s="315" t="str">
        <f>IF(INDEX(tab_MinKomp[Czyszczenie form plastikowych],MATCH($B41,tab_MinKomp[[Stanowisko / Position ]:[Stanowisko / Position ]],0))="n/a","n/a",EQ41-INDEX(tab_MinKomp[Czyszczenie form plastikowych],MATCH($B41,tab_MinKomp[[Stanowisko / Position ]:[Stanowisko / Position ]],0)))</f>
        <v>n/a</v>
      </c>
      <c r="ER42" s="315" t="str">
        <f>IF(INDEX(tab_MinKomp[Wymiana form plastik],MATCH($B41,tab_MinKomp[[Stanowisko / Position ]:[Stanowisko / Position ]],0))="n/a","n/a",ER41-INDEX(tab_MinKomp[Wymiana form plastik],MATCH($B41,tab_MinKomp[[Stanowisko / Position ]:[Stanowisko / Position ]],0)))</f>
        <v>n/a</v>
      </c>
      <c r="ES42" s="315" t="str">
        <f>IF(INDEX(tab_MinKomp[Wymiana form guma],MATCH($B41,tab_MinKomp[[Stanowisko / Position ]:[Stanowisko / Position ]],0))="n/a","n/a",ES41-INDEX(tab_MinKomp[Wymiana form guma],MATCH($B41,tab_MinKomp[[Stanowisko / Position ]:[Stanowisko / Position ]],0)))</f>
        <v>n/a</v>
      </c>
      <c r="ET42" s="315" t="str">
        <f>IF(INDEX(tab_MinKomp[Konserwacja KK],MATCH($B41,tab_MinKomp[[Stanowisko / Position ]:[Stanowisko / Position ]],0))="n/a","n/a",ET41-INDEX(tab_MinKomp[Konserwacja KK],MATCH($B41,tab_MinKomp[[Stanowisko / Position ]:[Stanowisko / Position ]],0)))</f>
        <v>n/a</v>
      </c>
      <c r="EU42" s="315" t="str">
        <f>IF(INDEX(tab_MinKomp[Konserwacja form guma],MATCH($B41,tab_MinKomp[[Stanowisko / Position ]:[Stanowisko / Position ]],0))="n/a","n/a",EU41-INDEX(tab_MinKomp[Konserwacja form guma],MATCH($B41,tab_MinKomp[[Stanowisko / Position ]:[Stanowisko / Position ]],0)))</f>
        <v>n/a</v>
      </c>
      <c r="EV42" s="315" t="str">
        <f>IF(INDEX(tab_MinKomp[Konserwacja form plastiki],MATCH($B41,tab_MinKomp[[Stanowisko / Position ]:[Stanowisko / Position ]],0))="n/a","n/a",EV41-INDEX(tab_MinKomp[Konserwacja form plastiki],MATCH($B41,tab_MinKomp[[Stanowisko / Position ]:[Stanowisko / Position ]],0)))</f>
        <v>n/a</v>
      </c>
      <c r="EW42" s="330" t="str">
        <f>IF(INDEX(tab_MinKomp[Konserwacja form plastiki],MATCH($B41,tab_MinKomp[[Stanowisko / Position ]:[Stanowisko / Position ]],0))="n/a","n/a",EW41-INDEX(tab_MinKomp[Konserwacja form plastiki],MATCH($B41,tab_MinKomp[[Stanowisko / Position ]:[Stanowisko / Position ]],0)))</f>
        <v>n/a</v>
      </c>
      <c r="EX42" s="315" t="str">
        <f>IF(INDEX(tab_MinKomp[Konserwacja Gorącego Kanału],MATCH($B41,tab_MinKomp[[Stanowisko / Position ]:[Stanowisko / Position ]],0))="n/a","n/a",EX41-INDEX(tab_MinKomp[Konserwacja Gorącego Kanału],MATCH($B41,tab_MinKomp[[Stanowisko / Position ]:[Stanowisko / Position ]],0)))</f>
        <v>n/a</v>
      </c>
      <c r="EY42" s="315">
        <f>IF(INDEX(tab_MinKomp[MS Office (Excel)],MATCH($B41,tab_MinKomp[[Stanowisko / Position ]:[Stanowisko / Position ]],0))="n/a","n/a",EY41-INDEX(tab_MinKomp[MS Office (Excel)],MATCH($B41,tab_MinKomp[[Stanowisko / Position ]:[Stanowisko / Position ]],0)))</f>
        <v>1</v>
      </c>
      <c r="EZ42" s="315">
        <f>IF(INDEX(tab_MinKomp[MS Office (Word)],MATCH($B41,tab_MinKomp[[Stanowisko / Position ]:[Stanowisko / Position ]],0))="n/a","n/a",EZ41-INDEX(tab_MinKomp[MS Office (Word)],MATCH($B41,tab_MinKomp[[Stanowisko / Position ]:[Stanowisko / Position ]],0)))</f>
        <v>0</v>
      </c>
      <c r="FA42" s="315">
        <f>IF(INDEX(tab_MinKomp[MS Office (Power Point)],MATCH($B41,tab_MinKomp[[Stanowisko / Position ]:[Stanowisko / Position ]],0))="n/a","n/a",FA41-INDEX(tab_MinKomp[MS Office (Power Point)],MATCH($B41,tab_MinKomp[[Stanowisko / Position ]:[Stanowisko / Position ]],0)))</f>
        <v>0</v>
      </c>
      <c r="FB42" s="317">
        <f>IF(INDEX(tab_MinKomp[Język angielski / Englisch],MATCH($B41,tab_MinKomp[[Stanowisko / Position ]:[Stanowisko / Position ]],0))="n/a","n/a",FB41-INDEX(tab_MinKomp[Język angielski / Englisch],MATCH($B41,tab_MinKomp[[Stanowisko / Position ]:[Stanowisko / Position ]],0)))</f>
        <v>0</v>
      </c>
      <c r="FC42" s="317" t="str">
        <f>IF(INDEX(tab_MinKomp[Język niemiecki / Deutsch],MATCH($B41,tab_MinKomp[[Stanowisko / Position ]:[Stanowisko / Position ]],0))="n/a","n/a",FC41-INDEX(tab_MinKomp[Język niemiecki / Deutsch],MATCH($B41,tab_MinKomp[[Stanowisko / Position ]:[Stanowisko / Position ]],0)))</f>
        <v>n/a</v>
      </c>
      <c r="FD42" s="315">
        <f>IF(INDEX(tab_MinKomp[Zarządzanie dokumentacją procesową / Process dokumentation management],MATCH($B41,tab_MinKomp[[Stanowisko / Position ]:[Stanowisko / Position ]],0))="n/a","n/a",FD41-INDEX(tab_MinKomp[Zarządzanie dokumentacją procesową / Process dokumentation management],MATCH($B41,tab_MinKomp[[Stanowisko / Position ]:[Stanowisko / Position ]],0)))</f>
        <v>0</v>
      </c>
      <c r="FE42" s="315">
        <f>IF(INDEX(tab_MinKomp[Znajomość procesów z obszaru / Kenntiss der prozesse in dem Bereich],MATCH($B41,tab_MinKomp[[Stanowisko / Position ]:[Stanowisko / Position ]],0))="n/a","n/a",FE41-INDEX(tab_MinKomp[Znajomość procesów z obszaru / Kenntiss der prozesse in dem Bereich],MATCH($B41,tab_MinKomp[[Stanowisko / Position ]:[Stanowisko / Position ]],0)))</f>
        <v>0</v>
      </c>
      <c r="FF42" s="315">
        <f>IF(INDEX(tab_MinKomp[optymalizacja procesów / Prozessoptymalisierung],MATCH($B41,tab_MinKomp[[Stanowisko / Position ]:[Stanowisko / Position ]],0))="n/a","n/a",FF41-INDEX(tab_MinKomp[optymalizacja procesów / Prozessoptymalisierung],MATCH($B41,tab_MinKomp[[Stanowisko / Position ]:[Stanowisko / Position ]],0)))</f>
        <v>0</v>
      </c>
      <c r="FG42" s="315">
        <f>IF(INDEX(tab_MinKomp[Umiejętności szkoleniowe / Trainingsfähigkeiten],MATCH($B41,tab_MinKomp[[Stanowisko / Position ]:[Stanowisko / Position ]],0))="n/a","n/a",FG41-INDEX(tab_MinKomp[Umiejętności szkoleniowe / Trainingsfähigkeiten],MATCH($B41,tab_MinKomp[[Stanowisko / Position ]:[Stanowisko / Position ]],0)))</f>
        <v>0</v>
      </c>
      <c r="FH42" s="315">
        <f>IF(INDEX(tab_MinKomp[Analityczne myślenie, podejście / Analitysches Denken, Einstellung],MATCH($B41,tab_MinKomp[[Stanowisko / Position ]:[Stanowisko / Position ]],0))="n/a","n/a",FH41-INDEX(tab_MinKomp[Analityczne myślenie, podejście / Analitysches Denken, Einstellung],MATCH($B41,tab_MinKomp[[Stanowisko / Position ]:[Stanowisko / Position ]],0)))</f>
        <v>1</v>
      </c>
      <c r="FI42" s="315">
        <f>IF(INDEX(tab_MinKomp[Dokładność, precyzja w dzialaniu / Genauigkeit, Präzision in die Arbeit],MATCH($B41,tab_MinKomp[[Stanowisko / Position ]:[Stanowisko / Position ]],0))="n/a","n/a",FI41-INDEX(tab_MinKomp[Dokładność, precyzja w dzialaniu / Genauigkeit, Präzision in die Arbeit],MATCH($B41,tab_MinKomp[[Stanowisko / Position ]:[Stanowisko / Position ]],0)))</f>
        <v>0</v>
      </c>
      <c r="FJ42" s="315">
        <f>IF(INDEX(tab_MinKomp[Dyspozycyjność / Verfügbarkeit],MATCH($B41,tab_MinKomp[[Stanowisko / Position ]:[Stanowisko / Position ]],0))="n/a","n/a",FJ41-INDEX(tab_MinKomp[Dyspozycyjność / Verfügbarkeit],MATCH($B41,tab_MinKomp[[Stanowisko / Position ]:[Stanowisko / Position ]],0)))</f>
        <v>0</v>
      </c>
      <c r="FK42" s="315">
        <f>IF(INDEX(tab_MinKomp[Zaangażowanie / 
Engagement],MATCH($B41,tab_MinKomp[[Stanowisko / Position ]:[Stanowisko / Position ]],0))="n/a","n/a",FK41-INDEX(tab_MinKomp[Zaangażowanie / 
Engagement],MATCH($B41,tab_MinKomp[[Stanowisko / Position ]:[Stanowisko / Position ]],0)))</f>
        <v>0</v>
      </c>
      <c r="FL42" s="315">
        <f>IF(INDEX(tab_MinKomp[Planowanie strategiczne / Strategische Planung],MATCH($B41,tab_MinKomp[[Stanowisko / Position ]:[Stanowisko / Position ]],0))="n/a","n/a",FL41-INDEX(tab_MinKomp[Planowanie strategiczne / Strategische Planung],MATCH($B41,tab_MinKomp[[Stanowisko / Position ]:[Stanowisko / Position ]],0)))</f>
        <v>0</v>
      </c>
      <c r="FM42" s="315">
        <f>IF(INDEX(tab_MinKomp[Konsekwentne i dynamiczne działanie],MATCH($B41,tab_MinKomp[[Stanowisko / Position ]:[Stanowisko / Position ]],0))="n/a","n/a",FM41-INDEX(tab_MinKomp[Konsekwentne i dynamiczne działanie],MATCH($B41,tab_MinKomp[[Stanowisko / Position ]:[Stanowisko / Position ]],0)))</f>
        <v>0</v>
      </c>
      <c r="FN42" s="315">
        <f>IF(INDEX(tab_MinKomp[Elastyczność w działaniu],MATCH($B41,tab_MinKomp[[Stanowisko / Position ]:[Stanowisko / Position ]],0))="n/a","n/a",FN41-INDEX(tab_MinKomp[Elastyczność w działaniu],MATCH($B41,tab_MinKomp[[Stanowisko / Position ]:[Stanowisko / Position ]],0)))</f>
        <v>0</v>
      </c>
      <c r="FO42" s="315">
        <f>IF(INDEX(tab_MinKomp[Komunikatywność],MATCH($B41,tab_MinKomp[[Stanowisko / Position ]:[Stanowisko / Position ]],0))="n/a","n/a",FO41-INDEX(tab_MinKomp[Komunikatywność],MATCH($B41,tab_MinKomp[[Stanowisko / Position ]:[Stanowisko / Position ]],0)))</f>
        <v>0</v>
      </c>
      <c r="FP42" s="314" t="str">
        <f>IF(INDEX(tab_MinKomp[Motywowanie i budowanie zaangażowania zespołu],MATCH($B41,tab_MinKomp[[Stanowisko / Position ]:[Stanowisko / Position ]],0))="n/a","n/a",FP41-INDEX(tab_MinKomp[Motywowanie i budowanie zaangażowania zespołu],MATCH($B41,tab_MinKomp[[Stanowisko / Position ]:[Stanowisko / Position ]],0)))</f>
        <v>n/a</v>
      </c>
      <c r="FQ42" s="318" t="str">
        <f>IFERROR(IF(INDEX(tab_MinKomp[BRAK / Keine],MATCH($B41,tab_MinKomp[[Stanowisko / Position ]:[Stanowisko / Position ]],0))="n/a","n/a",INDEX(tab_MinKomp[BRAK / Keine],MATCH($B41,tab_MinKomp[[Stanowisko / Position ]:[Stanowisko / Position ]],0))-FQ41),"")</f>
        <v>n/a</v>
      </c>
      <c r="FR42" s="315" t="str">
        <f>IF(INDEX(tab_MinKomp[MINIMUM 1 ROK / min. 1 Jahr],MATCH($B41,tab_MinKomp[[Stanowisko / Position ]:[Stanowisko / Position ]],0))="n/a","n/a",INDEX(tab_MinKomp[MINIMUM 1 ROK / min. 1 Jahr],MATCH($B41,tab_MinKomp[[Stanowisko / Position ]:[Stanowisko / Position ]],0)))</f>
        <v>n/a</v>
      </c>
      <c r="FS42" s="315" t="str">
        <f>IF(INDEX(tab_MinKomp[MINIMUM 2 LATA / min. 2 Jahre],MATCH($B41,tab_MinKomp[[Stanowisko / Position ]:[Stanowisko / Position ]],0))="n/a","n/a",INDEX(tab_MinKomp[MINIMUM 2 LATA / min. 2 Jahre],MATCH($B41,tab_MinKomp[[Stanowisko / Position ]:[Stanowisko / Position ]],0)))</f>
        <v>x</v>
      </c>
      <c r="FT42" s="315" t="str">
        <f>IF(INDEX(tab_MinKomp[MINIMUM 3 LATA / min. 3 Jahre],MATCH($B41,tab_MinKomp[[Stanowisko / Position ]:[Stanowisko / Position ]],0))="n/a","n/a",INDEX(tab_MinKomp[MINIMUM 3 LATA / min. 3 Jahre],MATCH($B41,tab_MinKomp[[Stanowisko / Position ]:[Stanowisko / Position ]],0)))</f>
        <v>n/a</v>
      </c>
      <c r="FU42" s="315" t="str">
        <f>IF(INDEX(tab_MinKomp[MINIMUM 4 LATA / min. 4 Jahre],MATCH($B41,tab_MinKomp[[Stanowisko / Position ]:[Stanowisko / Position ]],0))="n/a","n/a",INDEX(tab_MinKomp[MINIMUM 4 LATA / min. 4 Jahre],MATCH($B41,tab_MinKomp[[Stanowisko / Position ]:[Stanowisko / Position ]],0)))</f>
        <v>n/a</v>
      </c>
      <c r="FV42" s="319" t="str">
        <f>IF(INDEX(tab_MinKomp[MINIMUM 5 LAT / min. 5 Jahre],MATCH($B41,tab_MinKomp[[Stanowisko / Position ]:[Stanowisko / Position ]],0))="n/a","n/a",INDEX(tab_MinKomp[MINIMUM 5 LAT / min. 5 Jahre],MATCH($B41,tab_MinKomp[[Stanowisko / Position ]:[Stanowisko / Position ]],0)))</f>
        <v>n/a</v>
      </c>
      <c r="FW42" s="318" t="str">
        <f>IF(INDEX(tab_MinKomp[BRAK / Keine9],MATCH($B41,tab_MinKomp[[Stanowisko / Position ]:[Stanowisko / Position ]],0))="n/a","n/a",INDEX(tab_MinKomp[BRAK / Keine9],MATCH($B41,tab_MinKomp[[Stanowisko / Position ]:[Stanowisko / Position ]],0)))</f>
        <v>n/a</v>
      </c>
      <c r="FX42" s="315" t="str">
        <f>IF(INDEX(tab_MinKomp[ZAWODOWE / Berufsausbildung],MATCH($B41,tab_MinKomp[[Stanowisko / Position ]:[Stanowisko / Position ]],0))="n/a","n/a",INDEX(tab_MinKomp[ZAWODOWE / Berufsausbildung],MATCH($B41,tab_MinKomp[[Stanowisko / Position ]:[Stanowisko / Position ]],0)))</f>
        <v>n/a</v>
      </c>
      <c r="FY42" s="315" t="str">
        <f>IF(INDEX(tab_MinKomp[ŚREDNIE OGÓLNE / Abitur allgemeine],MATCH($B41,tab_MinKomp[[Stanowisko / Position ]:[Stanowisko / Position ]],0))="n/a","n/a",INDEX(tab_MinKomp[ŚREDNIE OGÓLNE / Abitur allgemeine],MATCH($B41,tab_MinKomp[[Stanowisko / Position ]:[Stanowisko / Position ]],0)))</f>
        <v>x</v>
      </c>
      <c r="FZ42" s="315" t="str">
        <f>IF(INDEX(tab_MinKomp[ŚREDNIE KIERUNKOWE / berufliches Gymnasium],MATCH($B41,tab_MinKomp[[Stanowisko / Position ]:[Stanowisko / Position ]],0))="n/a","n/a",INDEX(tab_MinKomp[ŚREDNIE KIERUNKOWE / berufliches Gymnasium],MATCH($B41,tab_MinKomp[[Stanowisko / Position ]:[Stanowisko / Position ]],0)))</f>
        <v>n/a</v>
      </c>
      <c r="GA42" s="315" t="str">
        <f>IF(INDEX(tab_MinKomp[WYŻSZE OGÓLNE / Hochschule allgemeine],MATCH($B41,tab_MinKomp[[Stanowisko / Position ]:[Stanowisko / Position ]],0))="n/a","n/a",INDEX(tab_MinKomp[WYŻSZE OGÓLNE / Hochschule allgemeine],MATCH($B41,tab_MinKomp[[Stanowisko / Position ]:[Stanowisko / Position ]],0)))</f>
        <v>n/a</v>
      </c>
      <c r="GB42" s="319" t="str">
        <f>IF(INDEX(tab_MinKomp[WYŻSZE KIERUNKOWE / Hochschule berufliche],MATCH($B41,tab_MinKomp[[Stanowisko / Position ]:[Stanowisko / Position ]],0))="n/a","n/a",INDEX(tab_MinKomp[WYŻSZE KIERUNKOWE / Hochschule berufliche],MATCH($B41,tab_MinKomp[[Stanowisko / Position ]:[Stanowisko / Position ]],0)))</f>
        <v>n/a</v>
      </c>
      <c r="GC42" s="318" t="str">
        <f>IF(INDEX(tab_MinKomp[PIERWSZA POMOC / Erste Hilfe],MATCH($B41,tab_MinKomp[[Stanowisko / Position ]:[Stanowisko / Position ]],0))="n/a","n/a",INDEX(tab_MinKomp[PIERWSZA POMOC / Erste Hilfe],MATCH($B41,tab_MinKomp[[Stanowisko / Position ]:[Stanowisko / Position ]],0)))</f>
        <v>n/a</v>
      </c>
      <c r="GD42" s="315" t="str">
        <f>IF(INDEX(tab_MinKomp[Specjalista BHP / BHP Spezialist],MATCH($B41,tab_MinKomp[[Stanowisko / Position ]:[Stanowisko / Position ]],0))="n/a","n/a",INDEX(tab_MinKomp[Specjalista BHP / BHP Spezialist],MATCH($B41,tab_MinKomp[[Stanowisko / Position ]:[Stanowisko / Position ]],0)))</f>
        <v>n/a</v>
      </c>
      <c r="GE42" s="315" t="str">
        <f>IF(INDEX(tab_MinKomp[Inspektor ochrony PPOŻ / Brandschutzinspektor],MATCH($B41,tab_MinKomp[[Stanowisko / Position ]:[Stanowisko / Position ]],0))="n/a","n/a",INDEX(tab_MinKomp[Inspektor ochrony PPOŻ / Brandschutzinspektor],MATCH($B41,tab_MinKomp[[Stanowisko / Position ]:[Stanowisko / Position ]],0)))</f>
        <v>n/a</v>
      </c>
      <c r="GF42" s="315" t="str">
        <f>IF(INDEX(tab_MinKomp[WÓZKI JEZDNIOWE / Gebelstapler],MATCH($B41,tab_MinKomp[[Stanowisko / Position ]:[Stanowisko / Position ]],0))="n/a","n/a",INDEX(tab_MinKomp[WÓZKI JEZDNIOWE / Gebelstapler],MATCH($B41,tab_MinKomp[[Stanowisko / Position ]:[Stanowisko / Position ]],0)))</f>
        <v>n/a</v>
      </c>
      <c r="GG42" s="315" t="str">
        <f>IF(INDEX(tab_MinKomp[SEP],MATCH($B41,tab_MinKomp[[Stanowisko / Position ]:[Stanowisko / Position ]],0))="n/a","n/a",INDEX(tab_MinKomp[SEP],MATCH($B41,tab_MinKomp[[Stanowisko / Position ]:[Stanowisko / Position ]],0)))</f>
        <v>n/a</v>
      </c>
      <c r="GH42" s="315" t="str">
        <f>IF(INDEX(tab_MinKomp[SEP  DOZÓR / SEP Aufsicht],MATCH($B41,tab_MinKomp[[Stanowisko / Position ]:[Stanowisko / Position ]],0))="n/a","n/a",INDEX(tab_MinKomp[SEP  DOZÓR / SEP Aufsicht],MATCH($B41,tab_MinKomp[[Stanowisko / Position ]:[Stanowisko / Position ]],0)))</f>
        <v>n/a</v>
      </c>
      <c r="GI42" s="315" t="str">
        <f>IF(INDEX(tab_MinKomp[PODNOŚNIKI / Hebevorrichtung],MATCH($B41,tab_MinKomp[[Stanowisko / Position ]:[Stanowisko / Position ]],0))="n/a","n/a",INDEX(tab_MinKomp[PODNOŚNIKI / Hebevorrichtung],MATCH($B41,tab_MinKomp[[Stanowisko / Position ]:[Stanowisko / Position ]],0)))</f>
        <v>n/a</v>
      </c>
      <c r="GJ42" s="315" t="str">
        <f>IF(INDEX(tab_MinKomp[SUWNICE / Laufkran],MATCH($B41,tab_MinKomp[[Stanowisko / Position ]:[Stanowisko / Position ]],0))="n/a","n/a",INDEX(tab_MinKomp[SUWNICE / Laufkran],MATCH($B41,tab_MinKomp[[Stanowisko / Position ]:[Stanowisko / Position ]],0)))</f>
        <v>n/a</v>
      </c>
      <c r="GK42" s="319" t="str">
        <f>IF(INDEX(tab_MinKomp[WYSOKOŚCIOWE / Höhenberechtigungen],MATCH($B41,tab_MinKomp[[Stanowisko / Position ]:[Stanowisko / Position ]],0))="n/a","n/a",INDEX(tab_MinKomp[WYSOKOŚCIOWE / Höhenberechtigungen],MATCH($B41,tab_MinKomp[[Stanowisko / Position ]:[Stanowisko / Position ]],0)))</f>
        <v>n/a</v>
      </c>
      <c r="GL42" s="320">
        <f>SUM(G42:FP42)/(GL41-(SUM(G42:FP42)))</f>
        <v>-1.020408163265306E-2</v>
      </c>
      <c r="GM42" s="132"/>
    </row>
    <row r="43" spans="1:195" s="133" customFormat="1" ht="28.35" customHeight="1" x14ac:dyDescent="0.25">
      <c r="A43" s="135" t="s">
        <v>183</v>
      </c>
      <c r="B43" s="135" t="s">
        <v>219</v>
      </c>
      <c r="C43" s="138" t="s">
        <v>230</v>
      </c>
      <c r="D43" s="135">
        <v>848</v>
      </c>
      <c r="E43" s="565" t="s">
        <v>643</v>
      </c>
      <c r="F43" s="307" t="s">
        <v>165</v>
      </c>
      <c r="G43" s="308">
        <v>1</v>
      </c>
      <c r="H43" s="308">
        <v>1</v>
      </c>
      <c r="I43" s="308">
        <v>1</v>
      </c>
      <c r="J43" s="308">
        <v>2</v>
      </c>
      <c r="K43" s="308">
        <v>2</v>
      </c>
      <c r="L43" s="308">
        <v>1</v>
      </c>
      <c r="M43" s="308" t="s">
        <v>176</v>
      </c>
      <c r="N43" s="308" t="s">
        <v>176</v>
      </c>
      <c r="O43" s="308">
        <v>1</v>
      </c>
      <c r="P43" s="308">
        <v>1</v>
      </c>
      <c r="Q43" s="308" t="s">
        <v>176</v>
      </c>
      <c r="R43" s="308" t="s">
        <v>176</v>
      </c>
      <c r="S43" s="308" t="s">
        <v>176</v>
      </c>
      <c r="T43" s="308" t="s">
        <v>176</v>
      </c>
      <c r="U43" s="308">
        <v>1</v>
      </c>
      <c r="V43" s="308" t="s">
        <v>176</v>
      </c>
      <c r="W43" s="308">
        <v>1</v>
      </c>
      <c r="X43" s="308" t="s">
        <v>176</v>
      </c>
      <c r="Y43" s="308" t="s">
        <v>176</v>
      </c>
      <c r="Z43" s="308" t="s">
        <v>176</v>
      </c>
      <c r="AA43" s="308" t="s">
        <v>176</v>
      </c>
      <c r="AB43" s="308">
        <v>1</v>
      </c>
      <c r="AC43" s="308">
        <v>1</v>
      </c>
      <c r="AD43" s="308">
        <v>1</v>
      </c>
      <c r="AE43" s="308">
        <v>1</v>
      </c>
      <c r="AF43" s="308">
        <v>1</v>
      </c>
      <c r="AG43" s="308">
        <v>1</v>
      </c>
      <c r="AH43" s="308">
        <v>1</v>
      </c>
      <c r="AI43" s="308">
        <v>1</v>
      </c>
      <c r="AJ43" s="308" t="s">
        <v>176</v>
      </c>
      <c r="AK43" s="308" t="s">
        <v>176</v>
      </c>
      <c r="AL43" s="308">
        <v>1</v>
      </c>
      <c r="AM43" s="308">
        <v>1</v>
      </c>
      <c r="AN43" s="308">
        <v>1</v>
      </c>
      <c r="AO43" s="308" t="s">
        <v>176</v>
      </c>
      <c r="AP43" s="308">
        <v>1</v>
      </c>
      <c r="AQ43" s="308">
        <v>1</v>
      </c>
      <c r="AR43" s="308" t="s">
        <v>176</v>
      </c>
      <c r="AS43" s="308" t="s">
        <v>176</v>
      </c>
      <c r="AT43" s="308" t="s">
        <v>176</v>
      </c>
      <c r="AU43" s="308">
        <v>1</v>
      </c>
      <c r="AV43" s="308">
        <v>2</v>
      </c>
      <c r="AW43" s="308">
        <v>1</v>
      </c>
      <c r="AX43" s="308">
        <v>2</v>
      </c>
      <c r="AY43" s="308" t="s">
        <v>176</v>
      </c>
      <c r="AZ43" s="308">
        <v>3</v>
      </c>
      <c r="BA43" s="308">
        <v>3</v>
      </c>
      <c r="BB43" s="308">
        <v>2</v>
      </c>
      <c r="BC43" s="308">
        <v>1</v>
      </c>
      <c r="BD43" s="308">
        <v>3</v>
      </c>
      <c r="BE43" s="308">
        <v>3</v>
      </c>
      <c r="BF43" s="308">
        <v>2</v>
      </c>
      <c r="BG43" s="308">
        <v>1</v>
      </c>
      <c r="BH43" s="308">
        <v>1</v>
      </c>
      <c r="BI43" s="308">
        <v>2</v>
      </c>
      <c r="BJ43" s="308">
        <v>1</v>
      </c>
      <c r="BK43" s="308">
        <v>1</v>
      </c>
      <c r="BL43" s="308">
        <v>2</v>
      </c>
      <c r="BM43" s="308" t="s">
        <v>176</v>
      </c>
      <c r="BN43" s="308" t="s">
        <v>176</v>
      </c>
      <c r="BO43" s="308" t="s">
        <v>176</v>
      </c>
      <c r="BP43" s="308" t="s">
        <v>176</v>
      </c>
      <c r="BQ43" s="308" t="s">
        <v>176</v>
      </c>
      <c r="BR43" s="308" t="s">
        <v>176</v>
      </c>
      <c r="BS43" s="308" t="s">
        <v>176</v>
      </c>
      <c r="BT43" s="308" t="s">
        <v>176</v>
      </c>
      <c r="BU43" s="308" t="s">
        <v>176</v>
      </c>
      <c r="BV43" s="308" t="s">
        <v>176</v>
      </c>
      <c r="BW43" s="308" t="s">
        <v>176</v>
      </c>
      <c r="BX43" s="308" t="s">
        <v>176</v>
      </c>
      <c r="BY43" s="308" t="s">
        <v>176</v>
      </c>
      <c r="BZ43" s="308" t="s">
        <v>176</v>
      </c>
      <c r="CA43" s="308" t="s">
        <v>176</v>
      </c>
      <c r="CB43" s="308" t="s">
        <v>176</v>
      </c>
      <c r="CC43" s="308" t="s">
        <v>176</v>
      </c>
      <c r="CD43" s="308" t="s">
        <v>176</v>
      </c>
      <c r="CE43" s="308" t="s">
        <v>176</v>
      </c>
      <c r="CF43" s="308" t="s">
        <v>176</v>
      </c>
      <c r="CG43" s="308" t="s">
        <v>176</v>
      </c>
      <c r="CH43" s="308" t="s">
        <v>176</v>
      </c>
      <c r="CI43" s="308">
        <v>2</v>
      </c>
      <c r="CJ43" s="308" t="s">
        <v>176</v>
      </c>
      <c r="CK43" s="308" t="s">
        <v>176</v>
      </c>
      <c r="CL43" s="308">
        <v>1</v>
      </c>
      <c r="CM43" s="308">
        <v>2</v>
      </c>
      <c r="CN43" s="308">
        <v>1</v>
      </c>
      <c r="CO43" s="308">
        <v>1</v>
      </c>
      <c r="CP43" s="308">
        <v>1</v>
      </c>
      <c r="CQ43" s="308">
        <v>1</v>
      </c>
      <c r="CR43" s="308">
        <v>1</v>
      </c>
      <c r="CS43" s="308">
        <v>2</v>
      </c>
      <c r="CT43" s="308">
        <v>1</v>
      </c>
      <c r="CU43" s="308" t="s">
        <v>176</v>
      </c>
      <c r="CV43" s="308" t="s">
        <v>176</v>
      </c>
      <c r="CW43" s="308" t="s">
        <v>176</v>
      </c>
      <c r="CX43" s="308" t="s">
        <v>176</v>
      </c>
      <c r="CY43" s="308" t="s">
        <v>176</v>
      </c>
      <c r="CZ43" s="308" t="s">
        <v>176</v>
      </c>
      <c r="DA43" s="308" t="s">
        <v>176</v>
      </c>
      <c r="DB43" s="308" t="s">
        <v>176</v>
      </c>
      <c r="DC43" s="308" t="s">
        <v>176</v>
      </c>
      <c r="DD43" s="308" t="s">
        <v>176</v>
      </c>
      <c r="DE43" s="308" t="s">
        <v>176</v>
      </c>
      <c r="DF43" s="308" t="s">
        <v>176</v>
      </c>
      <c r="DG43" s="308" t="s">
        <v>176</v>
      </c>
      <c r="DH43" s="308" t="s">
        <v>176</v>
      </c>
      <c r="DI43" s="308" t="s">
        <v>176</v>
      </c>
      <c r="DJ43" s="308" t="s">
        <v>176</v>
      </c>
      <c r="DK43" s="308" t="s">
        <v>176</v>
      </c>
      <c r="DL43" s="308" t="s">
        <v>176</v>
      </c>
      <c r="DM43" s="308" t="s">
        <v>176</v>
      </c>
      <c r="DN43" s="308" t="s">
        <v>176</v>
      </c>
      <c r="DO43" s="308" t="s">
        <v>176</v>
      </c>
      <c r="DP43" s="308" t="s">
        <v>176</v>
      </c>
      <c r="DQ43" s="308" t="s">
        <v>176</v>
      </c>
      <c r="DR43" s="308" t="s">
        <v>176</v>
      </c>
      <c r="DS43" s="308" t="s">
        <v>176</v>
      </c>
      <c r="DT43" s="308" t="s">
        <v>176</v>
      </c>
      <c r="DU43" s="308" t="s">
        <v>176</v>
      </c>
      <c r="DV43" s="306" t="s">
        <v>176</v>
      </c>
      <c r="DW43" s="306" t="s">
        <v>176</v>
      </c>
      <c r="DX43" s="306" t="s">
        <v>176</v>
      </c>
      <c r="DY43" s="308" t="s">
        <v>176</v>
      </c>
      <c r="DZ43" s="308" t="s">
        <v>176</v>
      </c>
      <c r="EA43" s="308" t="s">
        <v>176</v>
      </c>
      <c r="EB43" s="308" t="s">
        <v>176</v>
      </c>
      <c r="EC43" s="308" t="s">
        <v>176</v>
      </c>
      <c r="ED43" s="308" t="s">
        <v>176</v>
      </c>
      <c r="EE43" s="308" t="s">
        <v>176</v>
      </c>
      <c r="EF43" s="308" t="s">
        <v>176</v>
      </c>
      <c r="EG43" s="308" t="s">
        <v>176</v>
      </c>
      <c r="EH43" s="308" t="s">
        <v>176</v>
      </c>
      <c r="EI43" s="308" t="s">
        <v>176</v>
      </c>
      <c r="EJ43" s="308" t="s">
        <v>176</v>
      </c>
      <c r="EK43" s="308" t="s">
        <v>176</v>
      </c>
      <c r="EL43" s="308" t="s">
        <v>176</v>
      </c>
      <c r="EM43" s="308" t="s">
        <v>176</v>
      </c>
      <c r="EN43" s="308" t="s">
        <v>176</v>
      </c>
      <c r="EO43" s="308" t="s">
        <v>176</v>
      </c>
      <c r="EP43" s="308" t="s">
        <v>176</v>
      </c>
      <c r="EQ43" s="308" t="s">
        <v>176</v>
      </c>
      <c r="ER43" s="308" t="s">
        <v>176</v>
      </c>
      <c r="ES43" s="308" t="s">
        <v>176</v>
      </c>
      <c r="ET43" s="308" t="s">
        <v>176</v>
      </c>
      <c r="EU43" s="308" t="s">
        <v>176</v>
      </c>
      <c r="EV43" s="308" t="s">
        <v>176</v>
      </c>
      <c r="EW43" s="308" t="s">
        <v>176</v>
      </c>
      <c r="EX43" s="308" t="s">
        <v>176</v>
      </c>
      <c r="EY43" s="308">
        <v>3</v>
      </c>
      <c r="EZ43" s="308">
        <v>2</v>
      </c>
      <c r="FA43" s="308">
        <v>2</v>
      </c>
      <c r="FB43" s="309">
        <v>2</v>
      </c>
      <c r="FC43" s="309" t="s">
        <v>176</v>
      </c>
      <c r="FD43" s="308">
        <v>2</v>
      </c>
      <c r="FE43" s="308">
        <v>3</v>
      </c>
      <c r="FF43" s="308">
        <v>3</v>
      </c>
      <c r="FG43" s="308">
        <v>2</v>
      </c>
      <c r="FH43" s="308">
        <v>3</v>
      </c>
      <c r="FI43" s="308">
        <v>3</v>
      </c>
      <c r="FJ43" s="308">
        <v>3</v>
      </c>
      <c r="FK43" s="308">
        <v>2</v>
      </c>
      <c r="FL43" s="308">
        <v>2</v>
      </c>
      <c r="FM43" s="308">
        <v>2</v>
      </c>
      <c r="FN43" s="308">
        <v>2</v>
      </c>
      <c r="FO43" s="308">
        <v>2</v>
      </c>
      <c r="FP43" s="308" t="s">
        <v>176</v>
      </c>
      <c r="FQ43" s="310" t="s">
        <v>176</v>
      </c>
      <c r="FR43" s="310" t="s">
        <v>176</v>
      </c>
      <c r="FS43" s="308" t="s">
        <v>387</v>
      </c>
      <c r="FT43" s="310" t="s">
        <v>176</v>
      </c>
      <c r="FU43" s="310" t="s">
        <v>176</v>
      </c>
      <c r="FV43" s="310" t="s">
        <v>176</v>
      </c>
      <c r="FW43" s="310" t="s">
        <v>176</v>
      </c>
      <c r="FX43" s="310" t="s">
        <v>176</v>
      </c>
      <c r="FY43" s="308" t="s">
        <v>387</v>
      </c>
      <c r="FZ43" s="310" t="s">
        <v>176</v>
      </c>
      <c r="GA43" s="310" t="s">
        <v>176</v>
      </c>
      <c r="GB43" s="310" t="s">
        <v>176</v>
      </c>
      <c r="GC43" s="310" t="s">
        <v>176</v>
      </c>
      <c r="GD43" s="310" t="s">
        <v>176</v>
      </c>
      <c r="GE43" s="310" t="s">
        <v>176</v>
      </c>
      <c r="GF43" s="310" t="s">
        <v>176</v>
      </c>
      <c r="GG43" s="310" t="s">
        <v>176</v>
      </c>
      <c r="GH43" s="310" t="s">
        <v>176</v>
      </c>
      <c r="GI43" s="310" t="s">
        <v>176</v>
      </c>
      <c r="GJ43" s="310" t="s">
        <v>176</v>
      </c>
      <c r="GK43" s="324" t="s">
        <v>176</v>
      </c>
      <c r="GL43" s="311">
        <f>SUM(G43:FP43)</f>
        <v>107</v>
      </c>
      <c r="GM43" s="132"/>
    </row>
    <row r="44" spans="1:195" s="133" customFormat="1" ht="28.35" customHeight="1" thickBot="1" x14ac:dyDescent="0.3">
      <c r="A44" s="138" t="str">
        <f>A43</f>
        <v>Logistyka-Logistic</v>
      </c>
      <c r="B44" s="138" t="str">
        <f>B43</f>
        <v>Specjalista ds. logistyki</v>
      </c>
      <c r="C44" s="138" t="s">
        <v>230</v>
      </c>
      <c r="D44" s="138">
        <f>D43</f>
        <v>848</v>
      </c>
      <c r="E44" s="566" t="str">
        <f>E43</f>
        <v>Bartosiak Klaudia</v>
      </c>
      <c r="F44" s="312" t="s">
        <v>166</v>
      </c>
      <c r="G44" s="313">
        <f>IF(INDEX(tab_MinKomp[Przepisy BHP / BHP Vorschriften],MATCH($B43,tab_MinKomp[[Stanowisko / Position ]:[Stanowisko / Position ]],0))="n/a","n/a",G43-INDEX(tab_MinKomp[Przepisy BHP / BHP Vorschriften],MATCH($B43,tab_MinKomp[[Stanowisko / Position ]:[Stanowisko / Position ]],0)))</f>
        <v>0</v>
      </c>
      <c r="H44" s="314">
        <f>IF(INDEX(tab_MinKomp[Przepisy PPOŻ / Brandschutzbestimmungen],MATCH($B43,tab_MinKomp[[Stanowisko / Position ]:[Stanowisko / Position ]],0))="n/a","n/a",H43-INDEX(tab_MinKomp[Przepisy PPOŻ / Brandschutzbestimmungen],MATCH($B43,tab_MinKomp[[Stanowisko / Position ]:[Stanowisko / Position ]],0)))</f>
        <v>0</v>
      </c>
      <c r="I44" s="314">
        <f>IF(INDEX(tab_MinKomp[Ryzyko zawodowe na stanowiskach pracyv/ Berufliche Risiken an Arbeitsstellen],MATCH($B43,tab_MinKomp[[Stanowisko / Position ]:[Stanowisko / Position ]],0))="n/a","n/a",I43-INDEX(tab_MinKomp[Ryzyko zawodowe na stanowiskach pracyv/ Berufliche Risiken an Arbeitsstellen],MATCH($B43,tab_MinKomp[[Stanowisko / Position ]:[Stanowisko / Position ]],0)))</f>
        <v>0</v>
      </c>
      <c r="J44" s="314">
        <f>IF(INDEX(tab_MinKomp[Gospodarka substancjami niebezpiecznymi / Gefahrstoffmanagement],MATCH($B43,tab_MinKomp[[Stanowisko / Position ]:[Stanowisko / Position ]],0))="n/a","n/a",J43-INDEX(tab_MinKomp[Gospodarka substancjami niebezpiecznymi / Gefahrstoffmanagement],MATCH($B43,tab_MinKomp[[Stanowisko / Position ]:[Stanowisko / Position ]],0)))</f>
        <v>1</v>
      </c>
      <c r="K44" s="314">
        <f>IF(INDEX(tab_MinKomp[Gospodarka odpadami / Abfallwirtschaft],MATCH($B43,tab_MinKomp[[Stanowisko / Position ]:[Stanowisko / Position ]],0))="n/a","n/a",K43-INDEX(tab_MinKomp[Gospodarka odpadami / Abfallwirtschaft],MATCH($B43,tab_MinKomp[[Stanowisko / Position ]:[Stanowisko / Position ]],0)))</f>
        <v>1</v>
      </c>
      <c r="L44" s="315">
        <f>IF(INDEX(tab_MinKomp[Przepisy kodeksu pracy / Bestimmungen des Arbeitsgesetzes],MATCH($B43,tab_MinKomp[[Stanowisko / Position ]:[Stanowisko / Position ]],0))="n/a","n/a",L43-INDEX(tab_MinKomp[Przepisy kodeksu pracy / Bestimmungen des Arbeitsgesetzes],MATCH($B43,tab_MinKomp[[Stanowisko / Position ]:[Stanowisko / Position ]],0)))</f>
        <v>0</v>
      </c>
      <c r="M44" s="316" t="str">
        <f>IF(INDEX(tab_MinKomp[Przepisy o ub.społ. ZUS  / Sozialversicherungsvorschriften],MATCH($B43,tab_MinKomp[[Stanowisko / Position ]:[Stanowisko / Position ]],0))="n/a","n/a",M43-INDEX(tab_MinKomp[Przepisy o ub.społ. ZUS  / Sozialversicherungsvorschriften],MATCH($B43,tab_MinKomp[[Stanowisko / Position ]:[Stanowisko / Position ]],0)))</f>
        <v>n/a</v>
      </c>
      <c r="N44" s="315" t="str">
        <f>IF(INDEX(tab_MinKomp[PRZEPISY O PDOF /persönlich Einkommensteuergesetz ],MATCH($B43,tab_MinKomp[[Stanowisko / Position ]:[Stanowisko / Position ]],0))="n/a","n/a",N43-INDEX(tab_MinKomp[PRZEPISY O PDOF /persönlich Einkommensteuergesetz ],MATCH($B43,tab_MinKomp[[Stanowisko / Position ]:[Stanowisko / Position ]],0)))</f>
        <v>n/a</v>
      </c>
      <c r="O44" s="315">
        <f>IF(INDEX(tab_MinKomp[Regulamin pracy / Arbeitsordnung],MATCH($B43,tab_MinKomp[[Stanowisko / Position ]:[Stanowisko / Position ]],0))="n/a","n/a",O43-INDEX(tab_MinKomp[Regulamin pracy / Arbeitsordnung],MATCH($B43,tab_MinKomp[[Stanowisko / Position ]:[Stanowisko / Position ]],0)))</f>
        <v>0</v>
      </c>
      <c r="P44" s="315">
        <f>IF(INDEX(tab_MinKomp[Regulamin wynagradzania / Vergütungsordnung],MATCH($B43,tab_MinKomp[[Stanowisko / Position ]:[Stanowisko / Position ]],0))="n/a","n/a",P43-INDEX(tab_MinKomp[Regulamin wynagradzania / Vergütungsordnung],MATCH($B43,tab_MinKomp[[Stanowisko / Position ]:[Stanowisko / Position ]],0)))</f>
        <v>0</v>
      </c>
      <c r="Q44" s="315" t="str">
        <f>IF(INDEX(tab_MinKomp[System R2PŁATNIK PRO: Płace / Lohnabrechnung],MATCH($B43,tab_MinKomp[[Stanowisko / Position ]:[Stanowisko / Position ]],0))="n/a","n/a",Q43-INDEX(tab_MinKomp[System R2PŁATNIK PRO: Płace / Lohnabrechnung],MATCH($B43,tab_MinKomp[[Stanowisko / Position ]:[Stanowisko / Position ]],0)))</f>
        <v>n/a</v>
      </c>
      <c r="R44" s="315" t="str">
        <f>IF(INDEX(tab_MinKomp[SystemR2PŁATNIK PRO: KADRY / Personaldaten],MATCH($B43,tab_MinKomp[[Stanowisko / Position ]:[Stanowisko / Position ]],0))="n/a","n/a",R43-INDEX(tab_MinKomp[SystemR2PŁATNIK PRO: KADRY / Personaldaten],MATCH($B43,tab_MinKomp[[Stanowisko / Position ]:[Stanowisko / Position ]],0)))</f>
        <v>n/a</v>
      </c>
      <c r="S44" s="315" t="str">
        <f>IF(INDEX(tab_MinKomp[SYSTEM R2PŁATNIK PRO: zarządzanie pracownikami / Arbeitsverwaltung],MATCH($B43,tab_MinKomp[[Stanowisko / Position ]:[Stanowisko / Position ]],0))="n/a","n/a",S43-INDEX(tab_MinKomp[SYSTEM R2PŁATNIK PRO: zarządzanie pracownikami / Arbeitsverwaltung],MATCH($B43,tab_MinKomp[[Stanowisko / Position ]:[Stanowisko / Position ]],0)))</f>
        <v>n/a</v>
      </c>
      <c r="T44" s="315" t="str">
        <f>IF(INDEX(tab_MinKomp[Doradztwo, wsparcie personalne / Personalberatung und Unterstützung],MATCH($B43,tab_MinKomp[[Stanowisko / Position ]:[Stanowisko / Position ]],0))="n/a","n/a",T43-INDEX(tab_MinKomp[Doradztwo, wsparcie personalne / Personalberatung und Unterstützung],MATCH($B43,tab_MinKomp[[Stanowisko / Position ]:[Stanowisko / Position ]],0)))</f>
        <v>n/a</v>
      </c>
      <c r="U44" s="315">
        <f>IF(INDEX(tab_MinKomp[Przepisy o podatku VAT / MwSt.- Gesetz],MATCH($B43,tab_MinKomp[[Stanowisko / Position ]:[Stanowisko / Position ]],0))="n/a","n/a",U43-INDEX(tab_MinKomp[Przepisy o podatku VAT / MwSt.- Gesetz],MATCH($B43,tab_MinKomp[[Stanowisko / Position ]:[Stanowisko / Position ]],0)))</f>
        <v>0</v>
      </c>
      <c r="V44" s="315" t="str">
        <f>IF(INDEX(tab_MinKomp[PrzepisyPDOP / geschäftlich Einkommensteuergesetz],MATCH($B43,tab_MinKomp[[Stanowisko / Position ]:[Stanowisko / Position ]],0))="n/a","n/a",V43-INDEX(tab_MinKomp[PrzepisyPDOP / geschäftlich Einkommensteuergesetz],MATCH($B43,tab_MinKomp[[Stanowisko / Position ]:[Stanowisko / Position ]],0)))</f>
        <v>n/a</v>
      </c>
      <c r="W44" s="315">
        <f>IF(INDEX(tab_MinKomp[System BAAN / FINANSE (FIBU)],MATCH($B43,tab_MinKomp[[Stanowisko / Position ]:[Stanowisko / Position ]],0))="n/a","n/a",W43-INDEX(tab_MinKomp[System BAAN / FINANSE (FIBU)],MATCH($B43,tab_MinKomp[[Stanowisko / Position ]:[Stanowisko / Position ]],0)))</f>
        <v>-1</v>
      </c>
      <c r="X44" s="315" t="str">
        <f>IF(INDEX(tab_MinKomp[Systemy pomocnicze / Hilfssysteme(STOCKPROGRAM, KALK2000 etc.)],MATCH($B43,tab_MinKomp[[Stanowisko / Position ]:[Stanowisko / Position ]],0))="n/a","n/a",X43-INDEX(tab_MinKomp[Systemy pomocnicze / Hilfssysteme(STOCKPROGRAM, KALK2000 etc.)],MATCH($B43,tab_MinKomp[[Stanowisko / Position ]:[Stanowisko / Position ]],0)))</f>
        <v>n/a</v>
      </c>
      <c r="Y44" s="315" t="str">
        <f>IF(INDEX(tab_MinKomp[Polityka rachunkowości / Buchführungspolitik],MATCH($B43,tab_MinKomp[[Stanowisko / Position ]:[Stanowisko / Position ]],0))="n/a","n/a",Y43-INDEX(tab_MinKomp[Polityka rachunkowości / Buchführungspolitik],MATCH($B43,tab_MinKomp[[Stanowisko / Position ]:[Stanowisko / Position ]],0)))</f>
        <v>n/a</v>
      </c>
      <c r="Z44" s="315" t="str">
        <f>IF(INDEX(tab_MinKomp[Ustawa o rachunkowości / Rechnungslegungsgesetz],MATCH($B43,tab_MinKomp[[Stanowisko / Position ]:[Stanowisko / Position ]],0))="n/a","n/a",Z43-INDEX(tab_MinKomp[Ustawa o rachunkowości / Rechnungslegungsgesetz],MATCH($B43,tab_MinKomp[[Stanowisko / Position ]:[Stanowisko / Position ]],0)))</f>
        <v>n/a</v>
      </c>
      <c r="AA44" s="315" t="str">
        <f>IF(INDEX(tab_MinKomp[WORKFLOW - TS-100],MATCH($B43,tab_MinKomp[[Stanowisko / Position ]:[Stanowisko / Position ]],0))="n/a","n/a",AA43-INDEX(tab_MinKomp[WORKFLOW - TS-100],MATCH($B43,tab_MinKomp[[Stanowisko / Position ]:[Stanowisko / Position ]],0)))</f>
        <v>n/a</v>
      </c>
      <c r="AB44" s="315">
        <f>IF(INDEX(tab_MinKomp[WORKFLOW - SFMS],MATCH($B43,tab_MinKomp[[Stanowisko / Position ]:[Stanowisko / Position ]],0))="n/a","n/a",AB43-INDEX(tab_MinKomp[WORKFLOW - SFMS],MATCH($B43,tab_MinKomp[[Stanowisko / Position ]:[Stanowisko / Position ]],0)))</f>
        <v>-1</v>
      </c>
      <c r="AC44" s="315">
        <f>IF(INDEX(tab_MinKomp[System ISO 9001:2015],MATCH($B43,tab_MinKomp[[Stanowisko / Position ]:[Stanowisko / Position ]],0))="n/a","n/a",AC43-INDEX(tab_MinKomp[System ISO 9001:2015],MATCH($B43,tab_MinKomp[[Stanowisko / Position ]:[Stanowisko / Position ]],0)))</f>
        <v>0</v>
      </c>
      <c r="AD44" s="315">
        <f>IF(INDEX(tab_MinKomp[System IATF 16949:2016],MATCH($B43,tab_MinKomp[[Stanowisko / Position ]:[Stanowisko / Position ]],0))="n/a","n/a",AD43-INDEX(tab_MinKomp[System IATF 16949:2016],MATCH($B43,tab_MinKomp[[Stanowisko / Position ]:[Stanowisko / Position ]],0)))</f>
        <v>0</v>
      </c>
      <c r="AE44" s="315">
        <f>IF(INDEX(tab_MinKomp[System ISO 14001:2015],MATCH($B43,tab_MinKomp[[Stanowisko / Position ]:[Stanowisko / Position ]],0))="n/a","n/a",AE43-INDEX(tab_MinKomp[System ISO 14001:2015],MATCH($B43,tab_MinKomp[[Stanowisko / Position ]:[Stanowisko / Position ]],0)))</f>
        <v>0</v>
      </c>
      <c r="AF44" s="315">
        <f>IF(INDEX(tab_MinKomp[System PN-N 18001:2004 / ISO 45001:2018],MATCH($B43,tab_MinKomp[[Stanowisko / Position ]:[Stanowisko / Position ]],0))="n/a","n/a",AF43-INDEX(tab_MinKomp[System PN-N 18001:2004 / ISO 45001:2018],MATCH($B43,tab_MinKomp[[Stanowisko / Position ]:[Stanowisko / Position ]],0)))</f>
        <v>0</v>
      </c>
      <c r="AG44" s="315">
        <f>IF(INDEX(tab_MinKomp[Wymagania VDA 6.3 Process / Forderungen],MATCH($B43,tab_MinKomp[[Stanowisko / Position ]:[Stanowisko / Position ]],0))="n/a","n/a",AG43-INDEX(tab_MinKomp[Wymagania VDA 6.3 Process / Forderungen],MATCH($B43,tab_MinKomp[[Stanowisko / Position ]:[Stanowisko / Position ]],0)))</f>
        <v>0</v>
      </c>
      <c r="AH44" s="315">
        <f>IF(INDEX(tab_MinKomp[Wymagania VDA 6.5 Product / Forderungen],MATCH($B43,tab_MinKomp[[Stanowisko / Position ]:[Stanowisko / Position ]],0))="n/a","n/a",AH43-INDEX(tab_MinKomp[Wymagania VDA 6.5 Product / Forderungen],MATCH($B43,tab_MinKomp[[Stanowisko / Position ]:[Stanowisko / Position ]],0)))</f>
        <v>0</v>
      </c>
      <c r="AI44" s="315" t="str">
        <f>IF(INDEX(tab_MinKomp[PSCR (VW Product Safety &amp; Conformity Representative)],MATCH($B43,tab_MinKomp[[Stanowisko / Position ]:[Stanowisko / Position ]],0))="n/a","n/a",AI43-INDEX(tab_MinKomp[PSCR (VW Product Safety &amp; Conformity Representative)],MATCH($B43,tab_MinKomp[[Stanowisko / Position ]:[Stanowisko / Position ]],0)))</f>
        <v>n/a</v>
      </c>
      <c r="AJ44" s="315" t="str">
        <f>IF(INDEX(tab_MinKomp[Auditor systemu ISO 17025:2018],MATCH($B43,tab_MinKomp[[Stanowisko / Position ]:[Stanowisko / Position ]],0))="n/a","n/a",AJ43-INDEX(tab_MinKomp[Auditor systemu ISO 17025:2018],MATCH($B43,tab_MinKomp[[Stanowisko / Position ]:[Stanowisko / Position ]],0)))</f>
        <v>n/a</v>
      </c>
      <c r="AK44" s="315" t="str">
        <f>IF(INDEX(tab_MinKomp[Pełnomocnik systemu / Systemvertreter],MATCH($B43,tab_MinKomp[[Stanowisko / Position ]:[Stanowisko / Position ]],0))="n/a","n/a",AK43-INDEX(tab_MinKomp[Pełnomocnik systemu / Systemvertreter],MATCH($B43,tab_MinKomp[[Stanowisko / Position ]:[Stanowisko / Position ]],0)))</f>
        <v>n/a</v>
      </c>
      <c r="AL44" s="315">
        <f>IF(INDEX(tab_MinKomp[Polityka Etyczna - Compliance],MATCH($B43,tab_MinKomp[[Stanowisko / Position ]:[Stanowisko / Position ]],0))="n/a","n/a",AL43-INDEX(tab_MinKomp[Polityka Etyczna - Compliance],MATCH($B43,tab_MinKomp[[Stanowisko / Position ]:[Stanowisko / Position ]],0)))</f>
        <v>0</v>
      </c>
      <c r="AM44" s="315">
        <f>IF(INDEX(tab_MinKomp[WDRAŻANIE NOWYCH PROJEKTÓW/ PROCEDURA CTM],MATCH($B43,tab_MinKomp[[Stanowisko / Position ]:[Stanowisko / Position ]],0))="n/a","n/a",AM43-INDEX(tab_MinKomp[WDRAŻANIE NOWYCH PROJEKTÓW/ PROCEDURA CTM],MATCH($B43,tab_MinKomp[[Stanowisko / Position ]:[Stanowisko / Position ]],0)))</f>
        <v>0</v>
      </c>
      <c r="AN44" s="315" t="str">
        <f>IF(INDEX(tab_MinKomp[KAMIENIE MILOWE MSL/PIFF],MATCH($B43,tab_MinKomp[[Stanowisko / Position ]:[Stanowisko / Position ]],0))="n/a","n/a",AN43-INDEX(tab_MinKomp[KAMIENIE MILOWE MSL/PIFF],MATCH($B43,tab_MinKomp[[Stanowisko / Position ]:[Stanowisko / Position ]],0)))</f>
        <v>n/a</v>
      </c>
      <c r="AO44" s="315" t="str">
        <f>IF(INDEX(tab_MinKomp[CP],MATCH($B43,tab_MinKomp[[Stanowisko / Position ]:[Stanowisko / Position ]],0))="n/a","n/a",AO43-INDEX(tab_MinKomp[CP],MATCH($B43,tab_MinKomp[[Stanowisko / Position ]:[Stanowisko / Position ]],0)))</f>
        <v>n/a</v>
      </c>
      <c r="AP44" s="315">
        <f>IF(INDEX(tab_MinKomp[FMEA],MATCH($B43,tab_MinKomp[[Stanowisko / Position ]:[Stanowisko / Position ]],0))="n/a","n/a",AP43-INDEX(tab_MinKomp[FMEA],MATCH($B43,tab_MinKomp[[Stanowisko / Position ]:[Stanowisko / Position ]],0)))</f>
        <v>0</v>
      </c>
      <c r="AQ44" s="315">
        <f>IF(INDEX(tab_MinKomp[FLOW CHART],MATCH($B43,tab_MinKomp[[Stanowisko / Position ]:[Stanowisko / Position ]],0))="n/a","n/a",AQ43-INDEX(tab_MinKomp[FLOW CHART],MATCH($B43,tab_MinKomp[[Stanowisko / Position ]:[Stanowisko / Position ]],0)))</f>
        <v>0</v>
      </c>
      <c r="AR44" s="315" t="str">
        <f>IF(INDEX(tab_MinKomp[APQP],MATCH($B43,tab_MinKomp[[Stanowisko / Position ]:[Stanowisko / Position ]],0))="n/a","n/a",AR43-INDEX(tab_MinKomp[APQP],MATCH($B43,tab_MinKomp[[Stanowisko / Position ]:[Stanowisko / Position ]],0)))</f>
        <v>n/a</v>
      </c>
      <c r="AS44" s="315" t="str">
        <f>IF(INDEX(tab_MinKomp[MSA],MATCH($B43,tab_MinKomp[[Stanowisko / Position ]:[Stanowisko / Position ]],0))="n/a","n/a",AS43-INDEX(tab_MinKomp[MSA],MATCH($B43,tab_MinKomp[[Stanowisko / Position ]:[Stanowisko / Position ]],0)))</f>
        <v>n/a</v>
      </c>
      <c r="AT44" s="315" t="str">
        <f>IF(INDEX(tab_MinKomp[SPC],MATCH($B43,tab_MinKomp[[Stanowisko / Position ]:[Stanowisko / Position ]],0))="n/a","n/a",AT43-INDEX(tab_MinKomp[SPC],MATCH($B43,tab_MinKomp[[Stanowisko / Position ]:[Stanowisko / Position ]],0)))</f>
        <v>n/a</v>
      </c>
      <c r="AU44" s="315" t="str">
        <f>IF(INDEX(tab_MinKomp[CSR (SPECYFICZNE WYMAGANIA KLIENTA)],MATCH($B43,tab_MinKomp[[Stanowisko / Position ]:[Stanowisko / Position ]],0))="n/a","n/a",AU43-INDEX(tab_MinKomp[CSR (SPECYFICZNE WYMAGANIA KLIENTA)],MATCH($B43,tab_MinKomp[[Stanowisko / Position ]:[Stanowisko / Position ]],0)))</f>
        <v>n/a</v>
      </c>
      <c r="AV44" s="315">
        <f>IF(INDEX(tab_MinKomp[5S],MATCH($B43,tab_MinKomp[[Stanowisko / Position ]:[Stanowisko / Position ]],0))="n/a","n/a",AV43-INDEX(tab_MinKomp[5S],MATCH($B43,tab_MinKomp[[Stanowisko / Position ]:[Stanowisko / Position ]],0)))</f>
        <v>0</v>
      </c>
      <c r="AW44" s="315">
        <f>IF(INDEX(tab_MinKomp[LEAN MANAGEMENT],MATCH($B43,tab_MinKomp[[Stanowisko / Position ]:[Stanowisko / Position ]],0))="n/a","n/a",AW43-INDEX(tab_MinKomp[LEAN MANAGEMENT],MATCH($B43,tab_MinKomp[[Stanowisko / Position ]:[Stanowisko / Position ]],0)))</f>
        <v>0</v>
      </c>
      <c r="AX44" s="315">
        <f>IF(INDEX(tab_MinKomp[5R],MATCH($B43,tab_MinKomp[[Stanowisko / Position ]:[Stanowisko / Position ]],0))="n/a","n/a",AX43-INDEX(tab_MinKomp[5R],MATCH($B43,tab_MinKomp[[Stanowisko / Position ]:[Stanowisko / Position ]],0)))</f>
        <v>0</v>
      </c>
      <c r="AY44" s="315" t="str">
        <f>IF(INDEX(tab_MinKomp[Six Sigma],MATCH($B43,tab_MinKomp[[Stanowisko / Position ]:[Stanowisko / Position ]],0))="n/a","n/a",AY43-INDEX(tab_MinKomp[Six Sigma],MATCH($B43,tab_MinKomp[[Stanowisko / Position ]:[Stanowisko / Position ]],0)))</f>
        <v>n/a</v>
      </c>
      <c r="AZ44" s="315">
        <f>IF(INDEX(tab_MinKomp[System BAAN / Distribution &amp; Supply Chain],MATCH($B43,tab_MinKomp[[Stanowisko / Position ]:[Stanowisko / Position ]],0))="n/a","n/a",AZ43-INDEX(tab_MinKomp[System BAAN / Distribution &amp; Supply Chain],MATCH($B43,tab_MinKomp[[Stanowisko / Position ]:[Stanowisko / Position ]],0)))</f>
        <v>0</v>
      </c>
      <c r="BA44" s="315">
        <f>IF(INDEX(tab_MinKomp[Gospodarka magazynowa / Lagerverwaltung],MATCH($B43,tab_MinKomp[[Stanowisko / Position ]:[Stanowisko / Position ]],0))="n/a","n/a",BA43-INDEX(tab_MinKomp[Gospodarka magazynowa / Lagerverwaltung],MATCH($B43,tab_MinKomp[[Stanowisko / Position ]:[Stanowisko / Position ]],0)))</f>
        <v>0</v>
      </c>
      <c r="BB44" s="315">
        <f>IF(INDEX(tab_MinKomp[Inwentaryzacja - organizacja i przebieg / Inventurprozess],MATCH($B43,tab_MinKomp[[Stanowisko / Position ]:[Stanowisko / Position ]],0))="n/a","n/a",BB43-INDEX(tab_MinKomp[Inwentaryzacja - organizacja i przebieg / Inventurprozess],MATCH($B43,tab_MinKomp[[Stanowisko / Position ]:[Stanowisko / Position ]],0)))</f>
        <v>0</v>
      </c>
      <c r="BC44" s="315">
        <f>IF(INDEX(tab_MinKomp[Organizacja dostaw / Versorgungsorganisation],MATCH($B43,tab_MinKomp[[Stanowisko / Position ]:[Stanowisko / Position ]],0))="n/a","n/a",BC43-INDEX(tab_MinKomp[Organizacja dostaw / Versorgungsorganisation],MATCH($B43,tab_MinKomp[[Stanowisko / Position ]:[Stanowisko / Position ]],0)))</f>
        <v>-1</v>
      </c>
      <c r="BD44" s="315">
        <f>IF(INDEX(tab_MinKomp[Organizacja wysyłek / Organisation von Lieferungen],MATCH($B43,tab_MinKomp[[Stanowisko / Position ]:[Stanowisko / Position ]],0))="n/a","n/a",BD43-INDEX(tab_MinKomp[Organizacja wysyłek / Organisation von Lieferungen],MATCH($B43,tab_MinKomp[[Stanowisko / Position ]:[Stanowisko / Position ]],0)))</f>
        <v>0</v>
      </c>
      <c r="BE44" s="315">
        <f>IF(INDEX(tab_MinKomp[Analiza magazynowa - Program Polen.mdb / Inventuranalyse],MATCH($B43,tab_MinKomp[[Stanowisko / Position ]:[Stanowisko / Position ]],0))="n/a","n/a",BE43-INDEX(tab_MinKomp[Analiza magazynowa - Program Polen.mdb / Inventuranalyse],MATCH($B43,tab_MinKomp[[Stanowisko / Position ]:[Stanowisko / Position ]],0)))</f>
        <v>1</v>
      </c>
      <c r="BF44" s="315">
        <f>IF(INDEX(tab_MinKomp[MMOG (Materials Management Operations Guidelines)],MATCH($B43,tab_MinKomp[[Stanowisko / Position ]:[Stanowisko / Position ]],0))="n/a","n/a",BF43-INDEX(tab_MinKomp[MMOG (Materials Management Operations Guidelines)],MATCH($B43,tab_MinKomp[[Stanowisko / Position ]:[Stanowisko / Position ]],0)))</f>
        <v>0</v>
      </c>
      <c r="BG44" s="315">
        <f>IF(INDEX(tab_MinKomp[GPP],MATCH($B43,tab_MinKomp[[Stanowisko / Position ]:[Stanowisko / Position ]],0))="n/a","n/a",BG43-INDEX(tab_MinKomp[GPP],MATCH($B43,tab_MinKomp[[Stanowisko / Position ]:[Stanowisko / Position ]],0)))</f>
        <v>0</v>
      </c>
      <c r="BH44" s="315">
        <f>IF(INDEX(tab_MinKomp[AIAG (Automotive Industry Action Group)],MATCH($B43,tab_MinKomp[[Stanowisko / Position ]:[Stanowisko / Position ]],0))="n/a","n/a",BH43-INDEX(tab_MinKomp[AIAG (Automotive Industry Action Group)],MATCH($B43,tab_MinKomp[[Stanowisko / Position ]:[Stanowisko / Position ]],0)))</f>
        <v>0</v>
      </c>
      <c r="BI44" s="315">
        <f>IF(INDEX(tab_MinKomp[Super-G disputes],MATCH($B43,tab_MinKomp[[Stanowisko / Position ]:[Stanowisko / Position ]],0))="n/a","n/a",BI43-INDEX(tab_MinKomp[Super-G disputes],MATCH($B43,tab_MinKomp[[Stanowisko / Position ]:[Stanowisko / Position ]],0)))</f>
        <v>0</v>
      </c>
      <c r="BJ44" s="315">
        <f>IF(INDEX(tab_MinKomp[CMMS3/eDDL (Direct Data Link)],MATCH($B43,tab_MinKomp[[Stanowisko / Position ]:[Stanowisko / Position ]],0))="n/a","n/a",BJ43-INDEX(tab_MinKomp[CMMS3/eDDL (Direct Data Link)],MATCH($B43,tab_MinKomp[[Stanowisko / Position ]:[Stanowisko / Position ]],0)))</f>
        <v>-1</v>
      </c>
      <c r="BK44" s="315">
        <f>IF(INDEX(tab_MinKomp[MP&amp;L (Material Planning and Logistics)],MATCH($B43,tab_MinKomp[[Stanowisko / Position ]:[Stanowisko / Position ]],0))="n/a","n/a",BK43-INDEX(tab_MinKomp[MP&amp;L (Material Planning and Logistics)],MATCH($B43,tab_MinKomp[[Stanowisko / Position ]:[Stanowisko / Position ]],0)))</f>
        <v>-1</v>
      </c>
      <c r="BL44" s="315">
        <f>IF(INDEX(tab_MinKomp[Supplier delivery rating],MATCH($B43,tab_MinKomp[[Stanowisko / Position ]:[Stanowisko / Position ]],0))="n/a","n/a",BL43-INDEX(tab_MinKomp[Supplier delivery rating],MATCH($B43,tab_MinKomp[[Stanowisko / Position ]:[Stanowisko / Position ]],0)))</f>
        <v>0</v>
      </c>
      <c r="BM44" s="315" t="str">
        <f>IF(INDEX(tab_MinKomp[Planowanie produkcji / Produktionsplanung],MATCH($B43,tab_MinKomp[[Stanowisko / Position ]:[Stanowisko / Position ]],0))="n/a","n/a",BM43-INDEX(tab_MinKomp[Planowanie produkcji / Produktionsplanung],MATCH($B43,tab_MinKomp[[Stanowisko / Position ]:[Stanowisko / Position ]],0)))</f>
        <v>n/a</v>
      </c>
      <c r="BN44" s="315" t="str">
        <f>IF(INDEX(tab_MinKomp[Obsługa maszyn Engel / Engel Maschinenbedienung],MATCH($B43,tab_MinKomp[[Stanowisko / Position ]:[Stanowisko / Position ]],0))="n/a","n/a",BN43-INDEX(tab_MinKomp[Obsługa maszyn Engel / Engel Maschinenbedienung],MATCH($B43,tab_MinKomp[[Stanowisko / Position ]:[Stanowisko / Position ]],0)))</f>
        <v>n/a</v>
      </c>
      <c r="BO44" s="315" t="str">
        <f>IF(INDEX(tab_MinKomp[Obsługa maszyn Novapax / Novapax Maschinenbedienung],MATCH($B43,tab_MinKomp[[Stanowisko / Position ]:[Stanowisko / Position ]],0))="n/a","n/a",BO43-INDEX(tab_MinKomp[Obsługa maszyn Novapax / Novapax Maschinenbedienung],MATCH($B43,tab_MinKomp[[Stanowisko / Position ]:[Stanowisko / Position ]],0)))</f>
        <v>n/a</v>
      </c>
      <c r="BP44" s="315" t="str">
        <f>IF(INDEX(tab_MinKomp[Obsługa maszyn KVT / KVT Maschinenbedienung],MATCH($B43,tab_MinKomp[[Stanowisko / Position ]:[Stanowisko / Position ]],0))="n/a","n/a",BP43-INDEX(tab_MinKomp[Obsługa maszyn KVT / KVT Maschinenbedienung],MATCH($B43,tab_MinKomp[[Stanowisko / Position ]:[Stanowisko / Position ]],0)))</f>
        <v>n/a</v>
      </c>
      <c r="BQ44" s="315" t="str">
        <f>IF(INDEX(tab_MinKomp[Obsługa maszyn ASL / ASL Maschinenbedienung],MATCH($B43,tab_MinKomp[[Stanowisko / Position ]:[Stanowisko / Position ]],0))="n/a","n/a",BQ43-INDEX(tab_MinKomp[Obsługa maszyn ASL / ASL Maschinenbedienung],MATCH($B43,tab_MinKomp[[Stanowisko / Position ]:[Stanowisko / Position ]],0)))</f>
        <v>n/a</v>
      </c>
      <c r="BR44" s="315" t="str">
        <f>IF(INDEX(tab_MinKomp[Obsługa maszyn Branson / Branson Maschinenbedienung],MATCH($B43,tab_MinKomp[[Stanowisko / Position ]:[Stanowisko / Position ]],0))="n/a","n/a",BR43-INDEX(tab_MinKomp[Obsługa maszyn Branson / Branson Maschinenbedienung],MATCH($B43,tab_MinKomp[[Stanowisko / Position ]:[Stanowisko / Position ]],0)))</f>
        <v>n/a</v>
      </c>
      <c r="BS44" s="315" t="str">
        <f>IF(INDEX(tab_MinKomp[Obsługa maszyn Kamtec / Kamtec Maschinenbedienung],MATCH($B43,tab_MinKomp[[Stanowisko / Position ]:[Stanowisko / Position ]],0))="n/a","n/a",BS43-INDEX(tab_MinKomp[Obsługa maszyn Kamtec / Kamtec Maschinenbedienung],MATCH($B43,tab_MinKomp[[Stanowisko / Position ]:[Stanowisko / Position ]],0)))</f>
        <v>n/a</v>
      </c>
      <c r="BT44" s="315" t="str">
        <f>IF(INDEX(tab_MinKomp[Obsługa maszyn Piovan / Piovan Maschinenbedienung],MATCH($B43,tab_MinKomp[[Stanowisko / Position ]:[Stanowisko / Position ]],0))="n/a","n/a",BT43-INDEX(tab_MinKomp[Obsługa maszyn Piovan / Piovan Maschinenbedienung],MATCH($B43,tab_MinKomp[[Stanowisko / Position ]:[Stanowisko / Position ]],0)))</f>
        <v>n/a</v>
      </c>
      <c r="BU44" s="315" t="str">
        <f>IF(INDEX(tab_MinKomp[Obsługa maszyn REP / REP Maschinenbedienung],MATCH($B43,tab_MinKomp[[Stanowisko / Position ]:[Stanowisko / Position ]],0))="n/a","n/a",BU43-INDEX(tab_MinKomp[Obsługa maszyn REP / REP Maschinenbedienung],MATCH($B43,tab_MinKomp[[Stanowisko / Position ]:[Stanowisko / Position ]],0)))</f>
        <v>n/a</v>
      </c>
      <c r="BV44" s="315" t="str">
        <f>IF(INDEX(tab_MinKomp[Eliminacja awarii / Beseitigung von Ausfällen],MATCH($B43,tab_MinKomp[[Stanowisko / Position ]:[Stanowisko / Position ]],0))="n/a","n/a",BV43-INDEX(tab_MinKomp[Eliminacja awarii / Beseitigung von Ausfällen],MATCH($B43,tab_MinKomp[[Stanowisko / Position ]:[Stanowisko / Position ]],0)))</f>
        <v>n/a</v>
      </c>
      <c r="BW44" s="315" t="str">
        <f>IF(INDEX(tab_MinKomp[Informatyka ogólna (techniczne i systemowe) / Allgemeine IT (Technik und System)],MATCH($B43,tab_MinKomp[[Stanowisko / Position ]:[Stanowisko / Position ]],0))="n/a","n/a",BW43-INDEX(tab_MinKomp[Informatyka ogólna (techniczne i systemowe) / Allgemeine IT (Technik und System)],MATCH($B43,tab_MinKomp[[Stanowisko / Position ]:[Stanowisko / Position ]],0)))</f>
        <v>n/a</v>
      </c>
      <c r="BX44" s="315" t="str">
        <f>IF(INDEX(tab_MinKomp[Sieci komputerowe / Computernetzwerke],MATCH($B43,tab_MinKomp[[Stanowisko / Position ]:[Stanowisko / Position ]],0))="n/a","n/a",BX43-INDEX(tab_MinKomp[Sieci komputerowe / Computernetzwerke],MATCH($B43,tab_MinKomp[[Stanowisko / Position ]:[Stanowisko / Position ]],0)))</f>
        <v>n/a</v>
      </c>
      <c r="BY44" s="315" t="str">
        <f>IF(INDEX(tab_MinKomp[Hardware (komputery PC, drukarki biurowe i etykietowe, telefonia stacjonarna i mobilna) (PC, Drucker, Telefpne, Handys)],MATCH($B43,tab_MinKomp[[Stanowisko / Position ]:[Stanowisko / Position ]],0))="n/a","n/a",BY43-INDEX(tab_MinKomp[Hardware (komputery PC, drukarki biurowe i etykietowe, telefonia stacjonarna i mobilna) (PC, Drucker, Telefpne, Handys)],MATCH($B43,tab_MinKomp[[Stanowisko / Position ]:[Stanowisko / Position ]],0)))</f>
        <v>n/a</v>
      </c>
      <c r="BZ44" s="315" t="str">
        <f>IF(INDEX(tab_MinKomp[Software &amp; Systems (MS Office, MS Remote Desktop)],MATCH($B43,tab_MinKomp[[Stanowisko / Position ]:[Stanowisko / Position ]],0))="n/a","n/a",BZ43-INDEX(tab_MinKomp[Software &amp; Systems (MS Office, MS Remote Desktop)],MATCH($B43,tab_MinKomp[[Stanowisko / Position ]:[Stanowisko / Position ]],0)))</f>
        <v>n/a</v>
      </c>
      <c r="CA44" s="315" t="str">
        <f>IF(INDEX(tab_MinKomp[Programowanie obiektowe (PHP) / Objektprogrammierung],MATCH($B43,tab_MinKomp[[Stanowisko / Position ]:[Stanowisko / Position ]],0))="n/a","n/a",CA43-INDEX(tab_MinKomp[Programowanie obiektowe (PHP) / Objektprogrammierung],MATCH($B43,tab_MinKomp[[Stanowisko / Position ]:[Stanowisko / Position ]],0)))</f>
        <v>n/a</v>
      </c>
      <c r="CB44" s="315" t="str">
        <f>IF(INDEX(tab_MinKomp[Scrum],MATCH($B43,tab_MinKomp[[Stanowisko / Position ]:[Stanowisko / Position ]],0))="n/a","n/a",CB43-INDEX(tab_MinKomp[Scrum],MATCH($B43,tab_MinKomp[[Stanowisko / Position ]:[Stanowisko / Position ]],0)))</f>
        <v>n/a</v>
      </c>
      <c r="CC44" s="315" t="str">
        <f>IF(INDEX(tab_MinKomp[SQL (MySQL)],MATCH($B43,tab_MinKomp[[Stanowisko / Position ]:[Stanowisko / Position ]],0))="n/a","n/a",CC43-INDEX(tab_MinKomp[SQL (MySQL)],MATCH($B43,tab_MinKomp[[Stanowisko / Position ]:[Stanowisko / Position ]],0)))</f>
        <v>n/a</v>
      </c>
      <c r="CD44" s="315" t="str">
        <f>IF(INDEX(tab_MinKomp[Javascript],MATCH($B43,tab_MinKomp[[Stanowisko / Position ]:[Stanowisko / Position ]],0))="n/a","n/a",CD43-INDEX(tab_MinKomp[Javascript],MATCH($B43,tab_MinKomp[[Stanowisko / Position ]:[Stanowisko / Position ]],0)))</f>
        <v>n/a</v>
      </c>
      <c r="CE44" s="315" t="str">
        <f>IF(INDEX(tab_MinKomp[Joomla],MATCH($B43,tab_MinKomp[[Stanowisko / Position ]:[Stanowisko / Position ]],0))="n/a","n/a",CE43-INDEX(tab_MinKomp[Joomla],MATCH($B43,tab_MinKomp[[Stanowisko / Position ]:[Stanowisko / Position ]],0)))</f>
        <v>n/a</v>
      </c>
      <c r="CF44" s="315" t="str">
        <f>IF(INDEX(tab_MinKomp[Bash],MATCH($B43,tab_MinKomp[[Stanowisko / Position ]:[Stanowisko / Position ]],0))="n/a","n/a",CF43-INDEX(tab_MinKomp[Bash],MATCH($B43,tab_MinKomp[[Stanowisko / Position ]:[Stanowisko / Position ]],0)))</f>
        <v>n/a</v>
      </c>
      <c r="CG44" s="315" t="str">
        <f>IF(INDEX(tab_MinKomp[Systemy MES (HYDRA / SFMS)],MATCH($B43,tab_MinKomp[[Stanowisko / Position ]:[Stanowisko / Position ]],0))="n/a","n/a",CG43-INDEX(tab_MinKomp[Systemy MES (HYDRA / SFMS)],MATCH($B43,tab_MinKomp[[Stanowisko / Position ]:[Stanowisko / Position ]],0)))</f>
        <v>n/a</v>
      </c>
      <c r="CH44" s="315" t="str">
        <f>IF(INDEX(tab_MinKomp[HTML / CSS],MATCH($B43,tab_MinKomp[[Stanowisko / Position ]:[Stanowisko / Position ]],0))="n/a","n/a",CH43-INDEX(tab_MinKomp[HTML / CSS],MATCH($B43,tab_MinKomp[[Stanowisko / Position ]:[Stanowisko / Position ]],0)))</f>
        <v>n/a</v>
      </c>
      <c r="CI44" s="315">
        <f>IF(INDEX(tab_MinKomp[SYSTEM PR],MATCH($B43,tab_MinKomp[[Stanowisko / Position ]:[Stanowisko / Position ]],0))="n/a","n/a",CI43-INDEX(tab_MinKomp[SYSTEM PR],MATCH($B43,tab_MinKomp[[Stanowisko / Position ]:[Stanowisko / Position ]],0)))</f>
        <v>0</v>
      </c>
      <c r="CJ44" s="315" t="str">
        <f>IF(INDEX(tab_MinKomp[System Einkauf XP / EBA],MATCH($B43,tab_MinKomp[[Stanowisko / Position ]:[Stanowisko / Position ]],0))="n/a","n/a",CJ43-INDEX(tab_MinKomp[System Einkauf XP / EBA],MATCH($B43,tab_MinKomp[[Stanowisko / Position ]:[Stanowisko / Position ]],0)))</f>
        <v>n/a</v>
      </c>
      <c r="CK44" s="315" t="str">
        <f>IF(INDEX(tab_MinKomp[Techniki negocjacyjne / Verhandlungstechniken],MATCH($B43,tab_MinKomp[[Stanowisko / Position ]:[Stanowisko / Position ]],0))="n/a","n/a",CK43-INDEX(tab_MinKomp[Techniki negocjacyjne / Verhandlungstechniken],MATCH($B43,tab_MinKomp[[Stanowisko / Position ]:[Stanowisko / Position ]],0)))</f>
        <v>n/a</v>
      </c>
      <c r="CL44" s="315">
        <f>IF(INDEX(tab_MinKomp[Znajomość rynku branżowego / Kenntnis des Industrie Marktes],MATCH($B43,tab_MinKomp[[Stanowisko / Position ]:[Stanowisko / Position ]],0))="n/a","n/a",CL43-INDEX(tab_MinKomp[Znajomość rynku branżowego / Kenntnis des Industrie Marktes],MATCH($B43,tab_MinKomp[[Stanowisko / Position ]:[Stanowisko / Position ]],0)))</f>
        <v>0</v>
      </c>
      <c r="CM44" s="315">
        <f>IF(INDEX(tab_MinKomp[RAPORTY 8D / 8D Berichten],MATCH($B43,tab_MinKomp[[Stanowisko / Position ]:[Stanowisko / Position ]],0))="n/a","n/a",CM43-INDEX(tab_MinKomp[RAPORTY 8D / 8D Berichten],MATCH($B43,tab_MinKomp[[Stanowisko / Position ]:[Stanowisko / Position ]],0)))</f>
        <v>0</v>
      </c>
      <c r="CN44" s="315">
        <f>IF(INDEX(tab_MinKomp[NARZĘDZIA JAKOŚCIOWE (5WHY, Ishikawa, etc) / QS-Werkzeuge],MATCH($B43,tab_MinKomp[[Stanowisko / Position ]:[Stanowisko / Position ]],0))="n/a","n/a",CN43-INDEX(tab_MinKomp[NARZĘDZIA JAKOŚCIOWE (5WHY, Ishikawa, etc) / QS-Werkzeuge],MATCH($B43,tab_MinKomp[[Stanowisko / Position ]:[Stanowisko / Position ]],0)))</f>
        <v>0</v>
      </c>
      <c r="CO44" s="315">
        <f>IF(INDEX(tab_MinKomp[PDCA],MATCH($B43,tab_MinKomp[[Stanowisko / Position ]:[Stanowisko / Position ]],0))="n/a","n/a",CO43-INDEX(tab_MinKomp[PDCA],MATCH($B43,tab_MinKomp[[Stanowisko / Position ]:[Stanowisko / Position ]],0)))</f>
        <v>0</v>
      </c>
      <c r="CP44" s="315">
        <f>IF(INDEX(tab_MinKomp[Pareto],MATCH($B43,tab_MinKomp[[Stanowisko / Position ]:[Stanowisko / Position ]],0))="n/a","n/a",CP43-INDEX(tab_MinKomp[Pareto],MATCH($B43,tab_MinKomp[[Stanowisko / Position ]:[Stanowisko / Position ]],0)))</f>
        <v>0</v>
      </c>
      <c r="CQ44" s="315">
        <f>IF(INDEX(tab_MinKomp[PPAP/PSW],MATCH($B43,tab_MinKomp[[Stanowisko / Position ]:[Stanowisko / Position ]],0))="n/a","n/a",CQ43-INDEX(tab_MinKomp[PPAP/PSW],MATCH($B43,tab_MinKomp[[Stanowisko / Position ]:[Stanowisko / Position ]],0)))</f>
        <v>0</v>
      </c>
      <c r="CR44" s="315">
        <f>IF(INDEX(tab_MinKomp[SUPPLIER MANAGEMENT],MATCH($B43,tab_MinKomp[[Stanowisko / Position ]:[Stanowisko / Position ]],0))="n/a","n/a",CR43-INDEX(tab_MinKomp[SUPPLIER MANAGEMENT],MATCH($B43,tab_MinKomp[[Stanowisko / Position ]:[Stanowisko / Position ]],0)))</f>
        <v>0</v>
      </c>
      <c r="CS44" s="315">
        <f>IF(INDEX(tab_MinKomp[OBSŁUGA PORTALI KLIENTA / Kundenportale],MATCH($B43,tab_MinKomp[[Stanowisko / Position ]:[Stanowisko / Position ]],0))="n/a","n/a",CS43-INDEX(tab_MinKomp[OBSŁUGA PORTALI KLIENTA / Kundenportale],MATCH($B43,tab_MinKomp[[Stanowisko / Position ]:[Stanowisko / Position ]],0)))</f>
        <v>1</v>
      </c>
      <c r="CT44" s="315">
        <f>IF(INDEX(tab_MinKomp[Obsługa systemu BABTECQ / BABTECQ System],MATCH($B43,tab_MinKomp[[Stanowisko / Position ]:[Stanowisko / Position ]],0))="n/a","n/a",CT43-INDEX(tab_MinKomp[Obsługa systemu BABTECQ / BABTECQ System],MATCH($B43,tab_MinKomp[[Stanowisko / Position ]:[Stanowisko / Position ]],0)))</f>
        <v>0</v>
      </c>
      <c r="CU44" s="315" t="str">
        <f>IF(INDEX(tab_MinKomp[Rysunek techniczny / technische Zeichnung],MATCH($B43,tab_MinKomp[[Stanowisko / Position ]:[Stanowisko / Position ]],0))="n/a","n/a",CU43-INDEX(tab_MinKomp[Rysunek techniczny / technische Zeichnung],MATCH($B43,tab_MinKomp[[Stanowisko / Position ]:[Stanowisko / Position ]],0)))</f>
        <v>n/a</v>
      </c>
      <c r="CV44" s="315" t="str">
        <f>IF(INDEX(tab_MinKomp[Kalibracja / Kalibrierung],MATCH($B43,tab_MinKomp[[Stanowisko / Position ]:[Stanowisko / Position ]],0))="n/a","n/a",CV43-INDEX(tab_MinKomp[Kalibracja / Kalibrierung],MATCH($B43,tab_MinKomp[[Stanowisko / Position ]:[Stanowisko / Position ]],0)))</f>
        <v>n/a</v>
      </c>
      <c r="CW44" s="315" t="str">
        <f>IF(INDEX(tab_MinKomp[Rekwalifikacja / Requalifizierung],MATCH($B43,tab_MinKomp[[Stanowisko / Position ]:[Stanowisko / Position ]],0))="n/a","n/a",CW43-INDEX(tab_MinKomp[Rekwalifikacja / Requalifizierung],MATCH($B43,tab_MinKomp[[Stanowisko / Position ]:[Stanowisko / Position ]],0)))</f>
        <v>n/a</v>
      </c>
      <c r="CX44" s="315" t="str">
        <f>IF(INDEX(tab_MinKomp[CMM - Contura Zeiss],MATCH($B43,tab_MinKomp[[Stanowisko / Position ]:[Stanowisko / Position ]],0))="n/a","n/a",CX43-INDEX(tab_MinKomp[CMM - Contura Zeiss],MATCH($B43,tab_MinKomp[[Stanowisko / Position ]:[Stanowisko / Position ]],0)))</f>
        <v>n/a</v>
      </c>
      <c r="CY44" s="315" t="str">
        <f>IF(INDEX(tab_MinKomp[CMM - Contura Zeiss],MATCH($B43,tab_MinKomp[[Stanowisko / Position ]:[Stanowisko / Position ]],0))="n/a","n/a",CY43-INDEX(tab_MinKomp[CMM - Contura Zeiss],MATCH($B43,tab_MinKomp[[Stanowisko / Position ]:[Stanowisko / Position ]],0)))</f>
        <v>n/a</v>
      </c>
      <c r="CZ44" s="315" t="str">
        <f>IF(INDEX(tab_MinKomp[CMM - Contura Zeiss],MATCH($B43,tab_MinKomp[[Stanowisko / Position ]:[Stanowisko / Position ]],0))="n/a","n/a",CZ43-INDEX(tab_MinKomp[CMM - Contura Zeiss],MATCH($B43,tab_MinKomp[[Stanowisko / Position ]:[Stanowisko / Position ]],0)))</f>
        <v>n/a</v>
      </c>
      <c r="DA44" s="315" t="str">
        <f>IF(INDEX(tab_MinKomp[CMM - Contura Zeiss],MATCH($B43,tab_MinKomp[[Stanowisko / Position ]:[Stanowisko / Position ]],0))="n/a","n/a",DA43-INDEX(tab_MinKomp[CMM - Contura Zeiss],MATCH($B43,tab_MinKomp[[Stanowisko / Position ]:[Stanowisko / Position ]],0)))</f>
        <v>n/a</v>
      </c>
      <c r="DB44" s="315" t="str">
        <f>IF(INDEX(tab_MinKomp[CMM - Contura Zeiss],MATCH($B43,tab_MinKomp[[Stanowisko / Position ]:[Stanowisko / Position ]],0))="n/a","n/a",DB43-INDEX(tab_MinKomp[CMM - Contura Zeiss],MATCH($B43,tab_MinKomp[[Stanowisko / Position ]:[Stanowisko / Position ]],0)))</f>
        <v>n/a</v>
      </c>
      <c r="DC44" s="315" t="str">
        <f>IF(INDEX(tab_MinKomp[CMM - Contura Zeiss],MATCH($B43,tab_MinKomp[[Stanowisko / Position ]:[Stanowisko / Position ]],0))="n/a","n/a",DC43-INDEX(tab_MinKomp[CMM - Contura Zeiss],MATCH($B43,tab_MinKomp[[Stanowisko / Position ]:[Stanowisko / Position ]],0)))</f>
        <v>n/a</v>
      </c>
      <c r="DD44" s="315" t="str">
        <f>IF(INDEX(tab_MinKomp[Pisanie programów / Programme schreiben],MATCH($B43,tab_MinKomp[[Stanowisko / Position ]:[Stanowisko / Position ]],0))="n/a","n/a",DD43-INDEX(tab_MinKomp[Pisanie programów / Programme schreiben],MATCH($B43,tab_MinKomp[[Stanowisko / Position ]:[Stanowisko / Position ]],0)))</f>
        <v>n/a</v>
      </c>
      <c r="DE44" s="315" t="str">
        <f>IF(INDEX(tab_MinKomp[CMM - Contura Zeiss],MATCH($B43,tab_MinKomp[[Stanowisko / Position ]:[Stanowisko / Position ]],0))="n/a","n/a",DE43-INDEX(tab_MinKomp[CMM - Contura Zeiss],MATCH($B43,tab_MinKomp[[Stanowisko / Position ]:[Stanowisko / Position ]],0)))</f>
        <v>n/a</v>
      </c>
      <c r="DF44" s="315" t="str">
        <f>IF(INDEX(tab_MinKomp[CMM - Contura Zeiss],MATCH($B43,tab_MinKomp[[Stanowisko / Position ]:[Stanowisko / Position ]],0))="n/a","n/a",DF43-INDEX(tab_MinKomp[CMM - Contura Zeiss],MATCH($B43,tab_MinKomp[[Stanowisko / Position ]:[Stanowisko / Position ]],0)))</f>
        <v>n/a</v>
      </c>
      <c r="DG44" s="315" t="str">
        <f>IF(INDEX(tab_MinKomp[CMM - Contura Zeiss],MATCH($B43,tab_MinKomp[[Stanowisko / Position ]:[Stanowisko / Position ]],0))="n/a","n/a",DG43-INDEX(tab_MinKomp[CMM - Contura Zeiss],MATCH($B43,tab_MinKomp[[Stanowisko / Position ]:[Stanowisko / Position ]],0)))</f>
        <v>n/a</v>
      </c>
      <c r="DH44" s="315" t="str">
        <f>IF(INDEX(tab_MinKomp[CMM - Contura Zeiss],MATCH($B43,tab_MinKomp[[Stanowisko / Position ]:[Stanowisko / Position ]],0))="n/a","n/a",DH43-INDEX(tab_MinKomp[CMM - Contura Zeiss],MATCH($B43,tab_MinKomp[[Stanowisko / Position ]:[Stanowisko / Position ]],0)))</f>
        <v>n/a</v>
      </c>
      <c r="DI44" s="315" t="str">
        <f>IF(INDEX(tab_MinKomp[CMM - Contura Zeiss],MATCH($B43,tab_MinKomp[[Stanowisko / Position ]:[Stanowisko / Position ]],0))="n/a","n/a",DI43-INDEX(tab_MinKomp[CMM - Contura Zeiss],MATCH($B43,tab_MinKomp[[Stanowisko / Position ]:[Stanowisko / Position ]],0)))</f>
        <v>n/a</v>
      </c>
      <c r="DJ44" s="315" t="str">
        <f>IF(INDEX(tab_MinKomp[CMM - Contura Zeiss],MATCH($B43,tab_MinKomp[[Stanowisko / Position ]:[Stanowisko / Position ]],0))="n/a","n/a",DJ43-INDEX(tab_MinKomp[CMM - Contura Zeiss],MATCH($B43,tab_MinKomp[[Stanowisko / Position ]:[Stanowisko / Position ]],0)))</f>
        <v>n/a</v>
      </c>
      <c r="DK44" s="315" t="str">
        <f>IF(INDEX(tab_MinKomp[Pisanie programów / Programme schreiben],MATCH($B43,tab_MinKomp[[Stanowisko / Position ]:[Stanowisko / Position ]],0))="n/a","n/a",DK43-INDEX(tab_MinKomp[Pisanie programów / Programme schreiben],MATCH($B43,tab_MinKomp[[Stanowisko / Position ]:[Stanowisko / Position ]],0)))</f>
        <v>n/a</v>
      </c>
      <c r="DL44" s="315" t="str">
        <f>IF(INDEX(tab_MinKomp[CMM - Contura Zeiss],MATCH($B43,tab_MinKomp[[Stanowisko / Position ]:[Stanowisko / Position ]],0))="n/a","n/a",DL43-INDEX(tab_MinKomp[CMM - Contura Zeiss],MATCH($B43,tab_MinKomp[[Stanowisko / Position ]:[Stanowisko / Position ]],0)))</f>
        <v>n/a</v>
      </c>
      <c r="DM44" s="315" t="str">
        <f>IF(INDEX(tab_MinKomp[CMM - Contura Zeiss],MATCH($B43,tab_MinKomp[[Stanowisko / Position ]:[Stanowisko / Position ]],0))="n/a","n/a",DM43-INDEX(tab_MinKomp[CMM - Contura Zeiss],MATCH($B43,tab_MinKomp[[Stanowisko / Position ]:[Stanowisko / Position ]],0)))</f>
        <v>n/a</v>
      </c>
      <c r="DN44" s="315" t="str">
        <f>IF(INDEX(tab_MinKomp[CMM - Contura Zeiss],MATCH($B43,tab_MinKomp[[Stanowisko / Position ]:[Stanowisko / Position ]],0))="n/a","n/a",DN43-INDEX(tab_MinKomp[CMM - Contura Zeiss],MATCH($B43,tab_MinKomp[[Stanowisko / Position ]:[Stanowisko / Position ]],0)))</f>
        <v>n/a</v>
      </c>
      <c r="DO44" s="315" t="str">
        <f>IF(INDEX(tab_MinKomp[CMM - Contura Zeiss],MATCH($B43,tab_MinKomp[[Stanowisko / Position ]:[Stanowisko / Position ]],0))="n/a","n/a",DO43-INDEX(tab_MinKomp[CMM - Contura Zeiss],MATCH($B43,tab_MinKomp[[Stanowisko / Position ]:[Stanowisko / Position ]],0)))</f>
        <v>n/a</v>
      </c>
      <c r="DP44" s="315" t="str">
        <f>IF(INDEX(tab_MinKomp[CMM - Contura Zeiss],MATCH($B43,tab_MinKomp[[Stanowisko / Position ]:[Stanowisko / Position ]],0))="n/a","n/a",DP43-INDEX(tab_MinKomp[CMM - Contura Zeiss],MATCH($B43,tab_MinKomp[[Stanowisko / Position ]:[Stanowisko / Position ]],0)))</f>
        <v>n/a</v>
      </c>
      <c r="DQ44" s="315" t="str">
        <f>IF(INDEX(tab_MinKomp[CMM - Contura Zeiss],MATCH($B43,tab_MinKomp[[Stanowisko / Position ]:[Stanowisko / Position ]],0))="n/a","n/a",DQ43-INDEX(tab_MinKomp[CMM - Contura Zeiss],MATCH($B43,tab_MinKomp[[Stanowisko / Position ]:[Stanowisko / Position ]],0)))</f>
        <v>n/a</v>
      </c>
      <c r="DR44" s="315" t="str">
        <f>IF(INDEX(tab_MinKomp[Pisanie programów / Programme schreiben],MATCH($B43,tab_MinKomp[[Stanowisko / Position ]:[Stanowisko / Position ]],0))="n/a","n/a",DR43-INDEX(tab_MinKomp[Pisanie programów / Programme schreiben],MATCH($B43,tab_MinKomp[[Stanowisko / Position ]:[Stanowisko / Position ]],0)))</f>
        <v>n/a</v>
      </c>
      <c r="DS44" s="315" t="str">
        <f>IF(INDEX(tab_MinKomp[CMM - Contura Zeiss],MATCH($B43,tab_MinKomp[[Stanowisko / Position ]:[Stanowisko / Position ]],0))="n/a","n/a",DS43-INDEX(tab_MinKomp[CMM - Contura Zeiss],MATCH($B43,tab_MinKomp[[Stanowisko / Position ]:[Stanowisko / Position ]],0)))</f>
        <v>n/a</v>
      </c>
      <c r="DT44" s="315" t="str">
        <f>IF(INDEX(tab_MinKomp[CMM - Contura Zeiss],MATCH($B43,tab_MinKomp[[Stanowisko / Position ]:[Stanowisko / Position ]],0))="n/a","n/a",DT43-INDEX(tab_MinKomp[CMM - Contura Zeiss],MATCH($B43,tab_MinKomp[[Stanowisko / Position ]:[Stanowisko / Position ]],0)))</f>
        <v>n/a</v>
      </c>
      <c r="DU44" s="315" t="str">
        <f>IF(INDEX(tab_MinKomp[CMM - Contura Zeiss],MATCH($B43,tab_MinKomp[[Stanowisko / Position ]:[Stanowisko / Position ]],0))="n/a","n/a",DU43-INDEX(tab_MinKomp[CMM - Contura Zeiss],MATCH($B43,tab_MinKomp[[Stanowisko / Position ]:[Stanowisko / Position ]],0)))</f>
        <v>n/a</v>
      </c>
      <c r="DV44" s="315" t="str">
        <f>IF(INDEX(tab_MinKomp[CMM - Contura Zeiss],MATCH($B43,tab_MinKomp[[Stanowisko / Position ]:[Stanowisko / Position ]],0))="n/a","n/a",DV43-INDEX(tab_MinKomp[CMM - Contura Zeiss],MATCH($B43,tab_MinKomp[[Stanowisko / Position ]:[Stanowisko / Position ]],0)))</f>
        <v>n/a</v>
      </c>
      <c r="DW44" s="315" t="str">
        <f>IF(INDEX(tab_MinKomp[CMM - Contura Zeiss],MATCH($B43,tab_MinKomp[[Stanowisko / Position ]:[Stanowisko / Position ]],0))="n/a","n/a",DW43-INDEX(tab_MinKomp[CMM - Contura Zeiss],MATCH($B43,tab_MinKomp[[Stanowisko / Position ]:[Stanowisko / Position ]],0)))</f>
        <v>n/a</v>
      </c>
      <c r="DX44" s="315" t="str">
        <f>IF(INDEX(tab_MinKomp[CMM - Contura Zeiss],MATCH($B43,tab_MinKomp[[Stanowisko / Position ]:[Stanowisko / Position ]],0))="n/a","n/a",DX43-INDEX(tab_MinKomp[CMM - Contura Zeiss],MATCH($B43,tab_MinKomp[[Stanowisko / Position ]:[Stanowisko / Position ]],0)))</f>
        <v>n/a</v>
      </c>
      <c r="DY44" s="315" t="str">
        <f>IF(INDEX(tab_MinKomp[Konserwacja Rep],MATCH($B43,tab_MinKomp[[Stanowisko / Position ]:[Stanowisko / Position ]],0))="n/a","n/a",DY43-INDEX(tab_MinKomp[Konserwacja Rep],MATCH($B43,tab_MinKomp[[Stanowisko / Position ]:[Stanowisko / Position ]],0)))</f>
        <v>n/a</v>
      </c>
      <c r="DZ44" s="315" t="str">
        <f>IF(INDEX(tab_MinKomp[[Konserwacja Engel ]],MATCH($B43,tab_MinKomp[[Stanowisko / Position ]:[Stanowisko / Position ]],0))="n/a","n/a",DZ43-INDEX(tab_MinKomp[[Konserwacja Engel ]],MATCH($B43,tab_MinKomp[[Stanowisko / Position ]:[Stanowisko / Position ]],0)))</f>
        <v>n/a</v>
      </c>
      <c r="EA44" s="315" t="str">
        <f>IF(INDEX(tab_MinKomp[Konserwacja B 50],MATCH($B43,tab_MinKomp[[Stanowisko / Position ]:[Stanowisko / Position ]],0))="n/a","n/a",EA43-INDEX(tab_MinKomp[Konserwacja B 50],MATCH($B43,tab_MinKomp[[Stanowisko / Position ]:[Stanowisko / Position ]],0)))</f>
        <v>n/a</v>
      </c>
      <c r="EB44" s="315" t="str">
        <f>IF(INDEX(tab_MinKomp[[Konserwacja EOL ]],MATCH($B43,tab_MinKomp[[Stanowisko / Position ]:[Stanowisko / Position ]],0))="n/a","n/a",EB43-INDEX(tab_MinKomp[[Konserwacja EOL ]],MATCH($B43,tab_MinKomp[[Stanowisko / Position ]:[Stanowisko / Position ]],0)))</f>
        <v>n/a</v>
      </c>
      <c r="EC44" s="315" t="str">
        <f>IF(INDEX(tab_MinKomp[Konserwacja Branson],MATCH($B43,tab_MinKomp[[Stanowisko / Position ]:[Stanowisko / Position ]],0))="n/a","n/a",EC43-INDEX(tab_MinKomp[Konserwacja Branson],MATCH($B43,tab_MinKomp[[Stanowisko / Position ]:[Stanowisko / Position ]],0)))</f>
        <v>n/a</v>
      </c>
      <c r="ED44" s="315" t="str">
        <f>IF(INDEX(tab_MinKomp[Konserwacja coolery],MATCH($B43,tab_MinKomp[[Stanowisko / Position ]:[Stanowisko / Position ]],0))="n/a","n/a",ED43-INDEX(tab_MinKomp[Konserwacja coolery],MATCH($B43,tab_MinKomp[[Stanowisko / Position ]:[Stanowisko / Position ]],0)))</f>
        <v>n/a</v>
      </c>
      <c r="EE44" s="315" t="str">
        <f>IF(INDEX(tab_MinKomp[Konserwacja piecy],MATCH($B43,tab_MinKomp[[Stanowisko / Position ]:[Stanowisko / Position ]],0))="n/a","n/a",EE43-INDEX(tab_MinKomp[Konserwacja piecy],MATCH($B43,tab_MinKomp[[Stanowisko / Position ]:[Stanowisko / Position ]],0)))</f>
        <v>n/a</v>
      </c>
      <c r="EF44" s="315" t="str">
        <f>IF(INDEX(tab_MinKomp[Rysunek techniczny- czytanie],MATCH($B43,tab_MinKomp[[Stanowisko / Position ]:[Stanowisko / Position ]],0))="n/a","n/a",EF43-INDEX(tab_MinKomp[Rysunek techniczny- czytanie],MATCH($B43,tab_MinKomp[[Stanowisko / Position ]:[Stanowisko / Position ]],0)))</f>
        <v>n/a</v>
      </c>
      <c r="EG44" s="315" t="str">
        <f>IF(INDEX(tab_MinKomp[Elektryka],MATCH($B43,tab_MinKomp[[Stanowisko / Position ]:[Stanowisko / Position ]],0))="n/a","n/a",EG43-INDEX(tab_MinKomp[Elektryka],MATCH($B43,tab_MinKomp[[Stanowisko / Position ]:[Stanowisko / Position ]],0)))</f>
        <v>n/a</v>
      </c>
      <c r="EH44" s="315" t="str">
        <f>IF(INDEX(tab_MinKomp[Pneumatyka],MATCH($B43,tab_MinKomp[[Stanowisko / Position ]:[Stanowisko / Position ]],0))="n/a","n/a",EH43-INDEX(tab_MinKomp[Pneumatyka],MATCH($B43,tab_MinKomp[[Stanowisko / Position ]:[Stanowisko / Position ]],0)))</f>
        <v>n/a</v>
      </c>
      <c r="EI44" s="315" t="str">
        <f>IF(INDEX(tab_MinKomp[[Hydraulika ]],MATCH($B43,tab_MinKomp[[Stanowisko / Position ]:[Stanowisko / Position ]],0))="n/a","n/a",EI43-INDEX(tab_MinKomp[[Hydraulika ]],MATCH($B43,tab_MinKomp[[Stanowisko / Position ]:[Stanowisko / Position ]],0)))</f>
        <v>n/a</v>
      </c>
      <c r="EJ44" s="315" t="str">
        <f>IF(INDEX(tab_MinKomp[Podciśnienie],MATCH($B43,tab_MinKomp[[Stanowisko / Position ]:[Stanowisko / Position ]],0))="n/a","n/a",EJ43-INDEX(tab_MinKomp[Podciśnienie],MATCH($B43,tab_MinKomp[[Stanowisko / Position ]:[Stanowisko / Position ]],0)))</f>
        <v>n/a</v>
      </c>
      <c r="EK44" s="315" t="str">
        <f>IF(INDEX(tab_MinKomp[Usuwanie awarii],MATCH($B43,tab_MinKomp[[Stanowisko / Position ]:[Stanowisko / Position ]],0))="n/a","n/a",EK43-INDEX(tab_MinKomp[Usuwanie awarii],MATCH($B43,tab_MinKomp[[Stanowisko / Position ]:[Stanowisko / Position ]],0)))</f>
        <v>n/a</v>
      </c>
      <c r="EL44" s="315" t="str">
        <f>IF(INDEX(tab_MinKomp[Obsługa robotów],MATCH($B43,tab_MinKomp[[Stanowisko / Position ]:[Stanowisko / Position ]],0))="n/a","n/a",EL43-INDEX(tab_MinKomp[Obsługa robotów],MATCH($B43,tab_MinKomp[[Stanowisko / Position ]:[Stanowisko / Position ]],0)))</f>
        <v>n/a</v>
      </c>
      <c r="EM44" s="315" t="str">
        <f>IF(INDEX(tab_MinKomp[Obsługa sterowania maszyny],MATCH($B43,tab_MinKomp[[Stanowisko / Position ]:[Stanowisko / Position ]],0))="n/a","n/a",EM43-INDEX(tab_MinKomp[Obsługa sterowania maszyny],MATCH($B43,tab_MinKomp[[Stanowisko / Position ]:[Stanowisko / Position ]],0)))</f>
        <v>n/a</v>
      </c>
      <c r="EN44" s="315" t="str">
        <f>IF(INDEX(tab_MinKomp[Usuwanie przyczyn żródłowych],MATCH($B43,tab_MinKomp[[Stanowisko / Position ]:[Stanowisko / Position ]],0))="n/a","n/a",EN43-INDEX(tab_MinKomp[Usuwanie przyczyn żródłowych],MATCH($B43,tab_MinKomp[[Stanowisko / Position ]:[Stanowisko / Position ]],0)))</f>
        <v>n/a</v>
      </c>
      <c r="EO44" s="315" t="str">
        <f>IF(INDEX(tab_MinKomp[Cmms stosowanie],MATCH($B43,tab_MinKomp[[Stanowisko / Position ]:[Stanowisko / Position ]],0))="n/a","n/a",EO43-INDEX(tab_MinKomp[Cmms stosowanie],MATCH($B43,tab_MinKomp[[Stanowisko / Position ]:[Stanowisko / Position ]],0)))</f>
        <v>n/a</v>
      </c>
      <c r="EP44" s="315" t="str">
        <f>IF(INDEX(tab_MinKomp[[Czyszczenie form gumowych ]],MATCH($B43,tab_MinKomp[[Stanowisko / Position ]:[Stanowisko / Position ]],0))="n/a","n/a",EP43-INDEX(tab_MinKomp[[Czyszczenie form gumowych ]],MATCH($B43,tab_MinKomp[[Stanowisko / Position ]:[Stanowisko / Position ]],0)))</f>
        <v>n/a</v>
      </c>
      <c r="EQ44" s="315" t="str">
        <f>IF(INDEX(tab_MinKomp[Czyszczenie form plastikowych],MATCH($B43,tab_MinKomp[[Stanowisko / Position ]:[Stanowisko / Position ]],0))="n/a","n/a",EQ43-INDEX(tab_MinKomp[Czyszczenie form plastikowych],MATCH($B43,tab_MinKomp[[Stanowisko / Position ]:[Stanowisko / Position ]],0)))</f>
        <v>n/a</v>
      </c>
      <c r="ER44" s="315" t="str">
        <f>IF(INDEX(tab_MinKomp[Wymiana form plastik],MATCH($B43,tab_MinKomp[[Stanowisko / Position ]:[Stanowisko / Position ]],0))="n/a","n/a",ER43-INDEX(tab_MinKomp[Wymiana form plastik],MATCH($B43,tab_MinKomp[[Stanowisko / Position ]:[Stanowisko / Position ]],0)))</f>
        <v>n/a</v>
      </c>
      <c r="ES44" s="315" t="str">
        <f>IF(INDEX(tab_MinKomp[Wymiana form guma],MATCH($B43,tab_MinKomp[[Stanowisko / Position ]:[Stanowisko / Position ]],0))="n/a","n/a",ES43-INDEX(tab_MinKomp[Wymiana form guma],MATCH($B43,tab_MinKomp[[Stanowisko / Position ]:[Stanowisko / Position ]],0)))</f>
        <v>n/a</v>
      </c>
      <c r="ET44" s="315" t="str">
        <f>IF(INDEX(tab_MinKomp[Konserwacja KK],MATCH($B43,tab_MinKomp[[Stanowisko / Position ]:[Stanowisko / Position ]],0))="n/a","n/a",ET43-INDEX(tab_MinKomp[Konserwacja KK],MATCH($B43,tab_MinKomp[[Stanowisko / Position ]:[Stanowisko / Position ]],0)))</f>
        <v>n/a</v>
      </c>
      <c r="EU44" s="315" t="str">
        <f>IF(INDEX(tab_MinKomp[Konserwacja form guma],MATCH($B43,tab_MinKomp[[Stanowisko / Position ]:[Stanowisko / Position ]],0))="n/a","n/a",EU43-INDEX(tab_MinKomp[Konserwacja form guma],MATCH($B43,tab_MinKomp[[Stanowisko / Position ]:[Stanowisko / Position ]],0)))</f>
        <v>n/a</v>
      </c>
      <c r="EV44" s="315" t="str">
        <f>IF(INDEX(tab_MinKomp[Konserwacja form plastiki],MATCH($B43,tab_MinKomp[[Stanowisko / Position ]:[Stanowisko / Position ]],0))="n/a","n/a",EV43-INDEX(tab_MinKomp[Konserwacja form plastiki],MATCH($B43,tab_MinKomp[[Stanowisko / Position ]:[Stanowisko / Position ]],0)))</f>
        <v>n/a</v>
      </c>
      <c r="EW44" s="330" t="str">
        <f>IF(INDEX(tab_MinKomp[Konserwacja form plastiki],MATCH($B43,tab_MinKomp[[Stanowisko / Position ]:[Stanowisko / Position ]],0))="n/a","n/a",EW43-INDEX(tab_MinKomp[Konserwacja form plastiki],MATCH($B43,tab_MinKomp[[Stanowisko / Position ]:[Stanowisko / Position ]],0)))</f>
        <v>n/a</v>
      </c>
      <c r="EX44" s="315" t="str">
        <f>IF(INDEX(tab_MinKomp[Konserwacja Gorącego Kanału],MATCH($B43,tab_MinKomp[[Stanowisko / Position ]:[Stanowisko / Position ]],0))="n/a","n/a",EX43-INDEX(tab_MinKomp[Konserwacja Gorącego Kanału],MATCH($B43,tab_MinKomp[[Stanowisko / Position ]:[Stanowisko / Position ]],0)))</f>
        <v>n/a</v>
      </c>
      <c r="EY44" s="315">
        <f>IF(INDEX(tab_MinKomp[MS Office (Excel)],MATCH($B43,tab_MinKomp[[Stanowisko / Position ]:[Stanowisko / Position ]],0))="n/a","n/a",EY43-INDEX(tab_MinKomp[MS Office (Excel)],MATCH($B43,tab_MinKomp[[Stanowisko / Position ]:[Stanowisko / Position ]],0)))</f>
        <v>1</v>
      </c>
      <c r="EZ44" s="315">
        <f>IF(INDEX(tab_MinKomp[MS Office (Word)],MATCH($B43,tab_MinKomp[[Stanowisko / Position ]:[Stanowisko / Position ]],0))="n/a","n/a",EZ43-INDEX(tab_MinKomp[MS Office (Word)],MATCH($B43,tab_MinKomp[[Stanowisko / Position ]:[Stanowisko / Position ]],0)))</f>
        <v>0</v>
      </c>
      <c r="FA44" s="315">
        <f>IF(INDEX(tab_MinKomp[MS Office (Power Point)],MATCH($B43,tab_MinKomp[[Stanowisko / Position ]:[Stanowisko / Position ]],0))="n/a","n/a",FA43-INDEX(tab_MinKomp[MS Office (Power Point)],MATCH($B43,tab_MinKomp[[Stanowisko / Position ]:[Stanowisko / Position ]],0)))</f>
        <v>0</v>
      </c>
      <c r="FB44" s="317">
        <f>IF(INDEX(tab_MinKomp[Język angielski / Englisch],MATCH($B43,tab_MinKomp[[Stanowisko / Position ]:[Stanowisko / Position ]],0))="n/a","n/a",FB43-INDEX(tab_MinKomp[Język angielski / Englisch],MATCH($B43,tab_MinKomp[[Stanowisko / Position ]:[Stanowisko / Position ]],0)))</f>
        <v>0</v>
      </c>
      <c r="FC44" s="317" t="str">
        <f>IF(INDEX(tab_MinKomp[Język niemiecki / Deutsch],MATCH($B43,tab_MinKomp[[Stanowisko / Position ]:[Stanowisko / Position ]],0))="n/a","n/a",FC43-INDEX(tab_MinKomp[Język niemiecki / Deutsch],MATCH($B43,tab_MinKomp[[Stanowisko / Position ]:[Stanowisko / Position ]],0)))</f>
        <v>n/a</v>
      </c>
      <c r="FD44" s="315">
        <f>IF(INDEX(tab_MinKomp[Zarządzanie dokumentacją procesową / Process dokumentation management],MATCH($B43,tab_MinKomp[[Stanowisko / Position ]:[Stanowisko / Position ]],0))="n/a","n/a",FD43-INDEX(tab_MinKomp[Zarządzanie dokumentacją procesową / Process dokumentation management],MATCH($B43,tab_MinKomp[[Stanowisko / Position ]:[Stanowisko / Position ]],0)))</f>
        <v>0</v>
      </c>
      <c r="FE44" s="315">
        <f>IF(INDEX(tab_MinKomp[Znajomość procesów z obszaru / Kenntiss der prozesse in dem Bereich],MATCH($B43,tab_MinKomp[[Stanowisko / Position ]:[Stanowisko / Position ]],0))="n/a","n/a",FE43-INDEX(tab_MinKomp[Znajomość procesów z obszaru / Kenntiss der prozesse in dem Bereich],MATCH($B43,tab_MinKomp[[Stanowisko / Position ]:[Stanowisko / Position ]],0)))</f>
        <v>0</v>
      </c>
      <c r="FF44" s="315">
        <f>IF(INDEX(tab_MinKomp[optymalizacja procesów / Prozessoptymalisierung],MATCH($B43,tab_MinKomp[[Stanowisko / Position ]:[Stanowisko / Position ]],0))="n/a","n/a",FF43-INDEX(tab_MinKomp[optymalizacja procesów / Prozessoptymalisierung],MATCH($B43,tab_MinKomp[[Stanowisko / Position ]:[Stanowisko / Position ]],0)))</f>
        <v>0</v>
      </c>
      <c r="FG44" s="315">
        <f>IF(INDEX(tab_MinKomp[Umiejętności szkoleniowe / Trainingsfähigkeiten],MATCH($B43,tab_MinKomp[[Stanowisko / Position ]:[Stanowisko / Position ]],0))="n/a","n/a",FG43-INDEX(tab_MinKomp[Umiejętności szkoleniowe / Trainingsfähigkeiten],MATCH($B43,tab_MinKomp[[Stanowisko / Position ]:[Stanowisko / Position ]],0)))</f>
        <v>0</v>
      </c>
      <c r="FH44" s="315">
        <f>IF(INDEX(tab_MinKomp[Analityczne myślenie, podejście / Analitysches Denken, Einstellung],MATCH($B43,tab_MinKomp[[Stanowisko / Position ]:[Stanowisko / Position ]],0))="n/a","n/a",FH43-INDEX(tab_MinKomp[Analityczne myślenie, podejście / Analitysches Denken, Einstellung],MATCH($B43,tab_MinKomp[[Stanowisko / Position ]:[Stanowisko / Position ]],0)))</f>
        <v>1</v>
      </c>
      <c r="FI44" s="315">
        <f>IF(INDEX(tab_MinKomp[Dokładność, precyzja w dzialaniu / Genauigkeit, Präzision in die Arbeit],MATCH($B43,tab_MinKomp[[Stanowisko / Position ]:[Stanowisko / Position ]],0))="n/a","n/a",FI43-INDEX(tab_MinKomp[Dokładność, precyzja w dzialaniu / Genauigkeit, Präzision in die Arbeit],MATCH($B43,tab_MinKomp[[Stanowisko / Position ]:[Stanowisko / Position ]],0)))</f>
        <v>0</v>
      </c>
      <c r="FJ44" s="315">
        <f>IF(INDEX(tab_MinKomp[Dyspozycyjność / Verfügbarkeit],MATCH($B43,tab_MinKomp[[Stanowisko / Position ]:[Stanowisko / Position ]],0))="n/a","n/a",FJ43-INDEX(tab_MinKomp[Dyspozycyjność / Verfügbarkeit],MATCH($B43,tab_MinKomp[[Stanowisko / Position ]:[Stanowisko / Position ]],0)))</f>
        <v>0</v>
      </c>
      <c r="FK44" s="315">
        <f>IF(INDEX(tab_MinKomp[Zaangażowanie / 
Engagement],MATCH($B43,tab_MinKomp[[Stanowisko / Position ]:[Stanowisko / Position ]],0))="n/a","n/a",FK43-INDEX(tab_MinKomp[Zaangażowanie / 
Engagement],MATCH($B43,tab_MinKomp[[Stanowisko / Position ]:[Stanowisko / Position ]],0)))</f>
        <v>0</v>
      </c>
      <c r="FL44" s="315">
        <f>IF(INDEX(tab_MinKomp[Planowanie strategiczne / Strategische Planung],MATCH($B43,tab_MinKomp[[Stanowisko / Position ]:[Stanowisko / Position ]],0))="n/a","n/a",FL43-INDEX(tab_MinKomp[Planowanie strategiczne / Strategische Planung],MATCH($B43,tab_MinKomp[[Stanowisko / Position ]:[Stanowisko / Position ]],0)))</f>
        <v>0</v>
      </c>
      <c r="FM44" s="315">
        <f>IF(INDEX(tab_MinKomp[Konsekwentne i dynamiczne działanie],MATCH($B43,tab_MinKomp[[Stanowisko / Position ]:[Stanowisko / Position ]],0))="n/a","n/a",FM43-INDEX(tab_MinKomp[Konsekwentne i dynamiczne działanie],MATCH($B43,tab_MinKomp[[Stanowisko / Position ]:[Stanowisko / Position ]],0)))</f>
        <v>0</v>
      </c>
      <c r="FN44" s="315">
        <f>IF(INDEX(tab_MinKomp[Elastyczność w działaniu],MATCH($B43,tab_MinKomp[[Stanowisko / Position ]:[Stanowisko / Position ]],0))="n/a","n/a",FN43-INDEX(tab_MinKomp[Elastyczność w działaniu],MATCH($B43,tab_MinKomp[[Stanowisko / Position ]:[Stanowisko / Position ]],0)))</f>
        <v>0</v>
      </c>
      <c r="FO44" s="315">
        <f>IF(INDEX(tab_MinKomp[Komunikatywność],MATCH($B43,tab_MinKomp[[Stanowisko / Position ]:[Stanowisko / Position ]],0))="n/a","n/a",FO43-INDEX(tab_MinKomp[Komunikatywność],MATCH($B43,tab_MinKomp[[Stanowisko / Position ]:[Stanowisko / Position ]],0)))</f>
        <v>0</v>
      </c>
      <c r="FP44" s="314" t="str">
        <f>IF(INDEX(tab_MinKomp[Motywowanie i budowanie zaangażowania zespołu],MATCH($B43,tab_MinKomp[[Stanowisko / Position ]:[Stanowisko / Position ]],0))="n/a","n/a",FP43-INDEX(tab_MinKomp[Motywowanie i budowanie zaangażowania zespołu],MATCH($B43,tab_MinKomp[[Stanowisko / Position ]:[Stanowisko / Position ]],0)))</f>
        <v>n/a</v>
      </c>
      <c r="FQ44" s="318" t="str">
        <f>IFERROR(IF(INDEX(tab_MinKomp[BRAK / Keine],MATCH($B43,tab_MinKomp[[Stanowisko / Position ]:[Stanowisko / Position ]],0))="n/a","n/a",INDEX(tab_MinKomp[BRAK / Keine],MATCH($B43,tab_MinKomp[[Stanowisko / Position ]:[Stanowisko / Position ]],0))-FQ43),"")</f>
        <v>n/a</v>
      </c>
      <c r="FR44" s="315" t="str">
        <f>IF(INDEX(tab_MinKomp[MINIMUM 1 ROK / min. 1 Jahr],MATCH($B43,tab_MinKomp[[Stanowisko / Position ]:[Stanowisko / Position ]],0))="n/a","n/a",INDEX(tab_MinKomp[MINIMUM 1 ROK / min. 1 Jahr],MATCH($B43,tab_MinKomp[[Stanowisko / Position ]:[Stanowisko / Position ]],0)))</f>
        <v>n/a</v>
      </c>
      <c r="FS44" s="315" t="str">
        <f>IF(INDEX(tab_MinKomp[MINIMUM 2 LATA / min. 2 Jahre],MATCH($B43,tab_MinKomp[[Stanowisko / Position ]:[Stanowisko / Position ]],0))="n/a","n/a",INDEX(tab_MinKomp[MINIMUM 2 LATA / min. 2 Jahre],MATCH($B43,tab_MinKomp[[Stanowisko / Position ]:[Stanowisko / Position ]],0)))</f>
        <v>x</v>
      </c>
      <c r="FT44" s="315" t="str">
        <f>IF(INDEX(tab_MinKomp[MINIMUM 3 LATA / min. 3 Jahre],MATCH($B43,tab_MinKomp[[Stanowisko / Position ]:[Stanowisko / Position ]],0))="n/a","n/a",INDEX(tab_MinKomp[MINIMUM 3 LATA / min. 3 Jahre],MATCH($B43,tab_MinKomp[[Stanowisko / Position ]:[Stanowisko / Position ]],0)))</f>
        <v>n/a</v>
      </c>
      <c r="FU44" s="315" t="str">
        <f>IF(INDEX(tab_MinKomp[MINIMUM 4 LATA / min. 4 Jahre],MATCH($B43,tab_MinKomp[[Stanowisko / Position ]:[Stanowisko / Position ]],0))="n/a","n/a",INDEX(tab_MinKomp[MINIMUM 4 LATA / min. 4 Jahre],MATCH($B43,tab_MinKomp[[Stanowisko / Position ]:[Stanowisko / Position ]],0)))</f>
        <v>n/a</v>
      </c>
      <c r="FV44" s="319" t="str">
        <f>IF(INDEX(tab_MinKomp[MINIMUM 5 LAT / min. 5 Jahre],MATCH($B43,tab_MinKomp[[Stanowisko / Position ]:[Stanowisko / Position ]],0))="n/a","n/a",INDEX(tab_MinKomp[MINIMUM 5 LAT / min. 5 Jahre],MATCH($B43,tab_MinKomp[[Stanowisko / Position ]:[Stanowisko / Position ]],0)))</f>
        <v>n/a</v>
      </c>
      <c r="FW44" s="318" t="str">
        <f>IF(INDEX(tab_MinKomp[BRAK / Keine9],MATCH($B43,tab_MinKomp[[Stanowisko / Position ]:[Stanowisko / Position ]],0))="n/a","n/a",INDEX(tab_MinKomp[BRAK / Keine9],MATCH($B43,tab_MinKomp[[Stanowisko / Position ]:[Stanowisko / Position ]],0)))</f>
        <v>n/a</v>
      </c>
      <c r="FX44" s="315" t="str">
        <f>IF(INDEX(tab_MinKomp[ZAWODOWE / Berufsausbildung],MATCH($B43,tab_MinKomp[[Stanowisko / Position ]:[Stanowisko / Position ]],0))="n/a","n/a",INDEX(tab_MinKomp[ZAWODOWE / Berufsausbildung],MATCH($B43,tab_MinKomp[[Stanowisko / Position ]:[Stanowisko / Position ]],0)))</f>
        <v>n/a</v>
      </c>
      <c r="FY44" s="315" t="str">
        <f>IF(INDEX(tab_MinKomp[ŚREDNIE OGÓLNE / Abitur allgemeine],MATCH($B43,tab_MinKomp[[Stanowisko / Position ]:[Stanowisko / Position ]],0))="n/a","n/a",INDEX(tab_MinKomp[ŚREDNIE OGÓLNE / Abitur allgemeine],MATCH($B43,tab_MinKomp[[Stanowisko / Position ]:[Stanowisko / Position ]],0)))</f>
        <v>x</v>
      </c>
      <c r="FZ44" s="315" t="str">
        <f>IF(INDEX(tab_MinKomp[ŚREDNIE KIERUNKOWE / berufliches Gymnasium],MATCH($B43,tab_MinKomp[[Stanowisko / Position ]:[Stanowisko / Position ]],0))="n/a","n/a",INDEX(tab_MinKomp[ŚREDNIE KIERUNKOWE / berufliches Gymnasium],MATCH($B43,tab_MinKomp[[Stanowisko / Position ]:[Stanowisko / Position ]],0)))</f>
        <v>n/a</v>
      </c>
      <c r="GA44" s="315" t="str">
        <f>IF(INDEX(tab_MinKomp[WYŻSZE OGÓLNE / Hochschule allgemeine],MATCH($B43,tab_MinKomp[[Stanowisko / Position ]:[Stanowisko / Position ]],0))="n/a","n/a",INDEX(tab_MinKomp[WYŻSZE OGÓLNE / Hochschule allgemeine],MATCH($B43,tab_MinKomp[[Stanowisko / Position ]:[Stanowisko / Position ]],0)))</f>
        <v>n/a</v>
      </c>
      <c r="GB44" s="319" t="str">
        <f>IF(INDEX(tab_MinKomp[WYŻSZE KIERUNKOWE / Hochschule berufliche],MATCH($B43,tab_MinKomp[[Stanowisko / Position ]:[Stanowisko / Position ]],0))="n/a","n/a",INDEX(tab_MinKomp[WYŻSZE KIERUNKOWE / Hochschule berufliche],MATCH($B43,tab_MinKomp[[Stanowisko / Position ]:[Stanowisko / Position ]],0)))</f>
        <v>n/a</v>
      </c>
      <c r="GC44" s="318" t="str">
        <f>IF(INDEX(tab_MinKomp[PIERWSZA POMOC / Erste Hilfe],MATCH($B43,tab_MinKomp[[Stanowisko / Position ]:[Stanowisko / Position ]],0))="n/a","n/a",INDEX(tab_MinKomp[PIERWSZA POMOC / Erste Hilfe],MATCH($B43,tab_MinKomp[[Stanowisko / Position ]:[Stanowisko / Position ]],0)))</f>
        <v>n/a</v>
      </c>
      <c r="GD44" s="315" t="str">
        <f>IF(INDEX(tab_MinKomp[Specjalista BHP / BHP Spezialist],MATCH($B43,tab_MinKomp[[Stanowisko / Position ]:[Stanowisko / Position ]],0))="n/a","n/a",INDEX(tab_MinKomp[Specjalista BHP / BHP Spezialist],MATCH($B43,tab_MinKomp[[Stanowisko / Position ]:[Stanowisko / Position ]],0)))</f>
        <v>n/a</v>
      </c>
      <c r="GE44" s="315" t="str">
        <f>IF(INDEX(tab_MinKomp[Inspektor ochrony PPOŻ / Brandschutzinspektor],MATCH($B43,tab_MinKomp[[Stanowisko / Position ]:[Stanowisko / Position ]],0))="n/a","n/a",INDEX(tab_MinKomp[Inspektor ochrony PPOŻ / Brandschutzinspektor],MATCH($B43,tab_MinKomp[[Stanowisko / Position ]:[Stanowisko / Position ]],0)))</f>
        <v>n/a</v>
      </c>
      <c r="GF44" s="315" t="str">
        <f>IF(INDEX(tab_MinKomp[WÓZKI JEZDNIOWE / Gebelstapler],MATCH($B43,tab_MinKomp[[Stanowisko / Position ]:[Stanowisko / Position ]],0))="n/a","n/a",INDEX(tab_MinKomp[WÓZKI JEZDNIOWE / Gebelstapler],MATCH($B43,tab_MinKomp[[Stanowisko / Position ]:[Stanowisko / Position ]],0)))</f>
        <v>n/a</v>
      </c>
      <c r="GG44" s="315" t="str">
        <f>IF(INDEX(tab_MinKomp[SEP],MATCH($B43,tab_MinKomp[[Stanowisko / Position ]:[Stanowisko / Position ]],0))="n/a","n/a",INDEX(tab_MinKomp[SEP],MATCH($B43,tab_MinKomp[[Stanowisko / Position ]:[Stanowisko / Position ]],0)))</f>
        <v>n/a</v>
      </c>
      <c r="GH44" s="315" t="str">
        <f>IF(INDEX(tab_MinKomp[SEP  DOZÓR / SEP Aufsicht],MATCH($B43,tab_MinKomp[[Stanowisko / Position ]:[Stanowisko / Position ]],0))="n/a","n/a",INDEX(tab_MinKomp[SEP  DOZÓR / SEP Aufsicht],MATCH($B43,tab_MinKomp[[Stanowisko / Position ]:[Stanowisko / Position ]],0)))</f>
        <v>n/a</v>
      </c>
      <c r="GI44" s="315" t="str">
        <f>IF(INDEX(tab_MinKomp[PODNOŚNIKI / Hebevorrichtung],MATCH($B43,tab_MinKomp[[Stanowisko / Position ]:[Stanowisko / Position ]],0))="n/a","n/a",INDEX(tab_MinKomp[PODNOŚNIKI / Hebevorrichtung],MATCH($B43,tab_MinKomp[[Stanowisko / Position ]:[Stanowisko / Position ]],0)))</f>
        <v>n/a</v>
      </c>
      <c r="GJ44" s="315" t="str">
        <f>IF(INDEX(tab_MinKomp[SUWNICE / Laufkran],MATCH($B43,tab_MinKomp[[Stanowisko / Position ]:[Stanowisko / Position ]],0))="n/a","n/a",INDEX(tab_MinKomp[SUWNICE / Laufkran],MATCH($B43,tab_MinKomp[[Stanowisko / Position ]:[Stanowisko / Position ]],0)))</f>
        <v>n/a</v>
      </c>
      <c r="GK44" s="319" t="str">
        <f>IF(INDEX(tab_MinKomp[WYSOKOŚCIOWE / Höhenberechtigungen],MATCH($B43,tab_MinKomp[[Stanowisko / Position ]:[Stanowisko / Position ]],0))="n/a","n/a",INDEX(tab_MinKomp[WYSOKOŚCIOWE / Höhenberechtigungen],MATCH($B43,tab_MinKomp[[Stanowisko / Position ]:[Stanowisko / Position ]],0)))</f>
        <v>n/a</v>
      </c>
      <c r="GL44" s="320">
        <f>SUM(G44:FP44)/(GL43-(SUM(G44:FP44)))</f>
        <v>9.433962264150943E-3</v>
      </c>
      <c r="GM44" s="132"/>
    </row>
    <row r="45" spans="1:195" s="133" customFormat="1" ht="28.35" customHeight="1" x14ac:dyDescent="0.25">
      <c r="A45" s="135" t="s">
        <v>183</v>
      </c>
      <c r="B45" s="135" t="s">
        <v>605</v>
      </c>
      <c r="C45" s="138" t="s">
        <v>230</v>
      </c>
      <c r="D45" s="135">
        <v>1298</v>
      </c>
      <c r="E45" s="565" t="s">
        <v>714</v>
      </c>
      <c r="F45" s="307" t="s">
        <v>165</v>
      </c>
      <c r="G45" s="308">
        <v>1</v>
      </c>
      <c r="H45" s="308">
        <v>1</v>
      </c>
      <c r="I45" s="308">
        <v>1</v>
      </c>
      <c r="J45" s="308">
        <v>2</v>
      </c>
      <c r="K45" s="308">
        <v>2</v>
      </c>
      <c r="L45" s="308">
        <v>1</v>
      </c>
      <c r="M45" s="308" t="s">
        <v>176</v>
      </c>
      <c r="N45" s="308" t="s">
        <v>176</v>
      </c>
      <c r="O45" s="308">
        <v>1</v>
      </c>
      <c r="P45" s="308">
        <v>1</v>
      </c>
      <c r="Q45" s="308" t="s">
        <v>176</v>
      </c>
      <c r="R45" s="308" t="s">
        <v>176</v>
      </c>
      <c r="S45" s="308" t="s">
        <v>176</v>
      </c>
      <c r="T45" s="308" t="s">
        <v>176</v>
      </c>
      <c r="U45" s="308">
        <v>1</v>
      </c>
      <c r="V45" s="308" t="s">
        <v>176</v>
      </c>
      <c r="W45" s="308">
        <v>1</v>
      </c>
      <c r="X45" s="308" t="s">
        <v>176</v>
      </c>
      <c r="Y45" s="308" t="s">
        <v>176</v>
      </c>
      <c r="Z45" s="308" t="s">
        <v>176</v>
      </c>
      <c r="AA45" s="308" t="s">
        <v>176</v>
      </c>
      <c r="AB45" s="308">
        <v>2</v>
      </c>
      <c r="AC45" s="308">
        <v>1</v>
      </c>
      <c r="AD45" s="308">
        <v>1</v>
      </c>
      <c r="AE45" s="308">
        <v>1</v>
      </c>
      <c r="AF45" s="308">
        <v>1</v>
      </c>
      <c r="AG45" s="308">
        <v>1</v>
      </c>
      <c r="AH45" s="308">
        <v>1</v>
      </c>
      <c r="AI45" s="308">
        <v>1</v>
      </c>
      <c r="AJ45" s="308" t="s">
        <v>176</v>
      </c>
      <c r="AK45" s="308" t="s">
        <v>176</v>
      </c>
      <c r="AL45" s="308">
        <v>1</v>
      </c>
      <c r="AM45" s="308">
        <v>1</v>
      </c>
      <c r="AN45" s="308">
        <v>1</v>
      </c>
      <c r="AO45" s="308" t="s">
        <v>176</v>
      </c>
      <c r="AP45" s="308">
        <v>1</v>
      </c>
      <c r="AQ45" s="308" t="s">
        <v>176</v>
      </c>
      <c r="AR45" s="308" t="s">
        <v>176</v>
      </c>
      <c r="AS45" s="308" t="s">
        <v>176</v>
      </c>
      <c r="AT45" s="308" t="s">
        <v>176</v>
      </c>
      <c r="AU45" s="308">
        <v>1</v>
      </c>
      <c r="AV45" s="308">
        <v>2</v>
      </c>
      <c r="AW45" s="308">
        <v>1</v>
      </c>
      <c r="AX45" s="308">
        <v>2</v>
      </c>
      <c r="AY45" s="308" t="s">
        <v>176</v>
      </c>
      <c r="AZ45" s="308">
        <v>3</v>
      </c>
      <c r="BA45" s="308">
        <v>2</v>
      </c>
      <c r="BB45" s="308">
        <v>1</v>
      </c>
      <c r="BC45" s="308">
        <v>1</v>
      </c>
      <c r="BD45" s="308">
        <v>1</v>
      </c>
      <c r="BE45" s="308">
        <v>2</v>
      </c>
      <c r="BF45" s="308">
        <v>2</v>
      </c>
      <c r="BG45" s="308">
        <v>3</v>
      </c>
      <c r="BH45" s="308">
        <v>1</v>
      </c>
      <c r="BI45" s="308">
        <v>3</v>
      </c>
      <c r="BJ45" s="308">
        <v>3</v>
      </c>
      <c r="BK45" s="308">
        <v>2</v>
      </c>
      <c r="BL45" s="308">
        <v>3</v>
      </c>
      <c r="BM45" s="308" t="s">
        <v>176</v>
      </c>
      <c r="BN45" s="308" t="s">
        <v>176</v>
      </c>
      <c r="BO45" s="308" t="s">
        <v>176</v>
      </c>
      <c r="BP45" s="308" t="s">
        <v>176</v>
      </c>
      <c r="BQ45" s="308" t="s">
        <v>176</v>
      </c>
      <c r="BR45" s="308" t="s">
        <v>176</v>
      </c>
      <c r="BS45" s="308" t="s">
        <v>176</v>
      </c>
      <c r="BT45" s="308" t="s">
        <v>176</v>
      </c>
      <c r="BU45" s="308" t="s">
        <v>176</v>
      </c>
      <c r="BV45" s="308" t="s">
        <v>176</v>
      </c>
      <c r="BW45" s="308" t="s">
        <v>176</v>
      </c>
      <c r="BX45" s="308" t="s">
        <v>176</v>
      </c>
      <c r="BY45" s="308" t="s">
        <v>176</v>
      </c>
      <c r="BZ45" s="308" t="s">
        <v>176</v>
      </c>
      <c r="CA45" s="308" t="s">
        <v>176</v>
      </c>
      <c r="CB45" s="308" t="s">
        <v>176</v>
      </c>
      <c r="CC45" s="308" t="s">
        <v>176</v>
      </c>
      <c r="CD45" s="308" t="s">
        <v>176</v>
      </c>
      <c r="CE45" s="308" t="s">
        <v>176</v>
      </c>
      <c r="CF45" s="308" t="s">
        <v>176</v>
      </c>
      <c r="CG45" s="308" t="s">
        <v>176</v>
      </c>
      <c r="CH45" s="308" t="s">
        <v>176</v>
      </c>
      <c r="CI45" s="308">
        <v>2</v>
      </c>
      <c r="CJ45" s="308" t="s">
        <v>176</v>
      </c>
      <c r="CK45" s="308" t="s">
        <v>176</v>
      </c>
      <c r="CL45" s="308">
        <v>1</v>
      </c>
      <c r="CM45" s="308">
        <v>2</v>
      </c>
      <c r="CN45" s="308">
        <v>1</v>
      </c>
      <c r="CO45" s="308">
        <v>1</v>
      </c>
      <c r="CP45" s="308">
        <v>1</v>
      </c>
      <c r="CQ45" s="308">
        <v>1</v>
      </c>
      <c r="CR45" s="308">
        <v>1</v>
      </c>
      <c r="CS45" s="308">
        <v>2</v>
      </c>
      <c r="CT45" s="308">
        <v>1</v>
      </c>
      <c r="CU45" s="308" t="s">
        <v>176</v>
      </c>
      <c r="CV45" s="308" t="s">
        <v>176</v>
      </c>
      <c r="CW45" s="308" t="s">
        <v>176</v>
      </c>
      <c r="CX45" s="308" t="s">
        <v>176</v>
      </c>
      <c r="CY45" s="308" t="s">
        <v>176</v>
      </c>
      <c r="CZ45" s="308" t="s">
        <v>176</v>
      </c>
      <c r="DA45" s="308" t="s">
        <v>176</v>
      </c>
      <c r="DB45" s="308" t="s">
        <v>176</v>
      </c>
      <c r="DC45" s="308" t="s">
        <v>176</v>
      </c>
      <c r="DD45" s="308" t="s">
        <v>176</v>
      </c>
      <c r="DE45" s="308" t="s">
        <v>176</v>
      </c>
      <c r="DF45" s="308" t="s">
        <v>176</v>
      </c>
      <c r="DG45" s="308" t="s">
        <v>176</v>
      </c>
      <c r="DH45" s="308" t="s">
        <v>176</v>
      </c>
      <c r="DI45" s="308" t="s">
        <v>176</v>
      </c>
      <c r="DJ45" s="308" t="s">
        <v>176</v>
      </c>
      <c r="DK45" s="308" t="s">
        <v>176</v>
      </c>
      <c r="DL45" s="308" t="s">
        <v>176</v>
      </c>
      <c r="DM45" s="308" t="s">
        <v>176</v>
      </c>
      <c r="DN45" s="308" t="s">
        <v>176</v>
      </c>
      <c r="DO45" s="308" t="s">
        <v>176</v>
      </c>
      <c r="DP45" s="308" t="s">
        <v>176</v>
      </c>
      <c r="DQ45" s="308" t="s">
        <v>176</v>
      </c>
      <c r="DR45" s="308" t="s">
        <v>176</v>
      </c>
      <c r="DS45" s="308" t="s">
        <v>176</v>
      </c>
      <c r="DT45" s="308" t="s">
        <v>176</v>
      </c>
      <c r="DU45" s="308" t="s">
        <v>176</v>
      </c>
      <c r="DV45" s="306" t="s">
        <v>176</v>
      </c>
      <c r="DW45" s="306" t="s">
        <v>176</v>
      </c>
      <c r="DX45" s="306" t="s">
        <v>176</v>
      </c>
      <c r="DY45" s="308" t="s">
        <v>176</v>
      </c>
      <c r="DZ45" s="308" t="s">
        <v>176</v>
      </c>
      <c r="EA45" s="308" t="s">
        <v>176</v>
      </c>
      <c r="EB45" s="308" t="s">
        <v>176</v>
      </c>
      <c r="EC45" s="308" t="s">
        <v>176</v>
      </c>
      <c r="ED45" s="308" t="s">
        <v>176</v>
      </c>
      <c r="EE45" s="308" t="s">
        <v>176</v>
      </c>
      <c r="EF45" s="308" t="s">
        <v>176</v>
      </c>
      <c r="EG45" s="308" t="s">
        <v>176</v>
      </c>
      <c r="EH45" s="308" t="s">
        <v>176</v>
      </c>
      <c r="EI45" s="308" t="s">
        <v>176</v>
      </c>
      <c r="EJ45" s="308" t="s">
        <v>176</v>
      </c>
      <c r="EK45" s="308" t="s">
        <v>176</v>
      </c>
      <c r="EL45" s="308" t="s">
        <v>176</v>
      </c>
      <c r="EM45" s="308" t="s">
        <v>176</v>
      </c>
      <c r="EN45" s="308" t="s">
        <v>176</v>
      </c>
      <c r="EO45" s="308" t="s">
        <v>176</v>
      </c>
      <c r="EP45" s="308" t="s">
        <v>176</v>
      </c>
      <c r="EQ45" s="308" t="s">
        <v>176</v>
      </c>
      <c r="ER45" s="308" t="s">
        <v>176</v>
      </c>
      <c r="ES45" s="308" t="s">
        <v>176</v>
      </c>
      <c r="ET45" s="308" t="s">
        <v>176</v>
      </c>
      <c r="EU45" s="308" t="s">
        <v>176</v>
      </c>
      <c r="EV45" s="308" t="s">
        <v>176</v>
      </c>
      <c r="EW45" s="308" t="s">
        <v>176</v>
      </c>
      <c r="EX45" s="308" t="s">
        <v>176</v>
      </c>
      <c r="EY45" s="308">
        <v>3</v>
      </c>
      <c r="EZ45" s="308">
        <v>2</v>
      </c>
      <c r="FA45" s="308">
        <v>2</v>
      </c>
      <c r="FB45" s="309">
        <v>2</v>
      </c>
      <c r="FC45" s="309">
        <v>2</v>
      </c>
      <c r="FD45" s="308">
        <v>2</v>
      </c>
      <c r="FE45" s="308">
        <v>3</v>
      </c>
      <c r="FF45" s="308">
        <v>3</v>
      </c>
      <c r="FG45" s="308">
        <v>2</v>
      </c>
      <c r="FH45" s="308">
        <v>3</v>
      </c>
      <c r="FI45" s="308">
        <v>3</v>
      </c>
      <c r="FJ45" s="308">
        <v>3</v>
      </c>
      <c r="FK45" s="308">
        <v>2</v>
      </c>
      <c r="FL45" s="308">
        <v>2</v>
      </c>
      <c r="FM45" s="308">
        <v>2</v>
      </c>
      <c r="FN45" s="308">
        <v>2</v>
      </c>
      <c r="FO45" s="308">
        <v>2</v>
      </c>
      <c r="FP45" s="308" t="s">
        <v>176</v>
      </c>
      <c r="FQ45" s="310" t="s">
        <v>176</v>
      </c>
      <c r="FR45" s="310" t="s">
        <v>176</v>
      </c>
      <c r="FS45" s="308" t="s">
        <v>387</v>
      </c>
      <c r="FT45" s="310" t="s">
        <v>176</v>
      </c>
      <c r="FU45" s="310" t="s">
        <v>176</v>
      </c>
      <c r="FV45" s="310" t="s">
        <v>176</v>
      </c>
      <c r="FW45" s="310" t="s">
        <v>176</v>
      </c>
      <c r="FX45" s="310" t="s">
        <v>176</v>
      </c>
      <c r="FY45" s="308" t="s">
        <v>387</v>
      </c>
      <c r="FZ45" s="310" t="s">
        <v>176</v>
      </c>
      <c r="GA45" s="310" t="s">
        <v>176</v>
      </c>
      <c r="GB45" s="310" t="s">
        <v>176</v>
      </c>
      <c r="GC45" s="310" t="s">
        <v>176</v>
      </c>
      <c r="GD45" s="310" t="s">
        <v>176</v>
      </c>
      <c r="GE45" s="310" t="s">
        <v>176</v>
      </c>
      <c r="GF45" s="310" t="s">
        <v>176</v>
      </c>
      <c r="GG45" s="310" t="s">
        <v>176</v>
      </c>
      <c r="GH45" s="310" t="s">
        <v>176</v>
      </c>
      <c r="GI45" s="310" t="s">
        <v>176</v>
      </c>
      <c r="GJ45" s="310" t="s">
        <v>176</v>
      </c>
      <c r="GK45" s="324" t="s">
        <v>176</v>
      </c>
      <c r="GL45" s="311">
        <f>SUM(G45:FP45)</f>
        <v>111</v>
      </c>
      <c r="GM45" s="132"/>
    </row>
    <row r="46" spans="1:195" s="133" customFormat="1" ht="28.35" customHeight="1" thickBot="1" x14ac:dyDescent="0.3">
      <c r="A46" s="138" t="str">
        <f>A45</f>
        <v>Logistyka-Logistic</v>
      </c>
      <c r="B46" s="138" t="str">
        <f>B45</f>
        <v>Specialista ds. logistyki i obsługi klienta</v>
      </c>
      <c r="C46" s="138" t="s">
        <v>230</v>
      </c>
      <c r="D46" s="138">
        <f>D45</f>
        <v>1298</v>
      </c>
      <c r="E46" s="566" t="str">
        <f>E45</f>
        <v>Raczkiewicz Wioleta</v>
      </c>
      <c r="F46" s="312" t="s">
        <v>166</v>
      </c>
      <c r="G46" s="313">
        <f>IF(INDEX(tab_MinKomp[Przepisy BHP / BHP Vorschriften],MATCH($B45,tab_MinKomp[[Stanowisko / Position ]:[Stanowisko / Position ]],0))="n/a","n/a",G45-INDEX(tab_MinKomp[Przepisy BHP / BHP Vorschriften],MATCH($B45,tab_MinKomp[[Stanowisko / Position ]:[Stanowisko / Position ]],0)))</f>
        <v>0</v>
      </c>
      <c r="H46" s="314">
        <f>IF(INDEX(tab_MinKomp[Przepisy PPOŻ / Brandschutzbestimmungen],MATCH($B45,tab_MinKomp[[Stanowisko / Position ]:[Stanowisko / Position ]],0))="n/a","n/a",H45-INDEX(tab_MinKomp[Przepisy PPOŻ / Brandschutzbestimmungen],MATCH($B45,tab_MinKomp[[Stanowisko / Position ]:[Stanowisko / Position ]],0)))</f>
        <v>0</v>
      </c>
      <c r="I46" s="314">
        <f>IF(INDEX(tab_MinKomp[Ryzyko zawodowe na stanowiskach pracyv/ Berufliche Risiken an Arbeitsstellen],MATCH($B45,tab_MinKomp[[Stanowisko / Position ]:[Stanowisko / Position ]],0))="n/a","n/a",I45-INDEX(tab_MinKomp[Ryzyko zawodowe na stanowiskach pracyv/ Berufliche Risiken an Arbeitsstellen],MATCH($B45,tab_MinKomp[[Stanowisko / Position ]:[Stanowisko / Position ]],0)))</f>
        <v>0</v>
      </c>
      <c r="J46" s="314">
        <f>IF(INDEX(tab_MinKomp[Gospodarka substancjami niebezpiecznymi / Gefahrstoffmanagement],MATCH($B45,tab_MinKomp[[Stanowisko / Position ]:[Stanowisko / Position ]],0))="n/a","n/a",J45-INDEX(tab_MinKomp[Gospodarka substancjami niebezpiecznymi / Gefahrstoffmanagement],MATCH($B45,tab_MinKomp[[Stanowisko / Position ]:[Stanowisko / Position ]],0)))</f>
        <v>1</v>
      </c>
      <c r="K46" s="314">
        <f>IF(INDEX(tab_MinKomp[Gospodarka odpadami / Abfallwirtschaft],MATCH($B45,tab_MinKomp[[Stanowisko / Position ]:[Stanowisko / Position ]],0))="n/a","n/a",K45-INDEX(tab_MinKomp[Gospodarka odpadami / Abfallwirtschaft],MATCH($B45,tab_MinKomp[[Stanowisko / Position ]:[Stanowisko / Position ]],0)))</f>
        <v>1</v>
      </c>
      <c r="L46" s="315">
        <f>IF(INDEX(tab_MinKomp[Przepisy kodeksu pracy / Bestimmungen des Arbeitsgesetzes],MATCH($B45,tab_MinKomp[[Stanowisko / Position ]:[Stanowisko / Position ]],0))="n/a","n/a",L45-INDEX(tab_MinKomp[Przepisy kodeksu pracy / Bestimmungen des Arbeitsgesetzes],MATCH($B45,tab_MinKomp[[Stanowisko / Position ]:[Stanowisko / Position ]],0)))</f>
        <v>0</v>
      </c>
      <c r="M46" s="316" t="str">
        <f>IF(INDEX(tab_MinKomp[Przepisy o ub.społ. ZUS  / Sozialversicherungsvorschriften],MATCH($B45,tab_MinKomp[[Stanowisko / Position ]:[Stanowisko / Position ]],0))="n/a","n/a",M45-INDEX(tab_MinKomp[Przepisy o ub.społ. ZUS  / Sozialversicherungsvorschriften],MATCH($B45,tab_MinKomp[[Stanowisko / Position ]:[Stanowisko / Position ]],0)))</f>
        <v>n/a</v>
      </c>
      <c r="N46" s="315" t="str">
        <f>IF(INDEX(tab_MinKomp[PRZEPISY O PDOF /persönlich Einkommensteuergesetz ],MATCH($B45,tab_MinKomp[[Stanowisko / Position ]:[Stanowisko / Position ]],0))="n/a","n/a",N45-INDEX(tab_MinKomp[PRZEPISY O PDOF /persönlich Einkommensteuergesetz ],MATCH($B45,tab_MinKomp[[Stanowisko / Position ]:[Stanowisko / Position ]],0)))</f>
        <v>n/a</v>
      </c>
      <c r="O46" s="315">
        <f>IF(INDEX(tab_MinKomp[Regulamin pracy / Arbeitsordnung],MATCH($B45,tab_MinKomp[[Stanowisko / Position ]:[Stanowisko / Position ]],0))="n/a","n/a",O45-INDEX(tab_MinKomp[Regulamin pracy / Arbeitsordnung],MATCH($B45,tab_MinKomp[[Stanowisko / Position ]:[Stanowisko / Position ]],0)))</f>
        <v>0</v>
      </c>
      <c r="P46" s="315">
        <f>IF(INDEX(tab_MinKomp[Regulamin wynagradzania / Vergütungsordnung],MATCH($B45,tab_MinKomp[[Stanowisko / Position ]:[Stanowisko / Position ]],0))="n/a","n/a",P45-INDEX(tab_MinKomp[Regulamin wynagradzania / Vergütungsordnung],MATCH($B45,tab_MinKomp[[Stanowisko / Position ]:[Stanowisko / Position ]],0)))</f>
        <v>0</v>
      </c>
      <c r="Q46" s="315" t="str">
        <f>IF(INDEX(tab_MinKomp[System R2PŁATNIK PRO: Płace / Lohnabrechnung],MATCH($B45,tab_MinKomp[[Stanowisko / Position ]:[Stanowisko / Position ]],0))="n/a","n/a",Q45-INDEX(tab_MinKomp[System R2PŁATNIK PRO: Płace / Lohnabrechnung],MATCH($B45,tab_MinKomp[[Stanowisko / Position ]:[Stanowisko / Position ]],0)))</f>
        <v>n/a</v>
      </c>
      <c r="R46" s="315" t="str">
        <f>IF(INDEX(tab_MinKomp[SystemR2PŁATNIK PRO: KADRY / Personaldaten],MATCH($B45,tab_MinKomp[[Stanowisko / Position ]:[Stanowisko / Position ]],0))="n/a","n/a",R45-INDEX(tab_MinKomp[SystemR2PŁATNIK PRO: KADRY / Personaldaten],MATCH($B45,tab_MinKomp[[Stanowisko / Position ]:[Stanowisko / Position ]],0)))</f>
        <v>n/a</v>
      </c>
      <c r="S46" s="315" t="str">
        <f>IF(INDEX(tab_MinKomp[SYSTEM R2PŁATNIK PRO: zarządzanie pracownikami / Arbeitsverwaltung],MATCH($B45,tab_MinKomp[[Stanowisko / Position ]:[Stanowisko / Position ]],0))="n/a","n/a",S45-INDEX(tab_MinKomp[SYSTEM R2PŁATNIK PRO: zarządzanie pracownikami / Arbeitsverwaltung],MATCH($B45,tab_MinKomp[[Stanowisko / Position ]:[Stanowisko / Position ]],0)))</f>
        <v>n/a</v>
      </c>
      <c r="T46" s="315" t="str">
        <f>IF(INDEX(tab_MinKomp[Doradztwo, wsparcie personalne / Personalberatung und Unterstützung],MATCH($B45,tab_MinKomp[[Stanowisko / Position ]:[Stanowisko / Position ]],0))="n/a","n/a",T45-INDEX(tab_MinKomp[Doradztwo, wsparcie personalne / Personalberatung und Unterstützung],MATCH($B45,tab_MinKomp[[Stanowisko / Position ]:[Stanowisko / Position ]],0)))</f>
        <v>n/a</v>
      </c>
      <c r="U46" s="315">
        <f>IF(INDEX(tab_MinKomp[Przepisy o podatku VAT / MwSt.- Gesetz],MATCH($B45,tab_MinKomp[[Stanowisko / Position ]:[Stanowisko / Position ]],0))="n/a","n/a",U45-INDEX(tab_MinKomp[Przepisy o podatku VAT / MwSt.- Gesetz],MATCH($B45,tab_MinKomp[[Stanowisko / Position ]:[Stanowisko / Position ]],0)))</f>
        <v>0</v>
      </c>
      <c r="V46" s="315" t="str">
        <f>IF(INDEX(tab_MinKomp[PrzepisyPDOP / geschäftlich Einkommensteuergesetz],MATCH($B45,tab_MinKomp[[Stanowisko / Position ]:[Stanowisko / Position ]],0))="n/a","n/a",V45-INDEX(tab_MinKomp[PrzepisyPDOP / geschäftlich Einkommensteuergesetz],MATCH($B45,tab_MinKomp[[Stanowisko / Position ]:[Stanowisko / Position ]],0)))</f>
        <v>n/a</v>
      </c>
      <c r="W46" s="315">
        <f>IF(INDEX(tab_MinKomp[System BAAN / FINANSE (FIBU)],MATCH($B45,tab_MinKomp[[Stanowisko / Position ]:[Stanowisko / Position ]],0))="n/a","n/a",W45-INDEX(tab_MinKomp[System BAAN / FINANSE (FIBU)],MATCH($B45,tab_MinKomp[[Stanowisko / Position ]:[Stanowisko / Position ]],0)))</f>
        <v>-1</v>
      </c>
      <c r="X46" s="315" t="str">
        <f>IF(INDEX(tab_MinKomp[Systemy pomocnicze / Hilfssysteme(STOCKPROGRAM, KALK2000 etc.)],MATCH($B45,tab_MinKomp[[Stanowisko / Position ]:[Stanowisko / Position ]],0))="n/a","n/a",X45-INDEX(tab_MinKomp[Systemy pomocnicze / Hilfssysteme(STOCKPROGRAM, KALK2000 etc.)],MATCH($B45,tab_MinKomp[[Stanowisko / Position ]:[Stanowisko / Position ]],0)))</f>
        <v>n/a</v>
      </c>
      <c r="Y46" s="315" t="str">
        <f>IF(INDEX(tab_MinKomp[Polityka rachunkowości / Buchführungspolitik],MATCH($B45,tab_MinKomp[[Stanowisko / Position ]:[Stanowisko / Position ]],0))="n/a","n/a",Y45-INDEX(tab_MinKomp[Polityka rachunkowości / Buchführungspolitik],MATCH($B45,tab_MinKomp[[Stanowisko / Position ]:[Stanowisko / Position ]],0)))</f>
        <v>n/a</v>
      </c>
      <c r="Z46" s="315" t="str">
        <f>IF(INDEX(tab_MinKomp[Ustawa o rachunkowości / Rechnungslegungsgesetz],MATCH($B45,tab_MinKomp[[Stanowisko / Position ]:[Stanowisko / Position ]],0))="n/a","n/a",Z45-INDEX(tab_MinKomp[Ustawa o rachunkowości / Rechnungslegungsgesetz],MATCH($B45,tab_MinKomp[[Stanowisko / Position ]:[Stanowisko / Position ]],0)))</f>
        <v>n/a</v>
      </c>
      <c r="AA46" s="315" t="str">
        <f>IF(INDEX(tab_MinKomp[WORKFLOW - TS-100],MATCH($B45,tab_MinKomp[[Stanowisko / Position ]:[Stanowisko / Position ]],0))="n/a","n/a",AA45-INDEX(tab_MinKomp[WORKFLOW - TS-100],MATCH($B45,tab_MinKomp[[Stanowisko / Position ]:[Stanowisko / Position ]],0)))</f>
        <v>n/a</v>
      </c>
      <c r="AB46" s="315">
        <f>IF(INDEX(tab_MinKomp[WORKFLOW - SFMS],MATCH($B45,tab_MinKomp[[Stanowisko / Position ]:[Stanowisko / Position ]],0))="n/a","n/a",AB45-INDEX(tab_MinKomp[WORKFLOW - SFMS],MATCH($B45,tab_MinKomp[[Stanowisko / Position ]:[Stanowisko / Position ]],0)))</f>
        <v>0</v>
      </c>
      <c r="AC46" s="315">
        <f>IF(INDEX(tab_MinKomp[System ISO 9001:2015],MATCH($B45,tab_MinKomp[[Stanowisko / Position ]:[Stanowisko / Position ]],0))="n/a","n/a",AC45-INDEX(tab_MinKomp[System ISO 9001:2015],MATCH($B45,tab_MinKomp[[Stanowisko / Position ]:[Stanowisko / Position ]],0)))</f>
        <v>0</v>
      </c>
      <c r="AD46" s="315">
        <f>IF(INDEX(tab_MinKomp[System IATF 16949:2016],MATCH($B45,tab_MinKomp[[Stanowisko / Position ]:[Stanowisko / Position ]],0))="n/a","n/a",AD45-INDEX(tab_MinKomp[System IATF 16949:2016],MATCH($B45,tab_MinKomp[[Stanowisko / Position ]:[Stanowisko / Position ]],0)))</f>
        <v>0</v>
      </c>
      <c r="AE46" s="315">
        <f>IF(INDEX(tab_MinKomp[System ISO 14001:2015],MATCH($B45,tab_MinKomp[[Stanowisko / Position ]:[Stanowisko / Position ]],0))="n/a","n/a",AE45-INDEX(tab_MinKomp[System ISO 14001:2015],MATCH($B45,tab_MinKomp[[Stanowisko / Position ]:[Stanowisko / Position ]],0)))</f>
        <v>0</v>
      </c>
      <c r="AF46" s="315">
        <f>IF(INDEX(tab_MinKomp[System PN-N 18001:2004 / ISO 45001:2018],MATCH($B45,tab_MinKomp[[Stanowisko / Position ]:[Stanowisko / Position ]],0))="n/a","n/a",AF45-INDEX(tab_MinKomp[System PN-N 18001:2004 / ISO 45001:2018],MATCH($B45,tab_MinKomp[[Stanowisko / Position ]:[Stanowisko / Position ]],0)))</f>
        <v>0</v>
      </c>
      <c r="AG46" s="315">
        <f>IF(INDEX(tab_MinKomp[Wymagania VDA 6.3 Process / Forderungen],MATCH($B45,tab_MinKomp[[Stanowisko / Position ]:[Stanowisko / Position ]],0))="n/a","n/a",AG45-INDEX(tab_MinKomp[Wymagania VDA 6.3 Process / Forderungen],MATCH($B45,tab_MinKomp[[Stanowisko / Position ]:[Stanowisko / Position ]],0)))</f>
        <v>0</v>
      </c>
      <c r="AH46" s="315">
        <f>IF(INDEX(tab_MinKomp[Wymagania VDA 6.5 Product / Forderungen],MATCH($B45,tab_MinKomp[[Stanowisko / Position ]:[Stanowisko / Position ]],0))="n/a","n/a",AH45-INDEX(tab_MinKomp[Wymagania VDA 6.5 Product / Forderungen],MATCH($B45,tab_MinKomp[[Stanowisko / Position ]:[Stanowisko / Position ]],0)))</f>
        <v>0</v>
      </c>
      <c r="AI46" s="315" t="str">
        <f>IF(INDEX(tab_MinKomp[PSCR (VW Product Safety &amp; Conformity Representative)],MATCH($B45,tab_MinKomp[[Stanowisko / Position ]:[Stanowisko / Position ]],0))="n/a","n/a",AI45-INDEX(tab_MinKomp[PSCR (VW Product Safety &amp; Conformity Representative)],MATCH($B45,tab_MinKomp[[Stanowisko / Position ]:[Stanowisko / Position ]],0)))</f>
        <v>n/a</v>
      </c>
      <c r="AJ46" s="315" t="str">
        <f>IF(INDEX(tab_MinKomp[Auditor systemu ISO 17025:2018],MATCH($B45,tab_MinKomp[[Stanowisko / Position ]:[Stanowisko / Position ]],0))="n/a","n/a",AJ45-INDEX(tab_MinKomp[Auditor systemu ISO 17025:2018],MATCH($B45,tab_MinKomp[[Stanowisko / Position ]:[Stanowisko / Position ]],0)))</f>
        <v>n/a</v>
      </c>
      <c r="AK46" s="315" t="str">
        <f>IF(INDEX(tab_MinKomp[Pełnomocnik systemu / Systemvertreter],MATCH($B45,tab_MinKomp[[Stanowisko / Position ]:[Stanowisko / Position ]],0))="n/a","n/a",AK45-INDEX(tab_MinKomp[Pełnomocnik systemu / Systemvertreter],MATCH($B45,tab_MinKomp[[Stanowisko / Position ]:[Stanowisko / Position ]],0)))</f>
        <v>n/a</v>
      </c>
      <c r="AL46" s="315" t="str">
        <f>IF(INDEX(tab_MinKomp[PSCR (VW Product Safety &amp; Conformity Representative)],MATCH($B45,tab_MinKomp[[Stanowisko / Position ]:[Stanowisko / Position ]],0))="n/a","n/a",AL45-INDEX(tab_MinKomp[PSCR (VW Product Safety &amp; Conformity Representative)],MATCH($B45,tab_MinKomp[[Stanowisko / Position ]:[Stanowisko / Position ]],0)))</f>
        <v>n/a</v>
      </c>
      <c r="AM46" s="315">
        <f>IF(INDEX(tab_MinKomp[WDRAŻANIE NOWYCH PROJEKTÓW/ PROCEDURA CTM],MATCH($B45,tab_MinKomp[[Stanowisko / Position ]:[Stanowisko / Position ]],0))="n/a","n/a",AM45-INDEX(tab_MinKomp[WDRAŻANIE NOWYCH PROJEKTÓW/ PROCEDURA CTM],MATCH($B45,tab_MinKomp[[Stanowisko / Position ]:[Stanowisko / Position ]],0)))</f>
        <v>0</v>
      </c>
      <c r="AN46" s="315" t="str">
        <f>IF(INDEX(tab_MinKomp[KAMIENIE MILOWE MSL/PIFF],MATCH($B45,tab_MinKomp[[Stanowisko / Position ]:[Stanowisko / Position ]],0))="n/a","n/a",AN45-INDEX(tab_MinKomp[KAMIENIE MILOWE MSL/PIFF],MATCH($B45,tab_MinKomp[[Stanowisko / Position ]:[Stanowisko / Position ]],0)))</f>
        <v>n/a</v>
      </c>
      <c r="AO46" s="315" t="str">
        <f>IF(INDEX(tab_MinKomp[CP],MATCH($B45,tab_MinKomp[[Stanowisko / Position ]:[Stanowisko / Position ]],0))="n/a","n/a",AO45-INDEX(tab_MinKomp[CP],MATCH($B45,tab_MinKomp[[Stanowisko / Position ]:[Stanowisko / Position ]],0)))</f>
        <v>n/a</v>
      </c>
      <c r="AP46" s="315" t="str">
        <f>IF(INDEX(tab_MinKomp[FMEA],MATCH($B45,tab_MinKomp[[Stanowisko / Position ]:[Stanowisko / Position ]],0))="n/a","n/a",AP45-INDEX(tab_MinKomp[FMEA],MATCH($B45,tab_MinKomp[[Stanowisko / Position ]:[Stanowisko / Position ]],0)))</f>
        <v>n/a</v>
      </c>
      <c r="AQ46" s="315" t="str">
        <f>IF(INDEX(tab_MinKomp[APQP],MATCH($B45,tab_MinKomp[[Stanowisko / Position ]:[Stanowisko / Position ]],0))="n/a","n/a",AQ45-INDEX(tab_MinKomp[APQP],MATCH($B45,tab_MinKomp[[Stanowisko / Position ]:[Stanowisko / Position ]],0)))</f>
        <v>n/a</v>
      </c>
      <c r="AR46" s="315" t="str">
        <f>IF(INDEX(tab_MinKomp[APQP],MATCH($B45,tab_MinKomp[[Stanowisko / Position ]:[Stanowisko / Position ]],0))="n/a","n/a",AR45-INDEX(tab_MinKomp[APQP],MATCH($B45,tab_MinKomp[[Stanowisko / Position ]:[Stanowisko / Position ]],0)))</f>
        <v>n/a</v>
      </c>
      <c r="AS46" s="315" t="str">
        <f>IF(INDEX(tab_MinKomp[MSA],MATCH($B45,tab_MinKomp[[Stanowisko / Position ]:[Stanowisko / Position ]],0))="n/a","n/a",AS45-INDEX(tab_MinKomp[MSA],MATCH($B45,tab_MinKomp[[Stanowisko / Position ]:[Stanowisko / Position ]],0)))</f>
        <v>n/a</v>
      </c>
      <c r="AT46" s="315" t="str">
        <f>IF(INDEX(tab_MinKomp[SPC],MATCH($B45,tab_MinKomp[[Stanowisko / Position ]:[Stanowisko / Position ]],0))="n/a","n/a",AT45-INDEX(tab_MinKomp[SPC],MATCH($B45,tab_MinKomp[[Stanowisko / Position ]:[Stanowisko / Position ]],0)))</f>
        <v>n/a</v>
      </c>
      <c r="AU46" s="315" t="str">
        <f>IF(INDEX(tab_MinKomp[CSR (SPECYFICZNE WYMAGANIA KLIENTA)],MATCH($B45,tab_MinKomp[[Stanowisko / Position ]:[Stanowisko / Position ]],0))="n/a","n/a",AU45-INDEX(tab_MinKomp[CSR (SPECYFICZNE WYMAGANIA KLIENTA)],MATCH($B45,tab_MinKomp[[Stanowisko / Position ]:[Stanowisko / Position ]],0)))</f>
        <v>n/a</v>
      </c>
      <c r="AV46" s="315">
        <f>IF(INDEX(tab_MinKomp[5S],MATCH($B45,tab_MinKomp[[Stanowisko / Position ]:[Stanowisko / Position ]],0))="n/a","n/a",AV45-INDEX(tab_MinKomp[5S],MATCH($B45,tab_MinKomp[[Stanowisko / Position ]:[Stanowisko / Position ]],0)))</f>
        <v>0</v>
      </c>
      <c r="AW46" s="315">
        <f>IF(INDEX(tab_MinKomp[LEAN MANAGEMENT],MATCH($B45,tab_MinKomp[[Stanowisko / Position ]:[Stanowisko / Position ]],0))="n/a","n/a",AW45-INDEX(tab_MinKomp[LEAN MANAGEMENT],MATCH($B45,tab_MinKomp[[Stanowisko / Position ]:[Stanowisko / Position ]],0)))</f>
        <v>0</v>
      </c>
      <c r="AX46" s="315">
        <f>IF(INDEX(tab_MinKomp[5R],MATCH($B45,tab_MinKomp[[Stanowisko / Position ]:[Stanowisko / Position ]],0))="n/a","n/a",AX45-INDEX(tab_MinKomp[5R],MATCH($B45,tab_MinKomp[[Stanowisko / Position ]:[Stanowisko / Position ]],0)))</f>
        <v>0</v>
      </c>
      <c r="AY46" s="315" t="str">
        <f>IF(INDEX(tab_MinKomp[Six Sigma],MATCH($B45,tab_MinKomp[[Stanowisko / Position ]:[Stanowisko / Position ]],0))="n/a","n/a",AY45-INDEX(tab_MinKomp[Six Sigma],MATCH($B45,tab_MinKomp[[Stanowisko / Position ]:[Stanowisko / Position ]],0)))</f>
        <v>n/a</v>
      </c>
      <c r="AZ46" s="315">
        <f>IF(INDEX(tab_MinKomp[System BAAN / Distribution &amp; Supply Chain],MATCH($B45,tab_MinKomp[[Stanowisko / Position ]:[Stanowisko / Position ]],0))="n/a","n/a",AZ45-INDEX(tab_MinKomp[System BAAN / Distribution &amp; Supply Chain],MATCH($B45,tab_MinKomp[[Stanowisko / Position ]:[Stanowisko / Position ]],0)))</f>
        <v>0</v>
      </c>
      <c r="BA46" s="315">
        <f>IF(INDEX(tab_MinKomp[Gospodarka magazynowa / Lagerverwaltung],MATCH($B45,tab_MinKomp[[Stanowisko / Position ]:[Stanowisko / Position ]],0))="n/a","n/a",BA45-INDEX(tab_MinKomp[Gospodarka magazynowa / Lagerverwaltung],MATCH($B45,tab_MinKomp[[Stanowisko / Position ]:[Stanowisko / Position ]],0)))</f>
        <v>-1</v>
      </c>
      <c r="BB46" s="315">
        <f>IF(INDEX(tab_MinKomp[Inwentaryzacja - organizacja i przebieg / Inventurprozess],MATCH($B45,tab_MinKomp[[Stanowisko / Position ]:[Stanowisko / Position ]],0))="n/a","n/a",BB45-INDEX(tab_MinKomp[Inwentaryzacja - organizacja i przebieg / Inventurprozess],MATCH($B45,tab_MinKomp[[Stanowisko / Position ]:[Stanowisko / Position ]],0)))</f>
        <v>-1</v>
      </c>
      <c r="BC46" s="315">
        <f>IF(INDEX(tab_MinKomp[Organizacja dostaw / Versorgungsorganisation],MATCH($B45,tab_MinKomp[[Stanowisko / Position ]:[Stanowisko / Position ]],0))="n/a","n/a",BC45-INDEX(tab_MinKomp[Organizacja dostaw / Versorgungsorganisation],MATCH($B45,tab_MinKomp[[Stanowisko / Position ]:[Stanowisko / Position ]],0)))</f>
        <v>-2</v>
      </c>
      <c r="BD46" s="315">
        <f>IF(INDEX(tab_MinKomp[Organizacja wysyłek / Organisation von Lieferungen],MATCH($B45,tab_MinKomp[[Stanowisko / Position ]:[Stanowisko / Position ]],0))="n/a","n/a",BD45-INDEX(tab_MinKomp[Organizacja wysyłek / Organisation von Lieferungen],MATCH($B45,tab_MinKomp[[Stanowisko / Position ]:[Stanowisko / Position ]],0)))</f>
        <v>0</v>
      </c>
      <c r="BE46" s="315">
        <f>IF(INDEX(tab_MinKomp[Analiza magazynowa - Program Polen.mdb / Inventuranalyse],MATCH($B45,tab_MinKomp[[Stanowisko / Position ]:[Stanowisko / Position ]],0))="n/a","n/a",BE45-INDEX(tab_MinKomp[Analiza magazynowa - Program Polen.mdb / Inventuranalyse],MATCH($B45,tab_MinKomp[[Stanowisko / Position ]:[Stanowisko / Position ]],0)))</f>
        <v>0</v>
      </c>
      <c r="BF46" s="315">
        <f>IF(INDEX(tab_MinKomp[MMOG (Materials Management Operations Guidelines)],MATCH($B45,tab_MinKomp[[Stanowisko / Position ]:[Stanowisko / Position ]],0))="n/a","n/a",BF45-INDEX(tab_MinKomp[MMOG (Materials Management Operations Guidelines)],MATCH($B45,tab_MinKomp[[Stanowisko / Position ]:[Stanowisko / Position ]],0)))</f>
        <v>0</v>
      </c>
      <c r="BG46" s="315">
        <f>IF(INDEX(tab_MinKomp[GPP],MATCH($B45,tab_MinKomp[[Stanowisko / Position ]:[Stanowisko / Position ]],0))="n/a","n/a",BG45-INDEX(tab_MinKomp[GPP],MATCH($B45,tab_MinKomp[[Stanowisko / Position ]:[Stanowisko / Position ]],0)))</f>
        <v>1</v>
      </c>
      <c r="BH46" s="315">
        <f>IF(INDEX(tab_MinKomp[AIAG (Automotive Industry Action Group)],MATCH($B45,tab_MinKomp[[Stanowisko / Position ]:[Stanowisko / Position ]],0))="n/a","n/a",BH45-INDEX(tab_MinKomp[AIAG (Automotive Industry Action Group)],MATCH($B45,tab_MinKomp[[Stanowisko / Position ]:[Stanowisko / Position ]],0)))</f>
        <v>0</v>
      </c>
      <c r="BI46" s="315">
        <f>IF(INDEX(tab_MinKomp[Super-G disputes],MATCH($B45,tab_MinKomp[[Stanowisko / Position ]:[Stanowisko / Position ]],0))="n/a","n/a",BI45-INDEX(tab_MinKomp[Super-G disputes],MATCH($B45,tab_MinKomp[[Stanowisko / Position ]:[Stanowisko / Position ]],0)))</f>
        <v>1</v>
      </c>
      <c r="BJ46" s="315">
        <f>IF(INDEX(tab_MinKomp[CMMS3/eDDL (Direct Data Link)],MATCH($B45,tab_MinKomp[[Stanowisko / Position ]:[Stanowisko / Position ]],0))="n/a","n/a",BJ45-INDEX(tab_MinKomp[CMMS3/eDDL (Direct Data Link)],MATCH($B45,tab_MinKomp[[Stanowisko / Position ]:[Stanowisko / Position ]],0)))</f>
        <v>2</v>
      </c>
      <c r="BK46" s="315">
        <f>IF(INDEX(tab_MinKomp[MP&amp;L (Material Planning and Logistics)],MATCH($B45,tab_MinKomp[[Stanowisko / Position ]:[Stanowisko / Position ]],0))="n/a","n/a",BK45-INDEX(tab_MinKomp[MP&amp;L (Material Planning and Logistics)],MATCH($B45,tab_MinKomp[[Stanowisko / Position ]:[Stanowisko / Position ]],0)))</f>
        <v>0</v>
      </c>
      <c r="BL46" s="315">
        <f>IF(INDEX(tab_MinKomp[Supplier delivery rating],MATCH($B45,tab_MinKomp[[Stanowisko / Position ]:[Stanowisko / Position ]],0))="n/a","n/a",BL45-INDEX(tab_MinKomp[Supplier delivery rating],MATCH($B45,tab_MinKomp[[Stanowisko / Position ]:[Stanowisko / Position ]],0)))</f>
        <v>2</v>
      </c>
      <c r="BM46" s="315" t="str">
        <f>IF(INDEX(tab_MinKomp[Planowanie produkcji / Produktionsplanung],MATCH($B45,tab_MinKomp[[Stanowisko / Position ]:[Stanowisko / Position ]],0))="n/a","n/a",BM45-INDEX(tab_MinKomp[Planowanie produkcji / Produktionsplanung],MATCH($B45,tab_MinKomp[[Stanowisko / Position ]:[Stanowisko / Position ]],0)))</f>
        <v>n/a</v>
      </c>
      <c r="BN46" s="315" t="str">
        <f>IF(INDEX(tab_MinKomp[Obsługa maszyn Engel / Engel Maschinenbedienung],MATCH($B45,tab_MinKomp[[Stanowisko / Position ]:[Stanowisko / Position ]],0))="n/a","n/a",BN45-INDEX(tab_MinKomp[Obsługa maszyn Engel / Engel Maschinenbedienung],MATCH($B45,tab_MinKomp[[Stanowisko / Position ]:[Stanowisko / Position ]],0)))</f>
        <v>n/a</v>
      </c>
      <c r="BO46" s="315" t="str">
        <f>IF(INDEX(tab_MinKomp[Obsługa maszyn Novapax / Novapax Maschinenbedienung],MATCH($B45,tab_MinKomp[[Stanowisko / Position ]:[Stanowisko / Position ]],0))="n/a","n/a",BO45-INDEX(tab_MinKomp[Obsługa maszyn Novapax / Novapax Maschinenbedienung],MATCH($B45,tab_MinKomp[[Stanowisko / Position ]:[Stanowisko / Position ]],0)))</f>
        <v>n/a</v>
      </c>
      <c r="BP46" s="315" t="str">
        <f>IF(INDEX(tab_MinKomp[Obsługa maszyn KVT / KVT Maschinenbedienung],MATCH($B45,tab_MinKomp[[Stanowisko / Position ]:[Stanowisko / Position ]],0))="n/a","n/a",BP45-INDEX(tab_MinKomp[Obsługa maszyn KVT / KVT Maschinenbedienung],MATCH($B45,tab_MinKomp[[Stanowisko / Position ]:[Stanowisko / Position ]],0)))</f>
        <v>n/a</v>
      </c>
      <c r="BQ46" s="315" t="str">
        <f>IF(INDEX(tab_MinKomp[Obsługa maszyn ASL / ASL Maschinenbedienung],MATCH($B45,tab_MinKomp[[Stanowisko / Position ]:[Stanowisko / Position ]],0))="n/a","n/a",BQ45-INDEX(tab_MinKomp[Obsługa maszyn ASL / ASL Maschinenbedienung],MATCH($B45,tab_MinKomp[[Stanowisko / Position ]:[Stanowisko / Position ]],0)))</f>
        <v>n/a</v>
      </c>
      <c r="BR46" s="315" t="str">
        <f>IF(INDEX(tab_MinKomp[Obsługa maszyn Branson / Branson Maschinenbedienung],MATCH($B45,tab_MinKomp[[Stanowisko / Position ]:[Stanowisko / Position ]],0))="n/a","n/a",BR45-INDEX(tab_MinKomp[Obsługa maszyn Branson / Branson Maschinenbedienung],MATCH($B45,tab_MinKomp[[Stanowisko / Position ]:[Stanowisko / Position ]],0)))</f>
        <v>n/a</v>
      </c>
      <c r="BS46" s="315" t="str">
        <f>IF(INDEX(tab_MinKomp[Obsługa maszyn Kamtec / Kamtec Maschinenbedienung],MATCH($B45,tab_MinKomp[[Stanowisko / Position ]:[Stanowisko / Position ]],0))="n/a","n/a",BS45-INDEX(tab_MinKomp[Obsługa maszyn Kamtec / Kamtec Maschinenbedienung],MATCH($B45,tab_MinKomp[[Stanowisko / Position ]:[Stanowisko / Position ]],0)))</f>
        <v>n/a</v>
      </c>
      <c r="BT46" s="315" t="str">
        <f>IF(INDEX(tab_MinKomp[Obsługa maszyn Piovan / Piovan Maschinenbedienung],MATCH($B45,tab_MinKomp[[Stanowisko / Position ]:[Stanowisko / Position ]],0))="n/a","n/a",BT45-INDEX(tab_MinKomp[Obsługa maszyn Piovan / Piovan Maschinenbedienung],MATCH($B45,tab_MinKomp[[Stanowisko / Position ]:[Stanowisko / Position ]],0)))</f>
        <v>n/a</v>
      </c>
      <c r="BU46" s="315" t="str">
        <f>IF(INDEX(tab_MinKomp[Obsługa maszyn REP / REP Maschinenbedienung],MATCH($B45,tab_MinKomp[[Stanowisko / Position ]:[Stanowisko / Position ]],0))="n/a","n/a",BU45-INDEX(tab_MinKomp[Obsługa maszyn REP / REP Maschinenbedienung],MATCH($B45,tab_MinKomp[[Stanowisko / Position ]:[Stanowisko / Position ]],0)))</f>
        <v>n/a</v>
      </c>
      <c r="BV46" s="315" t="str">
        <f>IF(INDEX(tab_MinKomp[Eliminacja awarii / Beseitigung von Ausfällen],MATCH($B45,tab_MinKomp[[Stanowisko / Position ]:[Stanowisko / Position ]],0))="n/a","n/a",BV45-INDEX(tab_MinKomp[Eliminacja awarii / Beseitigung von Ausfällen],MATCH($B45,tab_MinKomp[[Stanowisko / Position ]:[Stanowisko / Position ]],0)))</f>
        <v>n/a</v>
      </c>
      <c r="BW46" s="315" t="str">
        <f>IF(INDEX(tab_MinKomp[Informatyka ogólna (techniczne i systemowe) / Allgemeine IT (Technik und System)],MATCH($B45,tab_MinKomp[[Stanowisko / Position ]:[Stanowisko / Position ]],0))="n/a","n/a",BW45-INDEX(tab_MinKomp[Informatyka ogólna (techniczne i systemowe) / Allgemeine IT (Technik und System)],MATCH($B45,tab_MinKomp[[Stanowisko / Position ]:[Stanowisko / Position ]],0)))</f>
        <v>n/a</v>
      </c>
      <c r="BX46" s="315" t="str">
        <f>IF(INDEX(tab_MinKomp[Sieci komputerowe / Computernetzwerke],MATCH($B45,tab_MinKomp[[Stanowisko / Position ]:[Stanowisko / Position ]],0))="n/a","n/a",BX45-INDEX(tab_MinKomp[Sieci komputerowe / Computernetzwerke],MATCH($B45,tab_MinKomp[[Stanowisko / Position ]:[Stanowisko / Position ]],0)))</f>
        <v>n/a</v>
      </c>
      <c r="BY46" s="315" t="str">
        <f>IF(INDEX(tab_MinKomp[Hardware (komputery PC, drukarki biurowe i etykietowe, telefonia stacjonarna i mobilna) (PC, Drucker, Telefpne, Handys)],MATCH($B45,tab_MinKomp[[Stanowisko / Position ]:[Stanowisko / Position ]],0))="n/a","n/a",BY45-INDEX(tab_MinKomp[Hardware (komputery PC, drukarki biurowe i etykietowe, telefonia stacjonarna i mobilna) (PC, Drucker, Telefpne, Handys)],MATCH($B45,tab_MinKomp[[Stanowisko / Position ]:[Stanowisko / Position ]],0)))</f>
        <v>n/a</v>
      </c>
      <c r="BZ46" s="315" t="str">
        <f>IF(INDEX(tab_MinKomp[Software &amp; Systems (MS Office, MS Remote Desktop)],MATCH($B45,tab_MinKomp[[Stanowisko / Position ]:[Stanowisko / Position ]],0))="n/a","n/a",BZ45-INDEX(tab_MinKomp[Software &amp; Systems (MS Office, MS Remote Desktop)],MATCH($B45,tab_MinKomp[[Stanowisko / Position ]:[Stanowisko / Position ]],0)))</f>
        <v>n/a</v>
      </c>
      <c r="CA46" s="315" t="str">
        <f>IF(INDEX(tab_MinKomp[Programowanie obiektowe (PHP) / Objektprogrammierung],MATCH($B45,tab_MinKomp[[Stanowisko / Position ]:[Stanowisko / Position ]],0))="n/a","n/a",CA45-INDEX(tab_MinKomp[Programowanie obiektowe (PHP) / Objektprogrammierung],MATCH($B45,tab_MinKomp[[Stanowisko / Position ]:[Stanowisko / Position ]],0)))</f>
        <v>n/a</v>
      </c>
      <c r="CB46" s="315" t="str">
        <f>IF(INDEX(tab_MinKomp[Scrum],MATCH($B45,tab_MinKomp[[Stanowisko / Position ]:[Stanowisko / Position ]],0))="n/a","n/a",CB45-INDEX(tab_MinKomp[Scrum],MATCH($B45,tab_MinKomp[[Stanowisko / Position ]:[Stanowisko / Position ]],0)))</f>
        <v>n/a</v>
      </c>
      <c r="CC46" s="315" t="str">
        <f>IF(INDEX(tab_MinKomp[SQL (MySQL)],MATCH($B45,tab_MinKomp[[Stanowisko / Position ]:[Stanowisko / Position ]],0))="n/a","n/a",CC45-INDEX(tab_MinKomp[SQL (MySQL)],MATCH($B45,tab_MinKomp[[Stanowisko / Position ]:[Stanowisko / Position ]],0)))</f>
        <v>n/a</v>
      </c>
      <c r="CD46" s="315" t="str">
        <f>IF(INDEX(tab_MinKomp[Javascript],MATCH($B45,tab_MinKomp[[Stanowisko / Position ]:[Stanowisko / Position ]],0))="n/a","n/a",CD45-INDEX(tab_MinKomp[Javascript],MATCH($B45,tab_MinKomp[[Stanowisko / Position ]:[Stanowisko / Position ]],0)))</f>
        <v>n/a</v>
      </c>
      <c r="CE46" s="315" t="str">
        <f>IF(INDEX(tab_MinKomp[Joomla],MATCH($B45,tab_MinKomp[[Stanowisko / Position ]:[Stanowisko / Position ]],0))="n/a","n/a",CE45-INDEX(tab_MinKomp[Joomla],MATCH($B45,tab_MinKomp[[Stanowisko / Position ]:[Stanowisko / Position ]],0)))</f>
        <v>n/a</v>
      </c>
      <c r="CF46" s="315" t="str">
        <f>IF(INDEX(tab_MinKomp[Bash],MATCH($B45,tab_MinKomp[[Stanowisko / Position ]:[Stanowisko / Position ]],0))="n/a","n/a",CF45-INDEX(tab_MinKomp[Bash],MATCH($B45,tab_MinKomp[[Stanowisko / Position ]:[Stanowisko / Position ]],0)))</f>
        <v>n/a</v>
      </c>
      <c r="CG46" s="315" t="str">
        <f>IF(INDEX(tab_MinKomp[Systemy MES (HYDRA / SFMS)],MATCH($B45,tab_MinKomp[[Stanowisko / Position ]:[Stanowisko / Position ]],0))="n/a","n/a",CG45-INDEX(tab_MinKomp[Systemy MES (HYDRA / SFMS)],MATCH($B45,tab_MinKomp[[Stanowisko / Position ]:[Stanowisko / Position ]],0)))</f>
        <v>n/a</v>
      </c>
      <c r="CH46" s="315" t="str">
        <f>IF(INDEX(tab_MinKomp[HTML / CSS],MATCH($B45,tab_MinKomp[[Stanowisko / Position ]:[Stanowisko / Position ]],0))="n/a","n/a",CH45-INDEX(tab_MinKomp[HTML / CSS],MATCH($B45,tab_MinKomp[[Stanowisko / Position ]:[Stanowisko / Position ]],0)))</f>
        <v>n/a</v>
      </c>
      <c r="CI46" s="315">
        <f>IF(INDEX(tab_MinKomp[SYSTEM PR],MATCH($B45,tab_MinKomp[[Stanowisko / Position ]:[Stanowisko / Position ]],0))="n/a","n/a",CI45-INDEX(tab_MinKomp[SYSTEM PR],MATCH($B45,tab_MinKomp[[Stanowisko / Position ]:[Stanowisko / Position ]],0)))</f>
        <v>0</v>
      </c>
      <c r="CJ46" s="315" t="str">
        <f>IF(INDEX(tab_MinKomp[System Einkauf XP / EBA],MATCH($B45,tab_MinKomp[[Stanowisko / Position ]:[Stanowisko / Position ]],0))="n/a","n/a",CJ45-INDEX(tab_MinKomp[System Einkauf XP / EBA],MATCH($B45,tab_MinKomp[[Stanowisko / Position ]:[Stanowisko / Position ]],0)))</f>
        <v>n/a</v>
      </c>
      <c r="CK46" s="315" t="str">
        <f>IF(INDEX(tab_MinKomp[Techniki negocjacyjne / Verhandlungstechniken],MATCH($B45,tab_MinKomp[[Stanowisko / Position ]:[Stanowisko / Position ]],0))="n/a","n/a",CK45-INDEX(tab_MinKomp[Techniki negocjacyjne / Verhandlungstechniken],MATCH($B45,tab_MinKomp[[Stanowisko / Position ]:[Stanowisko / Position ]],0)))</f>
        <v>n/a</v>
      </c>
      <c r="CL46" s="315">
        <f>IF(INDEX(tab_MinKomp[Znajomość rynku branżowego / Kenntnis des Industrie Marktes],MATCH($B45,tab_MinKomp[[Stanowisko / Position ]:[Stanowisko / Position ]],0))="n/a","n/a",CL45-INDEX(tab_MinKomp[Znajomość rynku branżowego / Kenntnis des Industrie Marktes],MATCH($B45,tab_MinKomp[[Stanowisko / Position ]:[Stanowisko / Position ]],0)))</f>
        <v>0</v>
      </c>
      <c r="CM46" s="315">
        <f>IF(INDEX(tab_MinKomp[RAPORTY 8D / 8D Berichten],MATCH($B45,tab_MinKomp[[Stanowisko / Position ]:[Stanowisko / Position ]],0))="n/a","n/a",CM45-INDEX(tab_MinKomp[RAPORTY 8D / 8D Berichten],MATCH($B45,tab_MinKomp[[Stanowisko / Position ]:[Stanowisko / Position ]],0)))</f>
        <v>1</v>
      </c>
      <c r="CN46" s="315">
        <f>IF(INDEX(tab_MinKomp[NARZĘDZIA JAKOŚCIOWE (5WHY, Ishikawa, etc) / QS-Werkzeuge],MATCH($B45,tab_MinKomp[[Stanowisko / Position ]:[Stanowisko / Position ]],0))="n/a","n/a",CN45-INDEX(tab_MinKomp[NARZĘDZIA JAKOŚCIOWE (5WHY, Ishikawa, etc) / QS-Werkzeuge],MATCH($B45,tab_MinKomp[[Stanowisko / Position ]:[Stanowisko / Position ]],0)))</f>
        <v>0</v>
      </c>
      <c r="CO46" s="315">
        <f>IF(INDEX(tab_MinKomp[PDCA],MATCH($B45,tab_MinKomp[[Stanowisko / Position ]:[Stanowisko / Position ]],0))="n/a","n/a",CO45-INDEX(tab_MinKomp[PDCA],MATCH($B45,tab_MinKomp[[Stanowisko / Position ]:[Stanowisko / Position ]],0)))</f>
        <v>0</v>
      </c>
      <c r="CP46" s="315">
        <f>IF(INDEX(tab_MinKomp[Pareto],MATCH($B45,tab_MinKomp[[Stanowisko / Position ]:[Stanowisko / Position ]],0))="n/a","n/a",CP45-INDEX(tab_MinKomp[Pareto],MATCH($B45,tab_MinKomp[[Stanowisko / Position ]:[Stanowisko / Position ]],0)))</f>
        <v>0</v>
      </c>
      <c r="CQ46" s="315">
        <f>IF(INDEX(tab_MinKomp[PPAP/PSW],MATCH($B45,tab_MinKomp[[Stanowisko / Position ]:[Stanowisko / Position ]],0))="n/a","n/a",CQ45-INDEX(tab_MinKomp[PPAP/PSW],MATCH($B45,tab_MinKomp[[Stanowisko / Position ]:[Stanowisko / Position ]],0)))</f>
        <v>0</v>
      </c>
      <c r="CR46" s="315">
        <f>IF(INDEX(tab_MinKomp[PPAP/PSW],MATCH($B45,tab_MinKomp[[Stanowisko / Position ]:[Stanowisko / Position ]],0))="n/a","n/a",CR45-INDEX(tab_MinKomp[PPAP/PSW],MATCH($B45,tab_MinKomp[[Stanowisko / Position ]:[Stanowisko / Position ]],0)))</f>
        <v>0</v>
      </c>
      <c r="CS46" s="315">
        <f>IF(INDEX(tab_MinKomp[OBSŁUGA PORTALI KLIENTA / Kundenportale],MATCH($B45,tab_MinKomp[[Stanowisko / Position ]:[Stanowisko / Position ]],0))="n/a","n/a",CS45-INDEX(tab_MinKomp[OBSŁUGA PORTALI KLIENTA / Kundenportale],MATCH($B45,tab_MinKomp[[Stanowisko / Position ]:[Stanowisko / Position ]],0)))</f>
        <v>0</v>
      </c>
      <c r="CT46" s="315">
        <f>IF(INDEX(tab_MinKomp[Obsługa systemu BABTECQ / BABTECQ System],MATCH($B45,tab_MinKomp[[Stanowisko / Position ]:[Stanowisko / Position ]],0))="n/a","n/a",CT45-INDEX(tab_MinKomp[Obsługa systemu BABTECQ / BABTECQ System],MATCH($B45,tab_MinKomp[[Stanowisko / Position ]:[Stanowisko / Position ]],0)))</f>
        <v>0</v>
      </c>
      <c r="CU46" s="315" t="str">
        <f>IF(INDEX(tab_MinKomp[Rysunek techniczny / technische Zeichnung],MATCH($B45,tab_MinKomp[[Stanowisko / Position ]:[Stanowisko / Position ]],0))="n/a","n/a",CU45-INDEX(tab_MinKomp[Rysunek techniczny / technische Zeichnung],MATCH($B45,tab_MinKomp[[Stanowisko / Position ]:[Stanowisko / Position ]],0)))</f>
        <v>n/a</v>
      </c>
      <c r="CV46" s="315" t="str">
        <f>IF(INDEX(tab_MinKomp[Kalibracja / Kalibrierung],MATCH($B45,tab_MinKomp[[Stanowisko / Position ]:[Stanowisko / Position ]],0))="n/a","n/a",CV45-INDEX(tab_MinKomp[Kalibracja / Kalibrierung],MATCH($B45,tab_MinKomp[[Stanowisko / Position ]:[Stanowisko / Position ]],0)))</f>
        <v>n/a</v>
      </c>
      <c r="CW46" s="315" t="str">
        <f>IF(INDEX(tab_MinKomp[Rekwalifikacja / Requalifizierung],MATCH($B45,tab_MinKomp[[Stanowisko / Position ]:[Stanowisko / Position ]],0))="n/a","n/a",CW45-INDEX(tab_MinKomp[Rekwalifikacja / Requalifizierung],MATCH($B45,tab_MinKomp[[Stanowisko / Position ]:[Stanowisko / Position ]],0)))</f>
        <v>n/a</v>
      </c>
      <c r="CX46" s="315" t="str">
        <f>IF(INDEX(tab_MinKomp[CMM - Contura Zeiss],MATCH($B45,tab_MinKomp[[Stanowisko / Position ]:[Stanowisko / Position ]],0))="n/a","n/a",CX45-INDEX(tab_MinKomp[CMM - Contura Zeiss],MATCH($B45,tab_MinKomp[[Stanowisko / Position ]:[Stanowisko / Position ]],0)))</f>
        <v>n/a</v>
      </c>
      <c r="CY46" s="318" t="str">
        <f>IF(INDEX(tab_MinKomp[CMM - Contura Zeiss],MATCH($B45,tab_MinKomp[[Stanowisko / Position ]:[Stanowisko / Position ]],0))="n/a","n/a",CY45-INDEX(tab_MinKomp[CMM - Contura Zeiss],MATCH($B45,tab_MinKomp[[Stanowisko / Position ]:[Stanowisko / Position ]],0)))</f>
        <v>n/a</v>
      </c>
      <c r="CZ46" s="315" t="str">
        <f>IF(INDEX(tab_MinKomp[CMM - Contura Zeiss],MATCH($B45,tab_MinKomp[[Stanowisko / Position ]:[Stanowisko / Position ]],0))="n/a","n/a",CZ45-INDEX(tab_MinKomp[CMM - Contura Zeiss],MATCH($B45,tab_MinKomp[[Stanowisko / Position ]:[Stanowisko / Position ]],0)))</f>
        <v>n/a</v>
      </c>
      <c r="DA46" s="315" t="str">
        <f>IF(INDEX(tab_MinKomp[CMM - Contura Zeiss],MATCH($B45,tab_MinKomp[[Stanowisko / Position ]:[Stanowisko / Position ]],0))="n/a","n/a",DA45-INDEX(tab_MinKomp[CMM - Contura Zeiss],MATCH($B45,tab_MinKomp[[Stanowisko / Position ]:[Stanowisko / Position ]],0)))</f>
        <v>n/a</v>
      </c>
      <c r="DB46" s="315" t="str">
        <f>IF(INDEX(tab_MinKomp[CMM - Contura Zeiss],MATCH($B45,tab_MinKomp[[Stanowisko / Position ]:[Stanowisko / Position ]],0))="n/a","n/a",DB45-INDEX(tab_MinKomp[CMM - Contura Zeiss],MATCH($B45,tab_MinKomp[[Stanowisko / Position ]:[Stanowisko / Position ]],0)))</f>
        <v>n/a</v>
      </c>
      <c r="DC46" s="318" t="str">
        <f>IF(INDEX(tab_MinKomp[CMM - Contura Zeiss],MATCH($B45,tab_MinKomp[[Stanowisko / Position ]:[Stanowisko / Position ]],0))="n/a","n/a",DC45-INDEX(tab_MinKomp[CMM - Contura Zeiss],MATCH($B45,tab_MinKomp[[Stanowisko / Position ]:[Stanowisko / Position ]],0)))</f>
        <v>n/a</v>
      </c>
      <c r="DD46" s="315" t="str">
        <f>IF(INDEX(tab_MinKomp[Pisanie programów / Programme schreiben],MATCH($B45,tab_MinKomp[[Stanowisko / Position ]:[Stanowisko / Position ]],0))="n/a","n/a",DD45-INDEX(tab_MinKomp[Pisanie programów / Programme schreiben],MATCH($B45,tab_MinKomp[[Stanowisko / Position ]:[Stanowisko / Position ]],0)))</f>
        <v>n/a</v>
      </c>
      <c r="DE46" s="315" t="str">
        <f>IF(INDEX(tab_MinKomp[CMM - Contura Zeiss],MATCH($B45,tab_MinKomp[[Stanowisko / Position ]:[Stanowisko / Position ]],0))="n/a","n/a",DE45-INDEX(tab_MinKomp[CMM - Contura Zeiss],MATCH($B45,tab_MinKomp[[Stanowisko / Position ]:[Stanowisko / Position ]],0)))</f>
        <v>n/a</v>
      </c>
      <c r="DF46" s="315" t="str">
        <f>IF(INDEX(tab_MinKomp[CMM - Contura Zeiss],MATCH($B45,tab_MinKomp[[Stanowisko / Position ]:[Stanowisko / Position ]],0))="n/a","n/a",DF45-INDEX(tab_MinKomp[CMM - Contura Zeiss],MATCH($B45,tab_MinKomp[[Stanowisko / Position ]:[Stanowisko / Position ]],0)))</f>
        <v>n/a</v>
      </c>
      <c r="DG46" s="315" t="str">
        <f>IF(INDEX(tab_MinKomp[CMM - Contura Zeiss],MATCH($B45,tab_MinKomp[[Stanowisko / Position ]:[Stanowisko / Position ]],0))="n/a","n/a",DG45-INDEX(tab_MinKomp[CMM - Contura Zeiss],MATCH($B45,tab_MinKomp[[Stanowisko / Position ]:[Stanowisko / Position ]],0)))</f>
        <v>n/a</v>
      </c>
      <c r="DH46" s="315" t="str">
        <f>IF(INDEX(tab_MinKomp[CMM - Contura Zeiss],MATCH($B45,tab_MinKomp[[Stanowisko / Position ]:[Stanowisko / Position ]],0))="n/a","n/a",DH45-INDEX(tab_MinKomp[CMM - Contura Zeiss],MATCH($B45,tab_MinKomp[[Stanowisko / Position ]:[Stanowisko / Position ]],0)))</f>
        <v>n/a</v>
      </c>
      <c r="DI46" s="315" t="str">
        <f>IF(INDEX(tab_MinKomp[CMM - Contura Zeiss],MATCH($B45,tab_MinKomp[[Stanowisko / Position ]:[Stanowisko / Position ]],0))="n/a","n/a",DI45-INDEX(tab_MinKomp[CMM - Contura Zeiss],MATCH($B45,tab_MinKomp[[Stanowisko / Position ]:[Stanowisko / Position ]],0)))</f>
        <v>n/a</v>
      </c>
      <c r="DJ46" s="315" t="str">
        <f>IF(INDEX(tab_MinKomp[CMM - Contura Zeiss],MATCH($B45,tab_MinKomp[[Stanowisko / Position ]:[Stanowisko / Position ]],0))="n/a","n/a",DJ45-INDEX(tab_MinKomp[CMM - Contura Zeiss],MATCH($B45,tab_MinKomp[[Stanowisko / Position ]:[Stanowisko / Position ]],0)))</f>
        <v>n/a</v>
      </c>
      <c r="DK46" s="315" t="str">
        <f>IF(INDEX(tab_MinKomp[Pisanie programów / Programme schreiben],MATCH($B45,tab_MinKomp[[Stanowisko / Position ]:[Stanowisko / Position ]],0))="n/a","n/a",DK45-INDEX(tab_MinKomp[Pisanie programów / Programme schreiben],MATCH($B45,tab_MinKomp[[Stanowisko / Position ]:[Stanowisko / Position ]],0)))</f>
        <v>n/a</v>
      </c>
      <c r="DL46" s="315" t="str">
        <f>IF(INDEX(tab_MinKomp[CMM - Contura Zeiss],MATCH($B45,tab_MinKomp[[Stanowisko / Position ]:[Stanowisko / Position ]],0))="n/a","n/a",DL45-INDEX(tab_MinKomp[CMM - Contura Zeiss],MATCH($B45,tab_MinKomp[[Stanowisko / Position ]:[Stanowisko / Position ]],0)))</f>
        <v>n/a</v>
      </c>
      <c r="DM46" s="315" t="str">
        <f>IF(INDEX(tab_MinKomp[CMM - Contura Zeiss],MATCH($B45,tab_MinKomp[[Stanowisko / Position ]:[Stanowisko / Position ]],0))="n/a","n/a",DM45-INDEX(tab_MinKomp[CMM - Contura Zeiss],MATCH($B45,tab_MinKomp[[Stanowisko / Position ]:[Stanowisko / Position ]],0)))</f>
        <v>n/a</v>
      </c>
      <c r="DN46" s="315" t="str">
        <f>IF(INDEX(tab_MinKomp[CMM - Contura Zeiss],MATCH($B45,tab_MinKomp[[Stanowisko / Position ]:[Stanowisko / Position ]],0))="n/a","n/a",DN45-INDEX(tab_MinKomp[CMM - Contura Zeiss],MATCH($B45,tab_MinKomp[[Stanowisko / Position ]:[Stanowisko / Position ]],0)))</f>
        <v>n/a</v>
      </c>
      <c r="DO46" s="315" t="str">
        <f>IF(INDEX(tab_MinKomp[CMM - Contura Zeiss],MATCH($B45,tab_MinKomp[[Stanowisko / Position ]:[Stanowisko / Position ]],0))="n/a","n/a",DO45-INDEX(tab_MinKomp[CMM - Contura Zeiss],MATCH($B45,tab_MinKomp[[Stanowisko / Position ]:[Stanowisko / Position ]],0)))</f>
        <v>n/a</v>
      </c>
      <c r="DP46" s="315" t="str">
        <f>IF(INDEX(tab_MinKomp[CMM - Contura Zeiss],MATCH($B45,tab_MinKomp[[Stanowisko / Position ]:[Stanowisko / Position ]],0))="n/a","n/a",DP45-INDEX(tab_MinKomp[CMM - Contura Zeiss],MATCH($B45,tab_MinKomp[[Stanowisko / Position ]:[Stanowisko / Position ]],0)))</f>
        <v>n/a</v>
      </c>
      <c r="DQ46" s="315" t="str">
        <f>IF(INDEX(tab_MinKomp[CMM - Contura Zeiss],MATCH($B45,tab_MinKomp[[Stanowisko / Position ]:[Stanowisko / Position ]],0))="n/a","n/a",DQ45-INDEX(tab_MinKomp[CMM - Contura Zeiss],MATCH($B45,tab_MinKomp[[Stanowisko / Position ]:[Stanowisko / Position ]],0)))</f>
        <v>n/a</v>
      </c>
      <c r="DR46" s="315" t="str">
        <f>IF(INDEX(tab_MinKomp[Pisanie programów / Programme schreiben],MATCH($B45,tab_MinKomp[[Stanowisko / Position ]:[Stanowisko / Position ]],0))="n/a","n/a",DR45-INDEX(tab_MinKomp[Pisanie programów / Programme schreiben],MATCH($B45,tab_MinKomp[[Stanowisko / Position ]:[Stanowisko / Position ]],0)))</f>
        <v>n/a</v>
      </c>
      <c r="DS46" s="315" t="str">
        <f>IF(INDEX(tab_MinKomp[CMM - Contura Zeiss],MATCH($B45,tab_MinKomp[[Stanowisko / Position ]:[Stanowisko / Position ]],0))="n/a","n/a",DS45-INDEX(tab_MinKomp[CMM - Contura Zeiss],MATCH($B45,tab_MinKomp[[Stanowisko / Position ]:[Stanowisko / Position ]],0)))</f>
        <v>n/a</v>
      </c>
      <c r="DT46" s="318" t="str">
        <f>IF(INDEX(tab_MinKomp[CMM - Contura Zeiss],MATCH($B45,tab_MinKomp[[Stanowisko / Position ]:[Stanowisko / Position ]],0))="n/a","n/a",DT45-INDEX(tab_MinKomp[CMM - Contura Zeiss],MATCH($B45,tab_MinKomp[[Stanowisko / Position ]:[Stanowisko / Position ]],0)))</f>
        <v>n/a</v>
      </c>
      <c r="DU46" s="315" t="str">
        <f>IF(INDEX(tab_MinKomp[CMM - Contura Zeiss],MATCH($B45,tab_MinKomp[[Stanowisko / Position ]:[Stanowisko / Position ]],0))="n/a","n/a",DU45-INDEX(tab_MinKomp[CMM - Contura Zeiss],MATCH($B45,tab_MinKomp[[Stanowisko / Position ]:[Stanowisko / Position ]],0)))</f>
        <v>n/a</v>
      </c>
      <c r="DV46" s="315" t="str">
        <f>IF(INDEX(tab_MinKomp[CMM - Contura Zeiss],MATCH($B45,tab_MinKomp[[Stanowisko / Position ]:[Stanowisko / Position ]],0))="n/a","n/a",DV45-INDEX(tab_MinKomp[CMM - Contura Zeiss],MATCH($B45,tab_MinKomp[[Stanowisko / Position ]:[Stanowisko / Position ]],0)))</f>
        <v>n/a</v>
      </c>
      <c r="DW46" s="315" t="str">
        <f>IF(INDEX(tab_MinKomp[CMM - Contura Zeiss],MATCH($B45,tab_MinKomp[[Stanowisko / Position ]:[Stanowisko / Position ]],0))="n/a","n/a",DW45-INDEX(tab_MinKomp[CMM - Contura Zeiss],MATCH($B45,tab_MinKomp[[Stanowisko / Position ]:[Stanowisko / Position ]],0)))</f>
        <v>n/a</v>
      </c>
      <c r="DX46" s="318" t="str">
        <f>IF(INDEX(tab_MinKomp[CMM - Contura Zeiss],MATCH($B45,tab_MinKomp[[Stanowisko / Position ]:[Stanowisko / Position ]],0))="n/a","n/a",DX45-INDEX(tab_MinKomp[CMM - Contura Zeiss],MATCH($B45,tab_MinKomp[[Stanowisko / Position ]:[Stanowisko / Position ]],0)))</f>
        <v>n/a</v>
      </c>
      <c r="DY46" s="315" t="str">
        <f>IF(INDEX(tab_MinKomp[Konserwacja Rep],MATCH($B45,tab_MinKomp[[Stanowisko / Position ]:[Stanowisko / Position ]],0))="n/a","n/a",DY45-INDEX(tab_MinKomp[Konserwacja Rep],MATCH($B45,tab_MinKomp[[Stanowisko / Position ]:[Stanowisko / Position ]],0)))</f>
        <v>n/a</v>
      </c>
      <c r="DZ46" s="315" t="str">
        <f>IF(INDEX(tab_MinKomp[[Konserwacja Engel ]],MATCH($B45,tab_MinKomp[[Stanowisko / Position ]:[Stanowisko / Position ]],0))="n/a","n/a",DZ45-INDEX(tab_MinKomp[[Konserwacja Engel ]],MATCH($B45,tab_MinKomp[[Stanowisko / Position ]:[Stanowisko / Position ]],0)))</f>
        <v>n/a</v>
      </c>
      <c r="EA46" s="315" t="str">
        <f>IF(INDEX(tab_MinKomp[Konserwacja B 50],MATCH($B45,tab_MinKomp[[Stanowisko / Position ]:[Stanowisko / Position ]],0))="n/a","n/a",EA45-INDEX(tab_MinKomp[Konserwacja B 50],MATCH($B45,tab_MinKomp[[Stanowisko / Position ]:[Stanowisko / Position ]],0)))</f>
        <v>n/a</v>
      </c>
      <c r="EB46" s="315" t="str">
        <f>IF(INDEX(tab_MinKomp[[Konserwacja EOL ]],MATCH($B45,tab_MinKomp[[Stanowisko / Position ]:[Stanowisko / Position ]],0))="n/a","n/a",EB45-INDEX(tab_MinKomp[[Konserwacja EOL ]],MATCH($B45,tab_MinKomp[[Stanowisko / Position ]:[Stanowisko / Position ]],0)))</f>
        <v>n/a</v>
      </c>
      <c r="EC46" s="315" t="str">
        <f>IF(INDEX(tab_MinKomp[Konserwacja Branson],MATCH($B45,tab_MinKomp[[Stanowisko / Position ]:[Stanowisko / Position ]],0))="n/a","n/a",EC45-INDEX(tab_MinKomp[Konserwacja Branson],MATCH($B45,tab_MinKomp[[Stanowisko / Position ]:[Stanowisko / Position ]],0)))</f>
        <v>n/a</v>
      </c>
      <c r="ED46" s="315" t="str">
        <f>IF(INDEX(tab_MinKomp[Konserwacja coolery],MATCH($B45,tab_MinKomp[[Stanowisko / Position ]:[Stanowisko / Position ]],0))="n/a","n/a",ED45-INDEX(tab_MinKomp[Konserwacja coolery],MATCH($B45,tab_MinKomp[[Stanowisko / Position ]:[Stanowisko / Position ]],0)))</f>
        <v>n/a</v>
      </c>
      <c r="EE46" s="315" t="str">
        <f>IF(INDEX(tab_MinKomp[Konserwacja piecy],MATCH($B45,tab_MinKomp[[Stanowisko / Position ]:[Stanowisko / Position ]],0))="n/a","n/a",EE45-INDEX(tab_MinKomp[Konserwacja piecy],MATCH($B45,tab_MinKomp[[Stanowisko / Position ]:[Stanowisko / Position ]],0)))</f>
        <v>n/a</v>
      </c>
      <c r="EF46" s="315" t="str">
        <f>IF(INDEX(tab_MinKomp[Rysunek techniczny- czytanie],MATCH($B45,tab_MinKomp[[Stanowisko / Position ]:[Stanowisko / Position ]],0))="n/a","n/a",EF45-INDEX(tab_MinKomp[Rysunek techniczny- czytanie],MATCH($B45,tab_MinKomp[[Stanowisko / Position ]:[Stanowisko / Position ]],0)))</f>
        <v>n/a</v>
      </c>
      <c r="EG46" s="315" t="str">
        <f>IF(INDEX(tab_MinKomp[Elektryka],MATCH($B45,tab_MinKomp[[Stanowisko / Position ]:[Stanowisko / Position ]],0))="n/a","n/a",EG45-INDEX(tab_MinKomp[Elektryka],MATCH($B45,tab_MinKomp[[Stanowisko / Position ]:[Stanowisko / Position ]],0)))</f>
        <v>n/a</v>
      </c>
      <c r="EH46" s="315" t="str">
        <f>IF(INDEX(tab_MinKomp[Pneumatyka],MATCH($B45,tab_MinKomp[[Stanowisko / Position ]:[Stanowisko / Position ]],0))="n/a","n/a",EH45-INDEX(tab_MinKomp[Pneumatyka],MATCH($B45,tab_MinKomp[[Stanowisko / Position ]:[Stanowisko / Position ]],0)))</f>
        <v>n/a</v>
      </c>
      <c r="EI46" s="315" t="str">
        <f>IF(INDEX(tab_MinKomp[[Hydraulika ]],MATCH($B45,tab_MinKomp[[Stanowisko / Position ]:[Stanowisko / Position ]],0))="n/a","n/a",EI45-INDEX(tab_MinKomp[[Hydraulika ]],MATCH($B45,tab_MinKomp[[Stanowisko / Position ]:[Stanowisko / Position ]],0)))</f>
        <v>n/a</v>
      </c>
      <c r="EJ46" s="315" t="str">
        <f>IF(INDEX(tab_MinKomp[Podciśnienie],MATCH($B45,tab_MinKomp[[Stanowisko / Position ]:[Stanowisko / Position ]],0))="n/a","n/a",EJ45-INDEX(tab_MinKomp[Podciśnienie],MATCH($B45,tab_MinKomp[[Stanowisko / Position ]:[Stanowisko / Position ]],0)))</f>
        <v>n/a</v>
      </c>
      <c r="EK46" s="315" t="str">
        <f>IF(INDEX(tab_MinKomp[Usuwanie awarii],MATCH($B45,tab_MinKomp[[Stanowisko / Position ]:[Stanowisko / Position ]],0))="n/a","n/a",EK45-INDEX(tab_MinKomp[Usuwanie awarii],MATCH($B45,tab_MinKomp[[Stanowisko / Position ]:[Stanowisko / Position ]],0)))</f>
        <v>n/a</v>
      </c>
      <c r="EL46" s="315" t="str">
        <f>IF(INDEX(tab_MinKomp[Obsługa robotów],MATCH($B45,tab_MinKomp[[Stanowisko / Position ]:[Stanowisko / Position ]],0))="n/a","n/a",EL45-INDEX(tab_MinKomp[Obsługa robotów],MATCH($B45,tab_MinKomp[[Stanowisko / Position ]:[Stanowisko / Position ]],0)))</f>
        <v>n/a</v>
      </c>
      <c r="EM46" s="315" t="str">
        <f>IF(INDEX(tab_MinKomp[Obsługa sterowania maszyny],MATCH($B45,tab_MinKomp[[Stanowisko / Position ]:[Stanowisko / Position ]],0))="n/a","n/a",EM45-INDEX(tab_MinKomp[Obsługa sterowania maszyny],MATCH($B45,tab_MinKomp[[Stanowisko / Position ]:[Stanowisko / Position ]],0)))</f>
        <v>n/a</v>
      </c>
      <c r="EN46" s="315" t="str">
        <f>IF(INDEX(tab_MinKomp[Usuwanie przyczyn żródłowych],MATCH($B45,tab_MinKomp[[Stanowisko / Position ]:[Stanowisko / Position ]],0))="n/a","n/a",EN45-INDEX(tab_MinKomp[Usuwanie przyczyn żródłowych],MATCH($B45,tab_MinKomp[[Stanowisko / Position ]:[Stanowisko / Position ]],0)))</f>
        <v>n/a</v>
      </c>
      <c r="EO46" s="315" t="str">
        <f>IF(INDEX(tab_MinKomp[Cmms stosowanie],MATCH($B45,tab_MinKomp[[Stanowisko / Position ]:[Stanowisko / Position ]],0))="n/a","n/a",EO45-INDEX(tab_MinKomp[Cmms stosowanie],MATCH($B45,tab_MinKomp[[Stanowisko / Position ]:[Stanowisko / Position ]],0)))</f>
        <v>n/a</v>
      </c>
      <c r="EP46" s="315" t="str">
        <f>IF(INDEX(tab_MinKomp[[Czyszczenie form gumowych ]],MATCH($B45,tab_MinKomp[[Stanowisko / Position ]:[Stanowisko / Position ]],0))="n/a","n/a",EP45-INDEX(tab_MinKomp[[Czyszczenie form gumowych ]],MATCH($B45,tab_MinKomp[[Stanowisko / Position ]:[Stanowisko / Position ]],0)))</f>
        <v>n/a</v>
      </c>
      <c r="EQ46" s="315" t="str">
        <f>IF(INDEX(tab_MinKomp[Czyszczenie form plastikowych],MATCH($B45,tab_MinKomp[[Stanowisko / Position ]:[Stanowisko / Position ]],0))="n/a","n/a",EQ45-INDEX(tab_MinKomp[Czyszczenie form plastikowych],MATCH($B45,tab_MinKomp[[Stanowisko / Position ]:[Stanowisko / Position ]],0)))</f>
        <v>n/a</v>
      </c>
      <c r="ER46" s="315" t="str">
        <f>IF(INDEX(tab_MinKomp[Wymiana form plastik],MATCH($B45,tab_MinKomp[[Stanowisko / Position ]:[Stanowisko / Position ]],0))="n/a","n/a",ER45-INDEX(tab_MinKomp[Wymiana form plastik],MATCH($B45,tab_MinKomp[[Stanowisko / Position ]:[Stanowisko / Position ]],0)))</f>
        <v>n/a</v>
      </c>
      <c r="ES46" s="315" t="str">
        <f>IF(INDEX(tab_MinKomp[Wymiana form guma],MATCH($B45,tab_MinKomp[[Stanowisko / Position ]:[Stanowisko / Position ]],0))="n/a","n/a",ES45-INDEX(tab_MinKomp[Wymiana form guma],MATCH($B45,tab_MinKomp[[Stanowisko / Position ]:[Stanowisko / Position ]],0)))</f>
        <v>n/a</v>
      </c>
      <c r="ET46" s="315" t="str">
        <f>IF(INDEX(tab_MinKomp[Konserwacja KK],MATCH($B45,tab_MinKomp[[Stanowisko / Position ]:[Stanowisko / Position ]],0))="n/a","n/a",ET45-INDEX(tab_MinKomp[Konserwacja KK],MATCH($B45,tab_MinKomp[[Stanowisko / Position ]:[Stanowisko / Position ]],0)))</f>
        <v>n/a</v>
      </c>
      <c r="EU46" s="315" t="str">
        <f>IF(INDEX(tab_MinKomp[Konserwacja form guma],MATCH($B45,tab_MinKomp[[Stanowisko / Position ]:[Stanowisko / Position ]],0))="n/a","n/a",EU45-INDEX(tab_MinKomp[Konserwacja form guma],MATCH($B45,tab_MinKomp[[Stanowisko / Position ]:[Stanowisko / Position ]],0)))</f>
        <v>n/a</v>
      </c>
      <c r="EV46" s="315" t="str">
        <f>IF(INDEX(tab_MinKomp[Konserwacja form plastiki],MATCH($B45,tab_MinKomp[[Stanowisko / Position ]:[Stanowisko / Position ]],0))="n/a","n/a",EV45-INDEX(tab_MinKomp[Konserwacja form plastiki],MATCH($B45,tab_MinKomp[[Stanowisko / Position ]:[Stanowisko / Position ]],0)))</f>
        <v>n/a</v>
      </c>
      <c r="EW46" s="330" t="str">
        <f>IF(INDEX(tab_MinKomp[Konserwacja form plastiki],MATCH($B45,tab_MinKomp[[Stanowisko / Position ]:[Stanowisko / Position ]],0))="n/a","n/a",EW45-INDEX(tab_MinKomp[Konserwacja form plastiki],MATCH($B45,tab_MinKomp[[Stanowisko / Position ]:[Stanowisko / Position ]],0)))</f>
        <v>n/a</v>
      </c>
      <c r="EX46" s="315" t="str">
        <f>IF(INDEX(tab_MinKomp[Konserwacja Gorącego Kanału],MATCH($B45,tab_MinKomp[[Stanowisko / Position ]:[Stanowisko / Position ]],0))="n/a","n/a",EX45-INDEX(tab_MinKomp[Konserwacja Gorącego Kanału],MATCH($B45,tab_MinKomp[[Stanowisko / Position ]:[Stanowisko / Position ]],0)))</f>
        <v>n/a</v>
      </c>
      <c r="EY46" s="315">
        <f>IF(INDEX(tab_MinKomp[MS Office (Excel)],MATCH($B45,tab_MinKomp[[Stanowisko / Position ]:[Stanowisko / Position ]],0))="n/a","n/a",EY45-INDEX(tab_MinKomp[MS Office (Excel)],MATCH($B45,tab_MinKomp[[Stanowisko / Position ]:[Stanowisko / Position ]],0)))</f>
        <v>1</v>
      </c>
      <c r="EZ46" s="315">
        <f>IF(INDEX(tab_MinKomp[MS Office (Word)],MATCH($B45,tab_MinKomp[[Stanowisko / Position ]:[Stanowisko / Position ]],0))="n/a","n/a",EZ45-INDEX(tab_MinKomp[MS Office (Word)],MATCH($B45,tab_MinKomp[[Stanowisko / Position ]:[Stanowisko / Position ]],0)))</f>
        <v>0</v>
      </c>
      <c r="FA46" s="315">
        <f>IF(INDEX(tab_MinKomp[MS Office (Power Point)],MATCH($B45,tab_MinKomp[[Stanowisko / Position ]:[Stanowisko / Position ]],0))="n/a","n/a",FA45-INDEX(tab_MinKomp[MS Office (Power Point)],MATCH($B45,tab_MinKomp[[Stanowisko / Position ]:[Stanowisko / Position ]],0)))</f>
        <v>0</v>
      </c>
      <c r="FB46" s="317">
        <f>IF(INDEX(tab_MinKomp[Język angielski / Englisch],MATCH($B45,tab_MinKomp[[Stanowisko / Position ]:[Stanowisko / Position ]],0))="n/a","n/a",FB45-INDEX(tab_MinKomp[Język angielski / Englisch],MATCH($B45,tab_MinKomp[[Stanowisko / Position ]:[Stanowisko / Position ]],0)))</f>
        <v>0</v>
      </c>
      <c r="FC46" s="317" t="str">
        <f>IF(INDEX(tab_MinKomp[Język niemiecki / Deutsch],MATCH($B45,tab_MinKomp[[Stanowisko / Position ]:[Stanowisko / Position ]],0))="n/a","n/a",FC45-INDEX(tab_MinKomp[Język niemiecki / Deutsch],MATCH($B45,tab_MinKomp[[Stanowisko / Position ]:[Stanowisko / Position ]],0)))</f>
        <v>n/a</v>
      </c>
      <c r="FD46" s="315">
        <f>IF(INDEX(tab_MinKomp[Zarządzanie dokumentacją procesową / Process dokumentation management],MATCH($B45,tab_MinKomp[[Stanowisko / Position ]:[Stanowisko / Position ]],0))="n/a","n/a",FD45-INDEX(tab_MinKomp[Zarządzanie dokumentacją procesową / Process dokumentation management],MATCH($B45,tab_MinKomp[[Stanowisko / Position ]:[Stanowisko / Position ]],0)))</f>
        <v>0</v>
      </c>
      <c r="FE46" s="315">
        <f>IF(INDEX(tab_MinKomp[Znajomość procesów z obszaru / Kenntiss der prozesse in dem Bereich],MATCH($B45,tab_MinKomp[[Stanowisko / Position ]:[Stanowisko / Position ]],0))="n/a","n/a",FE45-INDEX(tab_MinKomp[Znajomość procesów z obszaru / Kenntiss der prozesse in dem Bereich],MATCH($B45,tab_MinKomp[[Stanowisko / Position ]:[Stanowisko / Position ]],0)))</f>
        <v>0</v>
      </c>
      <c r="FF46" s="315">
        <f>IF(INDEX(tab_MinKomp[optymalizacja procesów / Prozessoptymalisierung],MATCH($B45,tab_MinKomp[[Stanowisko / Position ]:[Stanowisko / Position ]],0))="n/a","n/a",FF45-INDEX(tab_MinKomp[optymalizacja procesów / Prozessoptymalisierung],MATCH($B45,tab_MinKomp[[Stanowisko / Position ]:[Stanowisko / Position ]],0)))</f>
        <v>0</v>
      </c>
      <c r="FG46" s="315">
        <f>IF(INDEX(tab_MinKomp[Umiejętności szkoleniowe / Trainingsfähigkeiten],MATCH($B45,tab_MinKomp[[Stanowisko / Position ]:[Stanowisko / Position ]],0))="n/a","n/a",FG45-INDEX(tab_MinKomp[Umiejętności szkoleniowe / Trainingsfähigkeiten],MATCH($B45,tab_MinKomp[[Stanowisko / Position ]:[Stanowisko / Position ]],0)))</f>
        <v>0</v>
      </c>
      <c r="FH46" s="315">
        <f>IF(INDEX(tab_MinKomp[Analityczne myślenie, podejście / Analitysches Denken, Einstellung],MATCH($B45,tab_MinKomp[[Stanowisko / Position ]:[Stanowisko / Position ]],0))="n/a","n/a",FH45-INDEX(tab_MinKomp[Analityczne myślenie, podejście / Analitysches Denken, Einstellung],MATCH($B45,tab_MinKomp[[Stanowisko / Position ]:[Stanowisko / Position ]],0)))</f>
        <v>1</v>
      </c>
      <c r="FI46" s="315">
        <f>IF(INDEX(tab_MinKomp[Dokładność, precyzja w dzialaniu / Genauigkeit, Präzision in die Arbeit],MATCH($B45,tab_MinKomp[[Stanowisko / Position ]:[Stanowisko / Position ]],0))="n/a","n/a",FI45-INDEX(tab_MinKomp[Dokładność, precyzja w dzialaniu / Genauigkeit, Präzision in die Arbeit],MATCH($B45,tab_MinKomp[[Stanowisko / Position ]:[Stanowisko / Position ]],0)))</f>
        <v>0</v>
      </c>
      <c r="FJ46" s="315">
        <f>IF(INDEX(tab_MinKomp[Dyspozycyjność / Verfügbarkeit],MATCH($B45,tab_MinKomp[[Stanowisko / Position ]:[Stanowisko / Position ]],0))="n/a","n/a",FJ45-INDEX(tab_MinKomp[Dyspozycyjność / Verfügbarkeit],MATCH($B45,tab_MinKomp[[Stanowisko / Position ]:[Stanowisko / Position ]],0)))</f>
        <v>0</v>
      </c>
      <c r="FK46" s="315">
        <f>IF(INDEX(tab_MinKomp[Zaangażowanie / 
Engagement],MATCH($B45,tab_MinKomp[[Stanowisko / Position ]:[Stanowisko / Position ]],0))="n/a","n/a",FK45-INDEX(tab_MinKomp[Zaangażowanie / 
Engagement],MATCH($B45,tab_MinKomp[[Stanowisko / Position ]:[Stanowisko / Position ]],0)))</f>
        <v>0</v>
      </c>
      <c r="FL46" s="315">
        <f>IF(INDEX(tab_MinKomp[Planowanie strategiczne / Strategische Planung],MATCH($B45,tab_MinKomp[[Stanowisko / Position ]:[Stanowisko / Position ]],0))="n/a","n/a",FL45-INDEX(tab_MinKomp[Planowanie strategiczne / Strategische Planung],MATCH($B45,tab_MinKomp[[Stanowisko / Position ]:[Stanowisko / Position ]],0)))</f>
        <v>0</v>
      </c>
      <c r="FM46" s="315">
        <f>IF(INDEX(tab_MinKomp[Konsekwentne i dynamiczne działanie],MATCH($B45,tab_MinKomp[[Stanowisko / Position ]:[Stanowisko / Position ]],0))="n/a","n/a",FM45-INDEX(tab_MinKomp[Konsekwentne i dynamiczne działanie],MATCH($B45,tab_MinKomp[[Stanowisko / Position ]:[Stanowisko / Position ]],0)))</f>
        <v>0</v>
      </c>
      <c r="FN46" s="315">
        <f>IF(INDEX(tab_MinKomp[Elastyczność w działaniu],MATCH($B45,tab_MinKomp[[Stanowisko / Position ]:[Stanowisko / Position ]],0))="n/a","n/a",FN45-INDEX(tab_MinKomp[Elastyczność w działaniu],MATCH($B45,tab_MinKomp[[Stanowisko / Position ]:[Stanowisko / Position ]],0)))</f>
        <v>0</v>
      </c>
      <c r="FO46" s="315">
        <f>IF(INDEX(tab_MinKomp[Komunikatywność],MATCH($B45,tab_MinKomp[[Stanowisko / Position ]:[Stanowisko / Position ]],0))="n/a","n/a",FO45-INDEX(tab_MinKomp[Komunikatywność],MATCH($B45,tab_MinKomp[[Stanowisko / Position ]:[Stanowisko / Position ]],0)))</f>
        <v>0</v>
      </c>
      <c r="FP46" s="314" t="str">
        <f>IF(INDEX(tab_MinKomp[Motywowanie i budowanie zaangażowania zespołu],MATCH($B45,tab_MinKomp[[Stanowisko / Position ]:[Stanowisko / Position ]],0))="n/a","n/a",FP45-INDEX(tab_MinKomp[Motywowanie i budowanie zaangażowania zespołu],MATCH($B45,tab_MinKomp[[Stanowisko / Position ]:[Stanowisko / Position ]],0)))</f>
        <v>n/a</v>
      </c>
      <c r="FQ46" s="318" t="str">
        <f>IFERROR(IF(INDEX(tab_MinKomp[BRAK / Keine],MATCH($B45,tab_MinKomp[[Stanowisko / Position ]:[Stanowisko / Position ]],0))="n/a","n/a",INDEX(tab_MinKomp[BRAK / Keine],MATCH($B45,tab_MinKomp[[Stanowisko / Position ]:[Stanowisko / Position ]],0))-FQ45),"")</f>
        <v>n/a</v>
      </c>
      <c r="FR46" s="315" t="str">
        <f>IF(INDEX(tab_MinKomp[MINIMUM 1 ROK / min. 1 Jahr],MATCH($B45,tab_MinKomp[[Stanowisko / Position ]:[Stanowisko / Position ]],0))="n/a","n/a",INDEX(tab_MinKomp[MINIMUM 1 ROK / min. 1 Jahr],MATCH($B45,tab_MinKomp[[Stanowisko / Position ]:[Stanowisko / Position ]],0)))</f>
        <v>n/a</v>
      </c>
      <c r="FS46" s="315" t="str">
        <f>IF(INDEX(tab_MinKomp[MINIMUM 2 LATA / min. 2 Jahre],MATCH($B45,tab_MinKomp[[Stanowisko / Position ]:[Stanowisko / Position ]],0))="n/a","n/a",INDEX(tab_MinKomp[MINIMUM 2 LATA / min. 2 Jahre],MATCH($B45,tab_MinKomp[[Stanowisko / Position ]:[Stanowisko / Position ]],0)))</f>
        <v>x</v>
      </c>
      <c r="FT46" s="315" t="str">
        <f>IF(INDEX(tab_MinKomp[MINIMUM 3 LATA / min. 3 Jahre],MATCH($B45,tab_MinKomp[[Stanowisko / Position ]:[Stanowisko / Position ]],0))="n/a","n/a",INDEX(tab_MinKomp[MINIMUM 3 LATA / min. 3 Jahre],MATCH($B45,tab_MinKomp[[Stanowisko / Position ]:[Stanowisko / Position ]],0)))</f>
        <v>n/a</v>
      </c>
      <c r="FU46" s="315" t="str">
        <f>IF(INDEX(tab_MinKomp[MINIMUM 4 LATA / min. 4 Jahre],MATCH($B45,tab_MinKomp[[Stanowisko / Position ]:[Stanowisko / Position ]],0))="n/a","n/a",INDEX(tab_MinKomp[MINIMUM 4 LATA / min. 4 Jahre],MATCH($B45,tab_MinKomp[[Stanowisko / Position ]:[Stanowisko / Position ]],0)))</f>
        <v>n/a</v>
      </c>
      <c r="FV46" s="319" t="str">
        <f>IF(INDEX(tab_MinKomp[MINIMUM 5 LAT / min. 5 Jahre],MATCH($B45,tab_MinKomp[[Stanowisko / Position ]:[Stanowisko / Position ]],0))="n/a","n/a",INDEX(tab_MinKomp[MINIMUM 5 LAT / min. 5 Jahre],MATCH($B45,tab_MinKomp[[Stanowisko / Position ]:[Stanowisko / Position ]],0)))</f>
        <v>n/a</v>
      </c>
      <c r="FW46" s="318" t="str">
        <f>IF(INDEX(tab_MinKomp[BRAK / Keine9],MATCH($B45,tab_MinKomp[[Stanowisko / Position ]:[Stanowisko / Position ]],0))="n/a","n/a",INDEX(tab_MinKomp[BRAK / Keine9],MATCH($B45,tab_MinKomp[[Stanowisko / Position ]:[Stanowisko / Position ]],0)))</f>
        <v>n/a</v>
      </c>
      <c r="FX46" s="315" t="str">
        <f>IF(INDEX(tab_MinKomp[ZAWODOWE / Berufsausbildung],MATCH($B45,tab_MinKomp[[Stanowisko / Position ]:[Stanowisko / Position ]],0))="n/a","n/a",INDEX(tab_MinKomp[ZAWODOWE / Berufsausbildung],MATCH($B45,tab_MinKomp[[Stanowisko / Position ]:[Stanowisko / Position ]],0)))</f>
        <v>n/a</v>
      </c>
      <c r="FY46" s="315" t="str">
        <f>IF(INDEX(tab_MinKomp[ŚREDNIE OGÓLNE / Abitur allgemeine],MATCH($B45,tab_MinKomp[[Stanowisko / Position ]:[Stanowisko / Position ]],0))="n/a","n/a",INDEX(tab_MinKomp[ŚREDNIE OGÓLNE / Abitur allgemeine],MATCH($B45,tab_MinKomp[[Stanowisko / Position ]:[Stanowisko / Position ]],0)))</f>
        <v>x</v>
      </c>
      <c r="FZ46" s="315" t="str">
        <f>IF(INDEX(tab_MinKomp[ŚREDNIE KIERUNKOWE / berufliches Gymnasium],MATCH($B45,tab_MinKomp[[Stanowisko / Position ]:[Stanowisko / Position ]],0))="n/a","n/a",INDEX(tab_MinKomp[ŚREDNIE KIERUNKOWE / berufliches Gymnasium],MATCH($B45,tab_MinKomp[[Stanowisko / Position ]:[Stanowisko / Position ]],0)))</f>
        <v>n/a</v>
      </c>
      <c r="GA46" s="315" t="str">
        <f>IF(INDEX(tab_MinKomp[WYŻSZE OGÓLNE / Hochschule allgemeine],MATCH($B45,tab_MinKomp[[Stanowisko / Position ]:[Stanowisko / Position ]],0))="n/a","n/a",INDEX(tab_MinKomp[WYŻSZE OGÓLNE / Hochschule allgemeine],MATCH($B45,tab_MinKomp[[Stanowisko / Position ]:[Stanowisko / Position ]],0)))</f>
        <v>n/a</v>
      </c>
      <c r="GB46" s="319" t="str">
        <f>IF(INDEX(tab_MinKomp[WYŻSZE KIERUNKOWE / Hochschule berufliche],MATCH($B45,tab_MinKomp[[Stanowisko / Position ]:[Stanowisko / Position ]],0))="n/a","n/a",INDEX(tab_MinKomp[WYŻSZE KIERUNKOWE / Hochschule berufliche],MATCH($B45,tab_MinKomp[[Stanowisko / Position ]:[Stanowisko / Position ]],0)))</f>
        <v>n/a</v>
      </c>
      <c r="GC46" s="318" t="str">
        <f>IF(INDEX(tab_MinKomp[PIERWSZA POMOC / Erste Hilfe],MATCH($B45,tab_MinKomp[[Stanowisko / Position ]:[Stanowisko / Position ]],0))="n/a","n/a",INDEX(tab_MinKomp[PIERWSZA POMOC / Erste Hilfe],MATCH($B45,tab_MinKomp[[Stanowisko / Position ]:[Stanowisko / Position ]],0)))</f>
        <v>n/a</v>
      </c>
      <c r="GD46" s="315" t="str">
        <f>IF(INDEX(tab_MinKomp[Specjalista BHP / BHP Spezialist],MATCH($B45,tab_MinKomp[[Stanowisko / Position ]:[Stanowisko / Position ]],0))="n/a","n/a",INDEX(tab_MinKomp[Specjalista BHP / BHP Spezialist],MATCH($B45,tab_MinKomp[[Stanowisko / Position ]:[Stanowisko / Position ]],0)))</f>
        <v>n/a</v>
      </c>
      <c r="GE46" s="315" t="str">
        <f>IF(INDEX(tab_MinKomp[Inspektor ochrony PPOŻ / Brandschutzinspektor],MATCH($B45,tab_MinKomp[[Stanowisko / Position ]:[Stanowisko / Position ]],0))="n/a","n/a",INDEX(tab_MinKomp[Inspektor ochrony PPOŻ / Brandschutzinspektor],MATCH($B45,tab_MinKomp[[Stanowisko / Position ]:[Stanowisko / Position ]],0)))</f>
        <v>n/a</v>
      </c>
      <c r="GF46" s="315" t="str">
        <f>IF(INDEX(tab_MinKomp[WÓZKI JEZDNIOWE / Gebelstapler],MATCH($B45,tab_MinKomp[[Stanowisko / Position ]:[Stanowisko / Position ]],0))="n/a","n/a",INDEX(tab_MinKomp[WÓZKI JEZDNIOWE / Gebelstapler],MATCH($B45,tab_MinKomp[[Stanowisko / Position ]:[Stanowisko / Position ]],0)))</f>
        <v>n/a</v>
      </c>
      <c r="GG46" s="315" t="str">
        <f>IF(INDEX(tab_MinKomp[SEP],MATCH($B45,tab_MinKomp[[Stanowisko / Position ]:[Stanowisko / Position ]],0))="n/a","n/a",INDEX(tab_MinKomp[SEP],MATCH($B45,tab_MinKomp[[Stanowisko / Position ]:[Stanowisko / Position ]],0)))</f>
        <v>n/a</v>
      </c>
      <c r="GH46" s="315" t="str">
        <f>IF(INDEX(tab_MinKomp[SEP  DOZÓR / SEP Aufsicht],MATCH($B45,tab_MinKomp[[Stanowisko / Position ]:[Stanowisko / Position ]],0))="n/a","n/a",INDEX(tab_MinKomp[SEP  DOZÓR / SEP Aufsicht],MATCH($B45,tab_MinKomp[[Stanowisko / Position ]:[Stanowisko / Position ]],0)))</f>
        <v>n/a</v>
      </c>
      <c r="GI46" s="315" t="str">
        <f>IF(INDEX(tab_MinKomp[PODNOŚNIKI / Hebevorrichtung],MATCH($B45,tab_MinKomp[[Stanowisko / Position ]:[Stanowisko / Position ]],0))="n/a","n/a",INDEX(tab_MinKomp[PODNOŚNIKI / Hebevorrichtung],MATCH($B45,tab_MinKomp[[Stanowisko / Position ]:[Stanowisko / Position ]],0)))</f>
        <v>n/a</v>
      </c>
      <c r="GJ46" s="315" t="str">
        <f>IF(INDEX(tab_MinKomp[SUWNICE / Laufkran],MATCH($B45,tab_MinKomp[[Stanowisko / Position ]:[Stanowisko / Position ]],0))="n/a","n/a",INDEX(tab_MinKomp[SUWNICE / Laufkran],MATCH($B45,tab_MinKomp[[Stanowisko / Position ]:[Stanowisko / Position ]],0)))</f>
        <v>n/a</v>
      </c>
      <c r="GK46" s="319" t="str">
        <f>IF(INDEX(tab_MinKomp[WYSOKOŚCIOWE / Höhenberechtigungen],MATCH($B45,tab_MinKomp[[Stanowisko / Position ]:[Stanowisko / Position ]],0))="n/a","n/a",INDEX(tab_MinKomp[WYSOKOŚCIOWE / Höhenberechtigungen],MATCH($B45,tab_MinKomp[[Stanowisko / Position ]:[Stanowisko / Position ]],0)))</f>
        <v>n/a</v>
      </c>
      <c r="GL46" s="320">
        <f>SUM(G46:FP46)/(GL45-(SUM(G46:FP46)))</f>
        <v>5.7142857142857141E-2</v>
      </c>
      <c r="GM46" s="132"/>
    </row>
    <row r="47" spans="1:195" s="187" customFormat="1" ht="28.35" customHeight="1" x14ac:dyDescent="0.25">
      <c r="A47" s="135" t="s">
        <v>227</v>
      </c>
      <c r="B47" s="135" t="s">
        <v>601</v>
      </c>
      <c r="C47" s="135" t="s">
        <v>766</v>
      </c>
      <c r="D47" s="135">
        <v>137</v>
      </c>
      <c r="E47" s="565" t="s">
        <v>240</v>
      </c>
      <c r="F47" s="307" t="s">
        <v>165</v>
      </c>
      <c r="G47" s="308">
        <v>2</v>
      </c>
      <c r="H47" s="308">
        <v>2</v>
      </c>
      <c r="I47" s="308">
        <v>3</v>
      </c>
      <c r="J47" s="308">
        <v>2</v>
      </c>
      <c r="K47" s="308">
        <v>2</v>
      </c>
      <c r="L47" s="308">
        <v>2</v>
      </c>
      <c r="M47" s="308">
        <v>1</v>
      </c>
      <c r="N47" s="308">
        <v>1</v>
      </c>
      <c r="O47" s="308">
        <v>3</v>
      </c>
      <c r="P47" s="308">
        <v>3</v>
      </c>
      <c r="Q47" s="308">
        <v>2</v>
      </c>
      <c r="R47" s="308">
        <v>2</v>
      </c>
      <c r="S47" s="308">
        <v>2</v>
      </c>
      <c r="T47" s="308">
        <v>3</v>
      </c>
      <c r="U47" s="308">
        <v>3</v>
      </c>
      <c r="V47" s="308">
        <v>3</v>
      </c>
      <c r="W47" s="308">
        <v>3</v>
      </c>
      <c r="X47" s="308">
        <v>3</v>
      </c>
      <c r="Y47" s="308">
        <v>3</v>
      </c>
      <c r="Z47" s="308">
        <v>3</v>
      </c>
      <c r="AA47" s="308">
        <v>3</v>
      </c>
      <c r="AB47" s="308">
        <v>3</v>
      </c>
      <c r="AC47" s="308">
        <v>2</v>
      </c>
      <c r="AD47" s="308">
        <v>2</v>
      </c>
      <c r="AE47" s="308">
        <v>2</v>
      </c>
      <c r="AF47" s="308">
        <v>2</v>
      </c>
      <c r="AG47" s="308">
        <v>1</v>
      </c>
      <c r="AH47" s="308">
        <v>1</v>
      </c>
      <c r="AI47" s="308">
        <v>2</v>
      </c>
      <c r="AJ47" s="308">
        <v>2</v>
      </c>
      <c r="AK47" s="308">
        <v>2</v>
      </c>
      <c r="AL47" s="308">
        <v>3</v>
      </c>
      <c r="AM47" s="308">
        <v>1</v>
      </c>
      <c r="AN47" s="308">
        <v>1</v>
      </c>
      <c r="AO47" s="308">
        <v>1</v>
      </c>
      <c r="AP47" s="308" t="s">
        <v>176</v>
      </c>
      <c r="AQ47" s="308">
        <v>2</v>
      </c>
      <c r="AR47" s="308" t="s">
        <v>176</v>
      </c>
      <c r="AS47" s="308" t="s">
        <v>176</v>
      </c>
      <c r="AT47" s="308" t="s">
        <v>176</v>
      </c>
      <c r="AU47" s="308">
        <v>1</v>
      </c>
      <c r="AV47" s="308">
        <v>3</v>
      </c>
      <c r="AW47" s="308">
        <v>3</v>
      </c>
      <c r="AX47" s="308">
        <v>3</v>
      </c>
      <c r="AY47" s="308">
        <v>1</v>
      </c>
      <c r="AZ47" s="308">
        <v>3</v>
      </c>
      <c r="BA47" s="308">
        <v>3</v>
      </c>
      <c r="BB47" s="308">
        <v>3</v>
      </c>
      <c r="BC47" s="308">
        <v>1</v>
      </c>
      <c r="BD47" s="308">
        <v>1</v>
      </c>
      <c r="BE47" s="308">
        <v>3</v>
      </c>
      <c r="BF47" s="308" t="s">
        <v>176</v>
      </c>
      <c r="BG47" s="308" t="s">
        <v>176</v>
      </c>
      <c r="BH47" s="308" t="s">
        <v>176</v>
      </c>
      <c r="BI47" s="308" t="s">
        <v>176</v>
      </c>
      <c r="BJ47" s="308" t="s">
        <v>176</v>
      </c>
      <c r="BK47" s="308" t="s">
        <v>176</v>
      </c>
      <c r="BL47" s="308" t="s">
        <v>176</v>
      </c>
      <c r="BM47" s="308">
        <v>3</v>
      </c>
      <c r="BN47" s="308">
        <v>2</v>
      </c>
      <c r="BO47" s="308">
        <v>2</v>
      </c>
      <c r="BP47" s="308">
        <v>2</v>
      </c>
      <c r="BQ47" s="308">
        <v>2</v>
      </c>
      <c r="BR47" s="308">
        <v>2</v>
      </c>
      <c r="BS47" s="308">
        <v>2</v>
      </c>
      <c r="BT47" s="308">
        <v>2</v>
      </c>
      <c r="BU47" s="308">
        <v>2</v>
      </c>
      <c r="BV47" s="308">
        <v>2</v>
      </c>
      <c r="BW47" s="308" t="s">
        <v>176</v>
      </c>
      <c r="BX47" s="308" t="s">
        <v>176</v>
      </c>
      <c r="BY47" s="308" t="s">
        <v>176</v>
      </c>
      <c r="BZ47" s="308" t="s">
        <v>176</v>
      </c>
      <c r="CA47" s="308" t="s">
        <v>176</v>
      </c>
      <c r="CB47" s="308" t="s">
        <v>176</v>
      </c>
      <c r="CC47" s="308" t="s">
        <v>176</v>
      </c>
      <c r="CD47" s="308" t="s">
        <v>176</v>
      </c>
      <c r="CE47" s="308" t="s">
        <v>176</v>
      </c>
      <c r="CF47" s="308" t="s">
        <v>176</v>
      </c>
      <c r="CG47" s="308">
        <v>2</v>
      </c>
      <c r="CH47" s="308" t="s">
        <v>176</v>
      </c>
      <c r="CI47" s="308">
        <v>2</v>
      </c>
      <c r="CJ47" s="308">
        <v>2</v>
      </c>
      <c r="CK47" s="308" t="s">
        <v>176</v>
      </c>
      <c r="CL47" s="308" t="s">
        <v>176</v>
      </c>
      <c r="CM47" s="308">
        <v>1</v>
      </c>
      <c r="CN47" s="308">
        <v>2</v>
      </c>
      <c r="CO47" s="308">
        <v>2</v>
      </c>
      <c r="CP47" s="308">
        <v>2</v>
      </c>
      <c r="CQ47" s="308">
        <v>1</v>
      </c>
      <c r="CR47" s="308">
        <v>1</v>
      </c>
      <c r="CS47" s="308" t="s">
        <v>176</v>
      </c>
      <c r="CT47" s="308">
        <v>1</v>
      </c>
      <c r="CU47" s="308">
        <v>2</v>
      </c>
      <c r="CV47" s="308" t="s">
        <v>176</v>
      </c>
      <c r="CW47" s="308" t="s">
        <v>176</v>
      </c>
      <c r="CX47" s="308" t="s">
        <v>176</v>
      </c>
      <c r="CY47" s="308" t="s">
        <v>176</v>
      </c>
      <c r="CZ47" s="308" t="s">
        <v>176</v>
      </c>
      <c r="DA47" s="308" t="s">
        <v>176</v>
      </c>
      <c r="DB47" s="308" t="s">
        <v>176</v>
      </c>
      <c r="DC47" s="308" t="s">
        <v>176</v>
      </c>
      <c r="DD47" s="308" t="s">
        <v>176</v>
      </c>
      <c r="DE47" s="308" t="s">
        <v>176</v>
      </c>
      <c r="DF47" s="308" t="s">
        <v>176</v>
      </c>
      <c r="DG47" s="308" t="s">
        <v>176</v>
      </c>
      <c r="DH47" s="308" t="s">
        <v>176</v>
      </c>
      <c r="DI47" s="308" t="s">
        <v>176</v>
      </c>
      <c r="DJ47" s="308" t="s">
        <v>176</v>
      </c>
      <c r="DK47" s="308" t="s">
        <v>176</v>
      </c>
      <c r="DL47" s="308" t="s">
        <v>176</v>
      </c>
      <c r="DM47" s="308" t="s">
        <v>176</v>
      </c>
      <c r="DN47" s="308" t="s">
        <v>176</v>
      </c>
      <c r="DO47" s="308" t="s">
        <v>176</v>
      </c>
      <c r="DP47" s="308" t="s">
        <v>176</v>
      </c>
      <c r="DQ47" s="308" t="s">
        <v>176</v>
      </c>
      <c r="DR47" s="308" t="s">
        <v>176</v>
      </c>
      <c r="DS47" s="308" t="s">
        <v>176</v>
      </c>
      <c r="DT47" s="308" t="s">
        <v>176</v>
      </c>
      <c r="DU47" s="308" t="s">
        <v>176</v>
      </c>
      <c r="DV47" s="308" t="s">
        <v>176</v>
      </c>
      <c r="DW47" s="308" t="s">
        <v>176</v>
      </c>
      <c r="DX47" s="308" t="s">
        <v>176</v>
      </c>
      <c r="DY47" s="308" t="s">
        <v>176</v>
      </c>
      <c r="DZ47" s="308" t="s">
        <v>176</v>
      </c>
      <c r="EA47" s="308" t="s">
        <v>176</v>
      </c>
      <c r="EB47" s="308" t="s">
        <v>176</v>
      </c>
      <c r="EC47" s="308" t="s">
        <v>176</v>
      </c>
      <c r="ED47" s="308" t="s">
        <v>176</v>
      </c>
      <c r="EE47" s="308" t="s">
        <v>176</v>
      </c>
      <c r="EF47" s="308" t="s">
        <v>176</v>
      </c>
      <c r="EG47" s="308" t="s">
        <v>176</v>
      </c>
      <c r="EH47" s="308" t="s">
        <v>176</v>
      </c>
      <c r="EI47" s="308" t="s">
        <v>176</v>
      </c>
      <c r="EJ47" s="308" t="s">
        <v>176</v>
      </c>
      <c r="EK47" s="308" t="s">
        <v>176</v>
      </c>
      <c r="EL47" s="308" t="s">
        <v>176</v>
      </c>
      <c r="EM47" s="308" t="s">
        <v>176</v>
      </c>
      <c r="EN47" s="308" t="s">
        <v>176</v>
      </c>
      <c r="EO47" s="308" t="s">
        <v>176</v>
      </c>
      <c r="EP47" s="308" t="s">
        <v>176</v>
      </c>
      <c r="EQ47" s="308" t="s">
        <v>176</v>
      </c>
      <c r="ER47" s="308" t="s">
        <v>176</v>
      </c>
      <c r="ES47" s="308" t="s">
        <v>176</v>
      </c>
      <c r="ET47" s="308" t="s">
        <v>176</v>
      </c>
      <c r="EU47" s="308" t="s">
        <v>176</v>
      </c>
      <c r="EV47" s="308" t="s">
        <v>176</v>
      </c>
      <c r="EW47" s="308" t="s">
        <v>176</v>
      </c>
      <c r="EX47" s="308" t="s">
        <v>176</v>
      </c>
      <c r="EY47" s="308">
        <v>2</v>
      </c>
      <c r="EZ47" s="308">
        <v>2</v>
      </c>
      <c r="FA47" s="308">
        <v>2</v>
      </c>
      <c r="FB47" s="308">
        <v>1</v>
      </c>
      <c r="FC47" s="308">
        <v>2</v>
      </c>
      <c r="FD47" s="308">
        <v>2</v>
      </c>
      <c r="FE47" s="308">
        <v>3</v>
      </c>
      <c r="FF47" s="308">
        <v>2</v>
      </c>
      <c r="FG47" s="308">
        <v>3</v>
      </c>
      <c r="FH47" s="308">
        <v>3</v>
      </c>
      <c r="FI47" s="308">
        <v>3</v>
      </c>
      <c r="FJ47" s="308">
        <v>3</v>
      </c>
      <c r="FK47" s="308">
        <v>3</v>
      </c>
      <c r="FL47" s="308">
        <v>3</v>
      </c>
      <c r="FM47" s="308">
        <v>3</v>
      </c>
      <c r="FN47" s="308">
        <v>3</v>
      </c>
      <c r="FO47" s="308">
        <v>3</v>
      </c>
      <c r="FP47" s="308">
        <v>3</v>
      </c>
      <c r="FQ47" s="308" t="s">
        <v>176</v>
      </c>
      <c r="FR47" s="308" t="s">
        <v>176</v>
      </c>
      <c r="FS47" s="308" t="s">
        <v>387</v>
      </c>
      <c r="FT47" s="308" t="s">
        <v>176</v>
      </c>
      <c r="FU47" s="308" t="s">
        <v>176</v>
      </c>
      <c r="FV47" s="308" t="s">
        <v>176</v>
      </c>
      <c r="FW47" s="308" t="s">
        <v>176</v>
      </c>
      <c r="FX47" s="308" t="s">
        <v>176</v>
      </c>
      <c r="FY47" s="308" t="s">
        <v>176</v>
      </c>
      <c r="FZ47" s="308" t="s">
        <v>176</v>
      </c>
      <c r="GA47" s="308" t="s">
        <v>176</v>
      </c>
      <c r="GB47" s="308" t="s">
        <v>176</v>
      </c>
      <c r="GC47" s="308" t="s">
        <v>176</v>
      </c>
      <c r="GD47" s="308" t="s">
        <v>176</v>
      </c>
      <c r="GE47" s="308" t="s">
        <v>176</v>
      </c>
      <c r="GF47" s="308" t="s">
        <v>176</v>
      </c>
      <c r="GG47" s="308" t="s">
        <v>176</v>
      </c>
      <c r="GH47" s="308" t="s">
        <v>176</v>
      </c>
      <c r="GI47" s="308" t="s">
        <v>176</v>
      </c>
      <c r="GJ47" s="308" t="s">
        <v>176</v>
      </c>
      <c r="GK47" s="308" t="s">
        <v>176</v>
      </c>
      <c r="GL47" s="311">
        <f>SUM(G47:FP47)</f>
        <v>188</v>
      </c>
      <c r="GM47" s="132"/>
    </row>
    <row r="48" spans="1:195" s="187" customFormat="1" ht="28.35" customHeight="1" thickBot="1" x14ac:dyDescent="0.3">
      <c r="A48" s="138" t="str">
        <f>A47</f>
        <v>Management / zarządzanie</v>
      </c>
      <c r="B48" s="138" t="str">
        <f>B47</f>
        <v>Dyrektor Administracyjny</v>
      </c>
      <c r="C48" s="138" t="s">
        <v>766</v>
      </c>
      <c r="D48" s="138">
        <f>D47</f>
        <v>137</v>
      </c>
      <c r="E48" s="566" t="str">
        <f>E47</f>
        <v>Górska Mariola</v>
      </c>
      <c r="F48" s="312" t="s">
        <v>166</v>
      </c>
      <c r="G48" s="313">
        <f>IF(INDEX(tab_MinKomp[Przepisy BHP / BHP Vorschriften],MATCH($B47,tab_MinKomp[[Stanowisko / Position ]:[Stanowisko / Position ]],0))="n/a","n/a",G47-INDEX(tab_MinKomp[Przepisy BHP / BHP Vorschriften],MATCH($B47,tab_MinKomp[[Stanowisko / Position ]:[Stanowisko / Position ]],0)))</f>
        <v>0</v>
      </c>
      <c r="H48" s="313">
        <f>IF(INDEX(tab_MinKomp[Przepisy PPOŻ / Brandschutzbestimmungen],MATCH($B47,tab_MinKomp[[Stanowisko / Position ]:[Stanowisko / Position ]],0))="n/a","n/a",H47-INDEX(tab_MinKomp[Przepisy PPOŻ / Brandschutzbestimmungen],MATCH($B47,tab_MinKomp[[Stanowisko / Position ]:[Stanowisko / Position ]],0)))</f>
        <v>0</v>
      </c>
      <c r="I48" s="314">
        <f>IF(INDEX(tab_MinKomp[Ryzyko zawodowe na stanowiskach pracyv/ Berufliche Risiken an Arbeitsstellen],MATCH($B47,tab_MinKomp[[Stanowisko / Position ]:[Stanowisko / Position ]],0))="n/a","n/a",I47-INDEX(tab_MinKomp[Ryzyko zawodowe na stanowiskach pracyv/ Berufliche Risiken an Arbeitsstellen],MATCH($B47,tab_MinKomp[[Stanowisko / Position ]:[Stanowisko / Position ]],0)))</f>
        <v>0</v>
      </c>
      <c r="J48" s="314">
        <f>IF(INDEX(tab_MinKomp[Gospodarka substancjami niebezpiecznymi / Gefahrstoffmanagement],MATCH($B47,tab_MinKomp[[Stanowisko / Position ]:[Stanowisko / Position ]],0))="n/a","n/a",J47-INDEX(tab_MinKomp[Gospodarka substancjami niebezpiecznymi / Gefahrstoffmanagement],MATCH($B47,tab_MinKomp[[Stanowisko / Position ]:[Stanowisko / Position ]],0)))</f>
        <v>0</v>
      </c>
      <c r="K48" s="314">
        <f>IF(INDEX(tab_MinKomp[Gospodarka odpadami / Abfallwirtschaft],MATCH($B47,tab_MinKomp[[Stanowisko / Position ]:[Stanowisko / Position ]],0))="n/a","n/a",K47-INDEX(tab_MinKomp[Gospodarka odpadami / Abfallwirtschaft],MATCH($B47,tab_MinKomp[[Stanowisko / Position ]:[Stanowisko / Position ]],0)))</f>
        <v>0</v>
      </c>
      <c r="L48" s="315">
        <f>IF(INDEX(tab_MinKomp[Przepisy kodeksu pracy / Bestimmungen des Arbeitsgesetzes],MATCH($B47,tab_MinKomp[[Stanowisko / Position ]:[Stanowisko / Position ]],0))="n/a","n/a",L47-INDEX(tab_MinKomp[Przepisy kodeksu pracy / Bestimmungen des Arbeitsgesetzes],MATCH($B47,tab_MinKomp[[Stanowisko / Position ]:[Stanowisko / Position ]],0)))</f>
        <v>0</v>
      </c>
      <c r="M48" s="316">
        <f>IF(INDEX(tab_MinKomp[Przepisy o ub.społ. ZUS  / Sozialversicherungsvorschriften],MATCH($B47,tab_MinKomp[[Stanowisko / Position ]:[Stanowisko / Position ]],0))="n/a","n/a",M47-INDEX(tab_MinKomp[Przepisy o ub.społ. ZUS  / Sozialversicherungsvorschriften],MATCH($B47,tab_MinKomp[[Stanowisko / Position ]:[Stanowisko / Position ]],0)))</f>
        <v>0</v>
      </c>
      <c r="N48" s="315">
        <f>IF(INDEX(tab_MinKomp[PRZEPISY O PDOF /persönlich Einkommensteuergesetz ],MATCH($B47,tab_MinKomp[[Stanowisko / Position ]:[Stanowisko / Position ]],0))="n/a","n/a",N47-INDEX(tab_MinKomp[PRZEPISY O PDOF /persönlich Einkommensteuergesetz ],MATCH($B47,tab_MinKomp[[Stanowisko / Position ]:[Stanowisko / Position ]],0)))</f>
        <v>0</v>
      </c>
      <c r="O48" s="315">
        <f>IF(INDEX(tab_MinKomp[Regulamin pracy / Arbeitsordnung],MATCH($B47,tab_MinKomp[[Stanowisko / Position ]:[Stanowisko / Position ]],0))="n/a","n/a",O47-INDEX(tab_MinKomp[Regulamin pracy / Arbeitsordnung],MATCH($B47,tab_MinKomp[[Stanowisko / Position ]:[Stanowisko / Position ]],0)))</f>
        <v>0</v>
      </c>
      <c r="P48" s="315">
        <f>IF(INDEX(tab_MinKomp[Regulamin wynagradzania / Vergütungsordnung],MATCH($B47,tab_MinKomp[[Stanowisko / Position ]:[Stanowisko / Position ]],0))="n/a","n/a",P47-INDEX(tab_MinKomp[Regulamin wynagradzania / Vergütungsordnung],MATCH($B47,tab_MinKomp[[Stanowisko / Position ]:[Stanowisko / Position ]],0)))</f>
        <v>0</v>
      </c>
      <c r="Q48" s="315">
        <f>IF(INDEX(tab_MinKomp[System R2PŁATNIK PRO: Płace / Lohnabrechnung],MATCH($B47,tab_MinKomp[[Stanowisko / Position ]:[Stanowisko / Position ]],0))="n/a","n/a",Q47-INDEX(tab_MinKomp[System R2PŁATNIK PRO: Płace / Lohnabrechnung],MATCH($B47,tab_MinKomp[[Stanowisko / Position ]:[Stanowisko / Position ]],0)))</f>
        <v>0</v>
      </c>
      <c r="R48" s="315">
        <f>IF(INDEX(tab_MinKomp[SystemR2PŁATNIK PRO: KADRY / Personaldaten],MATCH($B47,tab_MinKomp[[Stanowisko / Position ]:[Stanowisko / Position ]],0))="n/a","n/a",R47-INDEX(tab_MinKomp[SystemR2PŁATNIK PRO: KADRY / Personaldaten],MATCH($B47,tab_MinKomp[[Stanowisko / Position ]:[Stanowisko / Position ]],0)))</f>
        <v>0</v>
      </c>
      <c r="S48" s="315">
        <f>IF(INDEX(tab_MinKomp[SYSTEM R2PŁATNIK PRO: zarządzanie pracownikami / Arbeitsverwaltung],MATCH($B47,tab_MinKomp[[Stanowisko / Position ]:[Stanowisko / Position ]],0))="n/a","n/a",S47-INDEX(tab_MinKomp[SYSTEM R2PŁATNIK PRO: zarządzanie pracownikami / Arbeitsverwaltung],MATCH($B47,tab_MinKomp[[Stanowisko / Position ]:[Stanowisko / Position ]],0)))</f>
        <v>0</v>
      </c>
      <c r="T48" s="315">
        <f>IF(INDEX(tab_MinKomp[Doradztwo, wsparcie personalne / Personalberatung und Unterstützung],MATCH($B47,tab_MinKomp[[Stanowisko / Position ]:[Stanowisko / Position ]],0))="n/a","n/a",T47-INDEX(tab_MinKomp[Doradztwo, wsparcie personalne / Personalberatung und Unterstützung],MATCH($B47,tab_MinKomp[[Stanowisko / Position ]:[Stanowisko / Position ]],0)))</f>
        <v>0</v>
      </c>
      <c r="U48" s="315">
        <f>IF(INDEX(tab_MinKomp[Przepisy o podatku VAT / MwSt.- Gesetz],MATCH($B47,tab_MinKomp[[Stanowisko / Position ]:[Stanowisko / Position ]],0))="n/a","n/a",U47-INDEX(tab_MinKomp[Przepisy o podatku VAT / MwSt.- Gesetz],MATCH($B47,tab_MinKomp[[Stanowisko / Position ]:[Stanowisko / Position ]],0)))</f>
        <v>0</v>
      </c>
      <c r="V48" s="315">
        <f>IF(INDEX(tab_MinKomp[PrzepisyPDOP / geschäftlich Einkommensteuergesetz],MATCH($B47,tab_MinKomp[[Stanowisko / Position ]:[Stanowisko / Position ]],0))="n/a","n/a",V47-INDEX(tab_MinKomp[PrzepisyPDOP / geschäftlich Einkommensteuergesetz],MATCH($B47,tab_MinKomp[[Stanowisko / Position ]:[Stanowisko / Position ]],0)))</f>
        <v>0</v>
      </c>
      <c r="W48" s="315">
        <f>IF(INDEX(tab_MinKomp[System BAAN / FINANSE (FIBU)],MATCH($B47,tab_MinKomp[[Stanowisko / Position ]:[Stanowisko / Position ]],0))="n/a","n/a",W47-INDEX(tab_MinKomp[System BAAN / FINANSE (FIBU)],MATCH($B47,tab_MinKomp[[Stanowisko / Position ]:[Stanowisko / Position ]],0)))</f>
        <v>0</v>
      </c>
      <c r="X48" s="315">
        <f>IF(INDEX(tab_MinKomp[Systemy pomocnicze / Hilfssysteme(STOCKPROGRAM, KALK2000 etc.)],MATCH($B47,tab_MinKomp[[Stanowisko / Position ]:[Stanowisko / Position ]],0))="n/a","n/a",X47-INDEX(tab_MinKomp[Systemy pomocnicze / Hilfssysteme(STOCKPROGRAM, KALK2000 etc.)],MATCH($B47,tab_MinKomp[[Stanowisko / Position ]:[Stanowisko / Position ]],0)))</f>
        <v>0</v>
      </c>
      <c r="Y48" s="315">
        <f>IF(INDEX(tab_MinKomp[Polityka rachunkowości / Buchführungspolitik],MATCH($B47,tab_MinKomp[[Stanowisko / Position ]:[Stanowisko / Position ]],0))="n/a","n/a",Y47-INDEX(tab_MinKomp[Polityka rachunkowości / Buchführungspolitik],MATCH($B47,tab_MinKomp[[Stanowisko / Position ]:[Stanowisko / Position ]],0)))</f>
        <v>0</v>
      </c>
      <c r="Z48" s="315">
        <f>IF(INDEX(tab_MinKomp[Ustawa o rachunkowości / Rechnungslegungsgesetz],MATCH($B47,tab_MinKomp[[Stanowisko / Position ]:[Stanowisko / Position ]],0))="n/a","n/a",Z47-INDEX(tab_MinKomp[Ustawa o rachunkowości / Rechnungslegungsgesetz],MATCH($B47,tab_MinKomp[[Stanowisko / Position ]:[Stanowisko / Position ]],0)))</f>
        <v>0</v>
      </c>
      <c r="AA48" s="315">
        <f>IF(INDEX(tab_MinKomp[WORKFLOW - TS-100],MATCH($B47,tab_MinKomp[[Stanowisko / Position ]:[Stanowisko / Position ]],0))="n/a","n/a",AA47-INDEX(tab_MinKomp[WORKFLOW - TS-100],MATCH($B47,tab_MinKomp[[Stanowisko / Position ]:[Stanowisko / Position ]],0)))</f>
        <v>0</v>
      </c>
      <c r="AB48" s="315">
        <f>IF(INDEX(tab_MinKomp[WORKFLOW - SFMS],MATCH($B47,tab_MinKomp[[Stanowisko / Position ]:[Stanowisko / Position ]],0))="n/a","n/a",AB47-INDEX(tab_MinKomp[WORKFLOW - SFMS],MATCH($B47,tab_MinKomp[[Stanowisko / Position ]:[Stanowisko / Position ]],0)))</f>
        <v>0</v>
      </c>
      <c r="AC48" s="315">
        <f>IF(INDEX(tab_MinKomp[System ISO 9001:2015],MATCH($B47,tab_MinKomp[[Stanowisko / Position ]:[Stanowisko / Position ]],0))="n/a","n/a",AC47-INDEX(tab_MinKomp[System ISO 9001:2015],MATCH($B47,tab_MinKomp[[Stanowisko / Position ]:[Stanowisko / Position ]],0)))</f>
        <v>0</v>
      </c>
      <c r="AD48" s="315">
        <f>IF(INDEX(tab_MinKomp[System IATF 16949:2016],MATCH($B47,tab_MinKomp[[Stanowisko / Position ]:[Stanowisko / Position ]],0))="n/a","n/a",AD47-INDEX(tab_MinKomp[System IATF 16949:2016],MATCH($B47,tab_MinKomp[[Stanowisko / Position ]:[Stanowisko / Position ]],0)))</f>
        <v>0</v>
      </c>
      <c r="AE48" s="315">
        <f>IF(INDEX(tab_MinKomp[System ISO 14001:2015],MATCH($B47,tab_MinKomp[[Stanowisko / Position ]:[Stanowisko / Position ]],0))="n/a","n/a",AE47-INDEX(tab_MinKomp[System ISO 14001:2015],MATCH($B47,tab_MinKomp[[Stanowisko / Position ]:[Stanowisko / Position ]],0)))</f>
        <v>0</v>
      </c>
      <c r="AF48" s="315">
        <f>IF(INDEX(tab_MinKomp[System PN-N 18001:2004 / ISO 45001:2018],MATCH($B47,tab_MinKomp[[Stanowisko / Position ]:[Stanowisko / Position ]],0))="n/a","n/a",AF47-INDEX(tab_MinKomp[System PN-N 18001:2004 / ISO 45001:2018],MATCH($B47,tab_MinKomp[[Stanowisko / Position ]:[Stanowisko / Position ]],0)))</f>
        <v>0</v>
      </c>
      <c r="AG48" s="315">
        <f>IF(INDEX(tab_MinKomp[Wymagania VDA 6.3 Process / Forderungen],MATCH($B47,tab_MinKomp[[Stanowisko / Position ]:[Stanowisko / Position ]],0))="n/a","n/a",AG47-INDEX(tab_MinKomp[Wymagania VDA 6.3 Process / Forderungen],MATCH($B47,tab_MinKomp[[Stanowisko / Position ]:[Stanowisko / Position ]],0)))</f>
        <v>0</v>
      </c>
      <c r="AH48" s="315">
        <f>IF(INDEX(tab_MinKomp[Wymagania VDA 6.5 Product / Forderungen],MATCH($B47,tab_MinKomp[[Stanowisko / Position ]:[Stanowisko / Position ]],0))="n/a","n/a",AH47-INDEX(tab_MinKomp[Wymagania VDA 6.5 Product / Forderungen],MATCH($B47,tab_MinKomp[[Stanowisko / Position ]:[Stanowisko / Position ]],0)))</f>
        <v>0</v>
      </c>
      <c r="AI48" s="315">
        <f>IF(INDEX(tab_MinKomp[PSCR (VW Product Safety &amp; Conformity Representative)],MATCH($B47,tab_MinKomp[[Stanowisko / Position ]:[Stanowisko / Position ]],0))="n/a","n/a",AI47-INDEX(tab_MinKomp[PSCR (VW Product Safety &amp; Conformity Representative)],MATCH($B47,tab_MinKomp[[Stanowisko / Position ]:[Stanowisko / Position ]],0)))</f>
        <v>0</v>
      </c>
      <c r="AJ48" s="315">
        <f>IF(INDEX(tab_MinKomp[Auditor systemu ISO 17025:2018],MATCH($B47,tab_MinKomp[[Stanowisko / Position ]:[Stanowisko / Position ]],0))="n/a","n/a",AJ47-INDEX(tab_MinKomp[Auditor systemu ISO 17025:2018],MATCH($B47,tab_MinKomp[[Stanowisko / Position ]:[Stanowisko / Position ]],0)))</f>
        <v>0</v>
      </c>
      <c r="AK48" s="315">
        <f>IF(INDEX(tab_MinKomp[Pełnomocnik systemu / Systemvertreter],MATCH($B47,tab_MinKomp[[Stanowisko / Position ]:[Stanowisko / Position ]],0))="n/a","n/a",AK47-INDEX(tab_MinKomp[Pełnomocnik systemu / Systemvertreter],MATCH($B47,tab_MinKomp[[Stanowisko / Position ]:[Stanowisko / Position ]],0)))</f>
        <v>0</v>
      </c>
      <c r="AL48" s="315">
        <f>IF(INDEX(tab_MinKomp[Polityka Etyczna - Compliance],MATCH($B47,tab_MinKomp[[Stanowisko / Position ]:[Stanowisko / Position ]],0))="n/a","n/a",AL47-INDEX(tab_MinKomp[Polityka Etyczna - Compliance],MATCH($B47,tab_MinKomp[[Stanowisko / Position ]:[Stanowisko / Position ]],0)))</f>
        <v>0</v>
      </c>
      <c r="AM48" s="315">
        <f>IF(INDEX(tab_MinKomp[WDRAŻANIE NOWYCH PROJEKTÓW/ PROCEDURA CTM],MATCH($B47,tab_MinKomp[[Stanowisko / Position ]:[Stanowisko / Position ]],0))="n/a","n/a",AM47-INDEX(tab_MinKomp[WDRAŻANIE NOWYCH PROJEKTÓW/ PROCEDURA CTM],MATCH($B47,tab_MinKomp[[Stanowisko / Position ]:[Stanowisko / Position ]],0)))</f>
        <v>0</v>
      </c>
      <c r="AN48" s="315">
        <f>IF(INDEX(tab_MinKomp[KAMIENIE MILOWE MSL/PIFF],MATCH($B47,tab_MinKomp[[Stanowisko / Position ]:[Stanowisko / Position ]],0))="n/a","n/a",AN47-INDEX(tab_MinKomp[KAMIENIE MILOWE MSL/PIFF],MATCH($B47,tab_MinKomp[[Stanowisko / Position ]:[Stanowisko / Position ]],0)))</f>
        <v>0</v>
      </c>
      <c r="AO48" s="315">
        <f>IF(INDEX(tab_MinKomp[CP],MATCH($B47,tab_MinKomp[[Stanowisko / Position ]:[Stanowisko / Position ]],0))="n/a","n/a",AO47-INDEX(tab_MinKomp[CP],MATCH($B47,tab_MinKomp[[Stanowisko / Position ]:[Stanowisko / Position ]],0)))</f>
        <v>0</v>
      </c>
      <c r="AP48" s="315" t="str">
        <f>IF(INDEX(tab_MinKomp[FMEA],MATCH($B47,tab_MinKomp[[Stanowisko / Position ]:[Stanowisko / Position ]],0))="n/a","n/a",AP47-INDEX(tab_MinKomp[FMEA],MATCH($B47,tab_MinKomp[[Stanowisko / Position ]:[Stanowisko / Position ]],0)))</f>
        <v>n/a</v>
      </c>
      <c r="AQ48" s="315">
        <f>IF(INDEX(tab_MinKomp[FLOW CHART],MATCH($B47,tab_MinKomp[[Stanowisko / Position ]:[Stanowisko / Position ]],0))="n/a","n/a",AQ47-INDEX(tab_MinKomp[FLOW CHART],MATCH($B47,tab_MinKomp[[Stanowisko / Position ]:[Stanowisko / Position ]],0)))</f>
        <v>0</v>
      </c>
      <c r="AR48" s="315" t="str">
        <f>IF(INDEX(tab_MinKomp[APQP],MATCH($B47,tab_MinKomp[[Stanowisko / Position ]:[Stanowisko / Position ]],0))="n/a","n/a",AR47-INDEX(tab_MinKomp[APQP],MATCH($B47,tab_MinKomp[[Stanowisko / Position ]:[Stanowisko / Position ]],0)))</f>
        <v>n/a</v>
      </c>
      <c r="AS48" s="315" t="str">
        <f>IF(INDEX(tab_MinKomp[MSA],MATCH($B47,tab_MinKomp[[Stanowisko / Position ]:[Stanowisko / Position ]],0))="n/a","n/a",AS47-INDEX(tab_MinKomp[MSA],MATCH($B47,tab_MinKomp[[Stanowisko / Position ]:[Stanowisko / Position ]],0)))</f>
        <v>n/a</v>
      </c>
      <c r="AT48" s="315" t="str">
        <f>IF(INDEX(tab_MinKomp[SPC],MATCH($B47,tab_MinKomp[[Stanowisko / Position ]:[Stanowisko / Position ]],0))="n/a","n/a",AT47-INDEX(tab_MinKomp[SPC],MATCH($B47,tab_MinKomp[[Stanowisko / Position ]:[Stanowisko / Position ]],0)))</f>
        <v>n/a</v>
      </c>
      <c r="AU48" s="315">
        <f>IF(INDEX(tab_MinKomp[CSR (SPECYFICZNE WYMAGANIA KLIENTA)],MATCH($B47,tab_MinKomp[[Stanowisko / Position ]:[Stanowisko / Position ]],0))="n/a","n/a",AU47-INDEX(tab_MinKomp[CSR (SPECYFICZNE WYMAGANIA KLIENTA)],MATCH($B47,tab_MinKomp[[Stanowisko / Position ]:[Stanowisko / Position ]],0)))</f>
        <v>0</v>
      </c>
      <c r="AV48" s="315">
        <f>IF(INDEX(tab_MinKomp[5S],MATCH($B47,tab_MinKomp[[Stanowisko / Position ]:[Stanowisko / Position ]],0))="n/a","n/a",AV47-INDEX(tab_MinKomp[5S],MATCH($B47,tab_MinKomp[[Stanowisko / Position ]:[Stanowisko / Position ]],0)))</f>
        <v>0</v>
      </c>
      <c r="AW48" s="315">
        <f>IF(INDEX(tab_MinKomp[LEAN MANAGEMENT],MATCH($B47,tab_MinKomp[[Stanowisko / Position ]:[Stanowisko / Position ]],0))="n/a","n/a",AW47-INDEX(tab_MinKomp[LEAN MANAGEMENT],MATCH($B47,tab_MinKomp[[Stanowisko / Position ]:[Stanowisko / Position ]],0)))</f>
        <v>0</v>
      </c>
      <c r="AX48" s="315">
        <f>IF(INDEX(tab_MinKomp[5R],MATCH($B47,tab_MinKomp[[Stanowisko / Position ]:[Stanowisko / Position ]],0))="n/a","n/a",AX47-INDEX(tab_MinKomp[5R],MATCH($B47,tab_MinKomp[[Stanowisko / Position ]:[Stanowisko / Position ]],0)))</f>
        <v>0</v>
      </c>
      <c r="AY48" s="315">
        <f>IF(INDEX(tab_MinKomp[Six Sigma],MATCH($B47,tab_MinKomp[[Stanowisko / Position ]:[Stanowisko / Position ]],0))="n/a","n/a",AY47-INDEX(tab_MinKomp[Six Sigma],MATCH($B47,tab_MinKomp[[Stanowisko / Position ]:[Stanowisko / Position ]],0)))</f>
        <v>0</v>
      </c>
      <c r="AZ48" s="315">
        <f>IF(INDEX(tab_MinKomp[System BAAN / Distribution &amp; Supply Chain],MATCH($B47,tab_MinKomp[[Stanowisko / Position ]:[Stanowisko / Position ]],0))="n/a","n/a",AZ47-INDEX(tab_MinKomp[System BAAN / Distribution &amp; Supply Chain],MATCH($B47,tab_MinKomp[[Stanowisko / Position ]:[Stanowisko / Position ]],0)))</f>
        <v>0</v>
      </c>
      <c r="BA48" s="315">
        <f>IF(INDEX(tab_MinKomp[Gospodarka magazynowa / Lagerverwaltung],MATCH($B47,tab_MinKomp[[Stanowisko / Position ]:[Stanowisko / Position ]],0))="n/a","n/a",BA47-INDEX(tab_MinKomp[Gospodarka magazynowa / Lagerverwaltung],MATCH($B47,tab_MinKomp[[Stanowisko / Position ]:[Stanowisko / Position ]],0)))</f>
        <v>0</v>
      </c>
      <c r="BB48" s="315">
        <f>IF(INDEX(tab_MinKomp[Inwentaryzacja - organizacja i przebieg / Inventurprozess],MATCH($B47,tab_MinKomp[[Stanowisko / Position ]:[Stanowisko / Position ]],0))="n/a","n/a",BB47-INDEX(tab_MinKomp[Inwentaryzacja - organizacja i przebieg / Inventurprozess],MATCH($B47,tab_MinKomp[[Stanowisko / Position ]:[Stanowisko / Position ]],0)))</f>
        <v>0</v>
      </c>
      <c r="BC48" s="315">
        <f>IF(INDEX(tab_MinKomp[Organizacja dostaw / Versorgungsorganisation],MATCH($B47,tab_MinKomp[[Stanowisko / Position ]:[Stanowisko / Position ]],0))="n/a","n/a",BC47-INDEX(tab_MinKomp[Organizacja dostaw / Versorgungsorganisation],MATCH($B47,tab_MinKomp[[Stanowisko / Position ]:[Stanowisko / Position ]],0)))</f>
        <v>0</v>
      </c>
      <c r="BD48" s="315">
        <f>IF(INDEX(tab_MinKomp[Organizacja wysyłek / Organisation von Lieferungen],MATCH($B47,tab_MinKomp[[Stanowisko / Position ]:[Stanowisko / Position ]],0))="n/a","n/a",BD47-INDEX(tab_MinKomp[Organizacja wysyłek / Organisation von Lieferungen],MATCH($B47,tab_MinKomp[[Stanowisko / Position ]:[Stanowisko / Position ]],0)))</f>
        <v>0</v>
      </c>
      <c r="BE48" s="315">
        <f>IF(INDEX(tab_MinKomp[Analiza magazynowa - Program Polen.mdb / Inventuranalyse],MATCH($B47,tab_MinKomp[[Stanowisko / Position ]:[Stanowisko / Position ]],0))="n/a","n/a",BE47-INDEX(tab_MinKomp[Analiza magazynowa - Program Polen.mdb / Inventuranalyse],MATCH($B47,tab_MinKomp[[Stanowisko / Position ]:[Stanowisko / Position ]],0)))</f>
        <v>0</v>
      </c>
      <c r="BF48" s="315" t="str">
        <f>IF(INDEX(tab_MinKomp[MMOG (Materials Management Operations Guidelines)],MATCH($B47,tab_MinKomp[[Stanowisko / Position ]:[Stanowisko / Position ]],0))="n/a","n/a",BF47-INDEX(tab_MinKomp[MMOG (Materials Management Operations Guidelines)],MATCH($B47,tab_MinKomp[[Stanowisko / Position ]:[Stanowisko / Position ]],0)))</f>
        <v>n/a</v>
      </c>
      <c r="BG48" s="315" t="str">
        <f>IF(INDEX(tab_MinKomp[GPP],MATCH($B47,tab_MinKomp[[Stanowisko / Position ]:[Stanowisko / Position ]],0))="n/a","n/a",BG47-INDEX(tab_MinKomp[GPP],MATCH($B47,tab_MinKomp[[Stanowisko / Position ]:[Stanowisko / Position ]],0)))</f>
        <v>n/a</v>
      </c>
      <c r="BH48" s="315" t="str">
        <f>IF(INDEX(tab_MinKomp[AIAG (Automotive Industry Action Group)],MATCH($B47,tab_MinKomp[[Stanowisko / Position ]:[Stanowisko / Position ]],0))="n/a","n/a",BH47-INDEX(tab_MinKomp[AIAG (Automotive Industry Action Group)],MATCH($B47,tab_MinKomp[[Stanowisko / Position ]:[Stanowisko / Position ]],0)))</f>
        <v>n/a</v>
      </c>
      <c r="BI48" s="315" t="str">
        <f>IF(INDEX(tab_MinKomp[Super-G disputes],MATCH($B47,tab_MinKomp[[Stanowisko / Position ]:[Stanowisko / Position ]],0))="n/a","n/a",BI47-INDEX(tab_MinKomp[Super-G disputes],MATCH($B47,tab_MinKomp[[Stanowisko / Position ]:[Stanowisko / Position ]],0)))</f>
        <v>n/a</v>
      </c>
      <c r="BJ48" s="315" t="str">
        <f>IF(INDEX(tab_MinKomp[CMMS3/eDDL (Direct Data Link)],MATCH($B47,tab_MinKomp[[Stanowisko / Position ]:[Stanowisko / Position ]],0))="n/a","n/a",BJ47-INDEX(tab_MinKomp[CMMS3/eDDL (Direct Data Link)],MATCH($B47,tab_MinKomp[[Stanowisko / Position ]:[Stanowisko / Position ]],0)))</f>
        <v>n/a</v>
      </c>
      <c r="BK48" s="315" t="str">
        <f>IF(INDEX(tab_MinKomp[MP&amp;L (Material Planning and Logistics)],MATCH($B47,tab_MinKomp[[Stanowisko / Position ]:[Stanowisko / Position ]],0))="n/a","n/a",BK47-INDEX(tab_MinKomp[MP&amp;L (Material Planning and Logistics)],MATCH($B47,tab_MinKomp[[Stanowisko / Position ]:[Stanowisko / Position ]],0)))</f>
        <v>n/a</v>
      </c>
      <c r="BL48" s="315" t="str">
        <f>IF(INDEX(tab_MinKomp[Supplier delivery rating],MATCH($B47,tab_MinKomp[[Stanowisko / Position ]:[Stanowisko / Position ]],0))="n/a","n/a",BL47-INDEX(tab_MinKomp[Supplier delivery rating],MATCH($B47,tab_MinKomp[[Stanowisko / Position ]:[Stanowisko / Position ]],0)))</f>
        <v>n/a</v>
      </c>
      <c r="BM48" s="315">
        <f>IF(INDEX(tab_MinKomp[Planowanie produkcji / Produktionsplanung],MATCH($B47,tab_MinKomp[[Stanowisko / Position ]:[Stanowisko / Position ]],0))="n/a","n/a",BM47-INDEX(tab_MinKomp[Planowanie produkcji / Produktionsplanung],MATCH($B47,tab_MinKomp[[Stanowisko / Position ]:[Stanowisko / Position ]],0)))</f>
        <v>0</v>
      </c>
      <c r="BN48" s="315">
        <f>IF(INDEX(tab_MinKomp[Obsługa maszyn Engel / Engel Maschinenbedienung],MATCH($B47,tab_MinKomp[[Stanowisko / Position ]:[Stanowisko / Position ]],0))="n/a","n/a",BN47-INDEX(tab_MinKomp[Obsługa maszyn Engel / Engel Maschinenbedienung],MATCH($B47,tab_MinKomp[[Stanowisko / Position ]:[Stanowisko / Position ]],0)))</f>
        <v>0</v>
      </c>
      <c r="BO48" s="315">
        <f>IF(INDEX(tab_MinKomp[Obsługa maszyn Novapax / Novapax Maschinenbedienung],MATCH($B47,tab_MinKomp[[Stanowisko / Position ]:[Stanowisko / Position ]],0))="n/a","n/a",BO47-INDEX(tab_MinKomp[Obsługa maszyn Novapax / Novapax Maschinenbedienung],MATCH($B47,tab_MinKomp[[Stanowisko / Position ]:[Stanowisko / Position ]],0)))</f>
        <v>0</v>
      </c>
      <c r="BP48" s="315">
        <f>IF(INDEX(tab_MinKomp[Obsługa maszyn KVT / KVT Maschinenbedienung],MATCH($B47,tab_MinKomp[[Stanowisko / Position ]:[Stanowisko / Position ]],0))="n/a","n/a",BP47-INDEX(tab_MinKomp[Obsługa maszyn KVT / KVT Maschinenbedienung],MATCH($B47,tab_MinKomp[[Stanowisko / Position ]:[Stanowisko / Position ]],0)))</f>
        <v>0</v>
      </c>
      <c r="BQ48" s="315">
        <f>IF(INDEX(tab_MinKomp[Obsługa maszyn ASL / ASL Maschinenbedienung],MATCH($B47,tab_MinKomp[[Stanowisko / Position ]:[Stanowisko / Position ]],0))="n/a","n/a",BQ47-INDEX(tab_MinKomp[Obsługa maszyn ASL / ASL Maschinenbedienung],MATCH($B47,tab_MinKomp[[Stanowisko / Position ]:[Stanowisko / Position ]],0)))</f>
        <v>0</v>
      </c>
      <c r="BR48" s="315">
        <f>IF(INDEX(tab_MinKomp[Obsługa maszyn Branson / Branson Maschinenbedienung],MATCH($B47,tab_MinKomp[[Stanowisko / Position ]:[Stanowisko / Position ]],0))="n/a","n/a",BR47-INDEX(tab_MinKomp[Obsługa maszyn Branson / Branson Maschinenbedienung],MATCH($B47,tab_MinKomp[[Stanowisko / Position ]:[Stanowisko / Position ]],0)))</f>
        <v>0</v>
      </c>
      <c r="BS48" s="315">
        <f>IF(INDEX(tab_MinKomp[Obsługa maszyn Kamtec / Kamtec Maschinenbedienung],MATCH($B47,tab_MinKomp[[Stanowisko / Position ]:[Stanowisko / Position ]],0))="n/a","n/a",BS47-INDEX(tab_MinKomp[Obsługa maszyn Kamtec / Kamtec Maschinenbedienung],MATCH($B47,tab_MinKomp[[Stanowisko / Position ]:[Stanowisko / Position ]],0)))</f>
        <v>0</v>
      </c>
      <c r="BT48" s="315">
        <f>IF(INDEX(tab_MinKomp[Obsługa maszyn Piovan / Piovan Maschinenbedienung],MATCH($B47,tab_MinKomp[[Stanowisko / Position ]:[Stanowisko / Position ]],0))="n/a","n/a",BT47-INDEX(tab_MinKomp[Obsługa maszyn Piovan / Piovan Maschinenbedienung],MATCH($B47,tab_MinKomp[[Stanowisko / Position ]:[Stanowisko / Position ]],0)))</f>
        <v>0</v>
      </c>
      <c r="BU48" s="315">
        <f>IF(INDEX(tab_MinKomp[Obsługa maszyn REP / REP Maschinenbedienung],MATCH($B47,tab_MinKomp[[Stanowisko / Position ]:[Stanowisko / Position ]],0))="n/a","n/a",BU47-INDEX(tab_MinKomp[Obsługa maszyn REP / REP Maschinenbedienung],MATCH($B47,tab_MinKomp[[Stanowisko / Position ]:[Stanowisko / Position ]],0)))</f>
        <v>0</v>
      </c>
      <c r="BV48" s="315">
        <f>IF(INDEX(tab_MinKomp[Eliminacja awarii / Beseitigung von Ausfällen],MATCH($B47,tab_MinKomp[[Stanowisko / Position ]:[Stanowisko / Position ]],0))="n/a","n/a",BV47-INDEX(tab_MinKomp[Eliminacja awarii / Beseitigung von Ausfällen],MATCH($B47,tab_MinKomp[[Stanowisko / Position ]:[Stanowisko / Position ]],0)))</f>
        <v>0</v>
      </c>
      <c r="BW48" s="315" t="str">
        <f>IF(INDEX(tab_MinKomp[Informatyka ogólna (techniczne i systemowe) / Allgemeine IT (Technik und System)],MATCH($B47,tab_MinKomp[[Stanowisko / Position ]:[Stanowisko / Position ]],0))="n/a","n/a",BW47-INDEX(tab_MinKomp[Informatyka ogólna (techniczne i systemowe) / Allgemeine IT (Technik und System)],MATCH($B47,tab_MinKomp[[Stanowisko / Position ]:[Stanowisko / Position ]],0)))</f>
        <v>n/a</v>
      </c>
      <c r="BX48" s="315" t="str">
        <f>IF(INDEX(tab_MinKomp[Sieci komputerowe / Computernetzwerke],MATCH($B47,tab_MinKomp[[Stanowisko / Position ]:[Stanowisko / Position ]],0))="n/a","n/a",BX47-INDEX(tab_MinKomp[Sieci komputerowe / Computernetzwerke],MATCH($B47,tab_MinKomp[[Stanowisko / Position ]:[Stanowisko / Position ]],0)))</f>
        <v>n/a</v>
      </c>
      <c r="BY48" s="315" t="str">
        <f>IF(INDEX(tab_MinKomp[Hardware (komputery PC, drukarki biurowe i etykietowe, telefonia stacjonarna i mobilna) (PC, Drucker, Telefpne, Handys)],MATCH($B47,tab_MinKomp[[Stanowisko / Position ]:[Stanowisko / Position ]],0))="n/a","n/a",BY47-INDEX(tab_MinKomp[Hardware (komputery PC, drukarki biurowe i etykietowe, telefonia stacjonarna i mobilna) (PC, Drucker, Telefpne, Handys)],MATCH($B47,tab_MinKomp[[Stanowisko / Position ]:[Stanowisko / Position ]],0)))</f>
        <v>n/a</v>
      </c>
      <c r="BZ48" s="315" t="str">
        <f>IF(INDEX(tab_MinKomp[Software &amp; Systems (MS Office, MS Remote Desktop)],MATCH($B47,tab_MinKomp[[Stanowisko / Position ]:[Stanowisko / Position ]],0))="n/a","n/a",BZ47-INDEX(tab_MinKomp[Software &amp; Systems (MS Office, MS Remote Desktop)],MATCH($B47,tab_MinKomp[[Stanowisko / Position ]:[Stanowisko / Position ]],0)))</f>
        <v>n/a</v>
      </c>
      <c r="CA48" s="315" t="str">
        <f>IF(INDEX(tab_MinKomp[Programowanie obiektowe (PHP) / Objektprogrammierung],MATCH($B47,tab_MinKomp[[Stanowisko / Position ]:[Stanowisko / Position ]],0))="n/a","n/a",CA47-INDEX(tab_MinKomp[Programowanie obiektowe (PHP) / Objektprogrammierung],MATCH($B47,tab_MinKomp[[Stanowisko / Position ]:[Stanowisko / Position ]],0)))</f>
        <v>n/a</v>
      </c>
      <c r="CB48" s="315" t="str">
        <f>IF(INDEX(tab_MinKomp[Scrum],MATCH($B47,tab_MinKomp[[Stanowisko / Position ]:[Stanowisko / Position ]],0))="n/a","n/a",CB47-INDEX(tab_MinKomp[Scrum],MATCH($B47,tab_MinKomp[[Stanowisko / Position ]:[Stanowisko / Position ]],0)))</f>
        <v>n/a</v>
      </c>
      <c r="CC48" s="315" t="str">
        <f>IF(INDEX(tab_MinKomp[SQL (MySQL)],MATCH($B47,tab_MinKomp[[Stanowisko / Position ]:[Stanowisko / Position ]],0))="n/a","n/a",CC47-INDEX(tab_MinKomp[SQL (MySQL)],MATCH($B47,tab_MinKomp[[Stanowisko / Position ]:[Stanowisko / Position ]],0)))</f>
        <v>n/a</v>
      </c>
      <c r="CD48" s="315" t="str">
        <f>IF(INDEX(tab_MinKomp[Javascript],MATCH($B47,tab_MinKomp[[Stanowisko / Position ]:[Stanowisko / Position ]],0))="n/a","n/a",CD47-INDEX(tab_MinKomp[Javascript],MATCH($B47,tab_MinKomp[[Stanowisko / Position ]:[Stanowisko / Position ]],0)))</f>
        <v>n/a</v>
      </c>
      <c r="CE48" s="315" t="str">
        <f>IF(INDEX(tab_MinKomp[Joomla],MATCH($B47,tab_MinKomp[[Stanowisko / Position ]:[Stanowisko / Position ]],0))="n/a","n/a",CE47-INDEX(tab_MinKomp[Joomla],MATCH($B47,tab_MinKomp[[Stanowisko / Position ]:[Stanowisko / Position ]],0)))</f>
        <v>n/a</v>
      </c>
      <c r="CF48" s="315" t="str">
        <f>IF(INDEX(tab_MinKomp[Bash],MATCH($B47,tab_MinKomp[[Stanowisko / Position ]:[Stanowisko / Position ]],0))="n/a","n/a",CF47-INDEX(tab_MinKomp[Bash],MATCH($B47,tab_MinKomp[[Stanowisko / Position ]:[Stanowisko / Position ]],0)))</f>
        <v>n/a</v>
      </c>
      <c r="CG48" s="315">
        <f>IF(INDEX(tab_MinKomp[Systemy MES (HYDRA / SFMS)],MATCH($B47,tab_MinKomp[[Stanowisko / Position ]:[Stanowisko / Position ]],0))="n/a","n/a",CG47-INDEX(tab_MinKomp[Systemy MES (HYDRA / SFMS)],MATCH($B47,tab_MinKomp[[Stanowisko / Position ]:[Stanowisko / Position ]],0)))</f>
        <v>0</v>
      </c>
      <c r="CH48" s="315" t="str">
        <f>IF(INDEX(tab_MinKomp[HTML / CSS],MATCH($B47,tab_MinKomp[[Stanowisko / Position ]:[Stanowisko / Position ]],0))="n/a","n/a",CH47-INDEX(tab_MinKomp[HTML / CSS],MATCH($B47,tab_MinKomp[[Stanowisko / Position ]:[Stanowisko / Position ]],0)))</f>
        <v>n/a</v>
      </c>
      <c r="CI48" s="315">
        <f>IF(INDEX(tab_MinKomp[SYSTEM PR],MATCH($B47,tab_MinKomp[[Stanowisko / Position ]:[Stanowisko / Position ]],0))="n/a","n/a",CI47-INDEX(tab_MinKomp[SYSTEM PR],MATCH($B47,tab_MinKomp[[Stanowisko / Position ]:[Stanowisko / Position ]],0)))</f>
        <v>0</v>
      </c>
      <c r="CJ48" s="315">
        <f>IF(INDEX(tab_MinKomp[System Einkauf XP / EBA],MATCH($B47,tab_MinKomp[[Stanowisko / Position ]:[Stanowisko / Position ]],0))="n/a","n/a",CJ47-INDEX(tab_MinKomp[System Einkauf XP / EBA],MATCH($B47,tab_MinKomp[[Stanowisko / Position ]:[Stanowisko / Position ]],0)))</f>
        <v>0</v>
      </c>
      <c r="CK48" s="315" t="str">
        <f>IF(INDEX(tab_MinKomp[Techniki negocjacyjne / Verhandlungstechniken],MATCH($B47,tab_MinKomp[[Stanowisko / Position ]:[Stanowisko / Position ]],0))="n/a","n/a",CK47-INDEX(tab_MinKomp[Techniki negocjacyjne / Verhandlungstechniken],MATCH($B47,tab_MinKomp[[Stanowisko / Position ]:[Stanowisko / Position ]],0)))</f>
        <v>n/a</v>
      </c>
      <c r="CL48" s="315" t="str">
        <f>IF(INDEX(tab_MinKomp[Znajomość rynku branżowego / Kenntnis des Industrie Marktes],MATCH($B47,tab_MinKomp[[Stanowisko / Position ]:[Stanowisko / Position ]],0))="n/a","n/a",CL47-INDEX(tab_MinKomp[Znajomość rynku branżowego / Kenntnis des Industrie Marktes],MATCH($B47,tab_MinKomp[[Stanowisko / Position ]:[Stanowisko / Position ]],0)))</f>
        <v>n/a</v>
      </c>
      <c r="CM48" s="315">
        <f>IF(INDEX(tab_MinKomp[RAPORTY 8D / 8D Berichten],MATCH($B47,tab_MinKomp[[Stanowisko / Position ]:[Stanowisko / Position ]],0))="n/a","n/a",CM47-INDEX(tab_MinKomp[RAPORTY 8D / 8D Berichten],MATCH($B47,tab_MinKomp[[Stanowisko / Position ]:[Stanowisko / Position ]],0)))</f>
        <v>0</v>
      </c>
      <c r="CN48" s="315">
        <f>IF(INDEX(tab_MinKomp[NARZĘDZIA JAKOŚCIOWE (5WHY, Ishikawa, etc) / QS-Werkzeuge],MATCH($B47,tab_MinKomp[[Stanowisko / Position ]:[Stanowisko / Position ]],0))="n/a","n/a",CN47-INDEX(tab_MinKomp[NARZĘDZIA JAKOŚCIOWE (5WHY, Ishikawa, etc) / QS-Werkzeuge],MATCH($B47,tab_MinKomp[[Stanowisko / Position ]:[Stanowisko / Position ]],0)))</f>
        <v>0</v>
      </c>
      <c r="CO48" s="315">
        <f>IF(INDEX(tab_MinKomp[PDCA],MATCH($B47,tab_MinKomp[[Stanowisko / Position ]:[Stanowisko / Position ]],0))="n/a","n/a",CO47-INDEX(tab_MinKomp[PDCA],MATCH($B47,tab_MinKomp[[Stanowisko / Position ]:[Stanowisko / Position ]],0)))</f>
        <v>0</v>
      </c>
      <c r="CP48" s="315">
        <f>IF(INDEX(tab_MinKomp[Pareto],MATCH($B47,tab_MinKomp[[Stanowisko / Position ]:[Stanowisko / Position ]],0))="n/a","n/a",CP47-INDEX(tab_MinKomp[Pareto],MATCH($B47,tab_MinKomp[[Stanowisko / Position ]:[Stanowisko / Position ]],0)))</f>
        <v>0</v>
      </c>
      <c r="CQ48" s="315">
        <f>IF(INDEX(tab_MinKomp[PPAP/PSW],MATCH($B47,tab_MinKomp[[Stanowisko / Position ]:[Stanowisko / Position ]],0))="n/a","n/a",CQ47-INDEX(tab_MinKomp[PPAP/PSW],MATCH($B47,tab_MinKomp[[Stanowisko / Position ]:[Stanowisko / Position ]],0)))</f>
        <v>0</v>
      </c>
      <c r="CR48" s="315">
        <f>IF(INDEX(tab_MinKomp[SUPPLIER MANAGEMENT],MATCH($B47,tab_MinKomp[[Stanowisko / Position ]:[Stanowisko / Position ]],0))="n/a","n/a",CR47-INDEX(tab_MinKomp[SUPPLIER MANAGEMENT],MATCH($B47,tab_MinKomp[[Stanowisko / Position ]:[Stanowisko / Position ]],0)))</f>
        <v>0</v>
      </c>
      <c r="CS48" s="315" t="str">
        <f>IF(INDEX(tab_MinKomp[OBSŁUGA PORTALI KLIENTA / Kundenportale],MATCH($B47,tab_MinKomp[[Stanowisko / Position ]:[Stanowisko / Position ]],0))="n/a","n/a",CS47-INDEX(tab_MinKomp[OBSŁUGA PORTALI KLIENTA / Kundenportale],MATCH($B47,tab_MinKomp[[Stanowisko / Position ]:[Stanowisko / Position ]],0)))</f>
        <v>n/a</v>
      </c>
      <c r="CT48" s="315">
        <f>IF(INDEX(tab_MinKomp[Obsługa systemu BABTECQ / BABTECQ System],MATCH($B47,tab_MinKomp[[Stanowisko / Position ]:[Stanowisko / Position ]],0))="n/a","n/a",CT47-INDEX(tab_MinKomp[Obsługa systemu BABTECQ / BABTECQ System],MATCH($B47,tab_MinKomp[[Stanowisko / Position ]:[Stanowisko / Position ]],0)))</f>
        <v>0</v>
      </c>
      <c r="CU48" s="315">
        <f>IF(INDEX(tab_MinKomp[Rysunek techniczny / technische Zeichnung],MATCH($B47,tab_MinKomp[[Stanowisko / Position ]:[Stanowisko / Position ]],0))="n/a","n/a",CU47-INDEX(tab_MinKomp[Rysunek techniczny / technische Zeichnung],MATCH($B47,tab_MinKomp[[Stanowisko / Position ]:[Stanowisko / Position ]],0)))</f>
        <v>0</v>
      </c>
      <c r="CV48" s="315" t="str">
        <f>IF(INDEX(tab_MinKomp[Kalibracja / Kalibrierung],MATCH($B47,tab_MinKomp[[Stanowisko / Position ]:[Stanowisko / Position ]],0))="n/a","n/a",CV47-INDEX(tab_MinKomp[Kalibracja / Kalibrierung],MATCH($B47,tab_MinKomp[[Stanowisko / Position ]:[Stanowisko / Position ]],0)))</f>
        <v>n/a</v>
      </c>
      <c r="CW48" s="315" t="str">
        <f>IF(INDEX(tab_MinKomp[Rekwalifikacja / Requalifizierung],MATCH($B47,tab_MinKomp[[Stanowisko / Position ]:[Stanowisko / Position ]],0))="n/a","n/a",CW47-INDEX(tab_MinKomp[Rekwalifikacja / Requalifizierung],MATCH($B47,tab_MinKomp[[Stanowisko / Position ]:[Stanowisko / Position ]],0)))</f>
        <v>n/a</v>
      </c>
      <c r="CX48" s="315" t="str">
        <f>IF(INDEX(tab_MinKomp[CMM - Contura Zeiss],MATCH($B47,tab_MinKomp[[Stanowisko / Position ]:[Stanowisko / Position ]],0))="n/a","n/a",CX47-INDEX(tab_MinKomp[CMM - Contura Zeiss],MATCH($B47,tab_MinKomp[[Stanowisko / Position ]:[Stanowisko / Position ]],0)))</f>
        <v>n/a</v>
      </c>
      <c r="CY48" s="315" t="str">
        <f>IF(INDEX(tab_MinKomp[CMM - Contura Zeiss],MATCH($B47,tab_MinKomp[[Stanowisko / Position ]:[Stanowisko / Position ]],0))="n/a","n/a",CY47-INDEX(tab_MinKomp[CMM - Contura Zeiss],MATCH($B47,tab_MinKomp[[Stanowisko / Position ]:[Stanowisko / Position ]],0)))</f>
        <v>n/a</v>
      </c>
      <c r="CZ48" s="315" t="str">
        <f>IF(INDEX(tab_MinKomp[CMM - Contura Zeiss],MATCH($B47,tab_MinKomp[[Stanowisko / Position ]:[Stanowisko / Position ]],0))="n/a","n/a",CZ47-INDEX(tab_MinKomp[CMM - Contura Zeiss],MATCH($B47,tab_MinKomp[[Stanowisko / Position ]:[Stanowisko / Position ]],0)))</f>
        <v>n/a</v>
      </c>
      <c r="DA48" s="315" t="str">
        <f>IF(INDEX(tab_MinKomp[CMM - Contura Zeiss],MATCH($B47,tab_MinKomp[[Stanowisko / Position ]:[Stanowisko / Position ]],0))="n/a","n/a",DA47-INDEX(tab_MinKomp[CMM - Contura Zeiss],MATCH($B47,tab_MinKomp[[Stanowisko / Position ]:[Stanowisko / Position ]],0)))</f>
        <v>n/a</v>
      </c>
      <c r="DB48" s="315" t="str">
        <f>IF(INDEX(tab_MinKomp[CMM - Contura Zeiss],MATCH($B47,tab_MinKomp[[Stanowisko / Position ]:[Stanowisko / Position ]],0))="n/a","n/a",DB47-INDEX(tab_MinKomp[CMM - Contura Zeiss],MATCH($B47,tab_MinKomp[[Stanowisko / Position ]:[Stanowisko / Position ]],0)))</f>
        <v>n/a</v>
      </c>
      <c r="DC48" s="315" t="str">
        <f>IF(INDEX(tab_MinKomp[CMM - Contura Zeiss],MATCH($B47,tab_MinKomp[[Stanowisko / Position ]:[Stanowisko / Position ]],0))="n/a","n/a",DC47-INDEX(tab_MinKomp[CMM - Contura Zeiss],MATCH($B47,tab_MinKomp[[Stanowisko / Position ]:[Stanowisko / Position ]],0)))</f>
        <v>n/a</v>
      </c>
      <c r="DD48" s="315" t="str">
        <f>IF(INDEX(tab_MinKomp[Pisanie programów / Programme schreiben],MATCH($B47,tab_MinKomp[[Stanowisko / Position ]:[Stanowisko / Position ]],0))="n/a","n/a",DD47-INDEX(tab_MinKomp[Pisanie programów / Programme schreiben],MATCH($B47,tab_MinKomp[[Stanowisko / Position ]:[Stanowisko / Position ]],0)))</f>
        <v>n/a</v>
      </c>
      <c r="DE48" s="315" t="str">
        <f>IF(INDEX(tab_MinKomp[CMM - Contura Zeiss],MATCH($B47,tab_MinKomp[[Stanowisko / Position ]:[Stanowisko / Position ]],0))="n/a","n/a",DE47-INDEX(tab_MinKomp[CMM - Contura Zeiss],MATCH($B47,tab_MinKomp[[Stanowisko / Position ]:[Stanowisko / Position ]],0)))</f>
        <v>n/a</v>
      </c>
      <c r="DF48" s="315" t="str">
        <f>IF(INDEX(tab_MinKomp[CMM - Contura Zeiss],MATCH($B47,tab_MinKomp[[Stanowisko / Position ]:[Stanowisko / Position ]],0))="n/a","n/a",DF47-INDEX(tab_MinKomp[CMM - Contura Zeiss],MATCH($B47,tab_MinKomp[[Stanowisko / Position ]:[Stanowisko / Position ]],0)))</f>
        <v>n/a</v>
      </c>
      <c r="DG48" s="315" t="str">
        <f>IF(INDEX(tab_MinKomp[CMM - Contura Zeiss],MATCH($B47,tab_MinKomp[[Stanowisko / Position ]:[Stanowisko / Position ]],0))="n/a","n/a",DG47-INDEX(tab_MinKomp[CMM - Contura Zeiss],MATCH($B47,tab_MinKomp[[Stanowisko / Position ]:[Stanowisko / Position ]],0)))</f>
        <v>n/a</v>
      </c>
      <c r="DH48" s="315" t="str">
        <f>IF(INDEX(tab_MinKomp[CMM - Contura Zeiss],MATCH($B47,tab_MinKomp[[Stanowisko / Position ]:[Stanowisko / Position ]],0))="n/a","n/a",DH47-INDEX(tab_MinKomp[CMM - Contura Zeiss],MATCH($B47,tab_MinKomp[[Stanowisko / Position ]:[Stanowisko / Position ]],0)))</f>
        <v>n/a</v>
      </c>
      <c r="DI48" s="315" t="str">
        <f>IF(INDEX(tab_MinKomp[CMM - Contura Zeiss],MATCH($B47,tab_MinKomp[[Stanowisko / Position ]:[Stanowisko / Position ]],0))="n/a","n/a",DI47-INDEX(tab_MinKomp[CMM - Contura Zeiss],MATCH($B47,tab_MinKomp[[Stanowisko / Position ]:[Stanowisko / Position ]],0)))</f>
        <v>n/a</v>
      </c>
      <c r="DJ48" s="315" t="str">
        <f>IF(INDEX(tab_MinKomp[CMM - Contura Zeiss],MATCH($B47,tab_MinKomp[[Stanowisko / Position ]:[Stanowisko / Position ]],0))="n/a","n/a",DJ47-INDEX(tab_MinKomp[CMM - Contura Zeiss],MATCH($B47,tab_MinKomp[[Stanowisko / Position ]:[Stanowisko / Position ]],0)))</f>
        <v>n/a</v>
      </c>
      <c r="DK48" s="315" t="str">
        <f>IF(INDEX(tab_MinKomp[Pisanie programów / Programme schreiben],MATCH($B47,tab_MinKomp[[Stanowisko / Position ]:[Stanowisko / Position ]],0))="n/a","n/a",DK47-INDEX(tab_MinKomp[Pisanie programów / Programme schreiben],MATCH($B47,tab_MinKomp[[Stanowisko / Position ]:[Stanowisko / Position ]],0)))</f>
        <v>n/a</v>
      </c>
      <c r="DL48" s="315" t="str">
        <f>IF(INDEX(tab_MinKomp[CMM - Contura Zeiss],MATCH($B47,tab_MinKomp[[Stanowisko / Position ]:[Stanowisko / Position ]],0))="n/a","n/a",DL47-INDEX(tab_MinKomp[CMM - Contura Zeiss],MATCH($B47,tab_MinKomp[[Stanowisko / Position ]:[Stanowisko / Position ]],0)))</f>
        <v>n/a</v>
      </c>
      <c r="DM48" s="315" t="str">
        <f>IF(INDEX(tab_MinKomp[CMM - Contura Zeiss],MATCH($B47,tab_MinKomp[[Stanowisko / Position ]:[Stanowisko / Position ]],0))="n/a","n/a",DM47-INDEX(tab_MinKomp[CMM - Contura Zeiss],MATCH($B47,tab_MinKomp[[Stanowisko / Position ]:[Stanowisko / Position ]],0)))</f>
        <v>n/a</v>
      </c>
      <c r="DN48" s="315" t="str">
        <f>IF(INDEX(tab_MinKomp[CMM - Contura Zeiss],MATCH($B47,tab_MinKomp[[Stanowisko / Position ]:[Stanowisko / Position ]],0))="n/a","n/a",DN47-INDEX(tab_MinKomp[CMM - Contura Zeiss],MATCH($B47,tab_MinKomp[[Stanowisko / Position ]:[Stanowisko / Position ]],0)))</f>
        <v>n/a</v>
      </c>
      <c r="DO48" s="315" t="str">
        <f>IF(INDEX(tab_MinKomp[CMM - Contura Zeiss],MATCH($B47,tab_MinKomp[[Stanowisko / Position ]:[Stanowisko / Position ]],0))="n/a","n/a",DO47-INDEX(tab_MinKomp[CMM - Contura Zeiss],MATCH($B47,tab_MinKomp[[Stanowisko / Position ]:[Stanowisko / Position ]],0)))</f>
        <v>n/a</v>
      </c>
      <c r="DP48" s="315" t="str">
        <f>IF(INDEX(tab_MinKomp[CMM - Contura Zeiss],MATCH($B47,tab_MinKomp[[Stanowisko / Position ]:[Stanowisko / Position ]],0))="n/a","n/a",DP47-INDEX(tab_MinKomp[CMM - Contura Zeiss],MATCH($B47,tab_MinKomp[[Stanowisko / Position ]:[Stanowisko / Position ]],0)))</f>
        <v>n/a</v>
      </c>
      <c r="DQ48" s="315" t="str">
        <f>IF(INDEX(tab_MinKomp[CMM - Contura Zeiss],MATCH($B47,tab_MinKomp[[Stanowisko / Position ]:[Stanowisko / Position ]],0))="n/a","n/a",DQ47-INDEX(tab_MinKomp[CMM - Contura Zeiss],MATCH($B47,tab_MinKomp[[Stanowisko / Position ]:[Stanowisko / Position ]],0)))</f>
        <v>n/a</v>
      </c>
      <c r="DR48" s="315" t="str">
        <f>IF(INDEX(tab_MinKomp[Pisanie programów / Programme schreiben],MATCH($B47,tab_MinKomp[[Stanowisko / Position ]:[Stanowisko / Position ]],0))="n/a","n/a",DR47-INDEX(tab_MinKomp[Pisanie programów / Programme schreiben],MATCH($B47,tab_MinKomp[[Stanowisko / Position ]:[Stanowisko / Position ]],0)))</f>
        <v>n/a</v>
      </c>
      <c r="DS48" s="315" t="str">
        <f>IF(INDEX(tab_MinKomp[CMM - Contura Zeiss],MATCH($B47,tab_MinKomp[[Stanowisko / Position ]:[Stanowisko / Position ]],0))="n/a","n/a",DS47-INDEX(tab_MinKomp[CMM - Contura Zeiss],MATCH($B47,tab_MinKomp[[Stanowisko / Position ]:[Stanowisko / Position ]],0)))</f>
        <v>n/a</v>
      </c>
      <c r="DT48" s="315" t="str">
        <f>IF(INDEX(tab_MinKomp[CMM - Contura Zeiss],MATCH($B47,tab_MinKomp[[Stanowisko / Position ]:[Stanowisko / Position ]],0))="n/a","n/a",DT47-INDEX(tab_MinKomp[CMM - Contura Zeiss],MATCH($B47,tab_MinKomp[[Stanowisko / Position ]:[Stanowisko / Position ]],0)))</f>
        <v>n/a</v>
      </c>
      <c r="DU48" s="315" t="str">
        <f>IF(INDEX(tab_MinKomp[CMM - Contura Zeiss],MATCH($B47,tab_MinKomp[[Stanowisko / Position ]:[Stanowisko / Position ]],0))="n/a","n/a",DU47-INDEX(tab_MinKomp[CMM - Contura Zeiss],MATCH($B47,tab_MinKomp[[Stanowisko / Position ]:[Stanowisko / Position ]],0)))</f>
        <v>n/a</v>
      </c>
      <c r="DV48" s="315" t="str">
        <f>IF(INDEX(tab_MinKomp[CMM - Contura Zeiss],MATCH($B47,tab_MinKomp[[Stanowisko / Position ]:[Stanowisko / Position ]],0))="n/a","n/a",DV47-INDEX(tab_MinKomp[CMM - Contura Zeiss],MATCH($B47,tab_MinKomp[[Stanowisko / Position ]:[Stanowisko / Position ]],0)))</f>
        <v>n/a</v>
      </c>
      <c r="DW48" s="315" t="str">
        <f>IF(INDEX(tab_MinKomp[CMM - Contura Zeiss],MATCH($B47,tab_MinKomp[[Stanowisko / Position ]:[Stanowisko / Position ]],0))="n/a","n/a",DW47-INDEX(tab_MinKomp[CMM - Contura Zeiss],MATCH($B47,tab_MinKomp[[Stanowisko / Position ]:[Stanowisko / Position ]],0)))</f>
        <v>n/a</v>
      </c>
      <c r="DX48" s="315" t="str">
        <f>IF(INDEX(tab_MinKomp[CMM - Contura Zeiss],MATCH($B47,tab_MinKomp[[Stanowisko / Position ]:[Stanowisko / Position ]],0))="n/a","n/a",DX47-INDEX(tab_MinKomp[CMM - Contura Zeiss],MATCH($B47,tab_MinKomp[[Stanowisko / Position ]:[Stanowisko / Position ]],0)))</f>
        <v>n/a</v>
      </c>
      <c r="DY48" s="315" t="str">
        <f>IF(INDEX(tab_MinKomp[Konserwacja Rep],MATCH($B47,tab_MinKomp[[Stanowisko / Position ]:[Stanowisko / Position ]],0))="n/a","n/a",DY47-INDEX(tab_MinKomp[Konserwacja Rep],MATCH($B47,tab_MinKomp[[Stanowisko / Position ]:[Stanowisko / Position ]],0)))</f>
        <v>n/a</v>
      </c>
      <c r="DZ48" s="315" t="str">
        <f>IF(INDEX(tab_MinKomp[[Konserwacja Engel ]],MATCH($B47,tab_MinKomp[[Stanowisko / Position ]:[Stanowisko / Position ]],0))="n/a","n/a",DZ47-INDEX(tab_MinKomp[[Konserwacja Engel ]],MATCH($B47,tab_MinKomp[[Stanowisko / Position ]:[Stanowisko / Position ]],0)))</f>
        <v>n/a</v>
      </c>
      <c r="EA48" s="315" t="str">
        <f>IF(INDEX(tab_MinKomp[Konserwacja B 50],MATCH($B47,tab_MinKomp[[Stanowisko / Position ]:[Stanowisko / Position ]],0))="n/a","n/a",EA47-INDEX(tab_MinKomp[Konserwacja B 50],MATCH($B47,tab_MinKomp[[Stanowisko / Position ]:[Stanowisko / Position ]],0)))</f>
        <v>n/a</v>
      </c>
      <c r="EB48" s="315" t="str">
        <f>IF(INDEX(tab_MinKomp[[Konserwacja EOL ]],MATCH($B47,tab_MinKomp[[Stanowisko / Position ]:[Stanowisko / Position ]],0))="n/a","n/a",EB47-INDEX(tab_MinKomp[[Konserwacja EOL ]],MATCH($B47,tab_MinKomp[[Stanowisko / Position ]:[Stanowisko / Position ]],0)))</f>
        <v>n/a</v>
      </c>
      <c r="EC48" s="315" t="str">
        <f>IF(INDEX(tab_MinKomp[Konserwacja Branson],MATCH($B47,tab_MinKomp[[Stanowisko / Position ]:[Stanowisko / Position ]],0))="n/a","n/a",EC47-INDEX(tab_MinKomp[Konserwacja Branson],MATCH($B47,tab_MinKomp[[Stanowisko / Position ]:[Stanowisko / Position ]],0)))</f>
        <v>n/a</v>
      </c>
      <c r="ED48" s="315" t="str">
        <f>IF(INDEX(tab_MinKomp[Konserwacja coolery],MATCH($B47,tab_MinKomp[[Stanowisko / Position ]:[Stanowisko / Position ]],0))="n/a","n/a",ED47-INDEX(tab_MinKomp[Konserwacja coolery],MATCH($B47,tab_MinKomp[[Stanowisko / Position ]:[Stanowisko / Position ]],0)))</f>
        <v>n/a</v>
      </c>
      <c r="EE48" s="315" t="str">
        <f>IF(INDEX(tab_MinKomp[Konserwacja piecy],MATCH($B47,tab_MinKomp[[Stanowisko / Position ]:[Stanowisko / Position ]],0))="n/a","n/a",EE47-INDEX(tab_MinKomp[Konserwacja piecy],MATCH($B47,tab_MinKomp[[Stanowisko / Position ]:[Stanowisko / Position ]],0)))</f>
        <v>n/a</v>
      </c>
      <c r="EF48" s="315" t="str">
        <f>IF(INDEX(tab_MinKomp[Rysunek techniczny- czytanie],MATCH($B47,tab_MinKomp[[Stanowisko / Position ]:[Stanowisko / Position ]],0))="n/a","n/a",EF47-INDEX(tab_MinKomp[Rysunek techniczny- czytanie],MATCH($B47,tab_MinKomp[[Stanowisko / Position ]:[Stanowisko / Position ]],0)))</f>
        <v>n/a</v>
      </c>
      <c r="EG48" s="315" t="str">
        <f>IF(INDEX(tab_MinKomp[Elektryka],MATCH($B47,tab_MinKomp[[Stanowisko / Position ]:[Stanowisko / Position ]],0))="n/a","n/a",EG47-INDEX(tab_MinKomp[Elektryka],MATCH($B47,tab_MinKomp[[Stanowisko / Position ]:[Stanowisko / Position ]],0)))</f>
        <v>n/a</v>
      </c>
      <c r="EH48" s="315" t="str">
        <f>IF(INDEX(tab_MinKomp[Pneumatyka],MATCH($B47,tab_MinKomp[[Stanowisko / Position ]:[Stanowisko / Position ]],0))="n/a","n/a",EH47-INDEX(tab_MinKomp[Pneumatyka],MATCH($B47,tab_MinKomp[[Stanowisko / Position ]:[Stanowisko / Position ]],0)))</f>
        <v>n/a</v>
      </c>
      <c r="EI48" s="315" t="str">
        <f>IF(INDEX(tab_MinKomp[[Hydraulika ]],MATCH($B47,tab_MinKomp[[Stanowisko / Position ]:[Stanowisko / Position ]],0))="n/a","n/a",EI47-INDEX(tab_MinKomp[[Hydraulika ]],MATCH($B47,tab_MinKomp[[Stanowisko / Position ]:[Stanowisko / Position ]],0)))</f>
        <v>n/a</v>
      </c>
      <c r="EJ48" s="315" t="str">
        <f>IF(INDEX(tab_MinKomp[Podciśnienie],MATCH($B47,tab_MinKomp[[Stanowisko / Position ]:[Stanowisko / Position ]],0))="n/a","n/a",EJ47-INDEX(tab_MinKomp[Podciśnienie],MATCH($B47,tab_MinKomp[[Stanowisko / Position ]:[Stanowisko / Position ]],0)))</f>
        <v>n/a</v>
      </c>
      <c r="EK48" s="315" t="str">
        <f>IF(INDEX(tab_MinKomp[Usuwanie awarii],MATCH($B47,tab_MinKomp[[Stanowisko / Position ]:[Stanowisko / Position ]],0))="n/a","n/a",EK47-INDEX(tab_MinKomp[Usuwanie awarii],MATCH($B47,tab_MinKomp[[Stanowisko / Position ]:[Stanowisko / Position ]],0)))</f>
        <v>n/a</v>
      </c>
      <c r="EL48" s="315" t="str">
        <f>IF(INDEX(tab_MinKomp[Obsługa robotów],MATCH($B47,tab_MinKomp[[Stanowisko / Position ]:[Stanowisko / Position ]],0))="n/a","n/a",EL47-INDEX(tab_MinKomp[Obsługa robotów],MATCH($B47,tab_MinKomp[[Stanowisko / Position ]:[Stanowisko / Position ]],0)))</f>
        <v>n/a</v>
      </c>
      <c r="EM48" s="315" t="str">
        <f>IF(INDEX(tab_MinKomp[Obsługa sterowania maszyny],MATCH($B47,tab_MinKomp[[Stanowisko / Position ]:[Stanowisko / Position ]],0))="n/a","n/a",EM47-INDEX(tab_MinKomp[Obsługa sterowania maszyny],MATCH($B47,tab_MinKomp[[Stanowisko / Position ]:[Stanowisko / Position ]],0)))</f>
        <v>n/a</v>
      </c>
      <c r="EN48" s="315" t="str">
        <f>IF(INDEX(tab_MinKomp[Usuwanie przyczyn żródłowych],MATCH($B47,tab_MinKomp[[Stanowisko / Position ]:[Stanowisko / Position ]],0))="n/a","n/a",EN47-INDEX(tab_MinKomp[Usuwanie przyczyn żródłowych],MATCH($B47,tab_MinKomp[[Stanowisko / Position ]:[Stanowisko / Position ]],0)))</f>
        <v>n/a</v>
      </c>
      <c r="EO48" s="315" t="str">
        <f>IF(INDEX(tab_MinKomp[Cmms stosowanie],MATCH($B47,tab_MinKomp[[Stanowisko / Position ]:[Stanowisko / Position ]],0))="n/a","n/a",EO47-INDEX(tab_MinKomp[Cmms stosowanie],MATCH($B47,tab_MinKomp[[Stanowisko / Position ]:[Stanowisko / Position ]],0)))</f>
        <v>n/a</v>
      </c>
      <c r="EP48" s="315" t="str">
        <f>IF(INDEX(tab_MinKomp[[Czyszczenie form gumowych ]],MATCH($B47,tab_MinKomp[[Stanowisko / Position ]:[Stanowisko / Position ]],0))="n/a","n/a",EP47-INDEX(tab_MinKomp[[Czyszczenie form gumowych ]],MATCH($B47,tab_MinKomp[[Stanowisko / Position ]:[Stanowisko / Position ]],0)))</f>
        <v>n/a</v>
      </c>
      <c r="EQ48" s="315" t="str">
        <f>IF(INDEX(tab_MinKomp[Czyszczenie form plastikowych],MATCH($B47,tab_MinKomp[[Stanowisko / Position ]:[Stanowisko / Position ]],0))="n/a","n/a",EQ47-INDEX(tab_MinKomp[Czyszczenie form plastikowych],MATCH($B47,tab_MinKomp[[Stanowisko / Position ]:[Stanowisko / Position ]],0)))</f>
        <v>n/a</v>
      </c>
      <c r="ER48" s="315" t="str">
        <f>IF(INDEX(tab_MinKomp[Wymiana form plastik],MATCH($B47,tab_MinKomp[[Stanowisko / Position ]:[Stanowisko / Position ]],0))="n/a","n/a",ER47-INDEX(tab_MinKomp[Wymiana form plastik],MATCH($B47,tab_MinKomp[[Stanowisko / Position ]:[Stanowisko / Position ]],0)))</f>
        <v>n/a</v>
      </c>
      <c r="ES48" s="315" t="str">
        <f>IF(INDEX(tab_MinKomp[Wymiana form guma],MATCH($B47,tab_MinKomp[[Stanowisko / Position ]:[Stanowisko / Position ]],0))="n/a","n/a",ES47-INDEX(tab_MinKomp[Wymiana form guma],MATCH($B47,tab_MinKomp[[Stanowisko / Position ]:[Stanowisko / Position ]],0)))</f>
        <v>n/a</v>
      </c>
      <c r="ET48" s="315" t="str">
        <f>IF(INDEX(tab_MinKomp[Konserwacja KK],MATCH($B47,tab_MinKomp[[Stanowisko / Position ]:[Stanowisko / Position ]],0))="n/a","n/a",ET47-INDEX(tab_MinKomp[Konserwacja KK],MATCH($B47,tab_MinKomp[[Stanowisko / Position ]:[Stanowisko / Position ]],0)))</f>
        <v>n/a</v>
      </c>
      <c r="EU48" s="315" t="str">
        <f>IF(INDEX(tab_MinKomp[Konserwacja form guma],MATCH($B47,tab_MinKomp[[Stanowisko / Position ]:[Stanowisko / Position ]],0))="n/a","n/a",EU47-INDEX(tab_MinKomp[Konserwacja form guma],MATCH($B47,tab_MinKomp[[Stanowisko / Position ]:[Stanowisko / Position ]],0)))</f>
        <v>n/a</v>
      </c>
      <c r="EV48" s="315" t="str">
        <f>IF(INDEX(tab_MinKomp[Konserwacja form plastiki],MATCH($B47,tab_MinKomp[[Stanowisko / Position ]:[Stanowisko / Position ]],0))="n/a","n/a",EV47-INDEX(tab_MinKomp[Konserwacja form plastiki],MATCH($B47,tab_MinKomp[[Stanowisko / Position ]:[Stanowisko / Position ]],0)))</f>
        <v>n/a</v>
      </c>
      <c r="EW48" s="330" t="str">
        <f>IF(INDEX(tab_MinKomp[Konserwacja form plastiki],MATCH($B47,tab_MinKomp[[Stanowisko / Position ]:[Stanowisko / Position ]],0))="n/a","n/a",EW47-INDEX(tab_MinKomp[Konserwacja form plastiki],MATCH($B47,tab_MinKomp[[Stanowisko / Position ]:[Stanowisko / Position ]],0)))</f>
        <v>n/a</v>
      </c>
      <c r="EX48" s="315" t="str">
        <f>IF(INDEX(tab_MinKomp[Konserwacja Gorącego Kanału],MATCH($B47,tab_MinKomp[[Stanowisko / Position ]:[Stanowisko / Position ]],0))="n/a","n/a",EX47-INDEX(tab_MinKomp[Konserwacja Gorącego Kanału],MATCH($B47,tab_MinKomp[[Stanowisko / Position ]:[Stanowisko / Position ]],0)))</f>
        <v>n/a</v>
      </c>
      <c r="EY48" s="315">
        <f>IF(INDEX(tab_MinKomp[MS Office (Excel)],MATCH($B47,tab_MinKomp[[Stanowisko / Position ]:[Stanowisko / Position ]],0))="n/a","n/a",EY47-INDEX(tab_MinKomp[MS Office (Excel)],MATCH($B47,tab_MinKomp[[Stanowisko / Position ]:[Stanowisko / Position ]],0)))</f>
        <v>0</v>
      </c>
      <c r="EZ48" s="315">
        <f>IF(INDEX(tab_MinKomp[MS Office (Word)],MATCH($B47,tab_MinKomp[[Stanowisko / Position ]:[Stanowisko / Position ]],0))="n/a","n/a",EZ47-INDEX(tab_MinKomp[MS Office (Word)],MATCH($B47,tab_MinKomp[[Stanowisko / Position ]:[Stanowisko / Position ]],0)))</f>
        <v>0</v>
      </c>
      <c r="FA48" s="315">
        <f>IF(INDEX(tab_MinKomp[MS Office (Power Point)],MATCH($B47,tab_MinKomp[[Stanowisko / Position ]:[Stanowisko / Position ]],0))="n/a","n/a",FA47-INDEX(tab_MinKomp[MS Office (Power Point)],MATCH($B47,tab_MinKomp[[Stanowisko / Position ]:[Stanowisko / Position ]],0)))</f>
        <v>0</v>
      </c>
      <c r="FB48" s="317">
        <f>IF(INDEX(tab_MinKomp[Język angielski / Englisch],MATCH($B47,tab_MinKomp[[Stanowisko / Position ]:[Stanowisko / Position ]],0))="n/a","n/a",FB47-INDEX(tab_MinKomp[Język angielski / Englisch],MATCH($B47,tab_MinKomp[[Stanowisko / Position ]:[Stanowisko / Position ]],0)))</f>
        <v>-1</v>
      </c>
      <c r="FC48" s="315" t="str">
        <f>IF(INDEX(tab_MinKomp[Język niemiecki / Deutsch],MATCH($B47,tab_MinKomp[[Stanowisko / Position ]:[Stanowisko / Position ]],0))="n/a","n/a",FC47-INDEX(tab_MinKomp[Język niemiecki / Deutsch],MATCH($B47,tab_MinKomp[[Stanowisko / Position ]:[Stanowisko / Position ]],0)))</f>
        <v>n/a</v>
      </c>
      <c r="FD48" s="315">
        <f>IF(INDEX(tab_MinKomp[Zarządzanie dokumentacją procesową / Process dokumentation management],MATCH($B47,tab_MinKomp[[Stanowisko / Position ]:[Stanowisko / Position ]],0))="n/a","n/a",FD47-INDEX(tab_MinKomp[Zarządzanie dokumentacją procesową / Process dokumentation management],MATCH($B47,tab_MinKomp[[Stanowisko / Position ]:[Stanowisko / Position ]],0)))</f>
        <v>-1</v>
      </c>
      <c r="FE48" s="315">
        <f>IF(INDEX(tab_MinKomp[Znajomość procesów z obszaru / Kenntiss der prozesse in dem Bereich],MATCH($B47,tab_MinKomp[[Stanowisko / Position ]:[Stanowisko / Position ]],0))="n/a","n/a",FE47-INDEX(tab_MinKomp[Znajomość procesów z obszaru / Kenntiss der prozesse in dem Bereich],MATCH($B47,tab_MinKomp[[Stanowisko / Position ]:[Stanowisko / Position ]],0)))</f>
        <v>0</v>
      </c>
      <c r="FF48" s="315">
        <f>IF(INDEX(tab_MinKomp[optymalizacja procesów / Prozessoptymalisierung],MATCH($B47,tab_MinKomp[[Stanowisko / Position ]:[Stanowisko / Position ]],0))="n/a","n/a",FF47-INDEX(tab_MinKomp[optymalizacja procesów / Prozessoptymalisierung],MATCH($B47,tab_MinKomp[[Stanowisko / Position ]:[Stanowisko / Position ]],0)))</f>
        <v>-1</v>
      </c>
      <c r="FG48" s="315">
        <f>IF(INDEX(tab_MinKomp[Umiejętności szkoleniowe / Trainingsfähigkeiten],MATCH($B47,tab_MinKomp[[Stanowisko / Position ]:[Stanowisko / Position ]],0))="n/a","n/a",FG47-INDEX(tab_MinKomp[Umiejętności szkoleniowe / Trainingsfähigkeiten],MATCH($B47,tab_MinKomp[[Stanowisko / Position ]:[Stanowisko / Position ]],0)))</f>
        <v>0</v>
      </c>
      <c r="FH48" s="315">
        <f>IF(INDEX(tab_MinKomp[Analityczne myślenie, podejście / Analitysches Denken, Einstellung],MATCH($B47,tab_MinKomp[[Stanowisko / Position ]:[Stanowisko / Position ]],0))="n/a","n/a",FH47-INDEX(tab_MinKomp[Analityczne myślenie, podejście / Analitysches Denken, Einstellung],MATCH($B47,tab_MinKomp[[Stanowisko / Position ]:[Stanowisko / Position ]],0)))</f>
        <v>0</v>
      </c>
      <c r="FI48" s="315">
        <f>IF(INDEX(tab_MinKomp[Dokładność, precyzja w dzialaniu / Genauigkeit, Präzision in die Arbeit],MATCH($B47,tab_MinKomp[[Stanowisko / Position ]:[Stanowisko / Position ]],0))="n/a","n/a",FI47-INDEX(tab_MinKomp[Dokładność, precyzja w dzialaniu / Genauigkeit, Präzision in die Arbeit],MATCH($B47,tab_MinKomp[[Stanowisko / Position ]:[Stanowisko / Position ]],0)))</f>
        <v>0</v>
      </c>
      <c r="FJ48" s="315">
        <f>IF(INDEX(tab_MinKomp[Dyspozycyjność / Verfügbarkeit],MATCH($B47,tab_MinKomp[[Stanowisko / Position ]:[Stanowisko / Position ]],0))="n/a","n/a",FJ47-INDEX(tab_MinKomp[Dyspozycyjność / Verfügbarkeit],MATCH($B47,tab_MinKomp[[Stanowisko / Position ]:[Stanowisko / Position ]],0)))</f>
        <v>0</v>
      </c>
      <c r="FK48" s="315">
        <f>IF(INDEX(tab_MinKomp[Zaangażowanie / 
Engagement],MATCH($B47,tab_MinKomp[[Stanowisko / Position ]:[Stanowisko / Position ]],0))="n/a","n/a",FK47-INDEX(tab_MinKomp[Zaangażowanie / 
Engagement],MATCH($B47,tab_MinKomp[[Stanowisko / Position ]:[Stanowisko / Position ]],0)))</f>
        <v>0</v>
      </c>
      <c r="FL48" s="315">
        <f>IF(INDEX(tab_MinKomp[Planowanie strategiczne / Strategische Planung],MATCH($B47,tab_MinKomp[[Stanowisko / Position ]:[Stanowisko / Position ]],0))="n/a","n/a",FL47-INDEX(tab_MinKomp[Planowanie strategiczne / Strategische Planung],MATCH($B47,tab_MinKomp[[Stanowisko / Position ]:[Stanowisko / Position ]],0)))</f>
        <v>0</v>
      </c>
      <c r="FM48" s="315">
        <f>IF(INDEX(tab_MinKomp[Konsekwentne i dynamiczne działanie],MATCH($B47,tab_MinKomp[[Stanowisko / Position ]:[Stanowisko / Position ]],0))="n/a","n/a",FM47-INDEX(tab_MinKomp[Konsekwentne i dynamiczne działanie],MATCH($B47,tab_MinKomp[[Stanowisko / Position ]:[Stanowisko / Position ]],0)))</f>
        <v>0</v>
      </c>
      <c r="FN48" s="315">
        <f>IF(INDEX(tab_MinKomp[Elastyczność w działaniu],MATCH($B47,tab_MinKomp[[Stanowisko / Position ]:[Stanowisko / Position ]],0))="n/a","n/a",FN47-INDEX(tab_MinKomp[Elastyczność w działaniu],MATCH($B47,tab_MinKomp[[Stanowisko / Position ]:[Stanowisko / Position ]],0)))</f>
        <v>0</v>
      </c>
      <c r="FO48" s="315">
        <f>IF(INDEX(tab_MinKomp[Komunikatywność],MATCH($B47,tab_MinKomp[[Stanowisko / Position ]:[Stanowisko / Position ]],0))="n/a","n/a",FO47-INDEX(tab_MinKomp[Komunikatywność],MATCH($B47,tab_MinKomp[[Stanowisko / Position ]:[Stanowisko / Position ]],0)))</f>
        <v>0</v>
      </c>
      <c r="FP48" s="314">
        <f>IF(INDEX(tab_MinKomp[Motywowanie i budowanie zaangażowania zespołu],MATCH($B47,tab_MinKomp[[Stanowisko / Position ]:[Stanowisko / Position ]],0))="n/a","n/a",FP47-INDEX(tab_MinKomp[Motywowanie i budowanie zaangażowania zespołu],MATCH($B47,tab_MinKomp[[Stanowisko / Position ]:[Stanowisko / Position ]],0)))</f>
        <v>0</v>
      </c>
      <c r="FQ48" s="318" t="str">
        <f>IFERROR(IF(INDEX(tab_MinKomp[BRAK / Keine],MATCH($B47,tab_MinKomp[[Stanowisko / Position ]:[Stanowisko / Position ]],0))="n/a","n/a",INDEX(tab_MinKomp[BRAK / Keine],MATCH($B47,tab_MinKomp[[Stanowisko / Position ]:[Stanowisko / Position ]],0))-FQ47),"")</f>
        <v>n/a</v>
      </c>
      <c r="FR48" s="315" t="str">
        <f>IF(INDEX(tab_MinKomp[MINIMUM 1 ROK / min. 1 Jahr],MATCH($B47,tab_MinKomp[[Stanowisko / Position ]:[Stanowisko / Position ]],0))="n/a","n/a",INDEX(tab_MinKomp[MINIMUM 1 ROK / min. 1 Jahr],MATCH($B47,tab_MinKomp[[Stanowisko / Position ]:[Stanowisko / Position ]],0)))</f>
        <v>n/a</v>
      </c>
      <c r="FS48" s="315" t="str">
        <f>IF(INDEX(tab_MinKomp[MINIMUM 2 LATA / min. 2 Jahre],MATCH($B47,tab_MinKomp[[Stanowisko / Position ]:[Stanowisko / Position ]],0))="n/a","n/a",INDEX(tab_MinKomp[MINIMUM 2 LATA / min. 2 Jahre],MATCH($B47,tab_MinKomp[[Stanowisko / Position ]:[Stanowisko / Position ]],0)))</f>
        <v>x</v>
      </c>
      <c r="FT48" s="315" t="str">
        <f>IF(INDEX(tab_MinKomp[MINIMUM 3 LATA / min. 3 Jahre],MATCH($B47,tab_MinKomp[[Stanowisko / Position ]:[Stanowisko / Position ]],0))="n/a","n/a",INDEX(tab_MinKomp[MINIMUM 3 LATA / min. 3 Jahre],MATCH($B47,tab_MinKomp[[Stanowisko / Position ]:[Stanowisko / Position ]],0)))</f>
        <v>n/a</v>
      </c>
      <c r="FU48" s="315" t="str">
        <f>IF(INDEX(tab_MinKomp[MINIMUM 4 LATA / min. 4 Jahre],MATCH($B47,tab_MinKomp[[Stanowisko / Position ]:[Stanowisko / Position ]],0))="n/a","n/a",INDEX(tab_MinKomp[MINIMUM 4 LATA / min. 4 Jahre],MATCH($B47,tab_MinKomp[[Stanowisko / Position ]:[Stanowisko / Position ]],0)))</f>
        <v>n/a</v>
      </c>
      <c r="FV48" s="319" t="str">
        <f>IF(INDEX(tab_MinKomp[MINIMUM 5 LAT / min. 5 Jahre],MATCH($B47,tab_MinKomp[[Stanowisko / Position ]:[Stanowisko / Position ]],0))="n/a","n/a",INDEX(tab_MinKomp[MINIMUM 5 LAT / min. 5 Jahre],MATCH($B47,tab_MinKomp[[Stanowisko / Position ]:[Stanowisko / Position ]],0)))</f>
        <v>n/a</v>
      </c>
      <c r="FW48" s="318" t="str">
        <f>IF(INDEX(tab_MinKomp[BRAK / Keine9],MATCH($B47,tab_MinKomp[[Stanowisko / Position ]:[Stanowisko / Position ]],0))="n/a","n/a",INDEX(tab_MinKomp[BRAK / Keine9],MATCH($B47,tab_MinKomp[[Stanowisko / Position ]:[Stanowisko / Position ]],0)))</f>
        <v>n/a</v>
      </c>
      <c r="FX48" s="315" t="str">
        <f>IF(INDEX(tab_MinKomp[ZAWODOWE / Berufsausbildung],MATCH($B47,tab_MinKomp[[Stanowisko / Position ]:[Stanowisko / Position ]],0))="n/a","n/a",INDEX(tab_MinKomp[ZAWODOWE / Berufsausbildung],MATCH($B47,tab_MinKomp[[Stanowisko / Position ]:[Stanowisko / Position ]],0)))</f>
        <v>n/a</v>
      </c>
      <c r="FY48" s="315" t="str">
        <f>IF(INDEX(tab_MinKomp[ŚREDNIE OGÓLNE / Abitur allgemeine],MATCH($B47,tab_MinKomp[[Stanowisko / Position ]:[Stanowisko / Position ]],0))="n/a","n/a",INDEX(tab_MinKomp[ŚREDNIE OGÓLNE / Abitur allgemeine],MATCH($B47,tab_MinKomp[[Stanowisko / Position ]:[Stanowisko / Position ]],0)))</f>
        <v>n/a</v>
      </c>
      <c r="FZ48" s="315" t="str">
        <f>IF(INDEX(tab_MinKomp[ŚREDNIE KIERUNKOWE / berufliches Gymnasium],MATCH($B47,tab_MinKomp[[Stanowisko / Position ]:[Stanowisko / Position ]],0))="n/a","n/a",INDEX(tab_MinKomp[ŚREDNIE KIERUNKOWE / berufliches Gymnasium],MATCH($B47,tab_MinKomp[[Stanowisko / Position ]:[Stanowisko / Position ]],0)))</f>
        <v>n/a</v>
      </c>
      <c r="GA48" s="315" t="str">
        <f>IF(INDEX(tab_MinKomp[WYŻSZE OGÓLNE / Hochschule allgemeine],MATCH($B47,tab_MinKomp[[Stanowisko / Position ]:[Stanowisko / Position ]],0))="n/a","n/a",INDEX(tab_MinKomp[WYŻSZE OGÓLNE / Hochschule allgemeine],MATCH($B47,tab_MinKomp[[Stanowisko / Position ]:[Stanowisko / Position ]],0)))</f>
        <v>n/a</v>
      </c>
      <c r="GB48" s="319" t="str">
        <f>IF(INDEX(tab_MinKomp[WYŻSZE KIERUNKOWE / Hochschule berufliche],MATCH($B47,tab_MinKomp[[Stanowisko / Position ]:[Stanowisko / Position ]],0))="n/a","n/a",INDEX(tab_MinKomp[WYŻSZE KIERUNKOWE / Hochschule berufliche],MATCH($B47,tab_MinKomp[[Stanowisko / Position ]:[Stanowisko / Position ]],0)))</f>
        <v>n/a</v>
      </c>
      <c r="GC48" s="318" t="str">
        <f>IF(INDEX(tab_MinKomp[PIERWSZA POMOC / Erste Hilfe],MATCH($B47,tab_MinKomp[[Stanowisko / Position ]:[Stanowisko / Position ]],0))="n/a","n/a",INDEX(tab_MinKomp[PIERWSZA POMOC / Erste Hilfe],MATCH($B47,tab_MinKomp[[Stanowisko / Position ]:[Stanowisko / Position ]],0)))</f>
        <v>n/a</v>
      </c>
      <c r="GD48" s="315" t="str">
        <f>IF(INDEX(tab_MinKomp[Specjalista BHP / BHP Spezialist],MATCH($B47,tab_MinKomp[[Stanowisko / Position ]:[Stanowisko / Position ]],0))="n/a","n/a",INDEX(tab_MinKomp[Specjalista BHP / BHP Spezialist],MATCH($B47,tab_MinKomp[[Stanowisko / Position ]:[Stanowisko / Position ]],0)))</f>
        <v>n/a</v>
      </c>
      <c r="GE48" s="315" t="str">
        <f>IF(INDEX(tab_MinKomp[Inspektor ochrony PPOŻ / Brandschutzinspektor],MATCH($B47,tab_MinKomp[[Stanowisko / Position ]:[Stanowisko / Position ]],0))="n/a","n/a",INDEX(tab_MinKomp[Inspektor ochrony PPOŻ / Brandschutzinspektor],MATCH($B47,tab_MinKomp[[Stanowisko / Position ]:[Stanowisko / Position ]],0)))</f>
        <v>n/a</v>
      </c>
      <c r="GF48" s="315" t="str">
        <f>IF(INDEX(tab_MinKomp[WÓZKI JEZDNIOWE / Gebelstapler],MATCH($B47,tab_MinKomp[[Stanowisko / Position ]:[Stanowisko / Position ]],0))="n/a","n/a",INDEX(tab_MinKomp[WÓZKI JEZDNIOWE / Gebelstapler],MATCH($B47,tab_MinKomp[[Stanowisko / Position ]:[Stanowisko / Position ]],0)))</f>
        <v>n/a</v>
      </c>
      <c r="GG48" s="315" t="str">
        <f>IF(INDEX(tab_MinKomp[SEP],MATCH($B47,tab_MinKomp[[Stanowisko / Position ]:[Stanowisko / Position ]],0))="n/a","n/a",INDEX(tab_MinKomp[SEP],MATCH($B47,tab_MinKomp[[Stanowisko / Position ]:[Stanowisko / Position ]],0)))</f>
        <v>n/a</v>
      </c>
      <c r="GH48" s="315" t="str">
        <f>IF(INDEX(tab_MinKomp[SEP  DOZÓR / SEP Aufsicht],MATCH($B47,tab_MinKomp[[Stanowisko / Position ]:[Stanowisko / Position ]],0))="n/a","n/a",INDEX(tab_MinKomp[SEP  DOZÓR / SEP Aufsicht],MATCH($B47,tab_MinKomp[[Stanowisko / Position ]:[Stanowisko / Position ]],0)))</f>
        <v>n/a</v>
      </c>
      <c r="GI48" s="315" t="str">
        <f>IF(INDEX(tab_MinKomp[PODNOŚNIKI / Hebevorrichtung],MATCH($B47,tab_MinKomp[[Stanowisko / Position ]:[Stanowisko / Position ]],0))="n/a","n/a",INDEX(tab_MinKomp[PODNOŚNIKI / Hebevorrichtung],MATCH($B47,tab_MinKomp[[Stanowisko / Position ]:[Stanowisko / Position ]],0)))</f>
        <v>n/a</v>
      </c>
      <c r="GJ48" s="315" t="str">
        <f>IF(INDEX(tab_MinKomp[SUWNICE / Laufkran],MATCH($B47,tab_MinKomp[[Stanowisko / Position ]:[Stanowisko / Position ]],0))="n/a","n/a",INDEX(tab_MinKomp[SUWNICE / Laufkran],MATCH($B47,tab_MinKomp[[Stanowisko / Position ]:[Stanowisko / Position ]],0)))</f>
        <v>n/a</v>
      </c>
      <c r="GK48" s="319" t="str">
        <f>IF(INDEX(tab_MinKomp[WYSOKOŚCIOWE / Höhenberechtigungen],MATCH($B47,tab_MinKomp[[Stanowisko / Position ]:[Stanowisko / Position ]],0))="n/a","n/a",INDEX(tab_MinKomp[WYSOKOŚCIOWE / Höhenberechtigungen],MATCH($B47,tab_MinKomp[[Stanowisko / Position ]:[Stanowisko / Position ]],0)))</f>
        <v>n/a</v>
      </c>
      <c r="GL48" s="320">
        <f>SUM(G48:FP48)/(GL47-(SUM(G48:FP48)))</f>
        <v>-1.5706806282722512E-2</v>
      </c>
      <c r="GM48" s="132"/>
    </row>
    <row r="49" spans="1:195" s="187" customFormat="1" ht="28.35" customHeight="1" x14ac:dyDescent="0.25">
      <c r="A49" s="135" t="s">
        <v>227</v>
      </c>
      <c r="B49" s="135" t="s">
        <v>602</v>
      </c>
      <c r="C49" s="135" t="s">
        <v>254</v>
      </c>
      <c r="D49" s="135">
        <v>502</v>
      </c>
      <c r="E49" s="565" t="s">
        <v>257</v>
      </c>
      <c r="F49" s="307" t="s">
        <v>165</v>
      </c>
      <c r="G49" s="308">
        <v>2</v>
      </c>
      <c r="H49" s="308">
        <v>2</v>
      </c>
      <c r="I49" s="308">
        <v>3</v>
      </c>
      <c r="J49" s="308">
        <v>1</v>
      </c>
      <c r="K49" s="308">
        <v>1</v>
      </c>
      <c r="L49" s="308">
        <v>1</v>
      </c>
      <c r="M49" s="308">
        <v>1</v>
      </c>
      <c r="N49" s="308">
        <v>1</v>
      </c>
      <c r="O49" s="308">
        <v>2</v>
      </c>
      <c r="P49" s="308">
        <v>2</v>
      </c>
      <c r="Q49" s="308" t="s">
        <v>176</v>
      </c>
      <c r="R49" s="308" t="s">
        <v>176</v>
      </c>
      <c r="S49" s="308">
        <v>2</v>
      </c>
      <c r="T49" s="308">
        <v>2</v>
      </c>
      <c r="U49" s="308">
        <v>3</v>
      </c>
      <c r="V49" s="308">
        <v>3</v>
      </c>
      <c r="W49" s="308">
        <v>2</v>
      </c>
      <c r="X49" s="308">
        <v>2</v>
      </c>
      <c r="Y49" s="308">
        <v>2</v>
      </c>
      <c r="Z49" s="308">
        <v>2</v>
      </c>
      <c r="AA49" s="308">
        <v>3</v>
      </c>
      <c r="AB49" s="308">
        <v>3</v>
      </c>
      <c r="AC49" s="308">
        <v>1</v>
      </c>
      <c r="AD49" s="308">
        <v>1</v>
      </c>
      <c r="AE49" s="308">
        <v>1</v>
      </c>
      <c r="AF49" s="308">
        <v>1</v>
      </c>
      <c r="AG49" s="308" t="s">
        <v>176</v>
      </c>
      <c r="AH49" s="308" t="s">
        <v>176</v>
      </c>
      <c r="AI49" s="308" t="s">
        <v>176</v>
      </c>
      <c r="AJ49" s="308" t="s">
        <v>176</v>
      </c>
      <c r="AK49" s="308" t="s">
        <v>176</v>
      </c>
      <c r="AL49" s="308">
        <v>3</v>
      </c>
      <c r="AM49" s="308">
        <v>1</v>
      </c>
      <c r="AN49" s="308" t="s">
        <v>176</v>
      </c>
      <c r="AO49" s="308" t="s">
        <v>176</v>
      </c>
      <c r="AP49" s="308" t="s">
        <v>176</v>
      </c>
      <c r="AQ49" s="308">
        <v>1</v>
      </c>
      <c r="AR49" s="308" t="s">
        <v>176</v>
      </c>
      <c r="AS49" s="308" t="s">
        <v>176</v>
      </c>
      <c r="AT49" s="308" t="s">
        <v>176</v>
      </c>
      <c r="AU49" s="308" t="s">
        <v>176</v>
      </c>
      <c r="AV49" s="308">
        <v>3</v>
      </c>
      <c r="AW49" s="308">
        <v>2</v>
      </c>
      <c r="AX49" s="308">
        <v>2</v>
      </c>
      <c r="AY49" s="308" t="s">
        <v>176</v>
      </c>
      <c r="AZ49" s="308">
        <v>3</v>
      </c>
      <c r="BA49" s="308">
        <v>3</v>
      </c>
      <c r="BB49" s="308">
        <v>3</v>
      </c>
      <c r="BC49" s="308">
        <v>1</v>
      </c>
      <c r="BD49" s="308">
        <v>1</v>
      </c>
      <c r="BE49" s="308">
        <v>3</v>
      </c>
      <c r="BF49" s="308" t="s">
        <v>176</v>
      </c>
      <c r="BG49" s="308" t="s">
        <v>176</v>
      </c>
      <c r="BH49" s="308" t="s">
        <v>176</v>
      </c>
      <c r="BI49" s="308" t="s">
        <v>176</v>
      </c>
      <c r="BJ49" s="308" t="s">
        <v>176</v>
      </c>
      <c r="BK49" s="308" t="s">
        <v>176</v>
      </c>
      <c r="BL49" s="308" t="s">
        <v>176</v>
      </c>
      <c r="BM49" s="308" t="s">
        <v>176</v>
      </c>
      <c r="BN49" s="308" t="s">
        <v>176</v>
      </c>
      <c r="BO49" s="308" t="s">
        <v>176</v>
      </c>
      <c r="BP49" s="308" t="s">
        <v>176</v>
      </c>
      <c r="BQ49" s="308" t="s">
        <v>176</v>
      </c>
      <c r="BR49" s="308" t="s">
        <v>176</v>
      </c>
      <c r="BS49" s="308" t="s">
        <v>176</v>
      </c>
      <c r="BT49" s="308" t="s">
        <v>176</v>
      </c>
      <c r="BU49" s="308" t="s">
        <v>176</v>
      </c>
      <c r="BV49" s="308" t="s">
        <v>176</v>
      </c>
      <c r="BW49" s="308" t="s">
        <v>176</v>
      </c>
      <c r="BX49" s="308" t="s">
        <v>176</v>
      </c>
      <c r="BY49" s="308" t="s">
        <v>176</v>
      </c>
      <c r="BZ49" s="308" t="s">
        <v>176</v>
      </c>
      <c r="CA49" s="308" t="s">
        <v>176</v>
      </c>
      <c r="CB49" s="308" t="s">
        <v>176</v>
      </c>
      <c r="CC49" s="308" t="s">
        <v>176</v>
      </c>
      <c r="CD49" s="308" t="s">
        <v>176</v>
      </c>
      <c r="CE49" s="308" t="s">
        <v>176</v>
      </c>
      <c r="CF49" s="308" t="s">
        <v>176</v>
      </c>
      <c r="CG49" s="308">
        <v>2</v>
      </c>
      <c r="CH49" s="308" t="s">
        <v>176</v>
      </c>
      <c r="CI49" s="308">
        <v>3</v>
      </c>
      <c r="CJ49" s="308">
        <v>2</v>
      </c>
      <c r="CK49" s="308" t="s">
        <v>176</v>
      </c>
      <c r="CL49" s="308" t="s">
        <v>176</v>
      </c>
      <c r="CM49" s="308">
        <v>1</v>
      </c>
      <c r="CN49" s="308">
        <v>1</v>
      </c>
      <c r="CO49" s="308">
        <v>1</v>
      </c>
      <c r="CP49" s="308">
        <v>1</v>
      </c>
      <c r="CQ49" s="308" t="s">
        <v>176</v>
      </c>
      <c r="CR49" s="308" t="s">
        <v>176</v>
      </c>
      <c r="CS49" s="308" t="s">
        <v>176</v>
      </c>
      <c r="CT49" s="308" t="s">
        <v>176</v>
      </c>
      <c r="CU49" s="308" t="s">
        <v>176</v>
      </c>
      <c r="CV49" s="308" t="s">
        <v>176</v>
      </c>
      <c r="CW49" s="308" t="s">
        <v>176</v>
      </c>
      <c r="CX49" s="308" t="s">
        <v>176</v>
      </c>
      <c r="CY49" s="308" t="s">
        <v>176</v>
      </c>
      <c r="CZ49" s="308" t="s">
        <v>176</v>
      </c>
      <c r="DA49" s="308" t="s">
        <v>176</v>
      </c>
      <c r="DB49" s="308" t="s">
        <v>176</v>
      </c>
      <c r="DC49" s="308" t="s">
        <v>176</v>
      </c>
      <c r="DD49" s="308" t="s">
        <v>176</v>
      </c>
      <c r="DE49" s="308" t="s">
        <v>176</v>
      </c>
      <c r="DF49" s="308" t="s">
        <v>176</v>
      </c>
      <c r="DG49" s="308" t="s">
        <v>176</v>
      </c>
      <c r="DH49" s="308" t="s">
        <v>176</v>
      </c>
      <c r="DI49" s="308" t="s">
        <v>176</v>
      </c>
      <c r="DJ49" s="308" t="s">
        <v>176</v>
      </c>
      <c r="DK49" s="308" t="s">
        <v>176</v>
      </c>
      <c r="DL49" s="308" t="s">
        <v>176</v>
      </c>
      <c r="DM49" s="308" t="s">
        <v>176</v>
      </c>
      <c r="DN49" s="308" t="s">
        <v>176</v>
      </c>
      <c r="DO49" s="308" t="s">
        <v>176</v>
      </c>
      <c r="DP49" s="308" t="s">
        <v>176</v>
      </c>
      <c r="DQ49" s="308" t="s">
        <v>176</v>
      </c>
      <c r="DR49" s="308" t="s">
        <v>176</v>
      </c>
      <c r="DS49" s="308" t="s">
        <v>176</v>
      </c>
      <c r="DT49" s="308" t="s">
        <v>176</v>
      </c>
      <c r="DU49" s="308" t="s">
        <v>176</v>
      </c>
      <c r="DV49" s="306" t="s">
        <v>176</v>
      </c>
      <c r="DW49" s="306" t="s">
        <v>176</v>
      </c>
      <c r="DX49" s="306" t="s">
        <v>176</v>
      </c>
      <c r="DY49" s="308" t="s">
        <v>176</v>
      </c>
      <c r="DZ49" s="308" t="s">
        <v>176</v>
      </c>
      <c r="EA49" s="308" t="s">
        <v>176</v>
      </c>
      <c r="EB49" s="308" t="s">
        <v>176</v>
      </c>
      <c r="EC49" s="308" t="s">
        <v>176</v>
      </c>
      <c r="ED49" s="308" t="s">
        <v>176</v>
      </c>
      <c r="EE49" s="308" t="s">
        <v>176</v>
      </c>
      <c r="EF49" s="308" t="s">
        <v>176</v>
      </c>
      <c r="EG49" s="308" t="s">
        <v>176</v>
      </c>
      <c r="EH49" s="308" t="s">
        <v>176</v>
      </c>
      <c r="EI49" s="308" t="s">
        <v>176</v>
      </c>
      <c r="EJ49" s="308" t="s">
        <v>176</v>
      </c>
      <c r="EK49" s="308" t="s">
        <v>176</v>
      </c>
      <c r="EL49" s="308" t="s">
        <v>176</v>
      </c>
      <c r="EM49" s="308" t="s">
        <v>176</v>
      </c>
      <c r="EN49" s="308" t="s">
        <v>176</v>
      </c>
      <c r="EO49" s="308" t="s">
        <v>176</v>
      </c>
      <c r="EP49" s="308" t="s">
        <v>176</v>
      </c>
      <c r="EQ49" s="308" t="s">
        <v>176</v>
      </c>
      <c r="ER49" s="308" t="s">
        <v>176</v>
      </c>
      <c r="ES49" s="308" t="s">
        <v>176</v>
      </c>
      <c r="ET49" s="308" t="s">
        <v>176</v>
      </c>
      <c r="EU49" s="308" t="s">
        <v>176</v>
      </c>
      <c r="EV49" s="308" t="s">
        <v>176</v>
      </c>
      <c r="EW49" s="308" t="s">
        <v>176</v>
      </c>
      <c r="EX49" s="308" t="s">
        <v>176</v>
      </c>
      <c r="EY49" s="308">
        <v>2</v>
      </c>
      <c r="EZ49" s="308">
        <v>2</v>
      </c>
      <c r="FA49" s="308">
        <v>2</v>
      </c>
      <c r="FB49" s="308">
        <v>1</v>
      </c>
      <c r="FC49" s="308">
        <v>2</v>
      </c>
      <c r="FD49" s="308">
        <v>2</v>
      </c>
      <c r="FE49" s="308">
        <v>3</v>
      </c>
      <c r="FF49" s="308">
        <v>3</v>
      </c>
      <c r="FG49" s="308">
        <v>2</v>
      </c>
      <c r="FH49" s="308">
        <v>3</v>
      </c>
      <c r="FI49" s="308">
        <v>3</v>
      </c>
      <c r="FJ49" s="308">
        <v>3</v>
      </c>
      <c r="FK49" s="308">
        <v>3</v>
      </c>
      <c r="FL49" s="308">
        <v>2</v>
      </c>
      <c r="FM49" s="308">
        <v>3</v>
      </c>
      <c r="FN49" s="308">
        <v>3</v>
      </c>
      <c r="FO49" s="308">
        <v>2</v>
      </c>
      <c r="FP49" s="308">
        <v>3</v>
      </c>
      <c r="FQ49" s="308" t="s">
        <v>176</v>
      </c>
      <c r="FR49" s="308" t="s">
        <v>176</v>
      </c>
      <c r="FS49" s="308" t="s">
        <v>387</v>
      </c>
      <c r="FT49" s="308" t="s">
        <v>176</v>
      </c>
      <c r="FU49" s="308" t="s">
        <v>176</v>
      </c>
      <c r="FV49" s="308" t="s">
        <v>176</v>
      </c>
      <c r="FW49" s="308" t="s">
        <v>176</v>
      </c>
      <c r="FX49" s="308" t="s">
        <v>176</v>
      </c>
      <c r="FY49" s="308" t="s">
        <v>176</v>
      </c>
      <c r="FZ49" s="308" t="s">
        <v>176</v>
      </c>
      <c r="GA49" s="308" t="s">
        <v>160</v>
      </c>
      <c r="GB49" s="308" t="s">
        <v>176</v>
      </c>
      <c r="GC49" s="308" t="s">
        <v>176</v>
      </c>
      <c r="GD49" s="308" t="s">
        <v>176</v>
      </c>
      <c r="GE49" s="308" t="s">
        <v>176</v>
      </c>
      <c r="GF49" s="308" t="s">
        <v>176</v>
      </c>
      <c r="GG49" s="308" t="s">
        <v>176</v>
      </c>
      <c r="GH49" s="308" t="s">
        <v>176</v>
      </c>
      <c r="GI49" s="308" t="s">
        <v>176</v>
      </c>
      <c r="GJ49" s="308" t="s">
        <v>176</v>
      </c>
      <c r="GK49" s="308" t="s">
        <v>176</v>
      </c>
      <c r="GL49" s="311">
        <f>SUM(G49:FP49)</f>
        <v>125</v>
      </c>
      <c r="GM49" s="132"/>
    </row>
    <row r="50" spans="1:195" s="187" customFormat="1" ht="28.35" customHeight="1" thickBot="1" x14ac:dyDescent="0.3">
      <c r="A50" s="138" t="str">
        <f>A49</f>
        <v>Management / zarządzanie</v>
      </c>
      <c r="B50" s="138" t="str">
        <f>B49</f>
        <v>Kierownik ds. finansów</v>
      </c>
      <c r="C50" s="138" t="str">
        <f>C49</f>
        <v>MG</v>
      </c>
      <c r="D50" s="138">
        <f>D49</f>
        <v>502</v>
      </c>
      <c r="E50" s="566" t="str">
        <f>E49</f>
        <v>Kaliszewska Dorota</v>
      </c>
      <c r="F50" s="312" t="s">
        <v>166</v>
      </c>
      <c r="G50" s="313">
        <f>IF(INDEX(tab_MinKomp[Przepisy BHP / BHP Vorschriften],MATCH($B49,tab_MinKomp[[Stanowisko / Position ]:[Stanowisko / Position ]],0))="n/a","n/a",G49-INDEX(tab_MinKomp[Przepisy BHP / BHP Vorschriften],MATCH($B49,tab_MinKomp[[Stanowisko / Position ]:[Stanowisko / Position ]],0)))</f>
        <v>0</v>
      </c>
      <c r="H50" s="313">
        <f>IF(INDEX(tab_MinKomp[Przepisy PPOŻ / Brandschutzbestimmungen],MATCH($B49,tab_MinKomp[[Stanowisko / Position ]:[Stanowisko / Position ]],0))="n/a","n/a",H49-INDEX(tab_MinKomp[Przepisy PPOŻ / Brandschutzbestimmungen],MATCH($B49,tab_MinKomp[[Stanowisko / Position ]:[Stanowisko / Position ]],0)))</f>
        <v>0</v>
      </c>
      <c r="I50" s="314">
        <f>IF(INDEX(tab_MinKomp[Ryzyko zawodowe na stanowiskach pracyv/ Berufliche Risiken an Arbeitsstellen],MATCH($B49,tab_MinKomp[[Stanowisko / Position ]:[Stanowisko / Position ]],0))="n/a","n/a",I49-INDEX(tab_MinKomp[Ryzyko zawodowe na stanowiskach pracyv/ Berufliche Risiken an Arbeitsstellen],MATCH($B49,tab_MinKomp[[Stanowisko / Position ]:[Stanowisko / Position ]],0)))</f>
        <v>0</v>
      </c>
      <c r="J50" s="314">
        <f>IF(INDEX(tab_MinKomp[Gospodarka substancjami niebezpiecznymi / Gefahrstoffmanagement],MATCH($B49,tab_MinKomp[[Stanowisko / Position ]:[Stanowisko / Position ]],0))="n/a","n/a",J49-INDEX(tab_MinKomp[Gospodarka substancjami niebezpiecznymi / Gefahrstoffmanagement],MATCH($B49,tab_MinKomp[[Stanowisko / Position ]:[Stanowisko / Position ]],0)))</f>
        <v>-1</v>
      </c>
      <c r="K50" s="314">
        <f>IF(INDEX(tab_MinKomp[Gospodarka odpadami / Abfallwirtschaft],MATCH($B49,tab_MinKomp[[Stanowisko / Position ]:[Stanowisko / Position ]],0))="n/a","n/a",K49-INDEX(tab_MinKomp[Gospodarka odpadami / Abfallwirtschaft],MATCH($B49,tab_MinKomp[[Stanowisko / Position ]:[Stanowisko / Position ]],0)))</f>
        <v>-1</v>
      </c>
      <c r="L50" s="315">
        <f>IF(INDEX(tab_MinKomp[Przepisy kodeksu pracy / Bestimmungen des Arbeitsgesetzes],MATCH($B49,tab_MinKomp[[Stanowisko / Position ]:[Stanowisko / Position ]],0))="n/a","n/a",L49-INDEX(tab_MinKomp[Przepisy kodeksu pracy / Bestimmungen des Arbeitsgesetzes],MATCH($B49,tab_MinKomp[[Stanowisko / Position ]:[Stanowisko / Position ]],0)))</f>
        <v>0</v>
      </c>
      <c r="M50" s="316" t="str">
        <f>IF(INDEX(tab_MinKomp[Przepisy o ub.społ. ZUS  / Sozialversicherungsvorschriften],MATCH($B49,tab_MinKomp[[Stanowisko / Position ]:[Stanowisko / Position ]],0))="n/a","n/a",M49-INDEX(tab_MinKomp[Przepisy o ub.społ. ZUS  / Sozialversicherungsvorschriften],MATCH($B49,tab_MinKomp[[Stanowisko / Position ]:[Stanowisko / Position ]],0)))</f>
        <v>n/a</v>
      </c>
      <c r="N50" s="315" t="str">
        <f>IF(INDEX(tab_MinKomp[PRZEPISY O PDOF /persönlich Einkommensteuergesetz ],MATCH($B49,tab_MinKomp[[Stanowisko / Position ]:[Stanowisko / Position ]],0))="n/a","n/a",N49-INDEX(tab_MinKomp[PRZEPISY O PDOF /persönlich Einkommensteuergesetz ],MATCH($B49,tab_MinKomp[[Stanowisko / Position ]:[Stanowisko / Position ]],0)))</f>
        <v>n/a</v>
      </c>
      <c r="O50" s="315">
        <f>IF(INDEX(tab_MinKomp[Regulamin pracy / Arbeitsordnung],MATCH($B49,tab_MinKomp[[Stanowisko / Position ]:[Stanowisko / Position ]],0))="n/a","n/a",O49-INDEX(tab_MinKomp[Regulamin pracy / Arbeitsordnung],MATCH($B49,tab_MinKomp[[Stanowisko / Position ]:[Stanowisko / Position ]],0)))</f>
        <v>0</v>
      </c>
      <c r="P50" s="315">
        <f>IF(INDEX(tab_MinKomp[Regulamin wynagradzania / Vergütungsordnung],MATCH($B49,tab_MinKomp[[Stanowisko / Position ]:[Stanowisko / Position ]],0))="n/a","n/a",P49-INDEX(tab_MinKomp[Regulamin wynagradzania / Vergütungsordnung],MATCH($B49,tab_MinKomp[[Stanowisko / Position ]:[Stanowisko / Position ]],0)))</f>
        <v>0</v>
      </c>
      <c r="Q50" s="315" t="str">
        <f>IF(INDEX(tab_MinKomp[System R2PŁATNIK PRO: Płace / Lohnabrechnung],MATCH($B49,tab_MinKomp[[Stanowisko / Position ]:[Stanowisko / Position ]],0))="n/a","n/a",Q49-INDEX(tab_MinKomp[System R2PŁATNIK PRO: Płace / Lohnabrechnung],MATCH($B49,tab_MinKomp[[Stanowisko / Position ]:[Stanowisko / Position ]],0)))</f>
        <v>n/a</v>
      </c>
      <c r="R50" s="315" t="str">
        <f>IF(INDEX(tab_MinKomp[SystemR2PŁATNIK PRO: KADRY / Personaldaten],MATCH($B49,tab_MinKomp[[Stanowisko / Position ]:[Stanowisko / Position ]],0))="n/a","n/a",R49-INDEX(tab_MinKomp[SystemR2PŁATNIK PRO: KADRY / Personaldaten],MATCH($B49,tab_MinKomp[[Stanowisko / Position ]:[Stanowisko / Position ]],0)))</f>
        <v>n/a</v>
      </c>
      <c r="S50" s="315">
        <f>IF(INDEX(tab_MinKomp[SYSTEM R2PŁATNIK PRO: zarządzanie pracownikami / Arbeitsverwaltung],MATCH($B49,tab_MinKomp[[Stanowisko / Position ]:[Stanowisko / Position ]],0))="n/a","n/a",S49-INDEX(tab_MinKomp[SYSTEM R2PŁATNIK PRO: zarządzanie pracownikami / Arbeitsverwaltung],MATCH($B49,tab_MinKomp[[Stanowisko / Position ]:[Stanowisko / Position ]],0)))</f>
        <v>0</v>
      </c>
      <c r="T50" s="315">
        <f>IF(INDEX(tab_MinKomp[Doradztwo, wsparcie personalne / Personalberatung und Unterstützung],MATCH($B49,tab_MinKomp[[Stanowisko / Position ]:[Stanowisko / Position ]],0))="n/a","n/a",T49-INDEX(tab_MinKomp[Doradztwo, wsparcie personalne / Personalberatung und Unterstützung],MATCH($B49,tab_MinKomp[[Stanowisko / Position ]:[Stanowisko / Position ]],0)))</f>
        <v>0</v>
      </c>
      <c r="U50" s="315" t="str">
        <f>IF(INDEX(tab_MinKomp[Przepisy o podatku VAT / MwSt.- Gesetz],MATCH($B49,tab_MinKomp[[Stanowisko / Position ]:[Stanowisko / Position ]],0))="n/a","n/a",U49-INDEX(tab_MinKomp[Przepisy o podatku VAT / MwSt.- Gesetz],MATCH($B49,tab_MinKomp[[Stanowisko / Position ]:[Stanowisko / Position ]],0)))</f>
        <v>n/a</v>
      </c>
      <c r="V50" s="315" t="str">
        <f>IF(INDEX(tab_MinKomp[PrzepisyPDOP / geschäftlich Einkommensteuergesetz],MATCH($B49,tab_MinKomp[[Stanowisko / Position ]:[Stanowisko / Position ]],0))="n/a","n/a",V49-INDEX(tab_MinKomp[PrzepisyPDOP / geschäftlich Einkommensteuergesetz],MATCH($B49,tab_MinKomp[[Stanowisko / Position ]:[Stanowisko / Position ]],0)))</f>
        <v>n/a</v>
      </c>
      <c r="W50" s="315" t="str">
        <f>IF(INDEX(tab_MinKomp[System BAAN / FINANSE (FIBU)],MATCH($B49,tab_MinKomp[[Stanowisko / Position ]:[Stanowisko / Position ]],0))="n/a","n/a",W49-INDEX(tab_MinKomp[System BAAN / FINANSE (FIBU)],MATCH($B49,tab_MinKomp[[Stanowisko / Position ]:[Stanowisko / Position ]],0)))</f>
        <v>n/a</v>
      </c>
      <c r="X50" s="315">
        <f>IF(INDEX(tab_MinKomp[Systemy pomocnicze / Hilfssysteme(STOCKPROGRAM, KALK2000 etc.)],MATCH($B49,tab_MinKomp[[Stanowisko / Position ]:[Stanowisko / Position ]],0))="n/a","n/a",X49-INDEX(tab_MinKomp[Systemy pomocnicze / Hilfssysteme(STOCKPROGRAM, KALK2000 etc.)],MATCH($B49,tab_MinKomp[[Stanowisko / Position ]:[Stanowisko / Position ]],0)))</f>
        <v>1</v>
      </c>
      <c r="Y50" s="315" t="str">
        <f>IF(INDEX(tab_MinKomp[Polityka rachunkowości / Buchführungspolitik],MATCH($B49,tab_MinKomp[[Stanowisko / Position ]:[Stanowisko / Position ]],0))="n/a","n/a",Y49-INDEX(tab_MinKomp[Polityka rachunkowości / Buchführungspolitik],MATCH($B49,tab_MinKomp[[Stanowisko / Position ]:[Stanowisko / Position ]],0)))</f>
        <v>n/a</v>
      </c>
      <c r="Z50" s="315" t="str">
        <f>IF(INDEX(tab_MinKomp[Ustawa o rachunkowości / Rechnungslegungsgesetz],MATCH($B49,tab_MinKomp[[Stanowisko / Position ]:[Stanowisko / Position ]],0))="n/a","n/a",Z49-INDEX(tab_MinKomp[Ustawa o rachunkowości / Rechnungslegungsgesetz],MATCH($B49,tab_MinKomp[[Stanowisko / Position ]:[Stanowisko / Position ]],0)))</f>
        <v>n/a</v>
      </c>
      <c r="AA50" s="315" t="str">
        <f>IF(INDEX(tab_MinKomp[WORKFLOW - TS-100],MATCH($B49,tab_MinKomp[[Stanowisko / Position ]:[Stanowisko / Position ]],0))="n/a","n/a",AA49-INDEX(tab_MinKomp[WORKFLOW - TS-100],MATCH($B49,tab_MinKomp[[Stanowisko / Position ]:[Stanowisko / Position ]],0)))</f>
        <v>n/a</v>
      </c>
      <c r="AB50" s="315">
        <f>IF(INDEX(tab_MinKomp[WORKFLOW - SFMS],MATCH($B49,tab_MinKomp[[Stanowisko / Position ]:[Stanowisko / Position ]],0))="n/a","n/a",AB49-INDEX(tab_MinKomp[WORKFLOW - SFMS],MATCH($B49,tab_MinKomp[[Stanowisko / Position ]:[Stanowisko / Position ]],0)))</f>
        <v>1</v>
      </c>
      <c r="AC50" s="315">
        <f>IF(INDEX(tab_MinKomp[System ISO 9001:2015],MATCH($B49,tab_MinKomp[[Stanowisko / Position ]:[Stanowisko / Position ]],0))="n/a","n/a",AC49-INDEX(tab_MinKomp[System ISO 9001:2015],MATCH($B49,tab_MinKomp[[Stanowisko / Position ]:[Stanowisko / Position ]],0)))</f>
        <v>0</v>
      </c>
      <c r="AD50" s="315">
        <f>IF(INDEX(tab_MinKomp[System IATF 16949:2016],MATCH($B49,tab_MinKomp[[Stanowisko / Position ]:[Stanowisko / Position ]],0))="n/a","n/a",AD49-INDEX(tab_MinKomp[System IATF 16949:2016],MATCH($B49,tab_MinKomp[[Stanowisko / Position ]:[Stanowisko / Position ]],0)))</f>
        <v>0</v>
      </c>
      <c r="AE50" s="315">
        <f>IF(INDEX(tab_MinKomp[System ISO 14001:2015],MATCH($B49,tab_MinKomp[[Stanowisko / Position ]:[Stanowisko / Position ]],0))="n/a","n/a",AE49-INDEX(tab_MinKomp[System ISO 14001:2015],MATCH($B49,tab_MinKomp[[Stanowisko / Position ]:[Stanowisko / Position ]],0)))</f>
        <v>0</v>
      </c>
      <c r="AF50" s="315">
        <f>IF(INDEX(tab_MinKomp[System PN-N 18001:2004 / ISO 45001:2018],MATCH($B49,tab_MinKomp[[Stanowisko / Position ]:[Stanowisko / Position ]],0))="n/a","n/a",AF49-INDEX(tab_MinKomp[System PN-N 18001:2004 / ISO 45001:2018],MATCH($B49,tab_MinKomp[[Stanowisko / Position ]:[Stanowisko / Position ]],0)))</f>
        <v>0</v>
      </c>
      <c r="AG50" s="315" t="str">
        <f>IF(INDEX(tab_MinKomp[Wymagania VDA 6.3 Process / Forderungen],MATCH($B49,tab_MinKomp[[Stanowisko / Position ]:[Stanowisko / Position ]],0))="n/a","n/a",AG49-INDEX(tab_MinKomp[Wymagania VDA 6.3 Process / Forderungen],MATCH($B49,tab_MinKomp[[Stanowisko / Position ]:[Stanowisko / Position ]],0)))</f>
        <v>n/a</v>
      </c>
      <c r="AH50" s="315" t="str">
        <f>IF(INDEX(tab_MinKomp[Wymagania VDA 6.5 Product / Forderungen],MATCH($B49,tab_MinKomp[[Stanowisko / Position ]:[Stanowisko / Position ]],0))="n/a","n/a",AH49-INDEX(tab_MinKomp[Wymagania VDA 6.5 Product / Forderungen],MATCH($B49,tab_MinKomp[[Stanowisko / Position ]:[Stanowisko / Position ]],0)))</f>
        <v>n/a</v>
      </c>
      <c r="AI50" s="315" t="str">
        <f>IF(INDEX(tab_MinKomp[PSCR (VW Product Safety &amp; Conformity Representative)],MATCH($B49,tab_MinKomp[[Stanowisko / Position ]:[Stanowisko / Position ]],0))="n/a","n/a",AI49-INDEX(tab_MinKomp[PSCR (VW Product Safety &amp; Conformity Representative)],MATCH($B49,tab_MinKomp[[Stanowisko / Position ]:[Stanowisko / Position ]],0)))</f>
        <v>n/a</v>
      </c>
      <c r="AJ50" s="315" t="str">
        <f>IF(INDEX(tab_MinKomp[Auditor systemu ISO 17025:2018],MATCH($B49,tab_MinKomp[[Stanowisko / Position ]:[Stanowisko / Position ]],0))="n/a","n/a",AJ49-INDEX(tab_MinKomp[Auditor systemu ISO 17025:2018],MATCH($B49,tab_MinKomp[[Stanowisko / Position ]:[Stanowisko / Position ]],0)))</f>
        <v>n/a</v>
      </c>
      <c r="AK50" s="315" t="str">
        <f>IF(INDEX(tab_MinKomp[Pełnomocnik systemu / Systemvertreter],MATCH($B49,tab_MinKomp[[Stanowisko / Position ]:[Stanowisko / Position ]],0))="n/a","n/a",AK49-INDEX(tab_MinKomp[Pełnomocnik systemu / Systemvertreter],MATCH($B49,tab_MinKomp[[Stanowisko / Position ]:[Stanowisko / Position ]],0)))</f>
        <v>n/a</v>
      </c>
      <c r="AL50" s="315">
        <f>IF(INDEX(tab_MinKomp[Polityka Etyczna - Compliance],MATCH($B49,tab_MinKomp[[Stanowisko / Position ]:[Stanowisko / Position ]],0))="n/a","n/a",AL49-INDEX(tab_MinKomp[Polityka Etyczna - Compliance],MATCH($B49,tab_MinKomp[[Stanowisko / Position ]:[Stanowisko / Position ]],0)))</f>
        <v>0</v>
      </c>
      <c r="AM50" s="315">
        <f>IF(INDEX(tab_MinKomp[WDRAŻANIE NOWYCH PROJEKTÓW/ PROCEDURA CTM],MATCH($B49,tab_MinKomp[[Stanowisko / Position ]:[Stanowisko / Position ]],0))="n/a","n/a",AM49-INDEX(tab_MinKomp[WDRAŻANIE NOWYCH PROJEKTÓW/ PROCEDURA CTM],MATCH($B49,tab_MinKomp[[Stanowisko / Position ]:[Stanowisko / Position ]],0)))</f>
        <v>0</v>
      </c>
      <c r="AN50" s="315" t="str">
        <f>IF(INDEX(tab_MinKomp[KAMIENIE MILOWE MSL/PIFF],MATCH($B49,tab_MinKomp[[Stanowisko / Position ]:[Stanowisko / Position ]],0))="n/a","n/a",AN49-INDEX(tab_MinKomp[KAMIENIE MILOWE MSL/PIFF],MATCH($B49,tab_MinKomp[[Stanowisko / Position ]:[Stanowisko / Position ]],0)))</f>
        <v>n/a</v>
      </c>
      <c r="AO50" s="315" t="str">
        <f>IF(INDEX(tab_MinKomp[CP],MATCH($B49,tab_MinKomp[[Stanowisko / Position ]:[Stanowisko / Position ]],0))="n/a","n/a",AO49-INDEX(tab_MinKomp[CP],MATCH($B49,tab_MinKomp[[Stanowisko / Position ]:[Stanowisko / Position ]],0)))</f>
        <v>n/a</v>
      </c>
      <c r="AP50" s="315" t="str">
        <f>IF(INDEX(tab_MinKomp[FMEA],MATCH($B49,tab_MinKomp[[Stanowisko / Position ]:[Stanowisko / Position ]],0))="n/a","n/a",AP49-INDEX(tab_MinKomp[FMEA],MATCH($B49,tab_MinKomp[[Stanowisko / Position ]:[Stanowisko / Position ]],0)))</f>
        <v>n/a</v>
      </c>
      <c r="AQ50" s="315">
        <f>IF(INDEX(tab_MinKomp[FLOW CHART],MATCH($B49,tab_MinKomp[[Stanowisko / Position ]:[Stanowisko / Position ]],0))="n/a","n/a",AQ49-INDEX(tab_MinKomp[FLOW CHART],MATCH($B49,tab_MinKomp[[Stanowisko / Position ]:[Stanowisko / Position ]],0)))</f>
        <v>-1</v>
      </c>
      <c r="AR50" s="315" t="str">
        <f>IF(INDEX(tab_MinKomp[APQP],MATCH($B49,tab_MinKomp[[Stanowisko / Position ]:[Stanowisko / Position ]],0))="n/a","n/a",AR49-INDEX(tab_MinKomp[APQP],MATCH($B49,tab_MinKomp[[Stanowisko / Position ]:[Stanowisko / Position ]],0)))</f>
        <v>n/a</v>
      </c>
      <c r="AS50" s="315" t="str">
        <f>IF(INDEX(tab_MinKomp[MSA],MATCH($B49,tab_MinKomp[[Stanowisko / Position ]:[Stanowisko / Position ]],0))="n/a","n/a",AS49-INDEX(tab_MinKomp[MSA],MATCH($B49,tab_MinKomp[[Stanowisko / Position ]:[Stanowisko / Position ]],0)))</f>
        <v>n/a</v>
      </c>
      <c r="AT50" s="315" t="str">
        <f>IF(INDEX(tab_MinKomp[SPC],MATCH($B49,tab_MinKomp[[Stanowisko / Position ]:[Stanowisko / Position ]],0))="n/a","n/a",AT49-INDEX(tab_MinKomp[SPC],MATCH($B49,tab_MinKomp[[Stanowisko / Position ]:[Stanowisko / Position ]],0)))</f>
        <v>n/a</v>
      </c>
      <c r="AU50" s="315" t="str">
        <f>IF(INDEX(tab_MinKomp[SPC],MATCH($B49,tab_MinKomp[[Stanowisko / Position ]:[Stanowisko / Position ]],0))="n/a","n/a",AU49-INDEX(tab_MinKomp[SPC],MATCH($B49,tab_MinKomp[[Stanowisko / Position ]:[Stanowisko / Position ]],0)))</f>
        <v>n/a</v>
      </c>
      <c r="AV50" s="315">
        <f>IF(INDEX(tab_MinKomp[5S],MATCH($B49,tab_MinKomp[[Stanowisko / Position ]:[Stanowisko / Position ]],0))="n/a","n/a",AV49-INDEX(tab_MinKomp[5S],MATCH($B49,tab_MinKomp[[Stanowisko / Position ]:[Stanowisko / Position ]],0)))</f>
        <v>0</v>
      </c>
      <c r="AW50" s="315">
        <f>IF(INDEX(tab_MinKomp[LEAN MANAGEMENT],MATCH($B49,tab_MinKomp[[Stanowisko / Position ]:[Stanowisko / Position ]],0))="n/a","n/a",AW49-INDEX(tab_MinKomp[LEAN MANAGEMENT],MATCH($B49,tab_MinKomp[[Stanowisko / Position ]:[Stanowisko / Position ]],0)))</f>
        <v>-1</v>
      </c>
      <c r="AX50" s="315">
        <f>IF(INDEX(tab_MinKomp[5R],MATCH($B49,tab_MinKomp[[Stanowisko / Position ]:[Stanowisko / Position ]],0))="n/a","n/a",AX49-INDEX(tab_MinKomp[5R],MATCH($B49,tab_MinKomp[[Stanowisko / Position ]:[Stanowisko / Position ]],0)))</f>
        <v>-1</v>
      </c>
      <c r="AY50" s="315" t="str">
        <f>IF(INDEX(tab_MinKomp[Six Sigma],MATCH($B49,tab_MinKomp[[Stanowisko / Position ]:[Stanowisko / Position ]],0))="n/a","n/a",AY49-INDEX(tab_MinKomp[Six Sigma],MATCH($B49,tab_MinKomp[[Stanowisko / Position ]:[Stanowisko / Position ]],0)))</f>
        <v>n/a</v>
      </c>
      <c r="AZ50" s="315">
        <f>IF(INDEX(tab_MinKomp[System BAAN / Distribution &amp; Supply Chain],MATCH($B49,tab_MinKomp[[Stanowisko / Position ]:[Stanowisko / Position ]],0))="n/a","n/a",AZ49-INDEX(tab_MinKomp[System BAAN / Distribution &amp; Supply Chain],MATCH($B49,tab_MinKomp[[Stanowisko / Position ]:[Stanowisko / Position ]],0)))</f>
        <v>0</v>
      </c>
      <c r="BA50" s="315">
        <f>IF(INDEX(tab_MinKomp[Gospodarka magazynowa / Lagerverwaltung],MATCH($B49,tab_MinKomp[[Stanowisko / Position ]:[Stanowisko / Position ]],0))="n/a","n/a",BA49-INDEX(tab_MinKomp[Gospodarka magazynowa / Lagerverwaltung],MATCH($B49,tab_MinKomp[[Stanowisko / Position ]:[Stanowisko / Position ]],0)))</f>
        <v>0</v>
      </c>
      <c r="BB50" s="315">
        <f>IF(INDEX(tab_MinKomp[Inwentaryzacja - organizacja i przebieg / Inventurprozess],MATCH($B49,tab_MinKomp[[Stanowisko / Position ]:[Stanowisko / Position ]],0))="n/a","n/a",BB49-INDEX(tab_MinKomp[Inwentaryzacja - organizacja i przebieg / Inventurprozess],MATCH($B49,tab_MinKomp[[Stanowisko / Position ]:[Stanowisko / Position ]],0)))</f>
        <v>0</v>
      </c>
      <c r="BC50" s="315">
        <f>IF(INDEX(tab_MinKomp[Organizacja dostaw / Versorgungsorganisation],MATCH($B49,tab_MinKomp[[Stanowisko / Position ]:[Stanowisko / Position ]],0))="n/a","n/a",BC49-INDEX(tab_MinKomp[Organizacja dostaw / Versorgungsorganisation],MATCH($B49,tab_MinKomp[[Stanowisko / Position ]:[Stanowisko / Position ]],0)))</f>
        <v>0</v>
      </c>
      <c r="BD50" s="315">
        <f>IF(INDEX(tab_MinKomp[Organizacja wysyłek / Organisation von Lieferungen],MATCH($B49,tab_MinKomp[[Stanowisko / Position ]:[Stanowisko / Position ]],0))="n/a","n/a",BD49-INDEX(tab_MinKomp[Organizacja wysyłek / Organisation von Lieferungen],MATCH($B49,tab_MinKomp[[Stanowisko / Position ]:[Stanowisko / Position ]],0)))</f>
        <v>0</v>
      </c>
      <c r="BE50" s="315">
        <f>IF(INDEX(tab_MinKomp[Analiza magazynowa - Program Polen.mdb / Inventuranalyse],MATCH($B49,tab_MinKomp[[Stanowisko / Position ]:[Stanowisko / Position ]],0))="n/a","n/a",BE49-INDEX(tab_MinKomp[Analiza magazynowa - Program Polen.mdb / Inventuranalyse],MATCH($B49,tab_MinKomp[[Stanowisko / Position ]:[Stanowisko / Position ]],0)))</f>
        <v>0</v>
      </c>
      <c r="BF50" s="315" t="str">
        <f>IF(INDEX(tab_MinKomp[MMOG (Materials Management Operations Guidelines)],MATCH($B49,tab_MinKomp[[Stanowisko / Position ]:[Stanowisko / Position ]],0))="n/a","n/a",BF49-INDEX(tab_MinKomp[MMOG (Materials Management Operations Guidelines)],MATCH($B49,tab_MinKomp[[Stanowisko / Position ]:[Stanowisko / Position ]],0)))</f>
        <v>n/a</v>
      </c>
      <c r="BG50" s="315" t="str">
        <f>IF(INDEX(tab_MinKomp[GPP],MATCH($B49,tab_MinKomp[[Stanowisko / Position ]:[Stanowisko / Position ]],0))="n/a","n/a",BG49-INDEX(tab_MinKomp[GPP],MATCH($B49,tab_MinKomp[[Stanowisko / Position ]:[Stanowisko / Position ]],0)))</f>
        <v>n/a</v>
      </c>
      <c r="BH50" s="315" t="str">
        <f>IF(INDEX(tab_MinKomp[AIAG (Automotive Industry Action Group)],MATCH($B49,tab_MinKomp[[Stanowisko / Position ]:[Stanowisko / Position ]],0))="n/a","n/a",BH49-INDEX(tab_MinKomp[AIAG (Automotive Industry Action Group)],MATCH($B49,tab_MinKomp[[Stanowisko / Position ]:[Stanowisko / Position ]],0)))</f>
        <v>n/a</v>
      </c>
      <c r="BI50" s="315" t="str">
        <f>IF(INDEX(tab_MinKomp[Super-G disputes],MATCH($B49,tab_MinKomp[[Stanowisko / Position ]:[Stanowisko / Position ]],0))="n/a","n/a",BI49-INDEX(tab_MinKomp[Super-G disputes],MATCH($B49,tab_MinKomp[[Stanowisko / Position ]:[Stanowisko / Position ]],0)))</f>
        <v>n/a</v>
      </c>
      <c r="BJ50" s="315" t="str">
        <f>IF(INDEX(tab_MinKomp[CMMS3/eDDL (Direct Data Link)],MATCH($B49,tab_MinKomp[[Stanowisko / Position ]:[Stanowisko / Position ]],0))="n/a","n/a",BJ49-INDEX(tab_MinKomp[CMMS3/eDDL (Direct Data Link)],MATCH($B49,tab_MinKomp[[Stanowisko / Position ]:[Stanowisko / Position ]],0)))</f>
        <v>n/a</v>
      </c>
      <c r="BK50" s="315" t="str">
        <f>IF(INDEX(tab_MinKomp[MP&amp;L (Material Planning and Logistics)],MATCH($B49,tab_MinKomp[[Stanowisko / Position ]:[Stanowisko / Position ]],0))="n/a","n/a",BK49-INDEX(tab_MinKomp[MP&amp;L (Material Planning and Logistics)],MATCH($B49,tab_MinKomp[[Stanowisko / Position ]:[Stanowisko / Position ]],0)))</f>
        <v>n/a</v>
      </c>
      <c r="BL50" s="315" t="str">
        <f>IF(INDEX(tab_MinKomp[Supplier delivery rating],MATCH($B49,tab_MinKomp[[Stanowisko / Position ]:[Stanowisko / Position ]],0))="n/a","n/a",BL49-INDEX(tab_MinKomp[Supplier delivery rating],MATCH($B49,tab_MinKomp[[Stanowisko / Position ]:[Stanowisko / Position ]],0)))</f>
        <v>n/a</v>
      </c>
      <c r="BM50" s="315" t="str">
        <f>IF(INDEX(tab_MinKomp[Planowanie produkcji / Produktionsplanung],MATCH($B49,tab_MinKomp[[Stanowisko / Position ]:[Stanowisko / Position ]],0))="n/a","n/a",BM49-INDEX(tab_MinKomp[Planowanie produkcji / Produktionsplanung],MATCH($B49,tab_MinKomp[[Stanowisko / Position ]:[Stanowisko / Position ]],0)))</f>
        <v>n/a</v>
      </c>
      <c r="BN50" s="315" t="str">
        <f>IF(INDEX(tab_MinKomp[Obsługa maszyn Engel / Engel Maschinenbedienung],MATCH($B49,tab_MinKomp[[Stanowisko / Position ]:[Stanowisko / Position ]],0))="n/a","n/a",BN49-INDEX(tab_MinKomp[Obsługa maszyn Engel / Engel Maschinenbedienung],MATCH($B49,tab_MinKomp[[Stanowisko / Position ]:[Stanowisko / Position ]],0)))</f>
        <v>n/a</v>
      </c>
      <c r="BO50" s="315" t="str">
        <f>IF(INDEX(tab_MinKomp[Obsługa maszyn Novapax / Novapax Maschinenbedienung],MATCH($B49,tab_MinKomp[[Stanowisko / Position ]:[Stanowisko / Position ]],0))="n/a","n/a",BO49-INDEX(tab_MinKomp[Obsługa maszyn Novapax / Novapax Maschinenbedienung],MATCH($B49,tab_MinKomp[[Stanowisko / Position ]:[Stanowisko / Position ]],0)))</f>
        <v>n/a</v>
      </c>
      <c r="BP50" s="315" t="str">
        <f>IF(INDEX(tab_MinKomp[Obsługa maszyn KVT / KVT Maschinenbedienung],MATCH($B49,tab_MinKomp[[Stanowisko / Position ]:[Stanowisko / Position ]],0))="n/a","n/a",BP49-INDEX(tab_MinKomp[Obsługa maszyn KVT / KVT Maschinenbedienung],MATCH($B49,tab_MinKomp[[Stanowisko / Position ]:[Stanowisko / Position ]],0)))</f>
        <v>n/a</v>
      </c>
      <c r="BQ50" s="315" t="str">
        <f>IF(INDEX(tab_MinKomp[Obsługa maszyn ASL / ASL Maschinenbedienung],MATCH($B49,tab_MinKomp[[Stanowisko / Position ]:[Stanowisko / Position ]],0))="n/a","n/a",BQ49-INDEX(tab_MinKomp[Obsługa maszyn ASL / ASL Maschinenbedienung],MATCH($B49,tab_MinKomp[[Stanowisko / Position ]:[Stanowisko / Position ]],0)))</f>
        <v>n/a</v>
      </c>
      <c r="BR50" s="315" t="str">
        <f>IF(INDEX(tab_MinKomp[Obsługa maszyn Branson / Branson Maschinenbedienung],MATCH($B49,tab_MinKomp[[Stanowisko / Position ]:[Stanowisko / Position ]],0))="n/a","n/a",BR49-INDEX(tab_MinKomp[Obsługa maszyn Branson / Branson Maschinenbedienung],MATCH($B49,tab_MinKomp[[Stanowisko / Position ]:[Stanowisko / Position ]],0)))</f>
        <v>n/a</v>
      </c>
      <c r="BS50" s="315" t="str">
        <f>IF(INDEX(tab_MinKomp[Obsługa maszyn Kamtec / Kamtec Maschinenbedienung],MATCH($B49,tab_MinKomp[[Stanowisko / Position ]:[Stanowisko / Position ]],0))="n/a","n/a",BS49-INDEX(tab_MinKomp[Obsługa maszyn Kamtec / Kamtec Maschinenbedienung],MATCH($B49,tab_MinKomp[[Stanowisko / Position ]:[Stanowisko / Position ]],0)))</f>
        <v>n/a</v>
      </c>
      <c r="BT50" s="315" t="str">
        <f>IF(INDEX(tab_MinKomp[Obsługa maszyn Piovan / Piovan Maschinenbedienung],MATCH($B49,tab_MinKomp[[Stanowisko / Position ]:[Stanowisko / Position ]],0))="n/a","n/a",BT49-INDEX(tab_MinKomp[Obsługa maszyn Piovan / Piovan Maschinenbedienung],MATCH($B49,tab_MinKomp[[Stanowisko / Position ]:[Stanowisko / Position ]],0)))</f>
        <v>n/a</v>
      </c>
      <c r="BU50" s="315" t="str">
        <f>IF(INDEX(tab_MinKomp[Obsługa maszyn REP / REP Maschinenbedienung],MATCH($B49,tab_MinKomp[[Stanowisko / Position ]:[Stanowisko / Position ]],0))="n/a","n/a",BU49-INDEX(tab_MinKomp[Obsługa maszyn REP / REP Maschinenbedienung],MATCH($B49,tab_MinKomp[[Stanowisko / Position ]:[Stanowisko / Position ]],0)))</f>
        <v>n/a</v>
      </c>
      <c r="BV50" s="315" t="str">
        <f>IF(INDEX(tab_MinKomp[Eliminacja awarii / Beseitigung von Ausfällen],MATCH($B49,tab_MinKomp[[Stanowisko / Position ]:[Stanowisko / Position ]],0))="n/a","n/a",BV49-INDEX(tab_MinKomp[Eliminacja awarii / Beseitigung von Ausfällen],MATCH($B49,tab_MinKomp[[Stanowisko / Position ]:[Stanowisko / Position ]],0)))</f>
        <v>n/a</v>
      </c>
      <c r="BW50" s="315" t="str">
        <f>IF(INDEX(tab_MinKomp[Informatyka ogólna (techniczne i systemowe) / Allgemeine IT (Technik und System)],MATCH($B49,tab_MinKomp[[Stanowisko / Position ]:[Stanowisko / Position ]],0))="n/a","n/a",BW49-INDEX(tab_MinKomp[Informatyka ogólna (techniczne i systemowe) / Allgemeine IT (Technik und System)],MATCH($B49,tab_MinKomp[[Stanowisko / Position ]:[Stanowisko / Position ]],0)))</f>
        <v>n/a</v>
      </c>
      <c r="BX50" s="315" t="str">
        <f>IF(INDEX(tab_MinKomp[Sieci komputerowe / Computernetzwerke],MATCH($B49,tab_MinKomp[[Stanowisko / Position ]:[Stanowisko / Position ]],0))="n/a","n/a",BX49-INDEX(tab_MinKomp[Sieci komputerowe / Computernetzwerke],MATCH($B49,tab_MinKomp[[Stanowisko / Position ]:[Stanowisko / Position ]],0)))</f>
        <v>n/a</v>
      </c>
      <c r="BY50" s="315" t="str">
        <f>IF(INDEX(tab_MinKomp[Hardware (komputery PC, drukarki biurowe i etykietowe, telefonia stacjonarna i mobilna) (PC, Drucker, Telefpne, Handys)],MATCH($B49,tab_MinKomp[[Stanowisko / Position ]:[Stanowisko / Position ]],0))="n/a","n/a",BY49-INDEX(tab_MinKomp[Hardware (komputery PC, drukarki biurowe i etykietowe, telefonia stacjonarna i mobilna) (PC, Drucker, Telefpne, Handys)],MATCH($B49,tab_MinKomp[[Stanowisko / Position ]:[Stanowisko / Position ]],0)))</f>
        <v>n/a</v>
      </c>
      <c r="BZ50" s="315" t="str">
        <f>IF(INDEX(tab_MinKomp[Software &amp; Systems (MS Office, MS Remote Desktop)],MATCH($B49,tab_MinKomp[[Stanowisko / Position ]:[Stanowisko / Position ]],0))="n/a","n/a",BZ49-INDEX(tab_MinKomp[Software &amp; Systems (MS Office, MS Remote Desktop)],MATCH($B49,tab_MinKomp[[Stanowisko / Position ]:[Stanowisko / Position ]],0)))</f>
        <v>n/a</v>
      </c>
      <c r="CA50" s="315" t="str">
        <f>IF(INDEX(tab_MinKomp[Programowanie obiektowe (PHP) / Objektprogrammierung],MATCH($B49,tab_MinKomp[[Stanowisko / Position ]:[Stanowisko / Position ]],0))="n/a","n/a",CA49-INDEX(tab_MinKomp[Programowanie obiektowe (PHP) / Objektprogrammierung],MATCH($B49,tab_MinKomp[[Stanowisko / Position ]:[Stanowisko / Position ]],0)))</f>
        <v>n/a</v>
      </c>
      <c r="CB50" s="315" t="str">
        <f>IF(INDEX(tab_MinKomp[Scrum],MATCH($B49,tab_MinKomp[[Stanowisko / Position ]:[Stanowisko / Position ]],0))="n/a","n/a",CB49-INDEX(tab_MinKomp[Scrum],MATCH($B49,tab_MinKomp[[Stanowisko / Position ]:[Stanowisko / Position ]],0)))</f>
        <v>n/a</v>
      </c>
      <c r="CC50" s="315" t="str">
        <f>IF(INDEX(tab_MinKomp[SQL (MySQL)],MATCH($B49,tab_MinKomp[[Stanowisko / Position ]:[Stanowisko / Position ]],0))="n/a","n/a",CC49-INDEX(tab_MinKomp[SQL (MySQL)],MATCH($B49,tab_MinKomp[[Stanowisko / Position ]:[Stanowisko / Position ]],0)))</f>
        <v>n/a</v>
      </c>
      <c r="CD50" s="315" t="str">
        <f>IF(INDEX(tab_MinKomp[Javascript],MATCH($B49,tab_MinKomp[[Stanowisko / Position ]:[Stanowisko / Position ]],0))="n/a","n/a",CD49-INDEX(tab_MinKomp[Javascript],MATCH($B49,tab_MinKomp[[Stanowisko / Position ]:[Stanowisko / Position ]],0)))</f>
        <v>n/a</v>
      </c>
      <c r="CE50" s="315" t="str">
        <f>IF(INDEX(tab_MinKomp[Joomla],MATCH($B49,tab_MinKomp[[Stanowisko / Position ]:[Stanowisko / Position ]],0))="n/a","n/a",CE49-INDEX(tab_MinKomp[Joomla],MATCH($B49,tab_MinKomp[[Stanowisko / Position ]:[Stanowisko / Position ]],0)))</f>
        <v>n/a</v>
      </c>
      <c r="CF50" s="315" t="str">
        <f>IF(INDEX(tab_MinKomp[Bash],MATCH($B49,tab_MinKomp[[Stanowisko / Position ]:[Stanowisko / Position ]],0))="n/a","n/a",CF49-INDEX(tab_MinKomp[Bash],MATCH($B49,tab_MinKomp[[Stanowisko / Position ]:[Stanowisko / Position ]],0)))</f>
        <v>n/a</v>
      </c>
      <c r="CG50" s="315">
        <f>IF(INDEX(tab_MinKomp[Systemy MES (HYDRA / SFMS)],MATCH($B49,tab_MinKomp[[Stanowisko / Position ]:[Stanowisko / Position ]],0))="n/a","n/a",CG49-INDEX(tab_MinKomp[Systemy MES (HYDRA / SFMS)],MATCH($B49,tab_MinKomp[[Stanowisko / Position ]:[Stanowisko / Position ]],0)))</f>
        <v>0</v>
      </c>
      <c r="CH50" s="315" t="str">
        <f>IF(INDEX(tab_MinKomp[HTML / CSS],MATCH($B49,tab_MinKomp[[Stanowisko / Position ]:[Stanowisko / Position ]],0))="n/a","n/a",CH49-INDEX(tab_MinKomp[HTML / CSS],MATCH($B49,tab_MinKomp[[Stanowisko / Position ]:[Stanowisko / Position ]],0)))</f>
        <v>n/a</v>
      </c>
      <c r="CI50" s="315">
        <f>IF(INDEX(tab_MinKomp[SYSTEM PR],MATCH($B49,tab_MinKomp[[Stanowisko / Position ]:[Stanowisko / Position ]],0))="n/a","n/a",CI49-INDEX(tab_MinKomp[SYSTEM PR],MATCH($B49,tab_MinKomp[[Stanowisko / Position ]:[Stanowisko / Position ]],0)))</f>
        <v>0</v>
      </c>
      <c r="CJ50" s="315">
        <f>IF(INDEX(tab_MinKomp[System Einkauf XP / EBA],MATCH($B49,tab_MinKomp[[Stanowisko / Position ]:[Stanowisko / Position ]],0))="n/a","n/a",CJ49-INDEX(tab_MinKomp[System Einkauf XP / EBA],MATCH($B49,tab_MinKomp[[Stanowisko / Position ]:[Stanowisko / Position ]],0)))</f>
        <v>0</v>
      </c>
      <c r="CK50" s="315" t="str">
        <f>IF(INDEX(tab_MinKomp[Techniki negocjacyjne / Verhandlungstechniken],MATCH($B49,tab_MinKomp[[Stanowisko / Position ]:[Stanowisko / Position ]],0))="n/a","n/a",CK49-INDEX(tab_MinKomp[Techniki negocjacyjne / Verhandlungstechniken],MATCH($B49,tab_MinKomp[[Stanowisko / Position ]:[Stanowisko / Position ]],0)))</f>
        <v>n/a</v>
      </c>
      <c r="CL50" s="315" t="str">
        <f>IF(INDEX(tab_MinKomp[Znajomość rynku branżowego / Kenntnis des Industrie Marktes],MATCH($B49,tab_MinKomp[[Stanowisko / Position ]:[Stanowisko / Position ]],0))="n/a","n/a",CL49-INDEX(tab_MinKomp[Znajomość rynku branżowego / Kenntnis des Industrie Marktes],MATCH($B49,tab_MinKomp[[Stanowisko / Position ]:[Stanowisko / Position ]],0)))</f>
        <v>n/a</v>
      </c>
      <c r="CM50" s="315">
        <f>IF(INDEX(tab_MinKomp[RAPORTY 8D / 8D Berichten],MATCH($B49,tab_MinKomp[[Stanowisko / Position ]:[Stanowisko / Position ]],0))="n/a","n/a",CM49-INDEX(tab_MinKomp[RAPORTY 8D / 8D Berichten],MATCH($B49,tab_MinKomp[[Stanowisko / Position ]:[Stanowisko / Position ]],0)))</f>
        <v>0</v>
      </c>
      <c r="CN50" s="315">
        <f>IF(INDEX(tab_MinKomp[NARZĘDZIA JAKOŚCIOWE (5WHY, Ishikawa, etc) / QS-Werkzeuge],MATCH($B49,tab_MinKomp[[Stanowisko / Position ]:[Stanowisko / Position ]],0))="n/a","n/a",CN49-INDEX(tab_MinKomp[NARZĘDZIA JAKOŚCIOWE (5WHY, Ishikawa, etc) / QS-Werkzeuge],MATCH($B49,tab_MinKomp[[Stanowisko / Position ]:[Stanowisko / Position ]],0)))</f>
        <v>0</v>
      </c>
      <c r="CO50" s="315">
        <f>IF(INDEX(tab_MinKomp[PDCA],MATCH($B49,tab_MinKomp[[Stanowisko / Position ]:[Stanowisko / Position ]],0))="n/a","n/a",CO49-INDEX(tab_MinKomp[PDCA],MATCH($B49,tab_MinKomp[[Stanowisko / Position ]:[Stanowisko / Position ]],0)))</f>
        <v>0</v>
      </c>
      <c r="CP50" s="315">
        <f>IF(INDEX(tab_MinKomp[Pareto],MATCH($B49,tab_MinKomp[[Stanowisko / Position ]:[Stanowisko / Position ]],0))="n/a","n/a",CP49-INDEX(tab_MinKomp[Pareto],MATCH($B49,tab_MinKomp[[Stanowisko / Position ]:[Stanowisko / Position ]],0)))</f>
        <v>0</v>
      </c>
      <c r="CQ50" s="315" t="str">
        <f>IF(INDEX(tab_MinKomp[PPAP/PSW],MATCH($B49,tab_MinKomp[[Stanowisko / Position ]:[Stanowisko / Position ]],0))="n/a","n/a",CQ49-INDEX(tab_MinKomp[PPAP/PSW],MATCH($B49,tab_MinKomp[[Stanowisko / Position ]:[Stanowisko / Position ]],0)))</f>
        <v>n/a</v>
      </c>
      <c r="CR50" s="315" t="str">
        <f>IF(INDEX(tab_MinKomp[SUPPLIER MANAGEMENT],MATCH($B49,tab_MinKomp[[Stanowisko / Position ]:[Stanowisko / Position ]],0))="n/a","n/a",CR49-INDEX(tab_MinKomp[SUPPLIER MANAGEMENT],MATCH($B49,tab_MinKomp[[Stanowisko / Position ]:[Stanowisko / Position ]],0)))</f>
        <v>n/a</v>
      </c>
      <c r="CS50" s="315" t="str">
        <f>IF(INDEX(tab_MinKomp[OBSŁUGA PORTALI KLIENTA / Kundenportale],MATCH($B49,tab_MinKomp[[Stanowisko / Position ]:[Stanowisko / Position ]],0))="n/a","n/a",CS49-INDEX(tab_MinKomp[OBSŁUGA PORTALI KLIENTA / Kundenportale],MATCH($B49,tab_MinKomp[[Stanowisko / Position ]:[Stanowisko / Position ]],0)))</f>
        <v>n/a</v>
      </c>
      <c r="CT50" s="315" t="str">
        <f>IF(INDEX(tab_MinKomp[Obsługa systemu BABTECQ / BABTECQ System],MATCH($B49,tab_MinKomp[[Stanowisko / Position ]:[Stanowisko / Position ]],0))="n/a","n/a",CT49-INDEX(tab_MinKomp[Obsługa systemu BABTECQ / BABTECQ System],MATCH($B49,tab_MinKomp[[Stanowisko / Position ]:[Stanowisko / Position ]],0)))</f>
        <v>n/a</v>
      </c>
      <c r="CU50" s="315" t="str">
        <f>IF(INDEX(tab_MinKomp[Rysunek techniczny / technische Zeichnung],MATCH($B49,tab_MinKomp[[Stanowisko / Position ]:[Stanowisko / Position ]],0))="n/a","n/a",CU49-INDEX(tab_MinKomp[Rysunek techniczny / technische Zeichnung],MATCH($B49,tab_MinKomp[[Stanowisko / Position ]:[Stanowisko / Position ]],0)))</f>
        <v>n/a</v>
      </c>
      <c r="CV50" s="315" t="str">
        <f>IF(INDEX(tab_MinKomp[Kalibracja / Kalibrierung],MATCH($B49,tab_MinKomp[[Stanowisko / Position ]:[Stanowisko / Position ]],0))="n/a","n/a",CV49-INDEX(tab_MinKomp[Kalibracja / Kalibrierung],MATCH($B49,tab_MinKomp[[Stanowisko / Position ]:[Stanowisko / Position ]],0)))</f>
        <v>n/a</v>
      </c>
      <c r="CW50" s="315" t="str">
        <f>IF(INDEX(tab_MinKomp[Rekwalifikacja / Requalifizierung],MATCH($B49,tab_MinKomp[[Stanowisko / Position ]:[Stanowisko / Position ]],0))="n/a","n/a",CW49-INDEX(tab_MinKomp[Rekwalifikacja / Requalifizierung],MATCH($B49,tab_MinKomp[[Stanowisko / Position ]:[Stanowisko / Position ]],0)))</f>
        <v>n/a</v>
      </c>
      <c r="CX50" s="315" t="str">
        <f>IF(INDEX(tab_MinKomp[CMM - Contura Zeiss],MATCH($B49,tab_MinKomp[[Stanowisko / Position ]:[Stanowisko / Position ]],0))="n/a","n/a",CX49-INDEX(tab_MinKomp[CMM - Contura Zeiss],MATCH($B49,tab_MinKomp[[Stanowisko / Position ]:[Stanowisko / Position ]],0)))</f>
        <v>n/a</v>
      </c>
      <c r="CY50" s="315" t="str">
        <f>IF(INDEX(tab_MinKomp[CMM - Contura Zeiss],MATCH($B49,tab_MinKomp[[Stanowisko / Position ]:[Stanowisko / Position ]],0))="n/a","n/a",CY49-INDEX(tab_MinKomp[CMM - Contura Zeiss],MATCH($B49,tab_MinKomp[[Stanowisko / Position ]:[Stanowisko / Position ]],0)))</f>
        <v>n/a</v>
      </c>
      <c r="CZ50" s="315" t="str">
        <f>IF(INDEX(tab_MinKomp[CMM - Contura Zeiss],MATCH($B49,tab_MinKomp[[Stanowisko / Position ]:[Stanowisko / Position ]],0))="n/a","n/a",CZ49-INDEX(tab_MinKomp[CMM - Contura Zeiss],MATCH($B49,tab_MinKomp[[Stanowisko / Position ]:[Stanowisko / Position ]],0)))</f>
        <v>n/a</v>
      </c>
      <c r="DA50" s="315" t="str">
        <f>IF(INDEX(tab_MinKomp[CMM - Contura Zeiss],MATCH($B49,tab_MinKomp[[Stanowisko / Position ]:[Stanowisko / Position ]],0))="n/a","n/a",DA49-INDEX(tab_MinKomp[CMM - Contura Zeiss],MATCH($B49,tab_MinKomp[[Stanowisko / Position ]:[Stanowisko / Position ]],0)))</f>
        <v>n/a</v>
      </c>
      <c r="DB50" s="315" t="str">
        <f>IF(INDEX(tab_MinKomp[CMM - Contura Zeiss],MATCH($B49,tab_MinKomp[[Stanowisko / Position ]:[Stanowisko / Position ]],0))="n/a","n/a",DB49-INDEX(tab_MinKomp[CMM - Contura Zeiss],MATCH($B49,tab_MinKomp[[Stanowisko / Position ]:[Stanowisko / Position ]],0)))</f>
        <v>n/a</v>
      </c>
      <c r="DC50" s="315" t="str">
        <f>IF(INDEX(tab_MinKomp[CMM - Contura Zeiss],MATCH($B49,tab_MinKomp[[Stanowisko / Position ]:[Stanowisko / Position ]],0))="n/a","n/a",DC49-INDEX(tab_MinKomp[CMM - Contura Zeiss],MATCH($B49,tab_MinKomp[[Stanowisko / Position ]:[Stanowisko / Position ]],0)))</f>
        <v>n/a</v>
      </c>
      <c r="DD50" s="315" t="str">
        <f>IF(INDEX(tab_MinKomp[Pisanie programów / Programme schreiben],MATCH($B49,tab_MinKomp[[Stanowisko / Position ]:[Stanowisko / Position ]],0))="n/a","n/a",DD49-INDEX(tab_MinKomp[Pisanie programów / Programme schreiben],MATCH($B49,tab_MinKomp[[Stanowisko / Position ]:[Stanowisko / Position ]],0)))</f>
        <v>n/a</v>
      </c>
      <c r="DE50" s="315" t="str">
        <f>IF(INDEX(tab_MinKomp[CMM - Contura Zeiss],MATCH($B49,tab_MinKomp[[Stanowisko / Position ]:[Stanowisko / Position ]],0))="n/a","n/a",DE49-INDEX(tab_MinKomp[CMM - Contura Zeiss],MATCH($B49,tab_MinKomp[[Stanowisko / Position ]:[Stanowisko / Position ]],0)))</f>
        <v>n/a</v>
      </c>
      <c r="DF50" s="315" t="str">
        <f>IF(INDEX(tab_MinKomp[CMM - Contura Zeiss],MATCH($B49,tab_MinKomp[[Stanowisko / Position ]:[Stanowisko / Position ]],0))="n/a","n/a",DF49-INDEX(tab_MinKomp[CMM - Contura Zeiss],MATCH($B49,tab_MinKomp[[Stanowisko / Position ]:[Stanowisko / Position ]],0)))</f>
        <v>n/a</v>
      </c>
      <c r="DG50" s="315" t="str">
        <f>IF(INDEX(tab_MinKomp[CMM - Contura Zeiss],MATCH($B49,tab_MinKomp[[Stanowisko / Position ]:[Stanowisko / Position ]],0))="n/a","n/a",DG49-INDEX(tab_MinKomp[CMM - Contura Zeiss],MATCH($B49,tab_MinKomp[[Stanowisko / Position ]:[Stanowisko / Position ]],0)))</f>
        <v>n/a</v>
      </c>
      <c r="DH50" s="315" t="str">
        <f>IF(INDEX(tab_MinKomp[CMM - Contura Zeiss],MATCH($B49,tab_MinKomp[[Stanowisko / Position ]:[Stanowisko / Position ]],0))="n/a","n/a",DH49-INDEX(tab_MinKomp[CMM - Contura Zeiss],MATCH($B49,tab_MinKomp[[Stanowisko / Position ]:[Stanowisko / Position ]],0)))</f>
        <v>n/a</v>
      </c>
      <c r="DI50" s="315" t="str">
        <f>IF(INDEX(tab_MinKomp[CMM - Contura Zeiss],MATCH($B49,tab_MinKomp[[Stanowisko / Position ]:[Stanowisko / Position ]],0))="n/a","n/a",DI49-INDEX(tab_MinKomp[CMM - Contura Zeiss],MATCH($B49,tab_MinKomp[[Stanowisko / Position ]:[Stanowisko / Position ]],0)))</f>
        <v>n/a</v>
      </c>
      <c r="DJ50" s="315" t="str">
        <f>IF(INDEX(tab_MinKomp[CMM - Contura Zeiss],MATCH($B49,tab_MinKomp[[Stanowisko / Position ]:[Stanowisko / Position ]],0))="n/a","n/a",DJ49-INDEX(tab_MinKomp[CMM - Contura Zeiss],MATCH($B49,tab_MinKomp[[Stanowisko / Position ]:[Stanowisko / Position ]],0)))</f>
        <v>n/a</v>
      </c>
      <c r="DK50" s="315" t="str">
        <f>IF(INDEX(tab_MinKomp[Pisanie programów / Programme schreiben],MATCH($B49,tab_MinKomp[[Stanowisko / Position ]:[Stanowisko / Position ]],0))="n/a","n/a",DK49-INDEX(tab_MinKomp[Pisanie programów / Programme schreiben],MATCH($B49,tab_MinKomp[[Stanowisko / Position ]:[Stanowisko / Position ]],0)))</f>
        <v>n/a</v>
      </c>
      <c r="DL50" s="315" t="str">
        <f>IF(INDEX(tab_MinKomp[CMM - Contura Zeiss],MATCH($B49,tab_MinKomp[[Stanowisko / Position ]:[Stanowisko / Position ]],0))="n/a","n/a",DL49-INDEX(tab_MinKomp[CMM - Contura Zeiss],MATCH($B49,tab_MinKomp[[Stanowisko / Position ]:[Stanowisko / Position ]],0)))</f>
        <v>n/a</v>
      </c>
      <c r="DM50" s="315" t="str">
        <f>IF(INDEX(tab_MinKomp[CMM - Contura Zeiss],MATCH($B49,tab_MinKomp[[Stanowisko / Position ]:[Stanowisko / Position ]],0))="n/a","n/a",DM49-INDEX(tab_MinKomp[CMM - Contura Zeiss],MATCH($B49,tab_MinKomp[[Stanowisko / Position ]:[Stanowisko / Position ]],0)))</f>
        <v>n/a</v>
      </c>
      <c r="DN50" s="315" t="str">
        <f>IF(INDEX(tab_MinKomp[CMM - Contura Zeiss],MATCH($B49,tab_MinKomp[[Stanowisko / Position ]:[Stanowisko / Position ]],0))="n/a","n/a",DN49-INDEX(tab_MinKomp[CMM - Contura Zeiss],MATCH($B49,tab_MinKomp[[Stanowisko / Position ]:[Stanowisko / Position ]],0)))</f>
        <v>n/a</v>
      </c>
      <c r="DO50" s="315" t="str">
        <f>IF(INDEX(tab_MinKomp[CMM - Contura Zeiss],MATCH($B49,tab_MinKomp[[Stanowisko / Position ]:[Stanowisko / Position ]],0))="n/a","n/a",DO49-INDEX(tab_MinKomp[CMM - Contura Zeiss],MATCH($B49,tab_MinKomp[[Stanowisko / Position ]:[Stanowisko / Position ]],0)))</f>
        <v>n/a</v>
      </c>
      <c r="DP50" s="315" t="str">
        <f>IF(INDEX(tab_MinKomp[CMM - Contura Zeiss],MATCH($B49,tab_MinKomp[[Stanowisko / Position ]:[Stanowisko / Position ]],0))="n/a","n/a",DP49-INDEX(tab_MinKomp[CMM - Contura Zeiss],MATCH($B49,tab_MinKomp[[Stanowisko / Position ]:[Stanowisko / Position ]],0)))</f>
        <v>n/a</v>
      </c>
      <c r="DQ50" s="315" t="str">
        <f>IF(INDEX(tab_MinKomp[CMM - Contura Zeiss],MATCH($B49,tab_MinKomp[[Stanowisko / Position ]:[Stanowisko / Position ]],0))="n/a","n/a",DQ49-INDEX(tab_MinKomp[CMM - Contura Zeiss],MATCH($B49,tab_MinKomp[[Stanowisko / Position ]:[Stanowisko / Position ]],0)))</f>
        <v>n/a</v>
      </c>
      <c r="DR50" s="315" t="str">
        <f>IF(INDEX(tab_MinKomp[Pisanie programów / Programme schreiben],MATCH($B49,tab_MinKomp[[Stanowisko / Position ]:[Stanowisko / Position ]],0))="n/a","n/a",DR49-INDEX(tab_MinKomp[Pisanie programów / Programme schreiben],MATCH($B49,tab_MinKomp[[Stanowisko / Position ]:[Stanowisko / Position ]],0)))</f>
        <v>n/a</v>
      </c>
      <c r="DS50" s="315" t="str">
        <f>IF(INDEX(tab_MinKomp[CMM - Contura Zeiss],MATCH($B49,tab_MinKomp[[Stanowisko / Position ]:[Stanowisko / Position ]],0))="n/a","n/a",DS49-INDEX(tab_MinKomp[CMM - Contura Zeiss],MATCH($B49,tab_MinKomp[[Stanowisko / Position ]:[Stanowisko / Position ]],0)))</f>
        <v>n/a</v>
      </c>
      <c r="DT50" s="315" t="str">
        <f>IF(INDEX(tab_MinKomp[CMM - Contura Zeiss],MATCH($B49,tab_MinKomp[[Stanowisko / Position ]:[Stanowisko / Position ]],0))="n/a","n/a",DT49-INDEX(tab_MinKomp[CMM - Contura Zeiss],MATCH($B49,tab_MinKomp[[Stanowisko / Position ]:[Stanowisko / Position ]],0)))</f>
        <v>n/a</v>
      </c>
      <c r="DU50" s="315" t="str">
        <f>IF(INDEX(tab_MinKomp[CMM - Contura Zeiss],MATCH($B49,tab_MinKomp[[Stanowisko / Position ]:[Stanowisko / Position ]],0))="n/a","n/a",DU49-INDEX(tab_MinKomp[CMM - Contura Zeiss],MATCH($B49,tab_MinKomp[[Stanowisko / Position ]:[Stanowisko / Position ]],0)))</f>
        <v>n/a</v>
      </c>
      <c r="DV50" s="315" t="str">
        <f>IF(INDEX(tab_MinKomp[CMM - Contura Zeiss],MATCH($B49,tab_MinKomp[[Stanowisko / Position ]:[Stanowisko / Position ]],0))="n/a","n/a",DV49-INDEX(tab_MinKomp[CMM - Contura Zeiss],MATCH($B49,tab_MinKomp[[Stanowisko / Position ]:[Stanowisko / Position ]],0)))</f>
        <v>n/a</v>
      </c>
      <c r="DW50" s="315" t="str">
        <f>IF(INDEX(tab_MinKomp[CMM - Contura Zeiss],MATCH($B49,tab_MinKomp[[Stanowisko / Position ]:[Stanowisko / Position ]],0))="n/a","n/a",DW49-INDEX(tab_MinKomp[CMM - Contura Zeiss],MATCH($B49,tab_MinKomp[[Stanowisko / Position ]:[Stanowisko / Position ]],0)))</f>
        <v>n/a</v>
      </c>
      <c r="DX50" s="315" t="str">
        <f>IF(INDEX(tab_MinKomp[CMM - Contura Zeiss],MATCH($B49,tab_MinKomp[[Stanowisko / Position ]:[Stanowisko / Position ]],0))="n/a","n/a",DX49-INDEX(tab_MinKomp[CMM - Contura Zeiss],MATCH($B49,tab_MinKomp[[Stanowisko / Position ]:[Stanowisko / Position ]],0)))</f>
        <v>n/a</v>
      </c>
      <c r="DY50" s="315" t="str">
        <f>IF(INDEX(tab_MinKomp[Konserwacja Rep],MATCH($B49,tab_MinKomp[[Stanowisko / Position ]:[Stanowisko / Position ]],0))="n/a","n/a",DY49-INDEX(tab_MinKomp[Konserwacja Rep],MATCH($B49,tab_MinKomp[[Stanowisko / Position ]:[Stanowisko / Position ]],0)))</f>
        <v>n/a</v>
      </c>
      <c r="DZ50" s="315" t="str">
        <f>IF(INDEX(tab_MinKomp[[Konserwacja Engel ]],MATCH($B49,tab_MinKomp[[Stanowisko / Position ]:[Stanowisko / Position ]],0))="n/a","n/a",DZ49-INDEX(tab_MinKomp[[Konserwacja Engel ]],MATCH($B49,tab_MinKomp[[Stanowisko / Position ]:[Stanowisko / Position ]],0)))</f>
        <v>n/a</v>
      </c>
      <c r="EA50" s="315" t="str">
        <f>IF(INDEX(tab_MinKomp[Konserwacja B 50],MATCH($B49,tab_MinKomp[[Stanowisko / Position ]:[Stanowisko / Position ]],0))="n/a","n/a",EA49-INDEX(tab_MinKomp[Konserwacja B 50],MATCH($B49,tab_MinKomp[[Stanowisko / Position ]:[Stanowisko / Position ]],0)))</f>
        <v>n/a</v>
      </c>
      <c r="EB50" s="315" t="str">
        <f>IF(INDEX(tab_MinKomp[[Konserwacja EOL ]],MATCH($B49,tab_MinKomp[[Stanowisko / Position ]:[Stanowisko / Position ]],0))="n/a","n/a",EB49-INDEX(tab_MinKomp[[Konserwacja EOL ]],MATCH($B49,tab_MinKomp[[Stanowisko / Position ]:[Stanowisko / Position ]],0)))</f>
        <v>n/a</v>
      </c>
      <c r="EC50" s="315" t="str">
        <f>IF(INDEX(tab_MinKomp[Konserwacja Branson],MATCH($B49,tab_MinKomp[[Stanowisko / Position ]:[Stanowisko / Position ]],0))="n/a","n/a",EC49-INDEX(tab_MinKomp[Konserwacja Branson],MATCH($B49,tab_MinKomp[[Stanowisko / Position ]:[Stanowisko / Position ]],0)))</f>
        <v>n/a</v>
      </c>
      <c r="ED50" s="315" t="str">
        <f>IF(INDEX(tab_MinKomp[Konserwacja coolery],MATCH($B49,tab_MinKomp[[Stanowisko / Position ]:[Stanowisko / Position ]],0))="n/a","n/a",ED49-INDEX(tab_MinKomp[Konserwacja coolery],MATCH($B49,tab_MinKomp[[Stanowisko / Position ]:[Stanowisko / Position ]],0)))</f>
        <v>n/a</v>
      </c>
      <c r="EE50" s="315" t="str">
        <f>IF(INDEX(tab_MinKomp[Konserwacja piecy],MATCH($B49,tab_MinKomp[[Stanowisko / Position ]:[Stanowisko / Position ]],0))="n/a","n/a",EE49-INDEX(tab_MinKomp[Konserwacja piecy],MATCH($B49,tab_MinKomp[[Stanowisko / Position ]:[Stanowisko / Position ]],0)))</f>
        <v>n/a</v>
      </c>
      <c r="EF50" s="315" t="str">
        <f>IF(INDEX(tab_MinKomp[Rysunek techniczny- czytanie],MATCH($B49,tab_MinKomp[[Stanowisko / Position ]:[Stanowisko / Position ]],0))="n/a","n/a",EF49-INDEX(tab_MinKomp[Rysunek techniczny- czytanie],MATCH($B49,tab_MinKomp[[Stanowisko / Position ]:[Stanowisko / Position ]],0)))</f>
        <v>n/a</v>
      </c>
      <c r="EG50" s="315" t="str">
        <f>IF(INDEX(tab_MinKomp[Elektryka],MATCH($B49,tab_MinKomp[[Stanowisko / Position ]:[Stanowisko / Position ]],0))="n/a","n/a",EG49-INDEX(tab_MinKomp[Elektryka],MATCH($B49,tab_MinKomp[[Stanowisko / Position ]:[Stanowisko / Position ]],0)))</f>
        <v>n/a</v>
      </c>
      <c r="EH50" s="315" t="str">
        <f>IF(INDEX(tab_MinKomp[Pneumatyka],MATCH($B49,tab_MinKomp[[Stanowisko / Position ]:[Stanowisko / Position ]],0))="n/a","n/a",EH49-INDEX(tab_MinKomp[Pneumatyka],MATCH($B49,tab_MinKomp[[Stanowisko / Position ]:[Stanowisko / Position ]],0)))</f>
        <v>n/a</v>
      </c>
      <c r="EI50" s="315" t="str">
        <f>IF(INDEX(tab_MinKomp[[Hydraulika ]],MATCH($B49,tab_MinKomp[[Stanowisko / Position ]:[Stanowisko / Position ]],0))="n/a","n/a",EI49-INDEX(tab_MinKomp[[Hydraulika ]],MATCH($B49,tab_MinKomp[[Stanowisko / Position ]:[Stanowisko / Position ]],0)))</f>
        <v>n/a</v>
      </c>
      <c r="EJ50" s="315" t="str">
        <f>IF(INDEX(tab_MinKomp[Podciśnienie],MATCH($B49,tab_MinKomp[[Stanowisko / Position ]:[Stanowisko / Position ]],0))="n/a","n/a",EJ49-INDEX(tab_MinKomp[Podciśnienie],MATCH($B49,tab_MinKomp[[Stanowisko / Position ]:[Stanowisko / Position ]],0)))</f>
        <v>n/a</v>
      </c>
      <c r="EK50" s="315" t="str">
        <f>IF(INDEX(tab_MinKomp[Usuwanie awarii],MATCH($B49,tab_MinKomp[[Stanowisko / Position ]:[Stanowisko / Position ]],0))="n/a","n/a",EK49-INDEX(tab_MinKomp[Usuwanie awarii],MATCH($B49,tab_MinKomp[[Stanowisko / Position ]:[Stanowisko / Position ]],0)))</f>
        <v>n/a</v>
      </c>
      <c r="EL50" s="315" t="str">
        <f>IF(INDEX(tab_MinKomp[Obsługa robotów],MATCH($B49,tab_MinKomp[[Stanowisko / Position ]:[Stanowisko / Position ]],0))="n/a","n/a",EL49-INDEX(tab_MinKomp[Obsługa robotów],MATCH($B49,tab_MinKomp[[Stanowisko / Position ]:[Stanowisko / Position ]],0)))</f>
        <v>n/a</v>
      </c>
      <c r="EM50" s="315" t="str">
        <f>IF(INDEX(tab_MinKomp[Obsługa sterowania maszyny],MATCH($B49,tab_MinKomp[[Stanowisko / Position ]:[Stanowisko / Position ]],0))="n/a","n/a",EM49-INDEX(tab_MinKomp[Obsługa sterowania maszyny],MATCH($B49,tab_MinKomp[[Stanowisko / Position ]:[Stanowisko / Position ]],0)))</f>
        <v>n/a</v>
      </c>
      <c r="EN50" s="315" t="str">
        <f>IF(INDEX(tab_MinKomp[Usuwanie przyczyn żródłowych],MATCH($B49,tab_MinKomp[[Stanowisko / Position ]:[Stanowisko / Position ]],0))="n/a","n/a",EN49-INDEX(tab_MinKomp[Usuwanie przyczyn żródłowych],MATCH($B49,tab_MinKomp[[Stanowisko / Position ]:[Stanowisko / Position ]],0)))</f>
        <v>n/a</v>
      </c>
      <c r="EO50" s="315" t="str">
        <f>IF(INDEX(tab_MinKomp[Cmms stosowanie],MATCH($B49,tab_MinKomp[[Stanowisko / Position ]:[Stanowisko / Position ]],0))="n/a","n/a",EO49-INDEX(tab_MinKomp[Cmms stosowanie],MATCH($B49,tab_MinKomp[[Stanowisko / Position ]:[Stanowisko / Position ]],0)))</f>
        <v>n/a</v>
      </c>
      <c r="EP50" s="315" t="str">
        <f>IF(INDEX(tab_MinKomp[[Czyszczenie form gumowych ]],MATCH($B49,tab_MinKomp[[Stanowisko / Position ]:[Stanowisko / Position ]],0))="n/a","n/a",EP49-INDEX(tab_MinKomp[[Czyszczenie form gumowych ]],MATCH($B49,tab_MinKomp[[Stanowisko / Position ]:[Stanowisko / Position ]],0)))</f>
        <v>n/a</v>
      </c>
      <c r="EQ50" s="315" t="str">
        <f>IF(INDEX(tab_MinKomp[Czyszczenie form plastikowych],MATCH($B49,tab_MinKomp[[Stanowisko / Position ]:[Stanowisko / Position ]],0))="n/a","n/a",EQ49-INDEX(tab_MinKomp[Czyszczenie form plastikowych],MATCH($B49,tab_MinKomp[[Stanowisko / Position ]:[Stanowisko / Position ]],0)))</f>
        <v>n/a</v>
      </c>
      <c r="ER50" s="315" t="str">
        <f>IF(INDEX(tab_MinKomp[Wymiana form plastik],MATCH($B49,tab_MinKomp[[Stanowisko / Position ]:[Stanowisko / Position ]],0))="n/a","n/a",ER49-INDEX(tab_MinKomp[Wymiana form plastik],MATCH($B49,tab_MinKomp[[Stanowisko / Position ]:[Stanowisko / Position ]],0)))</f>
        <v>n/a</v>
      </c>
      <c r="ES50" s="315" t="str">
        <f>IF(INDEX(tab_MinKomp[Wymiana form guma],MATCH($B49,tab_MinKomp[[Stanowisko / Position ]:[Stanowisko / Position ]],0))="n/a","n/a",ES49-INDEX(tab_MinKomp[Wymiana form guma],MATCH($B49,tab_MinKomp[[Stanowisko / Position ]:[Stanowisko / Position ]],0)))</f>
        <v>n/a</v>
      </c>
      <c r="ET50" s="315" t="str">
        <f>IF(INDEX(tab_MinKomp[Konserwacja KK],MATCH($B49,tab_MinKomp[[Stanowisko / Position ]:[Stanowisko / Position ]],0))="n/a","n/a",ET49-INDEX(tab_MinKomp[Konserwacja KK],MATCH($B49,tab_MinKomp[[Stanowisko / Position ]:[Stanowisko / Position ]],0)))</f>
        <v>n/a</v>
      </c>
      <c r="EU50" s="315" t="str">
        <f>IF(INDEX(tab_MinKomp[Konserwacja form guma],MATCH($B49,tab_MinKomp[[Stanowisko / Position ]:[Stanowisko / Position ]],0))="n/a","n/a",EU49-INDEX(tab_MinKomp[Konserwacja form guma],MATCH($B49,tab_MinKomp[[Stanowisko / Position ]:[Stanowisko / Position ]],0)))</f>
        <v>n/a</v>
      </c>
      <c r="EV50" s="315" t="str">
        <f>IF(INDEX(tab_MinKomp[Konserwacja form plastiki],MATCH($B49,tab_MinKomp[[Stanowisko / Position ]:[Stanowisko / Position ]],0))="n/a","n/a",EV49-INDEX(tab_MinKomp[Konserwacja form plastiki],MATCH($B49,tab_MinKomp[[Stanowisko / Position ]:[Stanowisko / Position ]],0)))</f>
        <v>n/a</v>
      </c>
      <c r="EW50" s="330" t="str">
        <f>IF(INDEX(tab_MinKomp[Konserwacja form plastiki],MATCH($B49,tab_MinKomp[[Stanowisko / Position ]:[Stanowisko / Position ]],0))="n/a","n/a",EW49-INDEX(tab_MinKomp[Konserwacja form plastiki],MATCH($B49,tab_MinKomp[[Stanowisko / Position ]:[Stanowisko / Position ]],0)))</f>
        <v>n/a</v>
      </c>
      <c r="EX50" s="315" t="str">
        <f>IF(INDEX(tab_MinKomp[Konserwacja Gorącego Kanału],MATCH($B49,tab_MinKomp[[Stanowisko / Position ]:[Stanowisko / Position ]],0))="n/a","n/a",EX49-INDEX(tab_MinKomp[Konserwacja Gorącego Kanału],MATCH($B49,tab_MinKomp[[Stanowisko / Position ]:[Stanowisko / Position ]],0)))</f>
        <v>n/a</v>
      </c>
      <c r="EY50" s="315">
        <f>IF(INDEX(tab_MinKomp[MS Office (Excel)],MATCH($B49,tab_MinKomp[[Stanowisko / Position ]:[Stanowisko / Position ]],0))="n/a","n/a",EY49-INDEX(tab_MinKomp[MS Office (Excel)],MATCH($B49,tab_MinKomp[[Stanowisko / Position ]:[Stanowisko / Position ]],0)))</f>
        <v>0</v>
      </c>
      <c r="EZ50" s="315">
        <f>IF(INDEX(tab_MinKomp[MS Office (Word)],MATCH($B49,tab_MinKomp[[Stanowisko / Position ]:[Stanowisko / Position ]],0))="n/a","n/a",EZ49-INDEX(tab_MinKomp[MS Office (Word)],MATCH($B49,tab_MinKomp[[Stanowisko / Position ]:[Stanowisko / Position ]],0)))</f>
        <v>0</v>
      </c>
      <c r="FA50" s="315">
        <f>IF(INDEX(tab_MinKomp[MS Office (Power Point)],MATCH($B49,tab_MinKomp[[Stanowisko / Position ]:[Stanowisko / Position ]],0))="n/a","n/a",FA49-INDEX(tab_MinKomp[MS Office (Power Point)],MATCH($B49,tab_MinKomp[[Stanowisko / Position ]:[Stanowisko / Position ]],0)))</f>
        <v>0</v>
      </c>
      <c r="FB50" s="315">
        <f>IF(INDEX(tab_MinKomp[Język angielski / Englisch],MATCH($B49,tab_MinKomp[[Stanowisko / Position ]:[Stanowisko / Position ]],0))="n/a","n/a",FB49-INDEX(tab_MinKomp[Język angielski / Englisch],MATCH($B49,tab_MinKomp[[Stanowisko / Position ]:[Stanowisko / Position ]],0)))</f>
        <v>-1</v>
      </c>
      <c r="FC50" s="315" t="str">
        <f>IF(INDEX(tab_MinKomp[Język niemiecki / Deutsch],MATCH($B49,tab_MinKomp[[Stanowisko / Position ]:[Stanowisko / Position ]],0))="n/a","n/a",FC49-INDEX(tab_MinKomp[Język niemiecki / Deutsch],MATCH($B49,tab_MinKomp[[Stanowisko / Position ]:[Stanowisko / Position ]],0)))</f>
        <v>n/a</v>
      </c>
      <c r="FD50" s="315">
        <f>IF(INDEX(tab_MinKomp[Zarządzanie dokumentacją procesową / Process dokumentation management],MATCH($B49,tab_MinKomp[[Stanowisko / Position ]:[Stanowisko / Position ]],0))="n/a","n/a",FD49-INDEX(tab_MinKomp[Zarządzanie dokumentacją procesową / Process dokumentation management],MATCH($B49,tab_MinKomp[[Stanowisko / Position ]:[Stanowisko / Position ]],0)))</f>
        <v>-1</v>
      </c>
      <c r="FE50" s="315">
        <f>IF(INDEX(tab_MinKomp[Znajomość procesów z obszaru / Kenntiss der prozesse in dem Bereich],MATCH($B49,tab_MinKomp[[Stanowisko / Position ]:[Stanowisko / Position ]],0))="n/a","n/a",FE49-INDEX(tab_MinKomp[Znajomość procesów z obszaru / Kenntiss der prozesse in dem Bereich],MATCH($B49,tab_MinKomp[[Stanowisko / Position ]:[Stanowisko / Position ]],0)))</f>
        <v>0</v>
      </c>
      <c r="FF50" s="315">
        <f>IF(INDEX(tab_MinKomp[optymalizacja procesów / Prozessoptymalisierung],MATCH($B49,tab_MinKomp[[Stanowisko / Position ]:[Stanowisko / Position ]],0))="n/a","n/a",FF49-INDEX(tab_MinKomp[optymalizacja procesów / Prozessoptymalisierung],MATCH($B49,tab_MinKomp[[Stanowisko / Position ]:[Stanowisko / Position ]],0)))</f>
        <v>0</v>
      </c>
      <c r="FG50" s="315">
        <f>IF(INDEX(tab_MinKomp[Umiejętności szkoleniowe / Trainingsfähigkeiten],MATCH($B49,tab_MinKomp[[Stanowisko / Position ]:[Stanowisko / Position ]],0))="n/a","n/a",FG49-INDEX(tab_MinKomp[Umiejętności szkoleniowe / Trainingsfähigkeiten],MATCH($B49,tab_MinKomp[[Stanowisko / Position ]:[Stanowisko / Position ]],0)))</f>
        <v>-1</v>
      </c>
      <c r="FH50" s="315">
        <f>IF(INDEX(tab_MinKomp[Analityczne myślenie, podejście / Analitysches Denken, Einstellung],MATCH($B49,tab_MinKomp[[Stanowisko / Position ]:[Stanowisko / Position ]],0))="n/a","n/a",FH49-INDEX(tab_MinKomp[Analityczne myślenie, podejście / Analitysches Denken, Einstellung],MATCH($B49,tab_MinKomp[[Stanowisko / Position ]:[Stanowisko / Position ]],0)))</f>
        <v>0</v>
      </c>
      <c r="FI50" s="315">
        <f>IF(INDEX(tab_MinKomp[Dokładność, precyzja w dzialaniu / Genauigkeit, Präzision in die Arbeit],MATCH($B49,tab_MinKomp[[Stanowisko / Position ]:[Stanowisko / Position ]],0))="n/a","n/a",FI49-INDEX(tab_MinKomp[Dokładność, precyzja w dzialaniu / Genauigkeit, Präzision in die Arbeit],MATCH($B49,tab_MinKomp[[Stanowisko / Position ]:[Stanowisko / Position ]],0)))</f>
        <v>0</v>
      </c>
      <c r="FJ50" s="315">
        <f>IF(INDEX(tab_MinKomp[Dyspozycyjność / Verfügbarkeit],MATCH($B49,tab_MinKomp[[Stanowisko / Position ]:[Stanowisko / Position ]],0))="n/a","n/a",FJ49-INDEX(tab_MinKomp[Dyspozycyjność / Verfügbarkeit],MATCH($B49,tab_MinKomp[[Stanowisko / Position ]:[Stanowisko / Position ]],0)))</f>
        <v>0</v>
      </c>
      <c r="FK50" s="315">
        <f>IF(INDEX(tab_MinKomp[Zaangażowanie / 
Engagement],MATCH($B49,tab_MinKomp[[Stanowisko / Position ]:[Stanowisko / Position ]],0))="n/a","n/a",FK49-INDEX(tab_MinKomp[Zaangażowanie / 
Engagement],MATCH($B49,tab_MinKomp[[Stanowisko / Position ]:[Stanowisko / Position ]],0)))</f>
        <v>0</v>
      </c>
      <c r="FL50" s="315">
        <f>IF(INDEX(tab_MinKomp[Planowanie strategiczne / Strategische Planung],MATCH($B49,tab_MinKomp[[Stanowisko / Position ]:[Stanowisko / Position ]],0))="n/a","n/a",FL49-INDEX(tab_MinKomp[Planowanie strategiczne / Strategische Planung],MATCH($B49,tab_MinKomp[[Stanowisko / Position ]:[Stanowisko / Position ]],0)))</f>
        <v>-1</v>
      </c>
      <c r="FM50" s="315">
        <f>IF(INDEX(tab_MinKomp[Konsekwentne i dynamiczne działanie],MATCH($B49,tab_MinKomp[[Stanowisko / Position ]:[Stanowisko / Position ]],0))="n/a","n/a",FM49-INDEX(tab_MinKomp[Konsekwentne i dynamiczne działanie],MATCH($B49,tab_MinKomp[[Stanowisko / Position ]:[Stanowisko / Position ]],0)))</f>
        <v>0</v>
      </c>
      <c r="FN50" s="315">
        <f>IF(INDEX(tab_MinKomp[Elastyczność w działaniu],MATCH($B49,tab_MinKomp[[Stanowisko / Position ]:[Stanowisko / Position ]],0))="n/a","n/a",FN49-INDEX(tab_MinKomp[Elastyczność w działaniu],MATCH($B49,tab_MinKomp[[Stanowisko / Position ]:[Stanowisko / Position ]],0)))</f>
        <v>0</v>
      </c>
      <c r="FO50" s="315">
        <f>IF(INDEX(tab_MinKomp[Komunikatywność],MATCH($B49,tab_MinKomp[[Stanowisko / Position ]:[Stanowisko / Position ]],0))="n/a","n/a",FO49-INDEX(tab_MinKomp[Komunikatywność],MATCH($B49,tab_MinKomp[[Stanowisko / Position ]:[Stanowisko / Position ]],0)))</f>
        <v>-1</v>
      </c>
      <c r="FP50" s="314">
        <f>IF(INDEX(tab_MinKomp[Motywowanie i budowanie zaangażowania zespołu],MATCH($B49,tab_MinKomp[[Stanowisko / Position ]:[Stanowisko / Position ]],0))="n/a","n/a",FP49-INDEX(tab_MinKomp[Motywowanie i budowanie zaangażowania zespołu],MATCH($B49,tab_MinKomp[[Stanowisko / Position ]:[Stanowisko / Position ]],0)))</f>
        <v>0</v>
      </c>
      <c r="FQ50" s="318" t="str">
        <f>IFERROR(IF(INDEX(tab_MinKomp[BRAK / Keine],MATCH($B49,tab_MinKomp[[Stanowisko / Position ]:[Stanowisko / Position ]],0))="n/a","n/a",INDEX(tab_MinKomp[BRAK / Keine],MATCH($B49,tab_MinKomp[[Stanowisko / Position ]:[Stanowisko / Position ]],0))-FQ49),"")</f>
        <v>n/a</v>
      </c>
      <c r="FR50" s="315" t="str">
        <f>IF(INDEX(tab_MinKomp[MINIMUM 1 ROK / min. 1 Jahr],MATCH($B49,tab_MinKomp[[Stanowisko / Position ]:[Stanowisko / Position ]],0))="n/a","n/a",INDEX(tab_MinKomp[MINIMUM 1 ROK / min. 1 Jahr],MATCH($B49,tab_MinKomp[[Stanowisko / Position ]:[Stanowisko / Position ]],0)))</f>
        <v>n/a</v>
      </c>
      <c r="FS50" s="315" t="str">
        <f>IF(INDEX(tab_MinKomp[MINIMUM 2 LATA / min. 2 Jahre],MATCH($B49,tab_MinKomp[[Stanowisko / Position ]:[Stanowisko / Position ]],0))="n/a","n/a",INDEX(tab_MinKomp[MINIMUM 2 LATA / min. 2 Jahre],MATCH($B49,tab_MinKomp[[Stanowisko / Position ]:[Stanowisko / Position ]],0)))</f>
        <v>x</v>
      </c>
      <c r="FT50" s="315" t="str">
        <f>IF(INDEX(tab_MinKomp[MINIMUM 3 LATA / min. 3 Jahre],MATCH($B49,tab_MinKomp[[Stanowisko / Position ]:[Stanowisko / Position ]],0))="n/a","n/a",INDEX(tab_MinKomp[MINIMUM 3 LATA / min. 3 Jahre],MATCH($B49,tab_MinKomp[[Stanowisko / Position ]:[Stanowisko / Position ]],0)))</f>
        <v>n/a</v>
      </c>
      <c r="FU50" s="315" t="str">
        <f>IF(INDEX(tab_MinKomp[MINIMUM 4 LATA / min. 4 Jahre],MATCH($B49,tab_MinKomp[[Stanowisko / Position ]:[Stanowisko / Position ]],0))="n/a","n/a",INDEX(tab_MinKomp[MINIMUM 4 LATA / min. 4 Jahre],MATCH($B49,tab_MinKomp[[Stanowisko / Position ]:[Stanowisko / Position ]],0)))</f>
        <v>n/a</v>
      </c>
      <c r="FV50" s="319" t="str">
        <f>IF(INDEX(tab_MinKomp[MINIMUM 5 LAT / min. 5 Jahre],MATCH($B49,tab_MinKomp[[Stanowisko / Position ]:[Stanowisko / Position ]],0))="n/a","n/a",INDEX(tab_MinKomp[MINIMUM 5 LAT / min. 5 Jahre],MATCH($B49,tab_MinKomp[[Stanowisko / Position ]:[Stanowisko / Position ]],0)))</f>
        <v>n/a</v>
      </c>
      <c r="FW50" s="318" t="str">
        <f>IF(INDEX(tab_MinKomp[BRAK / Keine9],MATCH($B49,tab_MinKomp[[Stanowisko / Position ]:[Stanowisko / Position ]],0))="n/a","n/a",INDEX(tab_MinKomp[BRAK / Keine9],MATCH($B49,tab_MinKomp[[Stanowisko / Position ]:[Stanowisko / Position ]],0)))</f>
        <v>n/a</v>
      </c>
      <c r="FX50" s="315" t="str">
        <f>IF(INDEX(tab_MinKomp[ZAWODOWE / Berufsausbildung],MATCH($B49,tab_MinKomp[[Stanowisko / Position ]:[Stanowisko / Position ]],0))="n/a","n/a",INDEX(tab_MinKomp[ZAWODOWE / Berufsausbildung],MATCH($B49,tab_MinKomp[[Stanowisko / Position ]:[Stanowisko / Position ]],0)))</f>
        <v>n/a</v>
      </c>
      <c r="FY50" s="315" t="str">
        <f>IF(INDEX(tab_MinKomp[ŚREDNIE OGÓLNE / Abitur allgemeine],MATCH($B49,tab_MinKomp[[Stanowisko / Position ]:[Stanowisko / Position ]],0))="n/a","n/a",INDEX(tab_MinKomp[ŚREDNIE OGÓLNE / Abitur allgemeine],MATCH($B49,tab_MinKomp[[Stanowisko / Position ]:[Stanowisko / Position ]],0)))</f>
        <v>n/a</v>
      </c>
      <c r="FZ50" s="315" t="str">
        <f>IF(INDEX(tab_MinKomp[ŚREDNIE KIERUNKOWE / berufliches Gymnasium],MATCH($B49,tab_MinKomp[[Stanowisko / Position ]:[Stanowisko / Position ]],0))="n/a","n/a",INDEX(tab_MinKomp[ŚREDNIE KIERUNKOWE / berufliches Gymnasium],MATCH($B49,tab_MinKomp[[Stanowisko / Position ]:[Stanowisko / Position ]],0)))</f>
        <v>n/a</v>
      </c>
      <c r="GA50" s="315" t="str">
        <f>IF(INDEX(tab_MinKomp[WYŻSZE OGÓLNE / Hochschule allgemeine],MATCH($B49,tab_MinKomp[[Stanowisko / Position ]:[Stanowisko / Position ]],0))="n/a","n/a",INDEX(tab_MinKomp[WYŻSZE OGÓLNE / Hochschule allgemeine],MATCH($B49,tab_MinKomp[[Stanowisko / Position ]:[Stanowisko / Position ]],0)))</f>
        <v>n/a</v>
      </c>
      <c r="GB50" s="319" t="str">
        <f>IF(INDEX(tab_MinKomp[WYŻSZE KIERUNKOWE / Hochschule berufliche],MATCH($B49,tab_MinKomp[[Stanowisko / Position ]:[Stanowisko / Position ]],0))="n/a","n/a",INDEX(tab_MinKomp[WYŻSZE KIERUNKOWE / Hochschule berufliche],MATCH($B49,tab_MinKomp[[Stanowisko / Position ]:[Stanowisko / Position ]],0)))</f>
        <v>n/a</v>
      </c>
      <c r="GC50" s="318" t="str">
        <f>IF(INDEX(tab_MinKomp[PIERWSZA POMOC / Erste Hilfe],MATCH($B49,tab_MinKomp[[Stanowisko / Position ]:[Stanowisko / Position ]],0))="n/a","n/a",INDEX(tab_MinKomp[PIERWSZA POMOC / Erste Hilfe],MATCH($B49,tab_MinKomp[[Stanowisko / Position ]:[Stanowisko / Position ]],0)))</f>
        <v>n/a</v>
      </c>
      <c r="GD50" s="315" t="str">
        <f>IF(INDEX(tab_MinKomp[Specjalista BHP / BHP Spezialist],MATCH($B49,tab_MinKomp[[Stanowisko / Position ]:[Stanowisko / Position ]],0))="n/a","n/a",INDEX(tab_MinKomp[Specjalista BHP / BHP Spezialist],MATCH($B49,tab_MinKomp[[Stanowisko / Position ]:[Stanowisko / Position ]],0)))</f>
        <v>n/a</v>
      </c>
      <c r="GE50" s="315" t="str">
        <f>IF(INDEX(tab_MinKomp[Inspektor ochrony PPOŻ / Brandschutzinspektor],MATCH($B49,tab_MinKomp[[Stanowisko / Position ]:[Stanowisko / Position ]],0))="n/a","n/a",INDEX(tab_MinKomp[Inspektor ochrony PPOŻ / Brandschutzinspektor],MATCH($B49,tab_MinKomp[[Stanowisko / Position ]:[Stanowisko / Position ]],0)))</f>
        <v>n/a</v>
      </c>
      <c r="GF50" s="315" t="str">
        <f>IF(INDEX(tab_MinKomp[WÓZKI JEZDNIOWE / Gebelstapler],MATCH($B49,tab_MinKomp[[Stanowisko / Position ]:[Stanowisko / Position ]],0))="n/a","n/a",INDEX(tab_MinKomp[WÓZKI JEZDNIOWE / Gebelstapler],MATCH($B49,tab_MinKomp[[Stanowisko / Position ]:[Stanowisko / Position ]],0)))</f>
        <v>n/a</v>
      </c>
      <c r="GG50" s="315" t="str">
        <f>IF(INDEX(tab_MinKomp[SEP],MATCH($B49,tab_MinKomp[[Stanowisko / Position ]:[Stanowisko / Position ]],0))="n/a","n/a",INDEX(tab_MinKomp[SEP],MATCH($B49,tab_MinKomp[[Stanowisko / Position ]:[Stanowisko / Position ]],0)))</f>
        <v>n/a</v>
      </c>
      <c r="GH50" s="315" t="str">
        <f>IF(INDEX(tab_MinKomp[SEP  DOZÓR / SEP Aufsicht],MATCH($B49,tab_MinKomp[[Stanowisko / Position ]:[Stanowisko / Position ]],0))="n/a","n/a",INDEX(tab_MinKomp[SEP  DOZÓR / SEP Aufsicht],MATCH($B49,tab_MinKomp[[Stanowisko / Position ]:[Stanowisko / Position ]],0)))</f>
        <v>n/a</v>
      </c>
      <c r="GI50" s="315" t="str">
        <f>IF(INDEX(tab_MinKomp[PODNOŚNIKI / Hebevorrichtung],MATCH($B49,tab_MinKomp[[Stanowisko / Position ]:[Stanowisko / Position ]],0))="n/a","n/a",INDEX(tab_MinKomp[PODNOŚNIKI / Hebevorrichtung],MATCH($B49,tab_MinKomp[[Stanowisko / Position ]:[Stanowisko / Position ]],0)))</f>
        <v>n/a</v>
      </c>
      <c r="GJ50" s="315" t="str">
        <f>IF(INDEX(tab_MinKomp[SUWNICE / Laufkran],MATCH($B49,tab_MinKomp[[Stanowisko / Position ]:[Stanowisko / Position ]],0))="n/a","n/a",INDEX(tab_MinKomp[SUWNICE / Laufkran],MATCH($B49,tab_MinKomp[[Stanowisko / Position ]:[Stanowisko / Position ]],0)))</f>
        <v>n/a</v>
      </c>
      <c r="GK50" s="319" t="str">
        <f>IF(INDEX(tab_MinKomp[WYSOKOŚCIOWE / Höhenberechtigungen],MATCH($B49,tab_MinKomp[[Stanowisko / Position ]:[Stanowisko / Position ]],0))="n/a","n/a",INDEX(tab_MinKomp[WYSOKOŚCIOWE / Höhenberechtigungen],MATCH($B49,tab_MinKomp[[Stanowisko / Position ]:[Stanowisko / Position ]],0)))</f>
        <v>n/a</v>
      </c>
      <c r="GL50" s="320">
        <f>SUM(G50:FP50)/(GL49-(SUM(G50:FP50)))</f>
        <v>-6.0150375939849621E-2</v>
      </c>
      <c r="GM50" s="132"/>
    </row>
    <row r="51" spans="1:195" s="187" customFormat="1" ht="28.35" customHeight="1" x14ac:dyDescent="0.25">
      <c r="A51" s="135" t="s">
        <v>227</v>
      </c>
      <c r="B51" s="135" t="s">
        <v>663</v>
      </c>
      <c r="C51" s="135" t="s">
        <v>254</v>
      </c>
      <c r="D51" s="135">
        <v>898</v>
      </c>
      <c r="E51" s="565" t="s">
        <v>256</v>
      </c>
      <c r="F51" s="307" t="s">
        <v>165</v>
      </c>
      <c r="G51" s="308">
        <v>2</v>
      </c>
      <c r="H51" s="308">
        <v>2</v>
      </c>
      <c r="I51" s="308">
        <v>3</v>
      </c>
      <c r="J51" s="308">
        <v>1</v>
      </c>
      <c r="K51" s="308">
        <v>1</v>
      </c>
      <c r="L51" s="308">
        <v>3</v>
      </c>
      <c r="M51" s="308">
        <v>2</v>
      </c>
      <c r="N51" s="308">
        <v>2</v>
      </c>
      <c r="O51" s="308">
        <v>3</v>
      </c>
      <c r="P51" s="308">
        <v>3</v>
      </c>
      <c r="Q51" s="308">
        <v>2</v>
      </c>
      <c r="R51" s="308">
        <v>3</v>
      </c>
      <c r="S51" s="308">
        <v>2</v>
      </c>
      <c r="T51" s="308">
        <v>3</v>
      </c>
      <c r="U51" s="308" t="s">
        <v>176</v>
      </c>
      <c r="V51" s="308" t="s">
        <v>176</v>
      </c>
      <c r="W51" s="308" t="s">
        <v>176</v>
      </c>
      <c r="X51" s="308" t="s">
        <v>176</v>
      </c>
      <c r="Y51" s="308" t="s">
        <v>176</v>
      </c>
      <c r="Z51" s="308" t="s">
        <v>176</v>
      </c>
      <c r="AA51" s="308" t="s">
        <v>176</v>
      </c>
      <c r="AB51" s="308">
        <v>2</v>
      </c>
      <c r="AC51" s="308">
        <v>1</v>
      </c>
      <c r="AD51" s="308">
        <v>1</v>
      </c>
      <c r="AE51" s="308">
        <v>1</v>
      </c>
      <c r="AF51" s="308">
        <v>1</v>
      </c>
      <c r="AG51" s="308" t="s">
        <v>176</v>
      </c>
      <c r="AH51" s="308" t="s">
        <v>176</v>
      </c>
      <c r="AI51" s="308" t="s">
        <v>176</v>
      </c>
      <c r="AJ51" s="308" t="s">
        <v>176</v>
      </c>
      <c r="AK51" s="308" t="s">
        <v>176</v>
      </c>
      <c r="AL51" s="308">
        <v>3</v>
      </c>
      <c r="AM51" s="308" t="s">
        <v>176</v>
      </c>
      <c r="AN51" s="308" t="s">
        <v>176</v>
      </c>
      <c r="AO51" s="308" t="s">
        <v>176</v>
      </c>
      <c r="AP51" s="308" t="s">
        <v>176</v>
      </c>
      <c r="AQ51" s="308">
        <v>2</v>
      </c>
      <c r="AR51" s="308" t="s">
        <v>176</v>
      </c>
      <c r="AS51" s="308" t="s">
        <v>176</v>
      </c>
      <c r="AT51" s="308" t="s">
        <v>176</v>
      </c>
      <c r="AU51" s="308">
        <v>1</v>
      </c>
      <c r="AV51" s="308">
        <v>3</v>
      </c>
      <c r="AW51" s="308">
        <v>2</v>
      </c>
      <c r="AX51" s="308">
        <v>1</v>
      </c>
      <c r="AY51" s="308" t="s">
        <v>176</v>
      </c>
      <c r="AZ51" s="308">
        <v>1</v>
      </c>
      <c r="BA51" s="308">
        <v>1</v>
      </c>
      <c r="BB51" s="308">
        <v>1</v>
      </c>
      <c r="BC51" s="308" t="s">
        <v>176</v>
      </c>
      <c r="BD51" s="308" t="s">
        <v>176</v>
      </c>
      <c r="BE51" s="308" t="s">
        <v>176</v>
      </c>
      <c r="BF51" s="308" t="s">
        <v>176</v>
      </c>
      <c r="BG51" s="308" t="s">
        <v>176</v>
      </c>
      <c r="BH51" s="308" t="s">
        <v>176</v>
      </c>
      <c r="BI51" s="308" t="s">
        <v>176</v>
      </c>
      <c r="BJ51" s="308" t="s">
        <v>176</v>
      </c>
      <c r="BK51" s="308" t="s">
        <v>176</v>
      </c>
      <c r="BL51" s="308" t="s">
        <v>176</v>
      </c>
      <c r="BM51" s="308" t="s">
        <v>176</v>
      </c>
      <c r="BN51" s="308" t="s">
        <v>176</v>
      </c>
      <c r="BO51" s="308" t="s">
        <v>176</v>
      </c>
      <c r="BP51" s="308" t="s">
        <v>176</v>
      </c>
      <c r="BQ51" s="308" t="s">
        <v>176</v>
      </c>
      <c r="BR51" s="308" t="s">
        <v>176</v>
      </c>
      <c r="BS51" s="308" t="s">
        <v>176</v>
      </c>
      <c r="BT51" s="308" t="s">
        <v>176</v>
      </c>
      <c r="BU51" s="308" t="s">
        <v>176</v>
      </c>
      <c r="BV51" s="308" t="s">
        <v>176</v>
      </c>
      <c r="BW51" s="308" t="s">
        <v>176</v>
      </c>
      <c r="BX51" s="308" t="s">
        <v>176</v>
      </c>
      <c r="BY51" s="308" t="s">
        <v>176</v>
      </c>
      <c r="BZ51" s="308" t="s">
        <v>176</v>
      </c>
      <c r="CA51" s="308" t="s">
        <v>176</v>
      </c>
      <c r="CB51" s="308" t="s">
        <v>176</v>
      </c>
      <c r="CC51" s="308" t="s">
        <v>176</v>
      </c>
      <c r="CD51" s="308" t="s">
        <v>176</v>
      </c>
      <c r="CE51" s="308" t="s">
        <v>176</v>
      </c>
      <c r="CF51" s="308" t="s">
        <v>176</v>
      </c>
      <c r="CG51" s="308" t="s">
        <v>176</v>
      </c>
      <c r="CH51" s="308" t="s">
        <v>176</v>
      </c>
      <c r="CI51" s="308">
        <v>2</v>
      </c>
      <c r="CJ51" s="308" t="s">
        <v>176</v>
      </c>
      <c r="CK51" s="308" t="s">
        <v>176</v>
      </c>
      <c r="CL51" s="308" t="s">
        <v>176</v>
      </c>
      <c r="CM51" s="308">
        <v>1</v>
      </c>
      <c r="CN51" s="308">
        <v>1</v>
      </c>
      <c r="CO51" s="308">
        <v>1</v>
      </c>
      <c r="CP51" s="308">
        <v>1</v>
      </c>
      <c r="CQ51" s="308" t="s">
        <v>176</v>
      </c>
      <c r="CR51" s="308" t="s">
        <v>176</v>
      </c>
      <c r="CS51" s="308" t="s">
        <v>176</v>
      </c>
      <c r="CT51" s="308" t="s">
        <v>176</v>
      </c>
      <c r="CU51" s="308" t="s">
        <v>176</v>
      </c>
      <c r="CV51" s="308" t="s">
        <v>176</v>
      </c>
      <c r="CW51" s="308" t="s">
        <v>176</v>
      </c>
      <c r="CX51" s="308" t="s">
        <v>176</v>
      </c>
      <c r="CY51" s="308" t="s">
        <v>176</v>
      </c>
      <c r="CZ51" s="308" t="s">
        <v>176</v>
      </c>
      <c r="DA51" s="308" t="s">
        <v>176</v>
      </c>
      <c r="DB51" s="308" t="s">
        <v>176</v>
      </c>
      <c r="DC51" s="308" t="s">
        <v>176</v>
      </c>
      <c r="DD51" s="308" t="s">
        <v>176</v>
      </c>
      <c r="DE51" s="308" t="s">
        <v>176</v>
      </c>
      <c r="DF51" s="308" t="s">
        <v>176</v>
      </c>
      <c r="DG51" s="308" t="s">
        <v>176</v>
      </c>
      <c r="DH51" s="308" t="s">
        <v>176</v>
      </c>
      <c r="DI51" s="308" t="s">
        <v>176</v>
      </c>
      <c r="DJ51" s="308" t="s">
        <v>176</v>
      </c>
      <c r="DK51" s="308" t="s">
        <v>176</v>
      </c>
      <c r="DL51" s="308" t="s">
        <v>176</v>
      </c>
      <c r="DM51" s="308" t="s">
        <v>176</v>
      </c>
      <c r="DN51" s="308" t="s">
        <v>176</v>
      </c>
      <c r="DO51" s="308" t="s">
        <v>176</v>
      </c>
      <c r="DP51" s="308" t="s">
        <v>176</v>
      </c>
      <c r="DQ51" s="308" t="s">
        <v>176</v>
      </c>
      <c r="DR51" s="308" t="s">
        <v>176</v>
      </c>
      <c r="DS51" s="308" t="s">
        <v>176</v>
      </c>
      <c r="DT51" s="308" t="s">
        <v>176</v>
      </c>
      <c r="DU51" s="308" t="s">
        <v>176</v>
      </c>
      <c r="DV51" s="306" t="s">
        <v>176</v>
      </c>
      <c r="DW51" s="306" t="s">
        <v>176</v>
      </c>
      <c r="DX51" s="306" t="s">
        <v>176</v>
      </c>
      <c r="DY51" s="308" t="s">
        <v>176</v>
      </c>
      <c r="DZ51" s="308" t="s">
        <v>176</v>
      </c>
      <c r="EA51" s="308" t="s">
        <v>176</v>
      </c>
      <c r="EB51" s="308" t="s">
        <v>176</v>
      </c>
      <c r="EC51" s="308" t="s">
        <v>176</v>
      </c>
      <c r="ED51" s="308" t="s">
        <v>176</v>
      </c>
      <c r="EE51" s="308" t="s">
        <v>176</v>
      </c>
      <c r="EF51" s="308" t="s">
        <v>176</v>
      </c>
      <c r="EG51" s="308" t="s">
        <v>176</v>
      </c>
      <c r="EH51" s="308" t="s">
        <v>176</v>
      </c>
      <c r="EI51" s="308" t="s">
        <v>176</v>
      </c>
      <c r="EJ51" s="308" t="s">
        <v>176</v>
      </c>
      <c r="EK51" s="308" t="s">
        <v>176</v>
      </c>
      <c r="EL51" s="308" t="s">
        <v>176</v>
      </c>
      <c r="EM51" s="308" t="s">
        <v>176</v>
      </c>
      <c r="EN51" s="308" t="s">
        <v>176</v>
      </c>
      <c r="EO51" s="308" t="s">
        <v>176</v>
      </c>
      <c r="EP51" s="308" t="s">
        <v>176</v>
      </c>
      <c r="EQ51" s="308" t="s">
        <v>176</v>
      </c>
      <c r="ER51" s="308" t="s">
        <v>176</v>
      </c>
      <c r="ES51" s="308" t="s">
        <v>176</v>
      </c>
      <c r="ET51" s="308" t="s">
        <v>176</v>
      </c>
      <c r="EU51" s="308" t="s">
        <v>176</v>
      </c>
      <c r="EV51" s="308" t="s">
        <v>176</v>
      </c>
      <c r="EW51" s="308" t="s">
        <v>176</v>
      </c>
      <c r="EX51" s="308" t="s">
        <v>176</v>
      </c>
      <c r="EY51" s="308">
        <v>2</v>
      </c>
      <c r="EZ51" s="308">
        <v>2</v>
      </c>
      <c r="FA51" s="308">
        <v>2</v>
      </c>
      <c r="FB51" s="308">
        <v>1</v>
      </c>
      <c r="FC51" s="308" t="s">
        <v>176</v>
      </c>
      <c r="FD51" s="308">
        <v>2</v>
      </c>
      <c r="FE51" s="308">
        <v>3</v>
      </c>
      <c r="FF51" s="308">
        <v>2</v>
      </c>
      <c r="FG51" s="308">
        <v>3</v>
      </c>
      <c r="FH51" s="308">
        <v>2</v>
      </c>
      <c r="FI51" s="308">
        <v>2</v>
      </c>
      <c r="FJ51" s="308">
        <v>3</v>
      </c>
      <c r="FK51" s="308">
        <v>3</v>
      </c>
      <c r="FL51" s="308">
        <v>1</v>
      </c>
      <c r="FM51" s="308">
        <v>2</v>
      </c>
      <c r="FN51" s="308">
        <v>3</v>
      </c>
      <c r="FO51" s="308">
        <v>2</v>
      </c>
      <c r="FP51" s="308">
        <v>3</v>
      </c>
      <c r="FQ51" s="308" t="s">
        <v>176</v>
      </c>
      <c r="FR51" s="308" t="s">
        <v>176</v>
      </c>
      <c r="FS51" s="308" t="s">
        <v>387</v>
      </c>
      <c r="FT51" s="308" t="s">
        <v>176</v>
      </c>
      <c r="FU51" s="308" t="s">
        <v>176</v>
      </c>
      <c r="FV51" s="308" t="s">
        <v>176</v>
      </c>
      <c r="FW51" s="308" t="s">
        <v>176</v>
      </c>
      <c r="FX51" s="308" t="s">
        <v>176</v>
      </c>
      <c r="FY51" s="308" t="s">
        <v>176</v>
      </c>
      <c r="FZ51" s="308" t="s">
        <v>176</v>
      </c>
      <c r="GA51" s="323" t="s">
        <v>160</v>
      </c>
      <c r="GB51" s="308" t="s">
        <v>176</v>
      </c>
      <c r="GC51" s="308" t="s">
        <v>176</v>
      </c>
      <c r="GD51" s="308" t="s">
        <v>176</v>
      </c>
      <c r="GE51" s="308" t="s">
        <v>176</v>
      </c>
      <c r="GF51" s="308" t="s">
        <v>176</v>
      </c>
      <c r="GG51" s="308" t="s">
        <v>176</v>
      </c>
      <c r="GH51" s="308" t="s">
        <v>176</v>
      </c>
      <c r="GI51" s="308" t="s">
        <v>176</v>
      </c>
      <c r="GJ51" s="308" t="s">
        <v>176</v>
      </c>
      <c r="GK51" s="308" t="s">
        <v>176</v>
      </c>
      <c r="GL51" s="311">
        <f>SUM(G51:FP51)</f>
        <v>97</v>
      </c>
      <c r="GM51" s="132"/>
    </row>
    <row r="52" spans="1:195" s="187" customFormat="1" ht="28.35" customHeight="1" thickBot="1" x14ac:dyDescent="0.3">
      <c r="A52" s="138" t="str">
        <f>A51</f>
        <v>Management / zarządzanie</v>
      </c>
      <c r="B52" s="138" t="str">
        <f>B51</f>
        <v>HR Manager</v>
      </c>
      <c r="C52" s="138" t="str">
        <f>C51</f>
        <v>MG</v>
      </c>
      <c r="D52" s="138">
        <f>D51</f>
        <v>898</v>
      </c>
      <c r="E52" s="567" t="str">
        <f>E51</f>
        <v>Pietkiewicz-Dudek Monika</v>
      </c>
      <c r="F52" s="331" t="s">
        <v>166</v>
      </c>
      <c r="G52" s="351">
        <f>IF(INDEX(tab_MinKomp[Przepisy BHP / BHP Vorschriften],MATCH($B51,tab_MinKomp[[Stanowisko / Position ]:[Stanowisko / Position ]],0))="n/a","n/a",G51-INDEX(tab_MinKomp[Przepisy BHP / BHP Vorschriften],MATCH($B51,tab_MinKomp[[Stanowisko / Position ]:[Stanowisko / Position ]],0)))</f>
        <v>0</v>
      </c>
      <c r="H52" s="334">
        <f>IF(INDEX(tab_MinKomp[Przepisy PPOŻ / Brandschutzbestimmungen],MATCH($B51,tab_MinKomp[[Stanowisko / Position ]:[Stanowisko / Position ]],0))="n/a","n/a",H51-INDEX(tab_MinKomp[Przepisy PPOŻ / Brandschutzbestimmungen],MATCH($B51,tab_MinKomp[[Stanowisko / Position ]:[Stanowisko / Position ]],0)))</f>
        <v>0</v>
      </c>
      <c r="I52" s="334">
        <f>IF(INDEX(tab_MinKomp[Ryzyko zawodowe na stanowiskach pracyv/ Berufliche Risiken an Arbeitsstellen],MATCH($B51,tab_MinKomp[[Stanowisko / Position ]:[Stanowisko / Position ]],0))="n/a","n/a",I51-INDEX(tab_MinKomp[Ryzyko zawodowe na stanowiskach pracyv/ Berufliche Risiken an Arbeitsstellen],MATCH($B51,tab_MinKomp[[Stanowisko / Position ]:[Stanowisko / Position ]],0)))</f>
        <v>0</v>
      </c>
      <c r="J52" s="334">
        <f>IF(INDEX(tab_MinKomp[Gospodarka substancjami niebezpiecznymi / Gefahrstoffmanagement],MATCH($B51,tab_MinKomp[[Stanowisko / Position ]:[Stanowisko / Position ]],0))="n/a","n/a",J51-INDEX(tab_MinKomp[Gospodarka substancjami niebezpiecznymi / Gefahrstoffmanagement],MATCH($B51,tab_MinKomp[[Stanowisko / Position ]:[Stanowisko / Position ]],0)))</f>
        <v>-1</v>
      </c>
      <c r="K52" s="334">
        <f>IF(INDEX(tab_MinKomp[Gospodarka odpadami / Abfallwirtschaft],MATCH($B51,tab_MinKomp[[Stanowisko / Position ]:[Stanowisko / Position ]],0))="n/a","n/a",K51-INDEX(tab_MinKomp[Gospodarka odpadami / Abfallwirtschaft],MATCH($B51,tab_MinKomp[[Stanowisko / Position ]:[Stanowisko / Position ]],0)))</f>
        <v>-1</v>
      </c>
      <c r="L52" s="333">
        <f>IF(INDEX(tab_MinKomp[Przepisy kodeksu pracy / Bestimmungen des Arbeitsgesetzes],MATCH($B51,tab_MinKomp[[Stanowisko / Position ]:[Stanowisko / Position ]],0))="n/a","n/a",L51-INDEX(tab_MinKomp[Przepisy kodeksu pracy / Bestimmungen des Arbeitsgesetzes],MATCH($B51,tab_MinKomp[[Stanowisko / Position ]:[Stanowisko / Position ]],0)))</f>
        <v>0</v>
      </c>
      <c r="M52" s="332">
        <f>IF(INDEX(tab_MinKomp[Przepisy o ub.społ. ZUS  / Sozialversicherungsvorschriften],MATCH($B51,tab_MinKomp[[Stanowisko / Position ]:[Stanowisko / Position ]],0))="n/a","n/a",M51-INDEX(tab_MinKomp[Przepisy o ub.społ. ZUS  / Sozialversicherungsvorschriften],MATCH($B51,tab_MinKomp[[Stanowisko / Position ]:[Stanowisko / Position ]],0)))</f>
        <v>0</v>
      </c>
      <c r="N52" s="333">
        <f>IF(INDEX(tab_MinKomp[PRZEPISY O PDOF /persönlich Einkommensteuergesetz ],MATCH($B51,tab_MinKomp[[Stanowisko / Position ]:[Stanowisko / Position ]],0))="n/a","n/a",N51-INDEX(tab_MinKomp[PRZEPISY O PDOF /persönlich Einkommensteuergesetz ],MATCH($B51,tab_MinKomp[[Stanowisko / Position ]:[Stanowisko / Position ]],0)))</f>
        <v>0</v>
      </c>
      <c r="O52" s="333">
        <f>IF(INDEX(tab_MinKomp[Regulamin pracy / Arbeitsordnung],MATCH($B51,tab_MinKomp[[Stanowisko / Position ]:[Stanowisko / Position ]],0))="n/a","n/a",O51-INDEX(tab_MinKomp[Regulamin pracy / Arbeitsordnung],MATCH($B51,tab_MinKomp[[Stanowisko / Position ]:[Stanowisko / Position ]],0)))</f>
        <v>0</v>
      </c>
      <c r="P52" s="333">
        <f>IF(INDEX(tab_MinKomp[Regulamin wynagradzania / Vergütungsordnung],MATCH($B51,tab_MinKomp[[Stanowisko / Position ]:[Stanowisko / Position ]],0))="n/a","n/a",P51-INDEX(tab_MinKomp[Regulamin wynagradzania / Vergütungsordnung],MATCH($B51,tab_MinKomp[[Stanowisko / Position ]:[Stanowisko / Position ]],0)))</f>
        <v>0</v>
      </c>
      <c r="Q52" s="333">
        <f>IF(INDEX(tab_MinKomp[System R2PŁATNIK PRO: Płace / Lohnabrechnung],MATCH($B51,tab_MinKomp[[Stanowisko / Position ]:[Stanowisko / Position ]],0))="n/a","n/a",Q51-INDEX(tab_MinKomp[System R2PŁATNIK PRO: Płace / Lohnabrechnung],MATCH($B51,tab_MinKomp[[Stanowisko / Position ]:[Stanowisko / Position ]],0)))</f>
        <v>0</v>
      </c>
      <c r="R52" s="333">
        <f>IF(INDEX(tab_MinKomp[SystemR2PŁATNIK PRO: KADRY / Personaldaten],MATCH($B51,tab_MinKomp[[Stanowisko / Position ]:[Stanowisko / Position ]],0))="n/a","n/a",R51-INDEX(tab_MinKomp[SystemR2PŁATNIK PRO: KADRY / Personaldaten],MATCH($B51,tab_MinKomp[[Stanowisko / Position ]:[Stanowisko / Position ]],0)))</f>
        <v>0</v>
      </c>
      <c r="S52" s="333">
        <f>IF(INDEX(tab_MinKomp[SYSTEM R2PŁATNIK PRO: zarządzanie pracownikami / Arbeitsverwaltung],MATCH($B51,tab_MinKomp[[Stanowisko / Position ]:[Stanowisko / Position ]],0))="n/a","n/a",S51-INDEX(tab_MinKomp[SYSTEM R2PŁATNIK PRO: zarządzanie pracownikami / Arbeitsverwaltung],MATCH($B51,tab_MinKomp[[Stanowisko / Position ]:[Stanowisko / Position ]],0)))</f>
        <v>0</v>
      </c>
      <c r="T52" s="333">
        <f>IF(INDEX(tab_MinKomp[Doradztwo, wsparcie personalne / Personalberatung und Unterstützung],MATCH($B51,tab_MinKomp[[Stanowisko / Position ]:[Stanowisko / Position ]],0))="n/a","n/a",T51-INDEX(tab_MinKomp[Doradztwo, wsparcie personalne / Personalberatung und Unterstützung],MATCH($B51,tab_MinKomp[[Stanowisko / Position ]:[Stanowisko / Position ]],0)))</f>
        <v>0</v>
      </c>
      <c r="U52" s="333" t="str">
        <f>IF(INDEX(tab_MinKomp[Przepisy o podatku VAT / MwSt.- Gesetz],MATCH($B51,tab_MinKomp[[Stanowisko / Position ]:[Stanowisko / Position ]],0))="n/a","n/a",U51-INDEX(tab_MinKomp[Przepisy o podatku VAT / MwSt.- Gesetz],MATCH($B51,tab_MinKomp[[Stanowisko / Position ]:[Stanowisko / Position ]],0)))</f>
        <v>n/a</v>
      </c>
      <c r="V52" s="333" t="str">
        <f>IF(INDEX(tab_MinKomp[PrzepisyPDOP / geschäftlich Einkommensteuergesetz],MATCH($B51,tab_MinKomp[[Stanowisko / Position ]:[Stanowisko / Position ]],0))="n/a","n/a",V51-INDEX(tab_MinKomp[PrzepisyPDOP / geschäftlich Einkommensteuergesetz],MATCH($B51,tab_MinKomp[[Stanowisko / Position ]:[Stanowisko / Position ]],0)))</f>
        <v>n/a</v>
      </c>
      <c r="W52" s="333" t="str">
        <f>IF(INDEX(tab_MinKomp[System BAAN / FINANSE (FIBU)],MATCH($B51,tab_MinKomp[[Stanowisko / Position ]:[Stanowisko / Position ]],0))="n/a","n/a",W51-INDEX(tab_MinKomp[System BAAN / FINANSE (FIBU)],MATCH($B51,tab_MinKomp[[Stanowisko / Position ]:[Stanowisko / Position ]],0)))</f>
        <v>n/a</v>
      </c>
      <c r="X52" s="333" t="str">
        <f>IF(INDEX(tab_MinKomp[Systemy pomocnicze / Hilfssysteme(STOCKPROGRAM, KALK2000 etc.)],MATCH($B51,tab_MinKomp[[Stanowisko / Position ]:[Stanowisko / Position ]],0))="n/a","n/a",X51-INDEX(tab_MinKomp[Systemy pomocnicze / Hilfssysteme(STOCKPROGRAM, KALK2000 etc.)],MATCH($B51,tab_MinKomp[[Stanowisko / Position ]:[Stanowisko / Position ]],0)))</f>
        <v>n/a</v>
      </c>
      <c r="Y52" s="333" t="str">
        <f>IF(INDEX(tab_MinKomp[Polityka rachunkowości / Buchführungspolitik],MATCH($B51,tab_MinKomp[[Stanowisko / Position ]:[Stanowisko / Position ]],0))="n/a","n/a",Y51-INDEX(tab_MinKomp[Polityka rachunkowości / Buchführungspolitik],MATCH($B51,tab_MinKomp[[Stanowisko / Position ]:[Stanowisko / Position ]],0)))</f>
        <v>n/a</v>
      </c>
      <c r="Z52" s="333" t="str">
        <f>IF(INDEX(tab_MinKomp[Ustawa o rachunkowości / Rechnungslegungsgesetz],MATCH($B51,tab_MinKomp[[Stanowisko / Position ]:[Stanowisko / Position ]],0))="n/a","n/a",Z51-INDEX(tab_MinKomp[Ustawa o rachunkowości / Rechnungslegungsgesetz],MATCH($B51,tab_MinKomp[[Stanowisko / Position ]:[Stanowisko / Position ]],0)))</f>
        <v>n/a</v>
      </c>
      <c r="AA52" s="333" t="str">
        <f>IF(INDEX(tab_MinKomp[WORKFLOW - TS-100],MATCH($B51,tab_MinKomp[[Stanowisko / Position ]:[Stanowisko / Position ]],0))="n/a","n/a",AA51-INDEX(tab_MinKomp[WORKFLOW - TS-100],MATCH($B51,tab_MinKomp[[Stanowisko / Position ]:[Stanowisko / Position ]],0)))</f>
        <v>n/a</v>
      </c>
      <c r="AB52" s="333">
        <f>IF(INDEX(tab_MinKomp[WORKFLOW - SFMS],MATCH($B51,tab_MinKomp[[Stanowisko / Position ]:[Stanowisko / Position ]],0))="n/a","n/a",AB51-INDEX(tab_MinKomp[WORKFLOW - SFMS],MATCH($B51,tab_MinKomp[[Stanowisko / Position ]:[Stanowisko / Position ]],0)))</f>
        <v>0</v>
      </c>
      <c r="AC52" s="333">
        <f>IF(INDEX(tab_MinKomp[System ISO 9001:2015],MATCH($B51,tab_MinKomp[[Stanowisko / Position ]:[Stanowisko / Position ]],0))="n/a","n/a",AC51-INDEX(tab_MinKomp[System ISO 9001:2015],MATCH($B51,tab_MinKomp[[Stanowisko / Position ]:[Stanowisko / Position ]],0)))</f>
        <v>0</v>
      </c>
      <c r="AD52" s="333">
        <f>IF(INDEX(tab_MinKomp[System IATF 16949:2016],MATCH($B51,tab_MinKomp[[Stanowisko / Position ]:[Stanowisko / Position ]],0))="n/a","n/a",AD51-INDEX(tab_MinKomp[System IATF 16949:2016],MATCH($B51,tab_MinKomp[[Stanowisko / Position ]:[Stanowisko / Position ]],0)))</f>
        <v>0</v>
      </c>
      <c r="AE52" s="333">
        <f>IF(INDEX(tab_MinKomp[System ISO 14001:2015],MATCH($B51,tab_MinKomp[[Stanowisko / Position ]:[Stanowisko / Position ]],0))="n/a","n/a",AE51-INDEX(tab_MinKomp[System ISO 14001:2015],MATCH($B51,tab_MinKomp[[Stanowisko / Position ]:[Stanowisko / Position ]],0)))</f>
        <v>0</v>
      </c>
      <c r="AF52" s="333">
        <f>IF(INDEX(tab_MinKomp[System PN-N 18001:2004 / ISO 45001:2018],MATCH($B51,tab_MinKomp[[Stanowisko / Position ]:[Stanowisko / Position ]],0))="n/a","n/a",AF51-INDEX(tab_MinKomp[System PN-N 18001:2004 / ISO 45001:2018],MATCH($B51,tab_MinKomp[[Stanowisko / Position ]:[Stanowisko / Position ]],0)))</f>
        <v>0</v>
      </c>
      <c r="AG52" s="333" t="str">
        <f>IF(INDEX(tab_MinKomp[Wymagania VDA 6.3 Process / Forderungen],MATCH($B51,tab_MinKomp[[Stanowisko / Position ]:[Stanowisko / Position ]],0))="n/a","n/a",AG51-INDEX(tab_MinKomp[Wymagania VDA 6.3 Process / Forderungen],MATCH($B51,tab_MinKomp[[Stanowisko / Position ]:[Stanowisko / Position ]],0)))</f>
        <v>n/a</v>
      </c>
      <c r="AH52" s="333" t="str">
        <f>IF(INDEX(tab_MinKomp[Wymagania VDA 6.5 Product / Forderungen],MATCH($B51,tab_MinKomp[[Stanowisko / Position ]:[Stanowisko / Position ]],0))="n/a","n/a",AH51-INDEX(tab_MinKomp[Wymagania VDA 6.5 Product / Forderungen],MATCH($B51,tab_MinKomp[[Stanowisko / Position ]:[Stanowisko / Position ]],0)))</f>
        <v>n/a</v>
      </c>
      <c r="AI52" s="333" t="str">
        <f>IF(INDEX(tab_MinKomp[PSCR (VW Product Safety &amp; Conformity Representative)],MATCH($B51,tab_MinKomp[[Stanowisko / Position ]:[Stanowisko / Position ]],0))="n/a","n/a",AI51-INDEX(tab_MinKomp[PSCR (VW Product Safety &amp; Conformity Representative)],MATCH($B51,tab_MinKomp[[Stanowisko / Position ]:[Stanowisko / Position ]],0)))</f>
        <v>n/a</v>
      </c>
      <c r="AJ52" s="333" t="str">
        <f>IF(INDEX(tab_MinKomp[Auditor systemu ISO 17025:2018],MATCH($B51,tab_MinKomp[[Stanowisko / Position ]:[Stanowisko / Position ]],0))="n/a","n/a",AJ51-INDEX(tab_MinKomp[Auditor systemu ISO 17025:2018],MATCH($B51,tab_MinKomp[[Stanowisko / Position ]:[Stanowisko / Position ]],0)))</f>
        <v>n/a</v>
      </c>
      <c r="AK52" s="333" t="str">
        <f>IF(INDEX(tab_MinKomp[Pełnomocnik systemu / Systemvertreter],MATCH($B51,tab_MinKomp[[Stanowisko / Position ]:[Stanowisko / Position ]],0))="n/a","n/a",AK51-INDEX(tab_MinKomp[Pełnomocnik systemu / Systemvertreter],MATCH($B51,tab_MinKomp[[Stanowisko / Position ]:[Stanowisko / Position ]],0)))</f>
        <v>n/a</v>
      </c>
      <c r="AL52" s="333">
        <f>IF(INDEX(tab_MinKomp[Polityka Etyczna - Compliance],MATCH($B51,tab_MinKomp[[Stanowisko / Position ]:[Stanowisko / Position ]],0))="n/a","n/a",AL51-INDEX(tab_MinKomp[Polityka Etyczna - Compliance],MATCH($B51,tab_MinKomp[[Stanowisko / Position ]:[Stanowisko / Position ]],0)))</f>
        <v>0</v>
      </c>
      <c r="AM52" s="333" t="str">
        <f>IF(INDEX(tab_MinKomp[WDRAŻANIE NOWYCH PROJEKTÓW/ PROCEDURA CTM],MATCH($B51,tab_MinKomp[[Stanowisko / Position ]:[Stanowisko / Position ]],0))="n/a","n/a",AM51-INDEX(tab_MinKomp[WDRAŻANIE NOWYCH PROJEKTÓW/ PROCEDURA CTM],MATCH($B51,tab_MinKomp[[Stanowisko / Position ]:[Stanowisko / Position ]],0)))</f>
        <v>n/a</v>
      </c>
      <c r="AN52" s="333" t="str">
        <f>IF(INDEX(tab_MinKomp[KAMIENIE MILOWE MSL/PIFF],MATCH($B51,tab_MinKomp[[Stanowisko / Position ]:[Stanowisko / Position ]],0))="n/a","n/a",AN51-INDEX(tab_MinKomp[KAMIENIE MILOWE MSL/PIFF],MATCH($B51,tab_MinKomp[[Stanowisko / Position ]:[Stanowisko / Position ]],0)))</f>
        <v>n/a</v>
      </c>
      <c r="AO52" s="333" t="str">
        <f>IF(INDEX(tab_MinKomp[CP],MATCH($B51,tab_MinKomp[[Stanowisko / Position ]:[Stanowisko / Position ]],0))="n/a","n/a",AO51-INDEX(tab_MinKomp[CP],MATCH($B51,tab_MinKomp[[Stanowisko / Position ]:[Stanowisko / Position ]],0)))</f>
        <v>n/a</v>
      </c>
      <c r="AP52" s="333" t="str">
        <f>IF(INDEX(tab_MinKomp[FMEA],MATCH($B51,tab_MinKomp[[Stanowisko / Position ]:[Stanowisko / Position ]],0))="n/a","n/a",AP51-INDEX(tab_MinKomp[FMEA],MATCH($B51,tab_MinKomp[[Stanowisko / Position ]:[Stanowisko / Position ]],0)))</f>
        <v>n/a</v>
      </c>
      <c r="AQ52" s="333">
        <f>IF(INDEX(tab_MinKomp[FLOW CHART],MATCH($B51,tab_MinKomp[[Stanowisko / Position ]:[Stanowisko / Position ]],0))="n/a","n/a",AQ51-INDEX(tab_MinKomp[FLOW CHART],MATCH($B51,tab_MinKomp[[Stanowisko / Position ]:[Stanowisko / Position ]],0)))</f>
        <v>0</v>
      </c>
      <c r="AR52" s="333" t="str">
        <f>IF(INDEX(tab_MinKomp[APQP],MATCH($B51,tab_MinKomp[[Stanowisko / Position ]:[Stanowisko / Position ]],0))="n/a","n/a",AR51-INDEX(tab_MinKomp[APQP],MATCH($B51,tab_MinKomp[[Stanowisko / Position ]:[Stanowisko / Position ]],0)))</f>
        <v>n/a</v>
      </c>
      <c r="AS52" s="333" t="str">
        <f>IF(INDEX(tab_MinKomp[MSA],MATCH($B51,tab_MinKomp[[Stanowisko / Position ]:[Stanowisko / Position ]],0))="n/a","n/a",AS51-INDEX(tab_MinKomp[MSA],MATCH($B51,tab_MinKomp[[Stanowisko / Position ]:[Stanowisko / Position ]],0)))</f>
        <v>n/a</v>
      </c>
      <c r="AT52" s="333" t="str">
        <f>IF(INDEX(tab_MinKomp[SPC],MATCH($B51,tab_MinKomp[[Stanowisko / Position ]:[Stanowisko / Position ]],0))="n/a","n/a",AT51-INDEX(tab_MinKomp[SPC],MATCH($B51,tab_MinKomp[[Stanowisko / Position ]:[Stanowisko / Position ]],0)))</f>
        <v>n/a</v>
      </c>
      <c r="AU52" s="333">
        <f>IF(INDEX(tab_MinKomp[CSR (SPECYFICZNE WYMAGANIA KLIENTA)],MATCH($B51,tab_MinKomp[[Stanowisko / Position ]:[Stanowisko / Position ]],0))="n/a","n/a",AU51-INDEX(tab_MinKomp[CSR (SPECYFICZNE WYMAGANIA KLIENTA)],MATCH($B51,tab_MinKomp[[Stanowisko / Position ]:[Stanowisko / Position ]],0)))</f>
        <v>0</v>
      </c>
      <c r="AV52" s="333">
        <f>IF(INDEX(tab_MinKomp[5S],MATCH($B51,tab_MinKomp[[Stanowisko / Position ]:[Stanowisko / Position ]],0))="n/a","n/a",AV51-INDEX(tab_MinKomp[5S],MATCH($B51,tab_MinKomp[[Stanowisko / Position ]:[Stanowisko / Position ]],0)))</f>
        <v>0</v>
      </c>
      <c r="AW52" s="333">
        <f>IF(INDEX(tab_MinKomp[LEAN MANAGEMENT],MATCH($B51,tab_MinKomp[[Stanowisko / Position ]:[Stanowisko / Position ]],0))="n/a","n/a",AW51-INDEX(tab_MinKomp[LEAN MANAGEMENT],MATCH($B51,tab_MinKomp[[Stanowisko / Position ]:[Stanowisko / Position ]],0)))</f>
        <v>-1</v>
      </c>
      <c r="AX52" s="333">
        <f>IF(INDEX(tab_MinKomp[5R],MATCH($B51,tab_MinKomp[[Stanowisko / Position ]:[Stanowisko / Position ]],0))="n/a","n/a",AX51-INDEX(tab_MinKomp[5R],MATCH($B51,tab_MinKomp[[Stanowisko / Position ]:[Stanowisko / Position ]],0)))</f>
        <v>-2</v>
      </c>
      <c r="AY52" s="333" t="str">
        <f>IF(INDEX(tab_MinKomp[Six Sigma],MATCH($B51,tab_MinKomp[[Stanowisko / Position ]:[Stanowisko / Position ]],0))="n/a","n/a",AY51-INDEX(tab_MinKomp[Six Sigma],MATCH($B51,tab_MinKomp[[Stanowisko / Position ]:[Stanowisko / Position ]],0)))</f>
        <v>n/a</v>
      </c>
      <c r="AZ52" s="333">
        <f>IF(INDEX(tab_MinKomp[System BAAN / Distribution &amp; Supply Chain],MATCH($B51,tab_MinKomp[[Stanowisko / Position ]:[Stanowisko / Position ]],0))="n/a","n/a",AZ51-INDEX(tab_MinKomp[System BAAN / Distribution &amp; Supply Chain],MATCH($B51,tab_MinKomp[[Stanowisko / Position ]:[Stanowisko / Position ]],0)))</f>
        <v>0</v>
      </c>
      <c r="BA52" s="333">
        <f>IF(INDEX(tab_MinKomp[Gospodarka magazynowa / Lagerverwaltung],MATCH($B51,tab_MinKomp[[Stanowisko / Position ]:[Stanowisko / Position ]],0))="n/a","n/a",BA51-INDEX(tab_MinKomp[Gospodarka magazynowa / Lagerverwaltung],MATCH($B51,tab_MinKomp[[Stanowisko / Position ]:[Stanowisko / Position ]],0)))</f>
        <v>0</v>
      </c>
      <c r="BB52" s="333">
        <f>IF(INDEX(tab_MinKomp[Inwentaryzacja - organizacja i przebieg / Inventurprozess],MATCH($B51,tab_MinKomp[[Stanowisko / Position ]:[Stanowisko / Position ]],0))="n/a","n/a",BB51-INDEX(tab_MinKomp[Inwentaryzacja - organizacja i przebieg / Inventurprozess],MATCH($B51,tab_MinKomp[[Stanowisko / Position ]:[Stanowisko / Position ]],0)))</f>
        <v>0</v>
      </c>
      <c r="BC52" s="333" t="str">
        <f>IF(INDEX(tab_MinKomp[Organizacja dostaw / Versorgungsorganisation],MATCH($B51,tab_MinKomp[[Stanowisko / Position ]:[Stanowisko / Position ]],0))="n/a","n/a",BC51-INDEX(tab_MinKomp[Organizacja dostaw / Versorgungsorganisation],MATCH($B51,tab_MinKomp[[Stanowisko / Position ]:[Stanowisko / Position ]],0)))</f>
        <v>n/a</v>
      </c>
      <c r="BD52" s="333" t="str">
        <f>IF(INDEX(tab_MinKomp[Organizacja wysyłek / Organisation von Lieferungen],MATCH($B51,tab_MinKomp[[Stanowisko / Position ]:[Stanowisko / Position ]],0))="n/a","n/a",BD51-INDEX(tab_MinKomp[Organizacja wysyłek / Organisation von Lieferungen],MATCH($B51,tab_MinKomp[[Stanowisko / Position ]:[Stanowisko / Position ]],0)))</f>
        <v>n/a</v>
      </c>
      <c r="BE52" s="333" t="str">
        <f>IF(INDEX(tab_MinKomp[Analiza magazynowa - Program Polen.mdb / Inventuranalyse],MATCH($B51,tab_MinKomp[[Stanowisko / Position ]:[Stanowisko / Position ]],0))="n/a","n/a",BE51-INDEX(tab_MinKomp[Analiza magazynowa - Program Polen.mdb / Inventuranalyse],MATCH($B51,tab_MinKomp[[Stanowisko / Position ]:[Stanowisko / Position ]],0)))</f>
        <v>n/a</v>
      </c>
      <c r="BF52" s="333" t="str">
        <f>IF(INDEX(tab_MinKomp[MMOG (Materials Management Operations Guidelines)],MATCH($B51,tab_MinKomp[[Stanowisko / Position ]:[Stanowisko / Position ]],0))="n/a","n/a",BF51-INDEX(tab_MinKomp[MMOG (Materials Management Operations Guidelines)],MATCH($B51,tab_MinKomp[[Stanowisko / Position ]:[Stanowisko / Position ]],0)))</f>
        <v>n/a</v>
      </c>
      <c r="BG52" s="333" t="str">
        <f>IF(INDEX(tab_MinKomp[GPP],MATCH($B51,tab_MinKomp[[Stanowisko / Position ]:[Stanowisko / Position ]],0))="n/a","n/a",BG51-INDEX(tab_MinKomp[GPP],MATCH($B51,tab_MinKomp[[Stanowisko / Position ]:[Stanowisko / Position ]],0)))</f>
        <v>n/a</v>
      </c>
      <c r="BH52" s="333" t="str">
        <f>IF(INDEX(tab_MinKomp[AIAG (Automotive Industry Action Group)],MATCH($B51,tab_MinKomp[[Stanowisko / Position ]:[Stanowisko / Position ]],0))="n/a","n/a",BH51-INDEX(tab_MinKomp[AIAG (Automotive Industry Action Group)],MATCH($B51,tab_MinKomp[[Stanowisko / Position ]:[Stanowisko / Position ]],0)))</f>
        <v>n/a</v>
      </c>
      <c r="BI52" s="333" t="str">
        <f>IF(INDEX(tab_MinKomp[Super-G disputes],MATCH($B51,tab_MinKomp[[Stanowisko / Position ]:[Stanowisko / Position ]],0))="n/a","n/a",BI51-INDEX(tab_MinKomp[Super-G disputes],MATCH($B51,tab_MinKomp[[Stanowisko / Position ]:[Stanowisko / Position ]],0)))</f>
        <v>n/a</v>
      </c>
      <c r="BJ52" s="333" t="str">
        <f>IF(INDEX(tab_MinKomp[CMMS3/eDDL (Direct Data Link)],MATCH($B51,tab_MinKomp[[Stanowisko / Position ]:[Stanowisko / Position ]],0))="n/a","n/a",BJ51-INDEX(tab_MinKomp[CMMS3/eDDL (Direct Data Link)],MATCH($B51,tab_MinKomp[[Stanowisko / Position ]:[Stanowisko / Position ]],0)))</f>
        <v>n/a</v>
      </c>
      <c r="BK52" s="333" t="str">
        <f>IF(INDEX(tab_MinKomp[MP&amp;L (Material Planning and Logistics)],MATCH($B51,tab_MinKomp[[Stanowisko / Position ]:[Stanowisko / Position ]],0))="n/a","n/a",BK51-INDEX(tab_MinKomp[MP&amp;L (Material Planning and Logistics)],MATCH($B51,tab_MinKomp[[Stanowisko / Position ]:[Stanowisko / Position ]],0)))</f>
        <v>n/a</v>
      </c>
      <c r="BL52" s="333" t="str">
        <f>IF(INDEX(tab_MinKomp[Supplier delivery rating],MATCH($B51,tab_MinKomp[[Stanowisko / Position ]:[Stanowisko / Position ]],0))="n/a","n/a",BL51-INDEX(tab_MinKomp[Supplier delivery rating],MATCH($B51,tab_MinKomp[[Stanowisko / Position ]:[Stanowisko / Position ]],0)))</f>
        <v>n/a</v>
      </c>
      <c r="BM52" s="333" t="str">
        <f>IF(INDEX(tab_MinKomp[Planowanie produkcji / Produktionsplanung],MATCH($B51,tab_MinKomp[[Stanowisko / Position ]:[Stanowisko / Position ]],0))="n/a","n/a",BM51-INDEX(tab_MinKomp[Planowanie produkcji / Produktionsplanung],MATCH($B51,tab_MinKomp[[Stanowisko / Position ]:[Stanowisko / Position ]],0)))</f>
        <v>n/a</v>
      </c>
      <c r="BN52" s="333" t="str">
        <f>IF(INDEX(tab_MinKomp[Obsługa maszyn Engel / Engel Maschinenbedienung],MATCH($B51,tab_MinKomp[[Stanowisko / Position ]:[Stanowisko / Position ]],0))="n/a","n/a",BN51-INDEX(tab_MinKomp[Obsługa maszyn Engel / Engel Maschinenbedienung],MATCH($B51,tab_MinKomp[[Stanowisko / Position ]:[Stanowisko / Position ]],0)))</f>
        <v>n/a</v>
      </c>
      <c r="BO52" s="333" t="str">
        <f>IF(INDEX(tab_MinKomp[Obsługa maszyn Novapax / Novapax Maschinenbedienung],MATCH($B51,tab_MinKomp[[Stanowisko / Position ]:[Stanowisko / Position ]],0))="n/a","n/a",BO51-INDEX(tab_MinKomp[Obsługa maszyn Novapax / Novapax Maschinenbedienung],MATCH($B51,tab_MinKomp[[Stanowisko / Position ]:[Stanowisko / Position ]],0)))</f>
        <v>n/a</v>
      </c>
      <c r="BP52" s="333" t="str">
        <f>IF(INDEX(tab_MinKomp[Obsługa maszyn KVT / KVT Maschinenbedienung],MATCH($B51,tab_MinKomp[[Stanowisko / Position ]:[Stanowisko / Position ]],0))="n/a","n/a",BP51-INDEX(tab_MinKomp[Obsługa maszyn KVT / KVT Maschinenbedienung],MATCH($B51,tab_MinKomp[[Stanowisko / Position ]:[Stanowisko / Position ]],0)))</f>
        <v>n/a</v>
      </c>
      <c r="BQ52" s="333" t="str">
        <f>IF(INDEX(tab_MinKomp[Obsługa maszyn ASL / ASL Maschinenbedienung],MATCH($B51,tab_MinKomp[[Stanowisko / Position ]:[Stanowisko / Position ]],0))="n/a","n/a",BQ51-INDEX(tab_MinKomp[Obsługa maszyn ASL / ASL Maschinenbedienung],MATCH($B51,tab_MinKomp[[Stanowisko / Position ]:[Stanowisko / Position ]],0)))</f>
        <v>n/a</v>
      </c>
      <c r="BR52" s="333" t="str">
        <f>IF(INDEX(tab_MinKomp[Obsługa maszyn Branson / Branson Maschinenbedienung],MATCH($B51,tab_MinKomp[[Stanowisko / Position ]:[Stanowisko / Position ]],0))="n/a","n/a",BR51-INDEX(tab_MinKomp[Obsługa maszyn Branson / Branson Maschinenbedienung],MATCH($B51,tab_MinKomp[[Stanowisko / Position ]:[Stanowisko / Position ]],0)))</f>
        <v>n/a</v>
      </c>
      <c r="BS52" s="333" t="str">
        <f>IF(INDEX(tab_MinKomp[Obsługa maszyn Kamtec / Kamtec Maschinenbedienung],MATCH($B51,tab_MinKomp[[Stanowisko / Position ]:[Stanowisko / Position ]],0))="n/a","n/a",BS51-INDEX(tab_MinKomp[Obsługa maszyn Kamtec / Kamtec Maschinenbedienung],MATCH($B51,tab_MinKomp[[Stanowisko / Position ]:[Stanowisko / Position ]],0)))</f>
        <v>n/a</v>
      </c>
      <c r="BT52" s="333" t="str">
        <f>IF(INDEX(tab_MinKomp[Obsługa maszyn Piovan / Piovan Maschinenbedienung],MATCH($B51,tab_MinKomp[[Stanowisko / Position ]:[Stanowisko / Position ]],0))="n/a","n/a",BT51-INDEX(tab_MinKomp[Obsługa maszyn Piovan / Piovan Maschinenbedienung],MATCH($B51,tab_MinKomp[[Stanowisko / Position ]:[Stanowisko / Position ]],0)))</f>
        <v>n/a</v>
      </c>
      <c r="BU52" s="333" t="str">
        <f>IF(INDEX(tab_MinKomp[Obsługa maszyn REP / REP Maschinenbedienung],MATCH($B51,tab_MinKomp[[Stanowisko / Position ]:[Stanowisko / Position ]],0))="n/a","n/a",BU51-INDEX(tab_MinKomp[Obsługa maszyn REP / REP Maschinenbedienung],MATCH($B51,tab_MinKomp[[Stanowisko / Position ]:[Stanowisko / Position ]],0)))</f>
        <v>n/a</v>
      </c>
      <c r="BV52" s="333" t="str">
        <f>IF(INDEX(tab_MinKomp[Eliminacja awarii / Beseitigung von Ausfällen],MATCH($B51,tab_MinKomp[[Stanowisko / Position ]:[Stanowisko / Position ]],0))="n/a","n/a",BV51-INDEX(tab_MinKomp[Eliminacja awarii / Beseitigung von Ausfällen],MATCH($B51,tab_MinKomp[[Stanowisko / Position ]:[Stanowisko / Position ]],0)))</f>
        <v>n/a</v>
      </c>
      <c r="BW52" s="333" t="str">
        <f>IF(INDEX(tab_MinKomp[Informatyka ogólna (techniczne i systemowe) / Allgemeine IT (Technik und System)],MATCH($B51,tab_MinKomp[[Stanowisko / Position ]:[Stanowisko / Position ]],0))="n/a","n/a",BW51-INDEX(tab_MinKomp[Informatyka ogólna (techniczne i systemowe) / Allgemeine IT (Technik und System)],MATCH($B51,tab_MinKomp[[Stanowisko / Position ]:[Stanowisko / Position ]],0)))</f>
        <v>n/a</v>
      </c>
      <c r="BX52" s="333" t="str">
        <f>IF(INDEX(tab_MinKomp[Sieci komputerowe / Computernetzwerke],MATCH($B51,tab_MinKomp[[Stanowisko / Position ]:[Stanowisko / Position ]],0))="n/a","n/a",BX51-INDEX(tab_MinKomp[Sieci komputerowe / Computernetzwerke],MATCH($B51,tab_MinKomp[[Stanowisko / Position ]:[Stanowisko / Position ]],0)))</f>
        <v>n/a</v>
      </c>
      <c r="BY52" s="333" t="str">
        <f>IF(INDEX(tab_MinKomp[Hardware (komputery PC, drukarki biurowe i etykietowe, telefonia stacjonarna i mobilna) (PC, Drucker, Telefpne, Handys)],MATCH($B51,tab_MinKomp[[Stanowisko / Position ]:[Stanowisko / Position ]],0))="n/a","n/a",BY51-INDEX(tab_MinKomp[Hardware (komputery PC, drukarki biurowe i etykietowe, telefonia stacjonarna i mobilna) (PC, Drucker, Telefpne, Handys)],MATCH($B51,tab_MinKomp[[Stanowisko / Position ]:[Stanowisko / Position ]],0)))</f>
        <v>n/a</v>
      </c>
      <c r="BZ52" s="333" t="str">
        <f>IF(INDEX(tab_MinKomp[Software &amp; Systems (MS Office, MS Remote Desktop)],MATCH($B51,tab_MinKomp[[Stanowisko / Position ]:[Stanowisko / Position ]],0))="n/a","n/a",BZ51-INDEX(tab_MinKomp[Software &amp; Systems (MS Office, MS Remote Desktop)],MATCH($B51,tab_MinKomp[[Stanowisko / Position ]:[Stanowisko / Position ]],0)))</f>
        <v>n/a</v>
      </c>
      <c r="CA52" s="333" t="str">
        <f>IF(INDEX(tab_MinKomp[Programowanie obiektowe (PHP) / Objektprogrammierung],MATCH($B51,tab_MinKomp[[Stanowisko / Position ]:[Stanowisko / Position ]],0))="n/a","n/a",CA51-INDEX(tab_MinKomp[Programowanie obiektowe (PHP) / Objektprogrammierung],MATCH($B51,tab_MinKomp[[Stanowisko / Position ]:[Stanowisko / Position ]],0)))</f>
        <v>n/a</v>
      </c>
      <c r="CB52" s="333" t="str">
        <f>IF(INDEX(tab_MinKomp[Scrum],MATCH($B51,tab_MinKomp[[Stanowisko / Position ]:[Stanowisko / Position ]],0))="n/a","n/a",CB51-INDEX(tab_MinKomp[Scrum],MATCH($B51,tab_MinKomp[[Stanowisko / Position ]:[Stanowisko / Position ]],0)))</f>
        <v>n/a</v>
      </c>
      <c r="CC52" s="333" t="str">
        <f>IF(INDEX(tab_MinKomp[SQL (MySQL)],MATCH($B51,tab_MinKomp[[Stanowisko / Position ]:[Stanowisko / Position ]],0))="n/a","n/a",CC51-INDEX(tab_MinKomp[SQL (MySQL)],MATCH($B51,tab_MinKomp[[Stanowisko / Position ]:[Stanowisko / Position ]],0)))</f>
        <v>n/a</v>
      </c>
      <c r="CD52" s="333" t="str">
        <f>IF(INDEX(tab_MinKomp[Javascript],MATCH($B51,tab_MinKomp[[Stanowisko / Position ]:[Stanowisko / Position ]],0))="n/a","n/a",CD51-INDEX(tab_MinKomp[Javascript],MATCH($B51,tab_MinKomp[[Stanowisko / Position ]:[Stanowisko / Position ]],0)))</f>
        <v>n/a</v>
      </c>
      <c r="CE52" s="333" t="str">
        <f>IF(INDEX(tab_MinKomp[Javascript],MATCH($B51,tab_MinKomp[[Stanowisko / Position ]:[Stanowisko / Position ]],0))="n/a","n/a",CE51-INDEX(tab_MinKomp[Javascript],MATCH($B51,tab_MinKomp[[Stanowisko / Position ]:[Stanowisko / Position ]],0)))</f>
        <v>n/a</v>
      </c>
      <c r="CF52" s="333" t="str">
        <f>IF(INDEX(tab_MinKomp[Javascript],MATCH($B51,tab_MinKomp[[Stanowisko / Position ]:[Stanowisko / Position ]],0))="n/a","n/a",CF51-INDEX(tab_MinKomp[Javascript],MATCH($B51,tab_MinKomp[[Stanowisko / Position ]:[Stanowisko / Position ]],0)))</f>
        <v>n/a</v>
      </c>
      <c r="CG52" s="333" t="str">
        <f>IF(INDEX(tab_MinKomp[Javascript],MATCH($B51,tab_MinKomp[[Stanowisko / Position ]:[Stanowisko / Position ]],0))="n/a","n/a",CG51-INDEX(tab_MinKomp[Javascript],MATCH($B51,tab_MinKomp[[Stanowisko / Position ]:[Stanowisko / Position ]],0)))</f>
        <v>n/a</v>
      </c>
      <c r="CH52" s="333" t="str">
        <f>IF(INDEX(tab_MinKomp[Javascript],MATCH($B51,tab_MinKomp[[Stanowisko / Position ]:[Stanowisko / Position ]],0))="n/a","n/a",CH51-INDEX(tab_MinKomp[Javascript],MATCH($B51,tab_MinKomp[[Stanowisko / Position ]:[Stanowisko / Position ]],0)))</f>
        <v>n/a</v>
      </c>
      <c r="CI52" s="333">
        <f>IF(INDEX(tab_MinKomp[SYSTEM PR],MATCH($B51,tab_MinKomp[[Stanowisko / Position ]:[Stanowisko / Position ]],0))="n/a","n/a",CI51-INDEX(tab_MinKomp[SYSTEM PR],MATCH($B51,tab_MinKomp[[Stanowisko / Position ]:[Stanowisko / Position ]],0)))</f>
        <v>0</v>
      </c>
      <c r="CJ52" s="333" t="str">
        <f>IF(INDEX(tab_MinKomp[Joomla],MATCH($B51,tab_MinKomp[[Stanowisko / Position ]:[Stanowisko / Position ]],0))="n/a","n/a",CJ51-INDEX(tab_MinKomp[Joomla],MATCH($B51,tab_MinKomp[[Stanowisko / Position ]:[Stanowisko / Position ]],0)))</f>
        <v>n/a</v>
      </c>
      <c r="CK52" s="333" t="str">
        <f>IF(INDEX(tab_MinKomp[Joomla],MATCH($B51,tab_MinKomp[[Stanowisko / Position ]:[Stanowisko / Position ]],0))="n/a","n/a",CK51-INDEX(tab_MinKomp[Joomla],MATCH($B51,tab_MinKomp[[Stanowisko / Position ]:[Stanowisko / Position ]],0)))</f>
        <v>n/a</v>
      </c>
      <c r="CL52" s="333" t="str">
        <f>IF(INDEX(tab_MinKomp[Joomla],MATCH($B51,tab_MinKomp[[Stanowisko / Position ]:[Stanowisko / Position ]],0))="n/a","n/a",CL51-INDEX(tab_MinKomp[Joomla],MATCH($B51,tab_MinKomp[[Stanowisko / Position ]:[Stanowisko / Position ]],0)))</f>
        <v>n/a</v>
      </c>
      <c r="CM52" s="333">
        <f>IF(INDEX(tab_MinKomp[RAPORTY 8D / 8D Berichten],MATCH($B51,tab_MinKomp[[Stanowisko / Position ]:[Stanowisko / Position ]],0))="n/a","n/a",CM51-INDEX(tab_MinKomp[RAPORTY 8D / 8D Berichten],MATCH($B51,tab_MinKomp[[Stanowisko / Position ]:[Stanowisko / Position ]],0)))</f>
        <v>0</v>
      </c>
      <c r="CN52" s="333">
        <f>IF(INDEX(tab_MinKomp[NARZĘDZIA JAKOŚCIOWE (5WHY, Ishikawa, etc) / QS-Werkzeuge],MATCH($B51,tab_MinKomp[[Stanowisko / Position ]:[Stanowisko / Position ]],0))="n/a","n/a",CN51-INDEX(tab_MinKomp[NARZĘDZIA JAKOŚCIOWE (5WHY, Ishikawa, etc) / QS-Werkzeuge],MATCH($B51,tab_MinKomp[[Stanowisko / Position ]:[Stanowisko / Position ]],0)))</f>
        <v>0</v>
      </c>
      <c r="CO52" s="333">
        <f>IF(INDEX(tab_MinKomp[PDCA],MATCH($B51,tab_MinKomp[[Stanowisko / Position ]:[Stanowisko / Position ]],0))="n/a","n/a",CO51-INDEX(tab_MinKomp[PDCA],MATCH($B51,tab_MinKomp[[Stanowisko / Position ]:[Stanowisko / Position ]],0)))</f>
        <v>0</v>
      </c>
      <c r="CP52" s="333">
        <f>IF(INDEX(tab_MinKomp[Pareto],MATCH($B51,tab_MinKomp[[Stanowisko / Position ]:[Stanowisko / Position ]],0))="n/a","n/a",CP51-INDEX(tab_MinKomp[Pareto],MATCH($B51,tab_MinKomp[[Stanowisko / Position ]:[Stanowisko / Position ]],0)))</f>
        <v>0</v>
      </c>
      <c r="CQ52" s="333" t="str">
        <f>IF(INDEX(tab_MinKomp[PPAP/PSW],MATCH($B51,tab_MinKomp[[Stanowisko / Position ]:[Stanowisko / Position ]],0))="n/a","n/a",CQ51-INDEX(tab_MinKomp[PPAP/PSW],MATCH($B51,tab_MinKomp[[Stanowisko / Position ]:[Stanowisko / Position ]],0)))</f>
        <v>n/a</v>
      </c>
      <c r="CR52" s="333" t="str">
        <f>IF(INDEX(tab_MinKomp[SUPPLIER MANAGEMENT],MATCH($B51,tab_MinKomp[[Stanowisko / Position ]:[Stanowisko / Position ]],0))="n/a","n/a",CR51-INDEX(tab_MinKomp[SUPPLIER MANAGEMENT],MATCH($B51,tab_MinKomp[[Stanowisko / Position ]:[Stanowisko / Position ]],0)))</f>
        <v>n/a</v>
      </c>
      <c r="CS52" s="333"/>
      <c r="CT52" s="333" t="str">
        <f>IF(INDEX(tab_MinKomp[Obsługa systemu BABTECQ / BABTECQ System],MATCH($B51,tab_MinKomp[[Stanowisko / Position ]:[Stanowisko / Position ]],0))="n/a","n/a",CT51-INDEX(tab_MinKomp[Obsługa systemu BABTECQ / BABTECQ System],MATCH($B51,tab_MinKomp[[Stanowisko / Position ]:[Stanowisko / Position ]],0)))</f>
        <v>n/a</v>
      </c>
      <c r="CU52" s="333" t="str">
        <f>IF(INDEX(tab_MinKomp[Rysunek techniczny / technische Zeichnung],MATCH($B51,tab_MinKomp[[Stanowisko / Position ]:[Stanowisko / Position ]],0))="n/a","n/a",CU51-INDEX(tab_MinKomp[Rysunek techniczny / technische Zeichnung],MATCH($B51,tab_MinKomp[[Stanowisko / Position ]:[Stanowisko / Position ]],0)))</f>
        <v>n/a</v>
      </c>
      <c r="CV52" s="333" t="str">
        <f>IF(INDEX(tab_MinKomp[Kalibracja / Kalibrierung],MATCH($B51,tab_MinKomp[[Stanowisko / Position ]:[Stanowisko / Position ]],0))="n/a","n/a",CV51-INDEX(tab_MinKomp[Kalibracja / Kalibrierung],MATCH($B51,tab_MinKomp[[Stanowisko / Position ]:[Stanowisko / Position ]],0)))</f>
        <v>n/a</v>
      </c>
      <c r="CW52" s="333" t="str">
        <f>IF(INDEX(tab_MinKomp[Rekwalifikacja / Requalifizierung],MATCH($B51,tab_MinKomp[[Stanowisko / Position ]:[Stanowisko / Position ]],0))="n/a","n/a",CW51-INDEX(tab_MinKomp[Rekwalifikacja / Requalifizierung],MATCH($B51,tab_MinKomp[[Stanowisko / Position ]:[Stanowisko / Position ]],0)))</f>
        <v>n/a</v>
      </c>
      <c r="CX52" s="333" t="str">
        <f>IF(INDEX(tab_MinKomp[CMM - Contura Zeiss],MATCH($B51,tab_MinKomp[[Stanowisko / Position ]:[Stanowisko / Position ]],0))="n/a","n/a",CX51-INDEX(tab_MinKomp[CMM - Contura Zeiss],MATCH($B51,tab_MinKomp[[Stanowisko / Position ]:[Stanowisko / Position ]],0)))</f>
        <v>n/a</v>
      </c>
      <c r="CY52" s="333" t="str">
        <f>IF(INDEX(tab_MinKomp[CMM - Contura Zeiss],MATCH($B51,tab_MinKomp[[Stanowisko / Position ]:[Stanowisko / Position ]],0))="n/a","n/a",CY51-INDEX(tab_MinKomp[CMM - Contura Zeiss],MATCH($B51,tab_MinKomp[[Stanowisko / Position ]:[Stanowisko / Position ]],0)))</f>
        <v>n/a</v>
      </c>
      <c r="CZ52" s="333" t="str">
        <f>IF(INDEX(tab_MinKomp[CMM - Contura Zeiss],MATCH($B51,tab_MinKomp[[Stanowisko / Position ]:[Stanowisko / Position ]],0))="n/a","n/a",CZ51-INDEX(tab_MinKomp[CMM - Contura Zeiss],MATCH($B51,tab_MinKomp[[Stanowisko / Position ]:[Stanowisko / Position ]],0)))</f>
        <v>n/a</v>
      </c>
      <c r="DA52" s="333" t="str">
        <f>IF(INDEX(tab_MinKomp[CMM - Contura Zeiss],MATCH($B51,tab_MinKomp[[Stanowisko / Position ]:[Stanowisko / Position ]],0))="n/a","n/a",DA51-INDEX(tab_MinKomp[CMM - Contura Zeiss],MATCH($B51,tab_MinKomp[[Stanowisko / Position ]:[Stanowisko / Position ]],0)))</f>
        <v>n/a</v>
      </c>
      <c r="DB52" s="333" t="str">
        <f>IF(INDEX(tab_MinKomp[CMM - Contura Zeiss],MATCH($B51,tab_MinKomp[[Stanowisko / Position ]:[Stanowisko / Position ]],0))="n/a","n/a",DB51-INDEX(tab_MinKomp[CMM - Contura Zeiss],MATCH($B51,tab_MinKomp[[Stanowisko / Position ]:[Stanowisko / Position ]],0)))</f>
        <v>n/a</v>
      </c>
      <c r="DC52" s="333" t="str">
        <f>IF(INDEX(tab_MinKomp[CMM - Contura Zeiss],MATCH($B51,tab_MinKomp[[Stanowisko / Position ]:[Stanowisko / Position ]],0))="n/a","n/a",DC51-INDEX(tab_MinKomp[CMM - Contura Zeiss],MATCH($B51,tab_MinKomp[[Stanowisko / Position ]:[Stanowisko / Position ]],0)))</f>
        <v>n/a</v>
      </c>
      <c r="DD52" s="333" t="str">
        <f>IF(INDEX(tab_MinKomp[Pisanie programów / Programme schreiben],MATCH($B51,tab_MinKomp[[Stanowisko / Position ]:[Stanowisko / Position ]],0))="n/a","n/a",DD51-INDEX(tab_MinKomp[Pisanie programów / Programme schreiben],MATCH($B51,tab_MinKomp[[Stanowisko / Position ]:[Stanowisko / Position ]],0)))</f>
        <v>n/a</v>
      </c>
      <c r="DE52" s="333" t="str">
        <f>IF(INDEX(tab_MinKomp[CMM - Contura Zeiss],MATCH($B51,tab_MinKomp[[Stanowisko / Position ]:[Stanowisko / Position ]],0))="n/a","n/a",DE51-INDEX(tab_MinKomp[CMM - Contura Zeiss],MATCH($B51,tab_MinKomp[[Stanowisko / Position ]:[Stanowisko / Position ]],0)))</f>
        <v>n/a</v>
      </c>
      <c r="DF52" s="333" t="str">
        <f>IF(INDEX(tab_MinKomp[CMM - Contura Zeiss],MATCH($B51,tab_MinKomp[[Stanowisko / Position ]:[Stanowisko / Position ]],0))="n/a","n/a",DF51-INDEX(tab_MinKomp[CMM - Contura Zeiss],MATCH($B51,tab_MinKomp[[Stanowisko / Position ]:[Stanowisko / Position ]],0)))</f>
        <v>n/a</v>
      </c>
      <c r="DG52" s="333" t="str">
        <f>IF(INDEX(tab_MinKomp[CMM - Contura Zeiss],MATCH($B51,tab_MinKomp[[Stanowisko / Position ]:[Stanowisko / Position ]],0))="n/a","n/a",DG51-INDEX(tab_MinKomp[CMM - Contura Zeiss],MATCH($B51,tab_MinKomp[[Stanowisko / Position ]:[Stanowisko / Position ]],0)))</f>
        <v>n/a</v>
      </c>
      <c r="DH52" s="333" t="str">
        <f>IF(INDEX(tab_MinKomp[CMM - Contura Zeiss],MATCH($B51,tab_MinKomp[[Stanowisko / Position ]:[Stanowisko / Position ]],0))="n/a","n/a",DH51-INDEX(tab_MinKomp[CMM - Contura Zeiss],MATCH($B51,tab_MinKomp[[Stanowisko / Position ]:[Stanowisko / Position ]],0)))</f>
        <v>n/a</v>
      </c>
      <c r="DI52" s="333" t="str">
        <f>IF(INDEX(tab_MinKomp[CMM - Contura Zeiss],MATCH($B51,tab_MinKomp[[Stanowisko / Position ]:[Stanowisko / Position ]],0))="n/a","n/a",DI51-INDEX(tab_MinKomp[CMM - Contura Zeiss],MATCH($B51,tab_MinKomp[[Stanowisko / Position ]:[Stanowisko / Position ]],0)))</f>
        <v>n/a</v>
      </c>
      <c r="DJ52" s="333" t="str">
        <f>IF(INDEX(tab_MinKomp[CMM - Contura Zeiss],MATCH($B51,tab_MinKomp[[Stanowisko / Position ]:[Stanowisko / Position ]],0))="n/a","n/a",DJ51-INDEX(tab_MinKomp[CMM - Contura Zeiss],MATCH($B51,tab_MinKomp[[Stanowisko / Position ]:[Stanowisko / Position ]],0)))</f>
        <v>n/a</v>
      </c>
      <c r="DK52" s="333" t="str">
        <f>IF(INDEX(tab_MinKomp[Pisanie programów / Programme schreiben],MATCH($B51,tab_MinKomp[[Stanowisko / Position ]:[Stanowisko / Position ]],0))="n/a","n/a",DK51-INDEX(tab_MinKomp[Pisanie programów / Programme schreiben],MATCH($B51,tab_MinKomp[[Stanowisko / Position ]:[Stanowisko / Position ]],0)))</f>
        <v>n/a</v>
      </c>
      <c r="DL52" s="333" t="str">
        <f>IF(INDEX(tab_MinKomp[CMM - Contura Zeiss],MATCH($B51,tab_MinKomp[[Stanowisko / Position ]:[Stanowisko / Position ]],0))="n/a","n/a",DL51-INDEX(tab_MinKomp[CMM - Contura Zeiss],MATCH($B51,tab_MinKomp[[Stanowisko / Position ]:[Stanowisko / Position ]],0)))</f>
        <v>n/a</v>
      </c>
      <c r="DM52" s="333" t="str">
        <f>IF(INDEX(tab_MinKomp[CMM - Contura Zeiss],MATCH($B51,tab_MinKomp[[Stanowisko / Position ]:[Stanowisko / Position ]],0))="n/a","n/a",DM51-INDEX(tab_MinKomp[CMM - Contura Zeiss],MATCH($B51,tab_MinKomp[[Stanowisko / Position ]:[Stanowisko / Position ]],0)))</f>
        <v>n/a</v>
      </c>
      <c r="DN52" s="333" t="str">
        <f>IF(INDEX(tab_MinKomp[CMM - Contura Zeiss],MATCH($B51,tab_MinKomp[[Stanowisko / Position ]:[Stanowisko / Position ]],0))="n/a","n/a",DN51-INDEX(tab_MinKomp[CMM - Contura Zeiss],MATCH($B51,tab_MinKomp[[Stanowisko / Position ]:[Stanowisko / Position ]],0)))</f>
        <v>n/a</v>
      </c>
      <c r="DO52" s="333" t="str">
        <f>IF(INDEX(tab_MinKomp[CMM - Contura Zeiss],MATCH($B51,tab_MinKomp[[Stanowisko / Position ]:[Stanowisko / Position ]],0))="n/a","n/a",DO51-INDEX(tab_MinKomp[CMM - Contura Zeiss],MATCH($B51,tab_MinKomp[[Stanowisko / Position ]:[Stanowisko / Position ]],0)))</f>
        <v>n/a</v>
      </c>
      <c r="DP52" s="333" t="str">
        <f>IF(INDEX(tab_MinKomp[CMM - Contura Zeiss],MATCH($B51,tab_MinKomp[[Stanowisko / Position ]:[Stanowisko / Position ]],0))="n/a","n/a",DP51-INDEX(tab_MinKomp[CMM - Contura Zeiss],MATCH($B51,tab_MinKomp[[Stanowisko / Position ]:[Stanowisko / Position ]],0)))</f>
        <v>n/a</v>
      </c>
      <c r="DQ52" s="333" t="str">
        <f>IF(INDEX(tab_MinKomp[CMM - Contura Zeiss],MATCH($B51,tab_MinKomp[[Stanowisko / Position ]:[Stanowisko / Position ]],0))="n/a","n/a",DQ51-INDEX(tab_MinKomp[CMM - Contura Zeiss],MATCH($B51,tab_MinKomp[[Stanowisko / Position ]:[Stanowisko / Position ]],0)))</f>
        <v>n/a</v>
      </c>
      <c r="DR52" s="333" t="str">
        <f>IF(INDEX(tab_MinKomp[Pisanie programów / Programme schreiben],MATCH($B51,tab_MinKomp[[Stanowisko / Position ]:[Stanowisko / Position ]],0))="n/a","n/a",DR51-INDEX(tab_MinKomp[Pisanie programów / Programme schreiben],MATCH($B51,tab_MinKomp[[Stanowisko / Position ]:[Stanowisko / Position ]],0)))</f>
        <v>n/a</v>
      </c>
      <c r="DS52" s="333" t="str">
        <f>IF(INDEX(tab_MinKomp[CMM - Contura Zeiss],MATCH($B51,tab_MinKomp[[Stanowisko / Position ]:[Stanowisko / Position ]],0))="n/a","n/a",DS51-INDEX(tab_MinKomp[CMM - Contura Zeiss],MATCH($B51,tab_MinKomp[[Stanowisko / Position ]:[Stanowisko / Position ]],0)))</f>
        <v>n/a</v>
      </c>
      <c r="DT52" s="333" t="str">
        <f>IF(INDEX(tab_MinKomp[CMM - Contura Zeiss],MATCH($B51,tab_MinKomp[[Stanowisko / Position ]:[Stanowisko / Position ]],0))="n/a","n/a",DT51-INDEX(tab_MinKomp[CMM - Contura Zeiss],MATCH($B51,tab_MinKomp[[Stanowisko / Position ]:[Stanowisko / Position ]],0)))</f>
        <v>n/a</v>
      </c>
      <c r="DU52" s="333" t="str">
        <f>IF(INDEX(tab_MinKomp[CMM - Contura Zeiss],MATCH($B51,tab_MinKomp[[Stanowisko / Position ]:[Stanowisko / Position ]],0))="n/a","n/a",DU51-INDEX(tab_MinKomp[CMM - Contura Zeiss],MATCH($B51,tab_MinKomp[[Stanowisko / Position ]:[Stanowisko / Position ]],0)))</f>
        <v>n/a</v>
      </c>
      <c r="DV52" s="333" t="str">
        <f>IF(INDEX(tab_MinKomp[CMM - Contura Zeiss],MATCH($B51,tab_MinKomp[[Stanowisko / Position ]:[Stanowisko / Position ]],0))="n/a","n/a",DV51-INDEX(tab_MinKomp[CMM - Contura Zeiss],MATCH($B51,tab_MinKomp[[Stanowisko / Position ]:[Stanowisko / Position ]],0)))</f>
        <v>n/a</v>
      </c>
      <c r="DW52" s="333" t="str">
        <f>IF(INDEX(tab_MinKomp[CMM - Contura Zeiss],MATCH($B51,tab_MinKomp[[Stanowisko / Position ]:[Stanowisko / Position ]],0))="n/a","n/a",DW51-INDEX(tab_MinKomp[CMM - Contura Zeiss],MATCH($B51,tab_MinKomp[[Stanowisko / Position ]:[Stanowisko / Position ]],0)))</f>
        <v>n/a</v>
      </c>
      <c r="DX52" s="333" t="str">
        <f>IF(INDEX(tab_MinKomp[CMM - Contura Zeiss],MATCH($B51,tab_MinKomp[[Stanowisko / Position ]:[Stanowisko / Position ]],0))="n/a","n/a",DX51-INDEX(tab_MinKomp[CMM - Contura Zeiss],MATCH($B51,tab_MinKomp[[Stanowisko / Position ]:[Stanowisko / Position ]],0)))</f>
        <v>n/a</v>
      </c>
      <c r="DY52" s="333" t="str">
        <f>IF(INDEX(tab_MinKomp[Konserwacja Rep],MATCH($B51,tab_MinKomp[[Stanowisko / Position ]:[Stanowisko / Position ]],0))="n/a","n/a",DY51-INDEX(tab_MinKomp[Konserwacja Rep],MATCH($B51,tab_MinKomp[[Stanowisko / Position ]:[Stanowisko / Position ]],0)))</f>
        <v>n/a</v>
      </c>
      <c r="DZ52" s="333" t="str">
        <f>IF(INDEX(tab_MinKomp[[Konserwacja Engel ]],MATCH($B51,tab_MinKomp[[Stanowisko / Position ]:[Stanowisko / Position ]],0))="n/a","n/a",DZ51-INDEX(tab_MinKomp[[Konserwacja Engel ]],MATCH($B51,tab_MinKomp[[Stanowisko / Position ]:[Stanowisko / Position ]],0)))</f>
        <v>n/a</v>
      </c>
      <c r="EA52" s="333" t="str">
        <f>IF(INDEX(tab_MinKomp[Konserwacja B 50],MATCH($B51,tab_MinKomp[[Stanowisko / Position ]:[Stanowisko / Position ]],0))="n/a","n/a",EA51-INDEX(tab_MinKomp[Konserwacja B 50],MATCH($B51,tab_MinKomp[[Stanowisko / Position ]:[Stanowisko / Position ]],0)))</f>
        <v>n/a</v>
      </c>
      <c r="EB52" s="333" t="str">
        <f>IF(INDEX(tab_MinKomp[[Konserwacja EOL ]],MATCH($B51,tab_MinKomp[[Stanowisko / Position ]:[Stanowisko / Position ]],0))="n/a","n/a",EB51-INDEX(tab_MinKomp[[Konserwacja EOL ]],MATCH($B51,tab_MinKomp[[Stanowisko / Position ]:[Stanowisko / Position ]],0)))</f>
        <v>n/a</v>
      </c>
      <c r="EC52" s="333" t="str">
        <f>IF(INDEX(tab_MinKomp[Konserwacja Branson],MATCH($B51,tab_MinKomp[[Stanowisko / Position ]:[Stanowisko / Position ]],0))="n/a","n/a",EC51-INDEX(tab_MinKomp[Konserwacja Branson],MATCH($B51,tab_MinKomp[[Stanowisko / Position ]:[Stanowisko / Position ]],0)))</f>
        <v>n/a</v>
      </c>
      <c r="ED52" s="333" t="str">
        <f>IF(INDEX(tab_MinKomp[Konserwacja coolery],MATCH($B51,tab_MinKomp[[Stanowisko / Position ]:[Stanowisko / Position ]],0))="n/a","n/a",ED51-INDEX(tab_MinKomp[Konserwacja coolery],MATCH($B51,tab_MinKomp[[Stanowisko / Position ]:[Stanowisko / Position ]],0)))</f>
        <v>n/a</v>
      </c>
      <c r="EE52" s="333" t="str">
        <f>IF(INDEX(tab_MinKomp[Konserwacja piecy],MATCH($B51,tab_MinKomp[[Stanowisko / Position ]:[Stanowisko / Position ]],0))="n/a","n/a",EE51-INDEX(tab_MinKomp[Konserwacja piecy],MATCH($B51,tab_MinKomp[[Stanowisko / Position ]:[Stanowisko / Position ]],0)))</f>
        <v>n/a</v>
      </c>
      <c r="EF52" s="333" t="str">
        <f>IF(INDEX(tab_MinKomp[Rysunek techniczny- czytanie],MATCH($B51,tab_MinKomp[[Stanowisko / Position ]:[Stanowisko / Position ]],0))="n/a","n/a",EF51-INDEX(tab_MinKomp[Rysunek techniczny- czytanie],MATCH($B51,tab_MinKomp[[Stanowisko / Position ]:[Stanowisko / Position ]],0)))</f>
        <v>n/a</v>
      </c>
      <c r="EG52" s="333" t="str">
        <f>IF(INDEX(tab_MinKomp[Elektryka],MATCH($B51,tab_MinKomp[[Stanowisko / Position ]:[Stanowisko / Position ]],0))="n/a","n/a",EG51-INDEX(tab_MinKomp[Elektryka],MATCH($B51,tab_MinKomp[[Stanowisko / Position ]:[Stanowisko / Position ]],0)))</f>
        <v>n/a</v>
      </c>
      <c r="EH52" s="333" t="str">
        <f>IF(INDEX(tab_MinKomp[Pneumatyka],MATCH($B51,tab_MinKomp[[Stanowisko / Position ]:[Stanowisko / Position ]],0))="n/a","n/a",EH51-INDEX(tab_MinKomp[Pneumatyka],MATCH($B51,tab_MinKomp[[Stanowisko / Position ]:[Stanowisko / Position ]],0)))</f>
        <v>n/a</v>
      </c>
      <c r="EI52" s="333" t="str">
        <f>IF(INDEX(tab_MinKomp[[Hydraulika ]],MATCH($B51,tab_MinKomp[[Stanowisko / Position ]:[Stanowisko / Position ]],0))="n/a","n/a",EI51-INDEX(tab_MinKomp[[Hydraulika ]],MATCH($B51,tab_MinKomp[[Stanowisko / Position ]:[Stanowisko / Position ]],0)))</f>
        <v>n/a</v>
      </c>
      <c r="EJ52" s="333" t="str">
        <f>IF(INDEX(tab_MinKomp[Podciśnienie],MATCH($B51,tab_MinKomp[[Stanowisko / Position ]:[Stanowisko / Position ]],0))="n/a","n/a",EJ51-INDEX(tab_MinKomp[Podciśnienie],MATCH($B51,tab_MinKomp[[Stanowisko / Position ]:[Stanowisko / Position ]],0)))</f>
        <v>n/a</v>
      </c>
      <c r="EK52" s="333" t="str">
        <f>IF(INDEX(tab_MinKomp[Usuwanie awarii],MATCH($B51,tab_MinKomp[[Stanowisko / Position ]:[Stanowisko / Position ]],0))="n/a","n/a",EK51-INDEX(tab_MinKomp[Usuwanie awarii],MATCH($B51,tab_MinKomp[[Stanowisko / Position ]:[Stanowisko / Position ]],0)))</f>
        <v>n/a</v>
      </c>
      <c r="EL52" s="333" t="str">
        <f>IF(INDEX(tab_MinKomp[Obsługa robotów],MATCH($B51,tab_MinKomp[[Stanowisko / Position ]:[Stanowisko / Position ]],0))="n/a","n/a",EL51-INDEX(tab_MinKomp[Obsługa robotów],MATCH($B51,tab_MinKomp[[Stanowisko / Position ]:[Stanowisko / Position ]],0)))</f>
        <v>n/a</v>
      </c>
      <c r="EM52" s="333" t="str">
        <f>IF(INDEX(tab_MinKomp[Obsługa sterowania maszyny],MATCH($B51,tab_MinKomp[[Stanowisko / Position ]:[Stanowisko / Position ]],0))="n/a","n/a",EM51-INDEX(tab_MinKomp[Obsługa sterowania maszyny],MATCH($B51,tab_MinKomp[[Stanowisko / Position ]:[Stanowisko / Position ]],0)))</f>
        <v>n/a</v>
      </c>
      <c r="EN52" s="333" t="str">
        <f>IF(INDEX(tab_MinKomp[Usuwanie przyczyn żródłowych],MATCH($B51,tab_MinKomp[[Stanowisko / Position ]:[Stanowisko / Position ]],0))="n/a","n/a",EN51-INDEX(tab_MinKomp[Usuwanie przyczyn żródłowych],MATCH($B51,tab_MinKomp[[Stanowisko / Position ]:[Stanowisko / Position ]],0)))</f>
        <v>n/a</v>
      </c>
      <c r="EO52" s="333" t="str">
        <f>IF(INDEX(tab_MinKomp[Cmms stosowanie],MATCH($B51,tab_MinKomp[[Stanowisko / Position ]:[Stanowisko / Position ]],0))="n/a","n/a",EO51-INDEX(tab_MinKomp[Cmms stosowanie],MATCH($B51,tab_MinKomp[[Stanowisko / Position ]:[Stanowisko / Position ]],0)))</f>
        <v>n/a</v>
      </c>
      <c r="EP52" s="333" t="str">
        <f>IF(INDEX(tab_MinKomp[[Czyszczenie form gumowych ]],MATCH($B51,tab_MinKomp[[Stanowisko / Position ]:[Stanowisko / Position ]],0))="n/a","n/a",EP51-INDEX(tab_MinKomp[[Czyszczenie form gumowych ]],MATCH($B51,tab_MinKomp[[Stanowisko / Position ]:[Stanowisko / Position ]],0)))</f>
        <v>n/a</v>
      </c>
      <c r="EQ52" s="333" t="str">
        <f>IF(INDEX(tab_MinKomp[Czyszczenie form plastikowych],MATCH($B51,tab_MinKomp[[Stanowisko / Position ]:[Stanowisko / Position ]],0))="n/a","n/a",EQ51-INDEX(tab_MinKomp[Czyszczenie form plastikowych],MATCH($B51,tab_MinKomp[[Stanowisko / Position ]:[Stanowisko / Position ]],0)))</f>
        <v>n/a</v>
      </c>
      <c r="ER52" s="333" t="str">
        <f>IF(INDEX(tab_MinKomp[Wymiana form plastik],MATCH($B51,tab_MinKomp[[Stanowisko / Position ]:[Stanowisko / Position ]],0))="n/a","n/a",ER51-INDEX(tab_MinKomp[Wymiana form plastik],MATCH($B51,tab_MinKomp[[Stanowisko / Position ]:[Stanowisko / Position ]],0)))</f>
        <v>n/a</v>
      </c>
      <c r="ES52" s="333" t="str">
        <f>IF(INDEX(tab_MinKomp[Wymiana form guma],MATCH($B51,tab_MinKomp[[Stanowisko / Position ]:[Stanowisko / Position ]],0))="n/a","n/a",ES51-INDEX(tab_MinKomp[Wymiana form guma],MATCH($B51,tab_MinKomp[[Stanowisko / Position ]:[Stanowisko / Position ]],0)))</f>
        <v>n/a</v>
      </c>
      <c r="ET52" s="333" t="str">
        <f>IF(INDEX(tab_MinKomp[Konserwacja KK],MATCH($B51,tab_MinKomp[[Stanowisko / Position ]:[Stanowisko / Position ]],0))="n/a","n/a",ET51-INDEX(tab_MinKomp[Konserwacja KK],MATCH($B51,tab_MinKomp[[Stanowisko / Position ]:[Stanowisko / Position ]],0)))</f>
        <v>n/a</v>
      </c>
      <c r="EU52" s="333" t="str">
        <f>IF(INDEX(tab_MinKomp[Konserwacja form guma],MATCH($B51,tab_MinKomp[[Stanowisko / Position ]:[Stanowisko / Position ]],0))="n/a","n/a",EU51-INDEX(tab_MinKomp[Konserwacja form guma],MATCH($B51,tab_MinKomp[[Stanowisko / Position ]:[Stanowisko / Position ]],0)))</f>
        <v>n/a</v>
      </c>
      <c r="EV52" s="333" t="str">
        <f>IF(INDEX(tab_MinKomp[Konserwacja form plastiki],MATCH($B51,tab_MinKomp[[Stanowisko / Position ]:[Stanowisko / Position ]],0))="n/a","n/a",EV51-INDEX(tab_MinKomp[Konserwacja form plastiki],MATCH($B51,tab_MinKomp[[Stanowisko / Position ]:[Stanowisko / Position ]],0)))</f>
        <v>n/a</v>
      </c>
      <c r="EW52" s="330" t="str">
        <f>IF(INDEX(tab_MinKomp[Konserwacja form plastiki],MATCH($B51,tab_MinKomp[[Stanowisko / Position ]:[Stanowisko / Position ]],0))="n/a","n/a",EW51-INDEX(tab_MinKomp[Konserwacja form plastiki],MATCH($B51,tab_MinKomp[[Stanowisko / Position ]:[Stanowisko / Position ]],0)))</f>
        <v>n/a</v>
      </c>
      <c r="EX52" s="333" t="str">
        <f>IF(INDEX(tab_MinKomp[Konserwacja Gorącego Kanału],MATCH($B51,tab_MinKomp[[Stanowisko / Position ]:[Stanowisko / Position ]],0))="n/a","n/a",EX51-INDEX(tab_MinKomp[Konserwacja Gorącego Kanału],MATCH($B51,tab_MinKomp[[Stanowisko / Position ]:[Stanowisko / Position ]],0)))</f>
        <v>n/a</v>
      </c>
      <c r="EY52" s="333">
        <f>IF(INDEX(tab_MinKomp[MS Office (Excel)],MATCH($B51,tab_MinKomp[[Stanowisko / Position ]:[Stanowisko / Position ]],0))="n/a","n/a",EY51-INDEX(tab_MinKomp[MS Office (Excel)],MATCH($B51,tab_MinKomp[[Stanowisko / Position ]:[Stanowisko / Position ]],0)))</f>
        <v>0</v>
      </c>
      <c r="EZ52" s="333">
        <f>IF(INDEX(tab_MinKomp[MS Office (Word)],MATCH($B51,tab_MinKomp[[Stanowisko / Position ]:[Stanowisko / Position ]],0))="n/a","n/a",EZ51-INDEX(tab_MinKomp[MS Office (Word)],MATCH($B51,tab_MinKomp[[Stanowisko / Position ]:[Stanowisko / Position ]],0)))</f>
        <v>0</v>
      </c>
      <c r="FA52" s="333">
        <f>IF(INDEX(tab_MinKomp[MS Office (Power Point)],MATCH($B51,tab_MinKomp[[Stanowisko / Position ]:[Stanowisko / Position ]],0))="n/a","n/a",FA51-INDEX(tab_MinKomp[MS Office (Power Point)],MATCH($B51,tab_MinKomp[[Stanowisko / Position ]:[Stanowisko / Position ]],0)))</f>
        <v>0</v>
      </c>
      <c r="FB52" s="333">
        <f>IF(INDEX(tab_MinKomp[Język angielski / Englisch],MATCH($B51,tab_MinKomp[[Stanowisko / Position ]:[Stanowisko / Position ]],0))="n/a","n/a",FB51-INDEX(tab_MinKomp[Język angielski / Englisch],MATCH($B51,tab_MinKomp[[Stanowisko / Position ]:[Stanowisko / Position ]],0)))</f>
        <v>-1</v>
      </c>
      <c r="FC52" s="333" t="str">
        <f>IF(INDEX(tab_MinKomp[Język niemiecki / Deutsch],MATCH($B51,tab_MinKomp[[Stanowisko / Position ]:[Stanowisko / Position ]],0))="n/a","n/a",FC51-INDEX(tab_MinKomp[Język niemiecki / Deutsch],MATCH($B51,tab_MinKomp[[Stanowisko / Position ]:[Stanowisko / Position ]],0)))</f>
        <v>n/a</v>
      </c>
      <c r="FD52" s="333">
        <f>IF(INDEX(tab_MinKomp[Zarządzanie dokumentacją procesową / Process dokumentation management],MATCH($B51,tab_MinKomp[[Stanowisko / Position ]:[Stanowisko / Position ]],0))="n/a","n/a",FD51-INDEX(tab_MinKomp[Zarządzanie dokumentacją procesową / Process dokumentation management],MATCH($B51,tab_MinKomp[[Stanowisko / Position ]:[Stanowisko / Position ]],0)))</f>
        <v>-1</v>
      </c>
      <c r="FE52" s="333">
        <f>IF(INDEX(tab_MinKomp[Znajomość procesów z obszaru / Kenntiss der prozesse in dem Bereich],MATCH($B51,tab_MinKomp[[Stanowisko / Position ]:[Stanowisko / Position ]],0))="n/a","n/a",FE51-INDEX(tab_MinKomp[Znajomość procesów z obszaru / Kenntiss der prozesse in dem Bereich],MATCH($B51,tab_MinKomp[[Stanowisko / Position ]:[Stanowisko / Position ]],0)))</f>
        <v>0</v>
      </c>
      <c r="FF52" s="333">
        <f>IF(INDEX(tab_MinKomp[optymalizacja procesów / Prozessoptymalisierung],MATCH($B51,tab_MinKomp[[Stanowisko / Position ]:[Stanowisko / Position ]],0))="n/a","n/a",FF51-INDEX(tab_MinKomp[optymalizacja procesów / Prozessoptymalisierung],MATCH($B51,tab_MinKomp[[Stanowisko / Position ]:[Stanowisko / Position ]],0)))</f>
        <v>-1</v>
      </c>
      <c r="FG52" s="333">
        <f>IF(INDEX(tab_MinKomp[Umiejętności szkoleniowe / Trainingsfähigkeiten],MATCH($B51,tab_MinKomp[[Stanowisko / Position ]:[Stanowisko / Position ]],0))="n/a","n/a",FG51-INDEX(tab_MinKomp[Umiejętności szkoleniowe / Trainingsfähigkeiten],MATCH($B51,tab_MinKomp[[Stanowisko / Position ]:[Stanowisko / Position ]],0)))</f>
        <v>0</v>
      </c>
      <c r="FH52" s="333">
        <f>IF(INDEX(tab_MinKomp[Analityczne myślenie, podejście / Analitysches Denken, Einstellung],MATCH($B51,tab_MinKomp[[Stanowisko / Position ]:[Stanowisko / Position ]],0))="n/a","n/a",FH51-INDEX(tab_MinKomp[Analityczne myślenie, podejście / Analitysches Denken, Einstellung],MATCH($B51,tab_MinKomp[[Stanowisko / Position ]:[Stanowisko / Position ]],0)))</f>
        <v>-1</v>
      </c>
      <c r="FI52" s="333">
        <f>IF(INDEX(tab_MinKomp[Dokładność, precyzja w dzialaniu / Genauigkeit, Präzision in die Arbeit],MATCH($B51,tab_MinKomp[[Stanowisko / Position ]:[Stanowisko / Position ]],0))="n/a","n/a",FI51-INDEX(tab_MinKomp[Dokładność, precyzja w dzialaniu / Genauigkeit, Präzision in die Arbeit],MATCH($B51,tab_MinKomp[[Stanowisko / Position ]:[Stanowisko / Position ]],0)))</f>
        <v>-1</v>
      </c>
      <c r="FJ52" s="333">
        <f>IF(INDEX(tab_MinKomp[Dyspozycyjność / Verfügbarkeit],MATCH($B51,tab_MinKomp[[Stanowisko / Position ]:[Stanowisko / Position ]],0))="n/a","n/a",FJ51-INDEX(tab_MinKomp[Dyspozycyjność / Verfügbarkeit],MATCH($B51,tab_MinKomp[[Stanowisko / Position ]:[Stanowisko / Position ]],0)))</f>
        <v>0</v>
      </c>
      <c r="FK52" s="333">
        <f>IF(INDEX(tab_MinKomp[Zaangażowanie / 
Engagement],MATCH($B51,tab_MinKomp[[Stanowisko / Position ]:[Stanowisko / Position ]],0))="n/a","n/a",FK51-INDEX(tab_MinKomp[Zaangażowanie / 
Engagement],MATCH($B51,tab_MinKomp[[Stanowisko / Position ]:[Stanowisko / Position ]],0)))</f>
        <v>0</v>
      </c>
      <c r="FL52" s="333">
        <f>IF(INDEX(tab_MinKomp[Planowanie strategiczne / Strategische Planung],MATCH($B51,tab_MinKomp[[Stanowisko / Position ]:[Stanowisko / Position ]],0))="n/a","n/a",FL51-INDEX(tab_MinKomp[Planowanie strategiczne / Strategische Planung],MATCH($B51,tab_MinKomp[[Stanowisko / Position ]:[Stanowisko / Position ]],0)))</f>
        <v>-2</v>
      </c>
      <c r="FM52" s="333">
        <f>IF(INDEX(tab_MinKomp[Konsekwentne i dynamiczne działanie],MATCH($B51,tab_MinKomp[[Stanowisko / Position ]:[Stanowisko / Position ]],0))="n/a","n/a",FM51-INDEX(tab_MinKomp[Konsekwentne i dynamiczne działanie],MATCH($B51,tab_MinKomp[[Stanowisko / Position ]:[Stanowisko / Position ]],0)))</f>
        <v>-1</v>
      </c>
      <c r="FN52" s="333">
        <f>IF(INDEX(tab_MinKomp[Elastyczność w działaniu],MATCH($B51,tab_MinKomp[[Stanowisko / Position ]:[Stanowisko / Position ]],0))="n/a","n/a",FN51-INDEX(tab_MinKomp[Elastyczność w działaniu],MATCH($B51,tab_MinKomp[[Stanowisko / Position ]:[Stanowisko / Position ]],0)))</f>
        <v>0</v>
      </c>
      <c r="FO52" s="333">
        <f>IF(INDEX(tab_MinKomp[Komunikatywność],MATCH($B51,tab_MinKomp[[Stanowisko / Position ]:[Stanowisko / Position ]],0))="n/a","n/a",FO51-INDEX(tab_MinKomp[Komunikatywność],MATCH($B51,tab_MinKomp[[Stanowisko / Position ]:[Stanowisko / Position ]],0)))</f>
        <v>-1</v>
      </c>
      <c r="FP52" s="334">
        <f>IF(INDEX(tab_MinKomp[Motywowanie i budowanie zaangażowania zespołu],MATCH($B51,tab_MinKomp[[Stanowisko / Position ]:[Stanowisko / Position ]],0))="n/a","n/a",FP51-INDEX(tab_MinKomp[Motywowanie i budowanie zaangażowania zespołu],MATCH($B51,tab_MinKomp[[Stanowisko / Position ]:[Stanowisko / Position ]],0)))</f>
        <v>0</v>
      </c>
      <c r="FQ52" s="335" t="str">
        <f>IFERROR(IF(INDEX(tab_MinKomp[BRAK / Keine],MATCH($B51,tab_MinKomp[[Stanowisko / Position ]:[Stanowisko / Position ]],0))="n/a","n/a",INDEX(tab_MinKomp[BRAK / Keine],MATCH($B51,tab_MinKomp[[Stanowisko / Position ]:[Stanowisko / Position ]],0))-FQ51),"")</f>
        <v>n/a</v>
      </c>
      <c r="FR52" s="333" t="str">
        <f>IF(INDEX(tab_MinKomp[MINIMUM 1 ROK / min. 1 Jahr],MATCH($B51,tab_MinKomp[[Stanowisko / Position ]:[Stanowisko / Position ]],0))="n/a","n/a",INDEX(tab_MinKomp[MINIMUM 1 ROK / min. 1 Jahr],MATCH($B51,tab_MinKomp[[Stanowisko / Position ]:[Stanowisko / Position ]],0)))</f>
        <v>n/a</v>
      </c>
      <c r="FS52" s="333" t="str">
        <f>IF(INDEX(tab_MinKomp[MINIMUM 2 LATA / min. 2 Jahre],MATCH($B51,tab_MinKomp[[Stanowisko / Position ]:[Stanowisko / Position ]],0))="n/a","n/a",INDEX(tab_MinKomp[MINIMUM 2 LATA / min. 2 Jahre],MATCH($B51,tab_MinKomp[[Stanowisko / Position ]:[Stanowisko / Position ]],0)))</f>
        <v>x</v>
      </c>
      <c r="FT52" s="333" t="str">
        <f>IF(INDEX(tab_MinKomp[MINIMUM 3 LATA / min. 3 Jahre],MATCH($B51,tab_MinKomp[[Stanowisko / Position ]:[Stanowisko / Position ]],0))="n/a","n/a",INDEX(tab_MinKomp[MINIMUM 3 LATA / min. 3 Jahre],MATCH($B51,tab_MinKomp[[Stanowisko / Position ]:[Stanowisko / Position ]],0)))</f>
        <v>n/a</v>
      </c>
      <c r="FU52" s="333" t="str">
        <f>IF(INDEX(tab_MinKomp[MINIMUM 4 LATA / min. 4 Jahre],MATCH($B51,tab_MinKomp[[Stanowisko / Position ]:[Stanowisko / Position ]],0))="n/a","n/a",INDEX(tab_MinKomp[MINIMUM 4 LATA / min. 4 Jahre],MATCH($B51,tab_MinKomp[[Stanowisko / Position ]:[Stanowisko / Position ]],0)))</f>
        <v>n/a</v>
      </c>
      <c r="FV52" s="336" t="str">
        <f>IF(INDEX(tab_MinKomp[MINIMUM 5 LAT / min. 5 Jahre],MATCH($B51,tab_MinKomp[[Stanowisko / Position ]:[Stanowisko / Position ]],0))="n/a","n/a",INDEX(tab_MinKomp[MINIMUM 5 LAT / min. 5 Jahre],MATCH($B51,tab_MinKomp[[Stanowisko / Position ]:[Stanowisko / Position ]],0)))</f>
        <v>n/a</v>
      </c>
      <c r="FW52" s="335" t="str">
        <f>IF(INDEX(tab_MinKomp[BRAK / Keine9],MATCH($B51,tab_MinKomp[[Stanowisko / Position ]:[Stanowisko / Position ]],0))="n/a","n/a",INDEX(tab_MinKomp[BRAK / Keine9],MATCH($B51,tab_MinKomp[[Stanowisko / Position ]:[Stanowisko / Position ]],0)))</f>
        <v>n/a</v>
      </c>
      <c r="FX52" s="333" t="str">
        <f>IF(INDEX(tab_MinKomp[ZAWODOWE / Berufsausbildung],MATCH($B51,tab_MinKomp[[Stanowisko / Position ]:[Stanowisko / Position ]],0))="n/a","n/a",INDEX(tab_MinKomp[ZAWODOWE / Berufsausbildung],MATCH($B51,tab_MinKomp[[Stanowisko / Position ]:[Stanowisko / Position ]],0)))</f>
        <v>n/a</v>
      </c>
      <c r="FY52" s="333" t="str">
        <f>IF(INDEX(tab_MinKomp[ŚREDNIE OGÓLNE / Abitur allgemeine],MATCH($B51,tab_MinKomp[[Stanowisko / Position ]:[Stanowisko / Position ]],0))="n/a","n/a",INDEX(tab_MinKomp[ŚREDNIE OGÓLNE / Abitur allgemeine],MATCH($B51,tab_MinKomp[[Stanowisko / Position ]:[Stanowisko / Position ]],0)))</f>
        <v>n/a</v>
      </c>
      <c r="FZ52" s="333" t="str">
        <f>IF(INDEX(tab_MinKomp[ŚREDNIE KIERUNKOWE / berufliches Gymnasium],MATCH($B51,tab_MinKomp[[Stanowisko / Position ]:[Stanowisko / Position ]],0))="n/a","n/a",INDEX(tab_MinKomp[ŚREDNIE KIERUNKOWE / berufliches Gymnasium],MATCH($B51,tab_MinKomp[[Stanowisko / Position ]:[Stanowisko / Position ]],0)))</f>
        <v>n/a</v>
      </c>
      <c r="GA52" s="333" t="str">
        <f>IF(INDEX(tab_MinKomp[WYŻSZE OGÓLNE / Hochschule allgemeine],MATCH($B51,tab_MinKomp[[Stanowisko / Position ]:[Stanowisko / Position ]],0))="n/a","n/a",INDEX(tab_MinKomp[WYŻSZE OGÓLNE / Hochschule allgemeine],MATCH($B51,tab_MinKomp[[Stanowisko / Position ]:[Stanowisko / Position ]],0)))</f>
        <v>n/a</v>
      </c>
      <c r="GB52" s="336" t="str">
        <f>IF(INDEX(tab_MinKomp[WYŻSZE KIERUNKOWE / Hochschule berufliche],MATCH($B51,tab_MinKomp[[Stanowisko / Position ]:[Stanowisko / Position ]],0))="n/a","n/a",INDEX(tab_MinKomp[WYŻSZE KIERUNKOWE / Hochschule berufliche],MATCH($B51,tab_MinKomp[[Stanowisko / Position ]:[Stanowisko / Position ]],0)))</f>
        <v>n/a</v>
      </c>
      <c r="GC52" s="335" t="str">
        <f>IF(INDEX(tab_MinKomp[PIERWSZA POMOC / Erste Hilfe],MATCH($B51,tab_MinKomp[[Stanowisko / Position ]:[Stanowisko / Position ]],0))="n/a","n/a",INDEX(tab_MinKomp[PIERWSZA POMOC / Erste Hilfe],MATCH($B51,tab_MinKomp[[Stanowisko / Position ]:[Stanowisko / Position ]],0)))</f>
        <v>n/a</v>
      </c>
      <c r="GD52" s="333" t="str">
        <f>IF(INDEX(tab_MinKomp[Specjalista BHP / BHP Spezialist],MATCH($B51,tab_MinKomp[[Stanowisko / Position ]:[Stanowisko / Position ]],0))="n/a","n/a",INDEX(tab_MinKomp[Specjalista BHP / BHP Spezialist],MATCH($B51,tab_MinKomp[[Stanowisko / Position ]:[Stanowisko / Position ]],0)))</f>
        <v>n/a</v>
      </c>
      <c r="GE52" s="333" t="str">
        <f>IF(INDEX(tab_MinKomp[Inspektor ochrony PPOŻ / Brandschutzinspektor],MATCH($B51,tab_MinKomp[[Stanowisko / Position ]:[Stanowisko / Position ]],0))="n/a","n/a",INDEX(tab_MinKomp[Inspektor ochrony PPOŻ / Brandschutzinspektor],MATCH($B51,tab_MinKomp[[Stanowisko / Position ]:[Stanowisko / Position ]],0)))</f>
        <v>n/a</v>
      </c>
      <c r="GF52" s="333" t="str">
        <f>IF(INDEX(tab_MinKomp[WÓZKI JEZDNIOWE / Gebelstapler],MATCH($B51,tab_MinKomp[[Stanowisko / Position ]:[Stanowisko / Position ]],0))="n/a","n/a",INDEX(tab_MinKomp[WÓZKI JEZDNIOWE / Gebelstapler],MATCH($B51,tab_MinKomp[[Stanowisko / Position ]:[Stanowisko / Position ]],0)))</f>
        <v>n/a</v>
      </c>
      <c r="GG52" s="333" t="str">
        <f>IF(INDEX(tab_MinKomp[SEP],MATCH($B51,tab_MinKomp[[Stanowisko / Position ]:[Stanowisko / Position ]],0))="n/a","n/a",INDEX(tab_MinKomp[SEP],MATCH($B51,tab_MinKomp[[Stanowisko / Position ]:[Stanowisko / Position ]],0)))</f>
        <v>n/a</v>
      </c>
      <c r="GH52" s="333" t="str">
        <f>IF(INDEX(tab_MinKomp[SEP  DOZÓR / SEP Aufsicht],MATCH($B51,tab_MinKomp[[Stanowisko / Position ]:[Stanowisko / Position ]],0))="n/a","n/a",INDEX(tab_MinKomp[SEP  DOZÓR / SEP Aufsicht],MATCH($B51,tab_MinKomp[[Stanowisko / Position ]:[Stanowisko / Position ]],0)))</f>
        <v>n/a</v>
      </c>
      <c r="GI52" s="333" t="str">
        <f>IF(INDEX(tab_MinKomp[PODNOŚNIKI / Hebevorrichtung],MATCH($B51,tab_MinKomp[[Stanowisko / Position ]:[Stanowisko / Position ]],0))="n/a","n/a",INDEX(tab_MinKomp[PODNOŚNIKI / Hebevorrichtung],MATCH($B51,tab_MinKomp[[Stanowisko / Position ]:[Stanowisko / Position ]],0)))</f>
        <v>n/a</v>
      </c>
      <c r="GJ52" s="333" t="str">
        <f>IF(INDEX(tab_MinKomp[SUWNICE / Laufkran],MATCH($B51,tab_MinKomp[[Stanowisko / Position ]:[Stanowisko / Position ]],0))="n/a","n/a",INDEX(tab_MinKomp[SUWNICE / Laufkran],MATCH($B51,tab_MinKomp[[Stanowisko / Position ]:[Stanowisko / Position ]],0)))</f>
        <v>n/a</v>
      </c>
      <c r="GK52" s="336" t="str">
        <f>IF(INDEX(tab_MinKomp[WYSOKOŚCIOWE / Höhenberechtigungen],MATCH($B51,tab_MinKomp[[Stanowisko / Position ]:[Stanowisko / Position ]],0))="n/a","n/a",INDEX(tab_MinKomp[WYSOKOŚCIOWE / Höhenberechtigungen],MATCH($B51,tab_MinKomp[[Stanowisko / Position ]:[Stanowisko / Position ]],0)))</f>
        <v>n/a</v>
      </c>
      <c r="GL52" s="376">
        <f>SUM(G52:FP52)/(GL51-(SUM(G52:FP52)))</f>
        <v>-0.12612612612612611</v>
      </c>
      <c r="GM52" s="132"/>
    </row>
    <row r="53" spans="1:195" s="187" customFormat="1" ht="28.35" customHeight="1" x14ac:dyDescent="0.25">
      <c r="A53" s="138" t="s">
        <v>227</v>
      </c>
      <c r="B53" s="138" t="s">
        <v>580</v>
      </c>
      <c r="C53" s="135" t="s">
        <v>766</v>
      </c>
      <c r="D53" s="138">
        <v>2094</v>
      </c>
      <c r="E53" s="605" t="s">
        <v>751</v>
      </c>
      <c r="F53" s="476" t="s">
        <v>165</v>
      </c>
      <c r="G53" s="308">
        <v>2</v>
      </c>
      <c r="H53" s="308">
        <v>2</v>
      </c>
      <c r="I53" s="308">
        <v>3</v>
      </c>
      <c r="J53" s="308">
        <v>2</v>
      </c>
      <c r="K53" s="308">
        <v>2</v>
      </c>
      <c r="L53" s="308">
        <v>1</v>
      </c>
      <c r="M53" s="308" t="s">
        <v>176</v>
      </c>
      <c r="N53" s="308" t="s">
        <v>176</v>
      </c>
      <c r="O53" s="308">
        <v>2</v>
      </c>
      <c r="P53" s="308">
        <v>2</v>
      </c>
      <c r="Q53" s="308" t="s">
        <v>176</v>
      </c>
      <c r="R53" s="308" t="s">
        <v>176</v>
      </c>
      <c r="S53" s="308">
        <v>2</v>
      </c>
      <c r="T53" s="308">
        <v>2</v>
      </c>
      <c r="U53" s="308" t="s">
        <v>176</v>
      </c>
      <c r="V53" s="308" t="s">
        <v>176</v>
      </c>
      <c r="W53" s="308" t="s">
        <v>176</v>
      </c>
      <c r="X53" s="308" t="s">
        <v>176</v>
      </c>
      <c r="Y53" s="308" t="s">
        <v>176</v>
      </c>
      <c r="Z53" s="308" t="s">
        <v>176</v>
      </c>
      <c r="AA53" s="308" t="s">
        <v>176</v>
      </c>
      <c r="AB53" s="308">
        <v>2</v>
      </c>
      <c r="AC53" s="308">
        <v>3</v>
      </c>
      <c r="AD53" s="308">
        <v>3</v>
      </c>
      <c r="AE53" s="308">
        <v>3</v>
      </c>
      <c r="AF53" s="308">
        <v>3</v>
      </c>
      <c r="AG53" s="308">
        <v>3</v>
      </c>
      <c r="AH53" s="308">
        <v>3</v>
      </c>
      <c r="AI53" s="308">
        <v>3</v>
      </c>
      <c r="AJ53" s="308">
        <v>3</v>
      </c>
      <c r="AK53" s="308">
        <v>2</v>
      </c>
      <c r="AL53" s="308">
        <v>3</v>
      </c>
      <c r="AM53" s="308">
        <v>2</v>
      </c>
      <c r="AN53" s="308">
        <v>2</v>
      </c>
      <c r="AO53" s="308">
        <v>3</v>
      </c>
      <c r="AP53" s="308">
        <v>3</v>
      </c>
      <c r="AQ53" s="308">
        <v>3</v>
      </c>
      <c r="AR53" s="308">
        <v>3</v>
      </c>
      <c r="AS53" s="308">
        <v>3</v>
      </c>
      <c r="AT53" s="308">
        <v>3</v>
      </c>
      <c r="AU53" s="308">
        <v>3</v>
      </c>
      <c r="AV53" s="308">
        <v>3</v>
      </c>
      <c r="AW53" s="308">
        <v>2</v>
      </c>
      <c r="AX53" s="308">
        <v>2</v>
      </c>
      <c r="AY53" s="308">
        <v>1</v>
      </c>
      <c r="AZ53" s="308">
        <v>1</v>
      </c>
      <c r="BA53" s="308">
        <v>1</v>
      </c>
      <c r="BB53" s="308">
        <v>1</v>
      </c>
      <c r="BC53" s="308">
        <v>1</v>
      </c>
      <c r="BD53" s="308">
        <v>1</v>
      </c>
      <c r="BE53" s="308">
        <v>1</v>
      </c>
      <c r="BF53" s="308" t="s">
        <v>176</v>
      </c>
      <c r="BG53" s="308" t="s">
        <v>176</v>
      </c>
      <c r="BH53" s="308" t="s">
        <v>176</v>
      </c>
      <c r="BI53" s="308" t="s">
        <v>176</v>
      </c>
      <c r="BJ53" s="308" t="s">
        <v>176</v>
      </c>
      <c r="BK53" s="308" t="s">
        <v>176</v>
      </c>
      <c r="BL53" s="308" t="s">
        <v>176</v>
      </c>
      <c r="BM53" s="308" t="s">
        <v>176</v>
      </c>
      <c r="BN53" s="308" t="s">
        <v>176</v>
      </c>
      <c r="BO53" s="308" t="s">
        <v>176</v>
      </c>
      <c r="BP53" s="308" t="s">
        <v>176</v>
      </c>
      <c r="BQ53" s="308" t="s">
        <v>176</v>
      </c>
      <c r="BR53" s="308" t="s">
        <v>176</v>
      </c>
      <c r="BS53" s="308" t="s">
        <v>176</v>
      </c>
      <c r="BT53" s="308" t="s">
        <v>176</v>
      </c>
      <c r="BU53" s="308" t="s">
        <v>176</v>
      </c>
      <c r="BV53" s="308" t="s">
        <v>176</v>
      </c>
      <c r="BW53" s="308" t="s">
        <v>176</v>
      </c>
      <c r="BX53" s="308" t="s">
        <v>176</v>
      </c>
      <c r="BY53" s="308" t="s">
        <v>176</v>
      </c>
      <c r="BZ53" s="308" t="s">
        <v>176</v>
      </c>
      <c r="CA53" s="308" t="s">
        <v>176</v>
      </c>
      <c r="CB53" s="308" t="s">
        <v>176</v>
      </c>
      <c r="CC53" s="308" t="s">
        <v>176</v>
      </c>
      <c r="CD53" s="308" t="s">
        <v>176</v>
      </c>
      <c r="CE53" s="308" t="s">
        <v>176</v>
      </c>
      <c r="CF53" s="308" t="s">
        <v>176</v>
      </c>
      <c r="CG53" s="308">
        <v>2</v>
      </c>
      <c r="CH53" s="308" t="s">
        <v>176</v>
      </c>
      <c r="CI53" s="308">
        <v>2</v>
      </c>
      <c r="CJ53" s="308">
        <v>2</v>
      </c>
      <c r="CK53" s="308" t="s">
        <v>176</v>
      </c>
      <c r="CL53" s="308" t="s">
        <v>176</v>
      </c>
      <c r="CM53" s="308">
        <v>3</v>
      </c>
      <c r="CN53" s="308">
        <v>3</v>
      </c>
      <c r="CO53" s="308">
        <v>3</v>
      </c>
      <c r="CP53" s="308">
        <v>3</v>
      </c>
      <c r="CQ53" s="308">
        <v>3</v>
      </c>
      <c r="CR53" s="308">
        <v>3</v>
      </c>
      <c r="CS53" s="308">
        <v>3</v>
      </c>
      <c r="CT53" s="308">
        <v>3</v>
      </c>
      <c r="CU53" s="308">
        <v>2</v>
      </c>
      <c r="CV53" s="308" t="s">
        <v>176</v>
      </c>
      <c r="CW53" s="308" t="s">
        <v>176</v>
      </c>
      <c r="CX53" s="308" t="s">
        <v>176</v>
      </c>
      <c r="CY53" s="308" t="s">
        <v>176</v>
      </c>
      <c r="CZ53" s="308" t="s">
        <v>176</v>
      </c>
      <c r="DA53" s="308" t="s">
        <v>176</v>
      </c>
      <c r="DB53" s="308" t="s">
        <v>176</v>
      </c>
      <c r="DC53" s="308" t="s">
        <v>176</v>
      </c>
      <c r="DD53" s="308" t="s">
        <v>176</v>
      </c>
      <c r="DE53" s="308" t="s">
        <v>176</v>
      </c>
      <c r="DF53" s="308" t="s">
        <v>176</v>
      </c>
      <c r="DG53" s="308" t="s">
        <v>176</v>
      </c>
      <c r="DH53" s="308" t="s">
        <v>176</v>
      </c>
      <c r="DI53" s="308" t="s">
        <v>176</v>
      </c>
      <c r="DJ53" s="308" t="s">
        <v>176</v>
      </c>
      <c r="DK53" s="308" t="s">
        <v>176</v>
      </c>
      <c r="DL53" s="308" t="s">
        <v>176</v>
      </c>
      <c r="DM53" s="308" t="s">
        <v>176</v>
      </c>
      <c r="DN53" s="308" t="s">
        <v>176</v>
      </c>
      <c r="DO53" s="308" t="s">
        <v>176</v>
      </c>
      <c r="DP53" s="308" t="s">
        <v>176</v>
      </c>
      <c r="DQ53" s="308" t="s">
        <v>176</v>
      </c>
      <c r="DR53" s="308" t="s">
        <v>176</v>
      </c>
      <c r="DS53" s="308" t="s">
        <v>176</v>
      </c>
      <c r="DT53" s="308" t="s">
        <v>176</v>
      </c>
      <c r="DU53" s="308" t="s">
        <v>176</v>
      </c>
      <c r="DV53" s="308" t="s">
        <v>176</v>
      </c>
      <c r="DW53" s="308" t="s">
        <v>176</v>
      </c>
      <c r="DX53" s="308" t="s">
        <v>176</v>
      </c>
      <c r="DY53" s="308" t="s">
        <v>176</v>
      </c>
      <c r="DZ53" s="308" t="s">
        <v>176</v>
      </c>
      <c r="EA53" s="308" t="s">
        <v>176</v>
      </c>
      <c r="EB53" s="308" t="s">
        <v>176</v>
      </c>
      <c r="EC53" s="308" t="s">
        <v>176</v>
      </c>
      <c r="ED53" s="308" t="s">
        <v>176</v>
      </c>
      <c r="EE53" s="308" t="s">
        <v>176</v>
      </c>
      <c r="EF53" s="308" t="s">
        <v>176</v>
      </c>
      <c r="EG53" s="308" t="s">
        <v>176</v>
      </c>
      <c r="EH53" s="308" t="s">
        <v>176</v>
      </c>
      <c r="EI53" s="308" t="s">
        <v>176</v>
      </c>
      <c r="EJ53" s="308" t="s">
        <v>176</v>
      </c>
      <c r="EK53" s="308" t="s">
        <v>176</v>
      </c>
      <c r="EL53" s="308" t="s">
        <v>176</v>
      </c>
      <c r="EM53" s="308" t="s">
        <v>176</v>
      </c>
      <c r="EN53" s="308" t="s">
        <v>176</v>
      </c>
      <c r="EO53" s="308" t="s">
        <v>176</v>
      </c>
      <c r="EP53" s="308" t="s">
        <v>176</v>
      </c>
      <c r="EQ53" s="308" t="s">
        <v>176</v>
      </c>
      <c r="ER53" s="308" t="s">
        <v>176</v>
      </c>
      <c r="ES53" s="308" t="s">
        <v>176</v>
      </c>
      <c r="ET53" s="308" t="s">
        <v>176</v>
      </c>
      <c r="EU53" s="308" t="s">
        <v>176</v>
      </c>
      <c r="EV53" s="308" t="s">
        <v>176</v>
      </c>
      <c r="EW53" s="308" t="s">
        <v>176</v>
      </c>
      <c r="EX53" s="308" t="s">
        <v>176</v>
      </c>
      <c r="EY53" s="308">
        <v>2</v>
      </c>
      <c r="EZ53" s="308">
        <v>2</v>
      </c>
      <c r="FA53" s="308">
        <v>2</v>
      </c>
      <c r="FB53" s="308">
        <v>2</v>
      </c>
      <c r="FC53" s="308" t="s">
        <v>176</v>
      </c>
      <c r="FD53" s="308">
        <v>3</v>
      </c>
      <c r="FE53" s="308">
        <v>3</v>
      </c>
      <c r="FF53" s="308">
        <v>3</v>
      </c>
      <c r="FG53" s="308">
        <v>3</v>
      </c>
      <c r="FH53" s="308">
        <v>3</v>
      </c>
      <c r="FI53" s="308">
        <v>3</v>
      </c>
      <c r="FJ53" s="308">
        <v>3</v>
      </c>
      <c r="FK53" s="308">
        <v>3</v>
      </c>
      <c r="FL53" s="308">
        <v>3</v>
      </c>
      <c r="FM53" s="308">
        <v>3</v>
      </c>
      <c r="FN53" s="308">
        <v>3</v>
      </c>
      <c r="FO53" s="308">
        <v>3</v>
      </c>
      <c r="FP53" s="308">
        <v>3</v>
      </c>
      <c r="FQ53" s="308"/>
      <c r="FR53" s="308" t="s">
        <v>176</v>
      </c>
      <c r="FS53" s="308" t="s">
        <v>176</v>
      </c>
      <c r="FT53" s="308" t="s">
        <v>176</v>
      </c>
      <c r="FU53" s="308" t="s">
        <v>176</v>
      </c>
      <c r="FV53" s="308" t="s">
        <v>176</v>
      </c>
      <c r="FW53" s="308" t="s">
        <v>176</v>
      </c>
      <c r="FX53" s="308" t="s">
        <v>176</v>
      </c>
      <c r="FY53" s="308" t="s">
        <v>176</v>
      </c>
      <c r="FZ53" s="308" t="s">
        <v>176</v>
      </c>
      <c r="GA53" s="308"/>
      <c r="GB53" s="308" t="s">
        <v>176</v>
      </c>
      <c r="GC53" s="308"/>
      <c r="GD53" s="308" t="s">
        <v>176</v>
      </c>
      <c r="GE53" s="308" t="s">
        <v>176</v>
      </c>
      <c r="GF53" s="308" t="s">
        <v>176</v>
      </c>
      <c r="GG53" s="308" t="s">
        <v>176</v>
      </c>
      <c r="GH53" s="308" t="s">
        <v>176</v>
      </c>
      <c r="GI53" s="308" t="s">
        <v>176</v>
      </c>
      <c r="GJ53" s="308" t="s">
        <v>176</v>
      </c>
      <c r="GK53" s="308" t="s">
        <v>176</v>
      </c>
      <c r="GL53" s="479">
        <f>SUM(G53:FP53)</f>
        <v>169</v>
      </c>
      <c r="GM53" s="132"/>
    </row>
    <row r="54" spans="1:195" s="187" customFormat="1" ht="28.35" customHeight="1" thickBot="1" x14ac:dyDescent="0.3">
      <c r="A54" s="138" t="s">
        <v>227</v>
      </c>
      <c r="B54" s="138" t="s">
        <v>580</v>
      </c>
      <c r="C54" s="135" t="s">
        <v>766</v>
      </c>
      <c r="D54" s="138">
        <v>2094</v>
      </c>
      <c r="E54" s="606"/>
      <c r="F54" s="477" t="s">
        <v>166</v>
      </c>
      <c r="G54" s="313">
        <f>IF(INDEX(tab_MinKomp[Przepisy BHP / BHP Vorschriften],MATCH($B53,tab_MinKomp[[Stanowisko / Position ]:[Stanowisko / Position ]],0))="n/a","n/a",G53-INDEX(tab_MinKomp[Przepisy BHP / BHP Vorschriften],MATCH($B53,tab_MinKomp[[Stanowisko / Position ]:[Stanowisko / Position ]],0)))</f>
        <v>0</v>
      </c>
      <c r="H54" s="313">
        <f>IF(INDEX(tab_MinKomp[Przepisy PPOŻ / Brandschutzbestimmungen],MATCH($B53,tab_MinKomp[[Stanowisko / Position ]:[Stanowisko / Position ]],0))="n/a","n/a",H53-INDEX(tab_MinKomp[Przepisy PPOŻ / Brandschutzbestimmungen],MATCH($B53,tab_MinKomp[[Stanowisko / Position ]:[Stanowisko / Position ]],0)))</f>
        <v>0</v>
      </c>
      <c r="I54" s="313">
        <f>IF(INDEX(tab_MinKomp[Ryzyko zawodowe na stanowiskach pracyv/ Berufliche Risiken an Arbeitsstellen],MATCH($B53,tab_MinKomp[[Stanowisko / Position ]:[Stanowisko / Position ]],0))="n/a","n/a",I53-INDEX(tab_MinKomp[Ryzyko zawodowe na stanowiskach pracyv/ Berufliche Risiken an Arbeitsstellen],MATCH($B53,tab_MinKomp[[Stanowisko / Position ]:[Stanowisko / Position ]],0)))</f>
        <v>1</v>
      </c>
      <c r="J54" s="313">
        <f>IF(INDEX(tab_MinKomp[Gospodarka substancjami niebezpiecznymi / Gefahrstoffmanagement],MATCH($B53,tab_MinKomp[[Stanowisko / Position ]:[Stanowisko / Position ]],0))="n/a","n/a",J53-INDEX(tab_MinKomp[Gospodarka substancjami niebezpiecznymi / Gefahrstoffmanagement],MATCH($B53,tab_MinKomp[[Stanowisko / Position ]:[Stanowisko / Position ]],0)))</f>
        <v>0</v>
      </c>
      <c r="K54" s="313">
        <f>IF(INDEX(tab_MinKomp[Gospodarka odpadami / Abfallwirtschaft],MATCH($B53,tab_MinKomp[[Stanowisko / Position ]:[Stanowisko / Position ]],0))="n/a","n/a",K53-INDEX(tab_MinKomp[Gospodarka odpadami / Abfallwirtschaft],MATCH($B53,tab_MinKomp[[Stanowisko / Position ]:[Stanowisko / Position ]],0)))</f>
        <v>0</v>
      </c>
      <c r="L54" s="313">
        <f>IF(INDEX(tab_MinKomp[Przepisy kodeksu pracy / Bestimmungen des Arbeitsgesetzes],MATCH($B53,tab_MinKomp[[Stanowisko / Position ]:[Stanowisko / Position ]],0))="n/a","n/a",L53-INDEX(tab_MinKomp[Przepisy kodeksu pracy / Bestimmungen des Arbeitsgesetzes],MATCH($B53,tab_MinKomp[[Stanowisko / Position ]:[Stanowisko / Position ]],0)))</f>
        <v>0</v>
      </c>
      <c r="M54" s="313" t="str">
        <f>IF(INDEX(tab_MinKomp[Przepisy o ub.społ. ZUS  / Sozialversicherungsvorschriften],MATCH($B53,tab_MinKomp[[Stanowisko / Position ]:[Stanowisko / Position ]],0))="n/a","n/a",M53-INDEX(tab_MinKomp[Przepisy o ub.społ. ZUS  / Sozialversicherungsvorschriften],MATCH($B53,tab_MinKomp[[Stanowisko / Position ]:[Stanowisko / Position ]],0)))</f>
        <v>n/a</v>
      </c>
      <c r="N54" s="313" t="str">
        <f>IF(INDEX(tab_MinKomp[PRZEPISY O PDOF /persönlich Einkommensteuergesetz ],MATCH($B53,tab_MinKomp[[Stanowisko / Position ]:[Stanowisko / Position ]],0))="n/a","n/a",N53-INDEX(tab_MinKomp[PRZEPISY O PDOF /persönlich Einkommensteuergesetz ],MATCH($B53,tab_MinKomp[[Stanowisko / Position ]:[Stanowisko / Position ]],0)))</f>
        <v>n/a</v>
      </c>
      <c r="O54" s="313">
        <f>IF(INDEX(tab_MinKomp[Regulamin pracy / Arbeitsordnung],MATCH($B53,tab_MinKomp[[Stanowisko / Position ]:[Stanowisko / Position ]],0))="n/a","n/a",O53-INDEX(tab_MinKomp[Regulamin pracy / Arbeitsordnung],MATCH($B53,tab_MinKomp[[Stanowisko / Position ]:[Stanowisko / Position ]],0)))</f>
        <v>0</v>
      </c>
      <c r="P54" s="313">
        <f>IF(INDEX(tab_MinKomp[Regulamin wynagradzania / Vergütungsordnung],MATCH($B53,tab_MinKomp[[Stanowisko / Position ]:[Stanowisko / Position ]],0))="n/a","n/a",P53-INDEX(tab_MinKomp[Regulamin wynagradzania / Vergütungsordnung],MATCH($B53,tab_MinKomp[[Stanowisko / Position ]:[Stanowisko / Position ]],0)))</f>
        <v>0</v>
      </c>
      <c r="Q54" s="313" t="str">
        <f>IF(INDEX(tab_MinKomp[System R2PŁATNIK PRO: Płace / Lohnabrechnung],MATCH($B53,tab_MinKomp[[Stanowisko / Position ]:[Stanowisko / Position ]],0))="n/a","n/a",Q53-INDEX(tab_MinKomp[System R2PŁATNIK PRO: Płace / Lohnabrechnung],MATCH($B53,tab_MinKomp[[Stanowisko / Position ]:[Stanowisko / Position ]],0)))</f>
        <v>n/a</v>
      </c>
      <c r="R54" s="313" t="str">
        <f>IF(INDEX(tab_MinKomp[SystemR2PŁATNIK PRO: KADRY / Personaldaten],MATCH($B53,tab_MinKomp[[Stanowisko / Position ]:[Stanowisko / Position ]],0))="n/a","n/a",R53-INDEX(tab_MinKomp[SystemR2PŁATNIK PRO: KADRY / Personaldaten],MATCH($B53,tab_MinKomp[[Stanowisko / Position ]:[Stanowisko / Position ]],0)))</f>
        <v>n/a</v>
      </c>
      <c r="S54" s="313">
        <f>IF(INDEX(tab_MinKomp[SYSTEM R2PŁATNIK PRO: zarządzanie pracownikami / Arbeitsverwaltung],MATCH($B53,tab_MinKomp[[Stanowisko / Position ]:[Stanowisko / Position ]],0))="n/a","n/a",S53-INDEX(tab_MinKomp[SYSTEM R2PŁATNIK PRO: zarządzanie pracownikami / Arbeitsverwaltung],MATCH($B53,tab_MinKomp[[Stanowisko / Position ]:[Stanowisko / Position ]],0)))</f>
        <v>0</v>
      </c>
      <c r="T54" s="313">
        <f>IF(INDEX(tab_MinKomp[Doradztwo, wsparcie personalne / Personalberatung und Unterstützung],MATCH($B53,tab_MinKomp[[Stanowisko / Position ]:[Stanowisko / Position ]],0))="n/a","n/a",T53-INDEX(tab_MinKomp[Doradztwo, wsparcie personalne / Personalberatung und Unterstützung],MATCH($B53,tab_MinKomp[[Stanowisko / Position ]:[Stanowisko / Position ]],0)))</f>
        <v>0</v>
      </c>
      <c r="U54" s="313" t="str">
        <f>IF(INDEX(tab_MinKomp[Przepisy o podatku VAT / MwSt.- Gesetz],MATCH($B53,tab_MinKomp[[Stanowisko / Position ]:[Stanowisko / Position ]],0))="n/a","n/a",U53-INDEX(tab_MinKomp[Przepisy o podatku VAT / MwSt.- Gesetz],MATCH($B53,tab_MinKomp[[Stanowisko / Position ]:[Stanowisko / Position ]],0)))</f>
        <v>n/a</v>
      </c>
      <c r="V54" s="313" t="str">
        <f>IF(INDEX(tab_MinKomp[PrzepisyPDOP / geschäftlich Einkommensteuergesetz],MATCH($B53,tab_MinKomp[[Stanowisko / Position ]:[Stanowisko / Position ]],0))="n/a","n/a",V53-INDEX(tab_MinKomp[PrzepisyPDOP / geschäftlich Einkommensteuergesetz],MATCH($B53,tab_MinKomp[[Stanowisko / Position ]:[Stanowisko / Position ]],0)))</f>
        <v>n/a</v>
      </c>
      <c r="W54" s="313" t="str">
        <f>IF(INDEX(tab_MinKomp[System BAAN / FINANSE (FIBU)],MATCH($B53,tab_MinKomp[[Stanowisko / Position ]:[Stanowisko / Position ]],0))="n/a","n/a",W53-INDEX(tab_MinKomp[System BAAN / FINANSE (FIBU)],MATCH($B53,tab_MinKomp[[Stanowisko / Position ]:[Stanowisko / Position ]],0)))</f>
        <v>n/a</v>
      </c>
      <c r="X54" s="313" t="str">
        <f>IF(INDEX(tab_MinKomp[Systemy pomocnicze / Hilfssysteme(STOCKPROGRAM, KALK2000 etc.)],MATCH($B53,tab_MinKomp[[Stanowisko / Position ]:[Stanowisko / Position ]],0))="n/a","n/a",X53-INDEX(tab_MinKomp[Systemy pomocnicze / Hilfssysteme(STOCKPROGRAM, KALK2000 etc.)],MATCH($B53,tab_MinKomp[[Stanowisko / Position ]:[Stanowisko / Position ]],0)))</f>
        <v>n/a</v>
      </c>
      <c r="Y54" s="313" t="str">
        <f>IF(INDEX(tab_MinKomp[Polityka rachunkowości / Buchführungspolitik],MATCH($B53,tab_MinKomp[[Stanowisko / Position ]:[Stanowisko / Position ]],0))="n/a","n/a",Y53-INDEX(tab_MinKomp[Polityka rachunkowości / Buchführungspolitik],MATCH($B53,tab_MinKomp[[Stanowisko / Position ]:[Stanowisko / Position ]],0)))</f>
        <v>n/a</v>
      </c>
      <c r="Z54" s="313" t="str">
        <f>IF(INDEX(tab_MinKomp[Ustawa o rachunkowości / Rechnungslegungsgesetz],MATCH($B53,tab_MinKomp[[Stanowisko / Position ]:[Stanowisko / Position ]],0))="n/a","n/a",Z53-INDEX(tab_MinKomp[Ustawa o rachunkowości / Rechnungslegungsgesetz],MATCH($B53,tab_MinKomp[[Stanowisko / Position ]:[Stanowisko / Position ]],0)))</f>
        <v>n/a</v>
      </c>
      <c r="AA54" s="313" t="str">
        <f>IF(INDEX(tab_MinKomp[WORKFLOW - TS-100],MATCH($B53,tab_MinKomp[[Stanowisko / Position ]:[Stanowisko / Position ]],0))="n/a","n/a",AA53-INDEX(tab_MinKomp[WORKFLOW - TS-100],MATCH($B53,tab_MinKomp[[Stanowisko / Position ]:[Stanowisko / Position ]],0)))</f>
        <v>n/a</v>
      </c>
      <c r="AB54" s="315">
        <f>IF(INDEX(tab_MinKomp[WORKFLOW - SFMS],MATCH($B53,tab_MinKomp[[Stanowisko / Position ]:[Stanowisko / Position ]],0))="n/a","n/a",AB53-INDEX(tab_MinKomp[WORKFLOW - SFMS],MATCH($B53,tab_MinKomp[[Stanowisko / Position ]:[Stanowisko / Position ]],0)))</f>
        <v>0</v>
      </c>
      <c r="AC54" s="315">
        <f>IF(INDEX(tab_MinKomp[System ISO 9001:2015],MATCH($B53,tab_MinKomp[[Stanowisko / Position ]:[Stanowisko / Position ]],0))="n/a","n/a",AC53-INDEX(tab_MinKomp[System ISO 9001:2015],MATCH($B53,tab_MinKomp[[Stanowisko / Position ]:[Stanowisko / Position ]],0)))</f>
        <v>0</v>
      </c>
      <c r="AD54" s="315">
        <f>IF(INDEX(tab_MinKomp[System IATF 16949:2016],MATCH($B53,tab_MinKomp[[Stanowisko / Position ]:[Stanowisko / Position ]],0))="n/a","n/a",AD53-INDEX(tab_MinKomp[System IATF 16949:2016],MATCH($B53,tab_MinKomp[[Stanowisko / Position ]:[Stanowisko / Position ]],0)))</f>
        <v>0</v>
      </c>
      <c r="AE54" s="315">
        <f>IF(INDEX(tab_MinKomp[System ISO 14001:2015],MATCH($B53,tab_MinKomp[[Stanowisko / Position ]:[Stanowisko / Position ]],0))="n/a","n/a",AE53-INDEX(tab_MinKomp[System ISO 14001:2015],MATCH($B53,tab_MinKomp[[Stanowisko / Position ]:[Stanowisko / Position ]],0)))</f>
        <v>1</v>
      </c>
      <c r="AF54" s="315">
        <f>IF(INDEX(tab_MinKomp[System PN-N 18001:2004 / ISO 45001:2018],MATCH($B53,tab_MinKomp[[Stanowisko / Position ]:[Stanowisko / Position ]],0))="n/a","n/a",AF53-INDEX(tab_MinKomp[System PN-N 18001:2004 / ISO 45001:2018],MATCH($B53,tab_MinKomp[[Stanowisko / Position ]:[Stanowisko / Position ]],0)))</f>
        <v>1</v>
      </c>
      <c r="AG54" s="315">
        <f>IF(INDEX(tab_MinKomp[Wymagania VDA 6.3 Process / Forderungen],MATCH($B53,tab_MinKomp[[Stanowisko / Position ]:[Stanowisko / Position ]],0))="n/a","n/a",AG53-INDEX(tab_MinKomp[Wymagania VDA 6.3 Process / Forderungen],MATCH($B53,tab_MinKomp[[Stanowisko / Position ]:[Stanowisko / Position ]],0)))</f>
        <v>0</v>
      </c>
      <c r="AH54" s="315">
        <f>IF(INDEX(tab_MinKomp[Wymagania VDA 6.5 Product / Forderungen],MATCH($B53,tab_MinKomp[[Stanowisko / Position ]:[Stanowisko / Position ]],0))="n/a","n/a",AH53-INDEX(tab_MinKomp[Wymagania VDA 6.5 Product / Forderungen],MATCH($B53,tab_MinKomp[[Stanowisko / Position ]:[Stanowisko / Position ]],0)))</f>
        <v>0</v>
      </c>
      <c r="AI54" s="315">
        <f>IF(INDEX(tab_MinKomp[PSCR (VW Product Safety &amp; Conformity Representative)],MATCH($B53,tab_MinKomp[[Stanowisko / Position ]:[Stanowisko / Position ]],0))="n/a","n/a",AI53-INDEX(tab_MinKomp[PSCR (VW Product Safety &amp; Conformity Representative)],MATCH($B53,tab_MinKomp[[Stanowisko / Position ]:[Stanowisko / Position ]],0)))</f>
        <v>1</v>
      </c>
      <c r="AJ54" s="315">
        <f>IF(INDEX(tab_MinKomp[Auditor systemu ISO 17025:2018],MATCH($B53,tab_MinKomp[[Stanowisko / Position ]:[Stanowisko / Position ]],0))="n/a","n/a",AJ53-INDEX(tab_MinKomp[Auditor systemu ISO 17025:2018],MATCH($B53,tab_MinKomp[[Stanowisko / Position ]:[Stanowisko / Position ]],0)))</f>
        <v>1</v>
      </c>
      <c r="AK54" s="315">
        <f>IF(INDEX(tab_MinKomp[Pełnomocnik systemu / Systemvertreter],MATCH($B53,tab_MinKomp[[Stanowisko / Position ]:[Stanowisko / Position ]],0))="n/a","n/a",AK53-INDEX(tab_MinKomp[Pełnomocnik systemu / Systemvertreter],MATCH($B53,tab_MinKomp[[Stanowisko / Position ]:[Stanowisko / Position ]],0)))</f>
        <v>0</v>
      </c>
      <c r="AL54" s="315">
        <f>IF(INDEX(tab_MinKomp[Polityka Etyczna - Compliance],MATCH($B53,tab_MinKomp[[Stanowisko / Position ]:[Stanowisko / Position ]],0))="n/a","n/a",AL53-INDEX(tab_MinKomp[Polityka Etyczna - Compliance],MATCH($B53,tab_MinKomp[[Stanowisko / Position ]:[Stanowisko / Position ]],0)))</f>
        <v>0</v>
      </c>
      <c r="AM54" s="315">
        <f>IF(INDEX(tab_MinKomp[WDRAŻANIE NOWYCH PROJEKTÓW/ PROCEDURA CTM],MATCH($B53,tab_MinKomp[[Stanowisko / Position ]:[Stanowisko / Position ]],0))="n/a","n/a",AM53-INDEX(tab_MinKomp[WDRAŻANIE NOWYCH PROJEKTÓW/ PROCEDURA CTM],MATCH($B53,tab_MinKomp[[Stanowisko / Position ]:[Stanowisko / Position ]],0)))</f>
        <v>0</v>
      </c>
      <c r="AN54" s="315">
        <f>IF(INDEX(tab_MinKomp[KAMIENIE MILOWE MSL/PIFF],MATCH($B53,tab_MinKomp[[Stanowisko / Position ]:[Stanowisko / Position ]],0))="n/a","n/a",AN53-INDEX(tab_MinKomp[KAMIENIE MILOWE MSL/PIFF],MATCH($B53,tab_MinKomp[[Stanowisko / Position ]:[Stanowisko / Position ]],0)))</f>
        <v>0</v>
      </c>
      <c r="AO54" s="315">
        <f>IF(INDEX(tab_MinKomp[CP],MATCH($B53,tab_MinKomp[[Stanowisko / Position ]:[Stanowisko / Position ]],0))="n/a","n/a",AO53-INDEX(tab_MinKomp[CP],MATCH($B53,tab_MinKomp[[Stanowisko / Position ]:[Stanowisko / Position ]],0)))</f>
        <v>0</v>
      </c>
      <c r="AP54" s="315">
        <f>IF(INDEX(tab_MinKomp[FMEA],MATCH($B53,tab_MinKomp[[Stanowisko / Position ]:[Stanowisko / Position ]],0))="n/a","n/a",AP53-INDEX(tab_MinKomp[FMEA],MATCH($B53,tab_MinKomp[[Stanowisko / Position ]:[Stanowisko / Position ]],0)))</f>
        <v>0</v>
      </c>
      <c r="AQ54" s="315">
        <f>IF(INDEX(tab_MinKomp[FLOW CHART],MATCH($B53,tab_MinKomp[[Stanowisko / Position ]:[Stanowisko / Position ]],0))="n/a","n/a",AQ53-INDEX(tab_MinKomp[FLOW CHART],MATCH($B53,tab_MinKomp[[Stanowisko / Position ]:[Stanowisko / Position ]],0)))</f>
        <v>0</v>
      </c>
      <c r="AR54" s="315">
        <f>IF(INDEX(tab_MinKomp[APQP],MATCH($B53,tab_MinKomp[[Stanowisko / Position ]:[Stanowisko / Position ]],0))="n/a","n/a",AR53-INDEX(tab_MinKomp[APQP],MATCH($B53,tab_MinKomp[[Stanowisko / Position ]:[Stanowisko / Position ]],0)))</f>
        <v>1</v>
      </c>
      <c r="AS54" s="315">
        <f>IF(INDEX(tab_MinKomp[MSA],MATCH($B53,tab_MinKomp[[Stanowisko / Position ]:[Stanowisko / Position ]],0))="n/a","n/a",AS53-INDEX(tab_MinKomp[MSA],MATCH($B53,tab_MinKomp[[Stanowisko / Position ]:[Stanowisko / Position ]],0)))</f>
        <v>0</v>
      </c>
      <c r="AT54" s="315">
        <f>IF(INDEX(tab_MinKomp[SPC],MATCH($B53,tab_MinKomp[[Stanowisko / Position ]:[Stanowisko / Position ]],0))="n/a","n/a",AT53-INDEX(tab_MinKomp[SPC],MATCH($B53,tab_MinKomp[[Stanowisko / Position ]:[Stanowisko / Position ]],0)))</f>
        <v>0</v>
      </c>
      <c r="AU54" s="315">
        <f>IF(INDEX(tab_MinKomp[CSR (SPECYFICZNE WYMAGANIA KLIENTA)],MATCH($B53,tab_MinKomp[[Stanowisko / Position ]:[Stanowisko / Position ]],0))="n/a","n/a",AU53-INDEX(tab_MinKomp[CSR (SPECYFICZNE WYMAGANIA KLIENTA)],MATCH($B53,tab_MinKomp[[Stanowisko / Position ]:[Stanowisko / Position ]],0)))</f>
        <v>0</v>
      </c>
      <c r="AV54" s="315">
        <f>IF(INDEX(tab_MinKomp[5S],MATCH($B53,tab_MinKomp[[Stanowisko / Position ]:[Stanowisko / Position ]],0))="n/a","n/a",AV53-INDEX(tab_MinKomp[5S],MATCH($B53,tab_MinKomp[[Stanowisko / Position ]:[Stanowisko / Position ]],0)))</f>
        <v>0</v>
      </c>
      <c r="AW54" s="315">
        <f>IF(INDEX(tab_MinKomp[LEAN MANAGEMENT],MATCH($B53,tab_MinKomp[[Stanowisko / Position ]:[Stanowisko / Position ]],0))="n/a","n/a",AW53-INDEX(tab_MinKomp[LEAN MANAGEMENT],MATCH($B53,tab_MinKomp[[Stanowisko / Position ]:[Stanowisko / Position ]],0)))</f>
        <v>0</v>
      </c>
      <c r="AX54" s="315">
        <f>IF(INDEX(tab_MinKomp[5R],MATCH($B53,tab_MinKomp[[Stanowisko / Position ]:[Stanowisko / Position ]],0))="n/a","n/a",AX53-INDEX(tab_MinKomp[5R],MATCH($B53,tab_MinKomp[[Stanowisko / Position ]:[Stanowisko / Position ]],0)))</f>
        <v>0</v>
      </c>
      <c r="AY54" s="315">
        <f>IF(INDEX(tab_MinKomp[Six Sigma],MATCH($B53,tab_MinKomp[[Stanowisko / Position ]:[Stanowisko / Position ]],0))="n/a","n/a",AY53-INDEX(tab_MinKomp[Six Sigma],MATCH($B53,tab_MinKomp[[Stanowisko / Position ]:[Stanowisko / Position ]],0)))</f>
        <v>0</v>
      </c>
      <c r="AZ54" s="313">
        <f>IF(INDEX(tab_MinKomp[System BAAN / Distribution &amp; Supply Chain],MATCH($B53,tab_MinKomp[[Stanowisko / Position ]:[Stanowisko / Position ]],0))="n/a","n/a",AZ53-INDEX(tab_MinKomp[System BAAN / Distribution &amp; Supply Chain],MATCH($B53,tab_MinKomp[[Stanowisko / Position ]:[Stanowisko / Position ]],0)))</f>
        <v>0</v>
      </c>
      <c r="BA54" s="313">
        <f>IF(INDEX(tab_MinKomp[Gospodarka magazynowa / Lagerverwaltung],MATCH($B53,tab_MinKomp[[Stanowisko / Position ]:[Stanowisko / Position ]],0))="n/a","n/a",BA53-INDEX(tab_MinKomp[Gospodarka magazynowa / Lagerverwaltung],MATCH($B53,tab_MinKomp[[Stanowisko / Position ]:[Stanowisko / Position ]],0)))</f>
        <v>0</v>
      </c>
      <c r="BB54" s="313">
        <f>IF(INDEX(tab_MinKomp[Inwentaryzacja - organizacja i przebieg / Inventurprozess],MATCH($B53,tab_MinKomp[[Stanowisko / Position ]:[Stanowisko / Position ]],0))="n/a","n/a",BB53-INDEX(tab_MinKomp[Inwentaryzacja - organizacja i przebieg / Inventurprozess],MATCH($B53,tab_MinKomp[[Stanowisko / Position ]:[Stanowisko / Position ]],0)))</f>
        <v>0</v>
      </c>
      <c r="BC54" s="313">
        <f>IF(INDEX(tab_MinKomp[Organizacja dostaw / Versorgungsorganisation],MATCH($B53,tab_MinKomp[[Stanowisko / Position ]:[Stanowisko / Position ]],0))="n/a","n/a",BC53-INDEX(tab_MinKomp[Organizacja dostaw / Versorgungsorganisation],MATCH($B53,tab_MinKomp[[Stanowisko / Position ]:[Stanowisko / Position ]],0)))</f>
        <v>0</v>
      </c>
      <c r="BD54" s="313">
        <f>IF(INDEX(tab_MinKomp[Organizacja wysyłek / Organisation von Lieferungen],MATCH($B53,tab_MinKomp[[Stanowisko / Position ]:[Stanowisko / Position ]],0))="n/a","n/a",BD53-INDEX(tab_MinKomp[Organizacja wysyłek / Organisation von Lieferungen],MATCH($B53,tab_MinKomp[[Stanowisko / Position ]:[Stanowisko / Position ]],0)))</f>
        <v>0</v>
      </c>
      <c r="BE54" s="313">
        <f>IF(INDEX(tab_MinKomp[Analiza magazynowa - Program Polen.mdb / Inventuranalyse],MATCH($B53,tab_MinKomp[[Stanowisko / Position ]:[Stanowisko / Position ]],0))="n/a","n/a",BE53-INDEX(tab_MinKomp[Analiza magazynowa - Program Polen.mdb / Inventuranalyse],MATCH($B53,tab_MinKomp[[Stanowisko / Position ]:[Stanowisko / Position ]],0)))</f>
        <v>0</v>
      </c>
      <c r="BF54" s="313" t="str">
        <f>IF(INDEX(tab_MinKomp[MMOG (Materials Management Operations Guidelines)],MATCH($B53,tab_MinKomp[[Stanowisko / Position ]:[Stanowisko / Position ]],0))="n/a","n/a",BF53-INDEX(tab_MinKomp[MMOG (Materials Management Operations Guidelines)],MATCH($B53,tab_MinKomp[[Stanowisko / Position ]:[Stanowisko / Position ]],0)))</f>
        <v>n/a</v>
      </c>
      <c r="BG54" s="313" t="str">
        <f>IF(INDEX(tab_MinKomp[DETC],MATCH($B53,tab_MinKomp[[Stanowisko / Position ]:[Stanowisko / Position ]],0))="n/a","n/a",BG53-INDEX(tab_MinKomp[DETC],MATCH($B53,tab_MinKomp[[Stanowisko / Position ]:[Stanowisko / Position ]],0)))</f>
        <v>n/a</v>
      </c>
      <c r="BH54" s="313" t="str">
        <f>IF(INDEX(tab_MinKomp[GPP],MATCH($B53,tab_MinKomp[[Stanowisko / Position ]:[Stanowisko / Position ]],0))="n/a","n/a",BH53-INDEX(tab_MinKomp[GPP],MATCH($B53,tab_MinKomp[[Stanowisko / Position ]:[Stanowisko / Position ]],0)))</f>
        <v>n/a</v>
      </c>
      <c r="BI54" s="313" t="str">
        <f>IF(INDEX(tab_MinKomp[AIAG (Automotive Industry Action Group)],MATCH($B53,tab_MinKomp[[Stanowisko / Position ]:[Stanowisko / Position ]],0))="n/a","n/a",BI53-INDEX(tab_MinKomp[AIAG (Automotive Industry Action Group)],MATCH($B53,tab_MinKomp[[Stanowisko / Position ]:[Stanowisko / Position ]],0)))</f>
        <v>n/a</v>
      </c>
      <c r="BJ54" s="313" t="str">
        <f>IF(INDEX(tab_MinKomp[Super-G disputes],MATCH($B53,tab_MinKomp[[Stanowisko / Position ]:[Stanowisko / Position ]],0))="n/a","n/a",BJ53-INDEX(tab_MinKomp[Super-G disputes],MATCH($B53,tab_MinKomp[[Stanowisko / Position ]:[Stanowisko / Position ]],0)))</f>
        <v>n/a</v>
      </c>
      <c r="BK54" s="313" t="str">
        <f>IF(INDEX(tab_MinKomp[CMMS3/eDDL (Direct Data Link)],MATCH($B53,tab_MinKomp[[Stanowisko / Position ]:[Stanowisko / Position ]],0))="n/a","n/a",BK53-INDEX(tab_MinKomp[CMMS3/eDDL (Direct Data Link)],MATCH($B53,tab_MinKomp[[Stanowisko / Position ]:[Stanowisko / Position ]],0)))</f>
        <v>n/a</v>
      </c>
      <c r="BL54" s="313" t="str">
        <f>IF(INDEX(tab_MinKomp[MP&amp;L (Material Planning and Logistics)],MATCH($B53,tab_MinKomp[[Stanowisko / Position ]:[Stanowisko / Position ]],0))="n/a","n/a",BL53-INDEX(tab_MinKomp[MP&amp;L (Material Planning and Logistics)],MATCH($B53,tab_MinKomp[[Stanowisko / Position ]:[Stanowisko / Position ]],0)))</f>
        <v>n/a</v>
      </c>
      <c r="BM54" s="315" t="str">
        <f>IF(INDEX(tab_MinKomp[Supplier delivery rating],MATCH($B53,tab_MinKomp[[Stanowisko / Position ]:[Stanowisko / Position ]],0))="n/a","n/a",BM53-INDEX(tab_MinKomp[Supplier delivery rating],MATCH($B53,tab_MinKomp[[Stanowisko / Position ]:[Stanowisko / Position ]],0)))</f>
        <v>n/a</v>
      </c>
      <c r="BN54" s="315" t="str">
        <f>IF(INDEX(tab_MinKomp[Planowanie produkcji / Produktionsplanung],MATCH($B53,tab_MinKomp[[Stanowisko / Position ]:[Stanowisko / Position ]],0))="n/a","n/a",BN53-INDEX(tab_MinKomp[Planowanie produkcji / Produktionsplanung],MATCH($B53,tab_MinKomp[[Stanowisko / Position ]:[Stanowisko / Position ]],0)))</f>
        <v>n/a</v>
      </c>
      <c r="BO54" s="315" t="str">
        <f>IF(INDEX(tab_MinKomp[Obsługa maszyn Engel / Engel Maschinenbedienung],MATCH($B53,tab_MinKomp[[Stanowisko / Position ]:[Stanowisko / Position ]],0))="n/a","n/a",BO53-INDEX(tab_MinKomp[Obsługa maszyn Engel / Engel Maschinenbedienung],MATCH($B53,tab_MinKomp[[Stanowisko / Position ]:[Stanowisko / Position ]],0)))</f>
        <v>n/a</v>
      </c>
      <c r="BP54" s="315" t="str">
        <f>IF(INDEX(tab_MinKomp[Obsługa maszyn Novapax / Novapax Maschinenbedienung],MATCH($B53,tab_MinKomp[[Stanowisko / Position ]:[Stanowisko / Position ]],0))="n/a","n/a",BP53-INDEX(tab_MinKomp[Obsługa maszyn Novapax / Novapax Maschinenbedienung],MATCH($B53,tab_MinKomp[[Stanowisko / Position ]:[Stanowisko / Position ]],0)))</f>
        <v>n/a</v>
      </c>
      <c r="BQ54" s="315" t="str">
        <f>IF(INDEX(tab_MinKomp[Obsługa maszyn KVT / KVT Maschinenbedienung],MATCH($B53,tab_MinKomp[[Stanowisko / Position ]:[Stanowisko / Position ]],0))="n/a","n/a",BQ53-INDEX(tab_MinKomp[Obsługa maszyn KVT / KVT Maschinenbedienung],MATCH($B53,tab_MinKomp[[Stanowisko / Position ]:[Stanowisko / Position ]],0)))</f>
        <v>n/a</v>
      </c>
      <c r="BR54" s="315" t="str">
        <f>IF(INDEX(tab_MinKomp[Obsługa maszyn ASL / ASL Maschinenbedienung],MATCH($B53,tab_MinKomp[[Stanowisko / Position ]:[Stanowisko / Position ]],0))="n/a","n/a",BR53-INDEX(tab_MinKomp[Obsługa maszyn ASL / ASL Maschinenbedienung],MATCH($B53,tab_MinKomp[[Stanowisko / Position ]:[Stanowisko / Position ]],0)))</f>
        <v>n/a</v>
      </c>
      <c r="BS54" s="315" t="str">
        <f>IF(INDEX(tab_MinKomp[Obsługa maszyn Branson / Branson Maschinenbedienung],MATCH($B53,tab_MinKomp[[Stanowisko / Position ]:[Stanowisko / Position ]],0))="n/a","n/a",BS53-INDEX(tab_MinKomp[Obsługa maszyn Branson / Branson Maschinenbedienung],MATCH($B53,tab_MinKomp[[Stanowisko / Position ]:[Stanowisko / Position ]],0)))</f>
        <v>n/a</v>
      </c>
      <c r="BT54" s="315" t="str">
        <f>IF(INDEX(tab_MinKomp[Obsługa maszyn Kamtec / Kamtec Maschinenbedienung],MATCH($B53,tab_MinKomp[[Stanowisko / Position ]:[Stanowisko / Position ]],0))="n/a","n/a",BT53-INDEX(tab_MinKomp[Obsługa maszyn Kamtec / Kamtec Maschinenbedienung],MATCH($B53,tab_MinKomp[[Stanowisko / Position ]:[Stanowisko / Position ]],0)))</f>
        <v>n/a</v>
      </c>
      <c r="BU54" s="315" t="str">
        <f>IF(INDEX(tab_MinKomp[Obsługa maszyn Piovan / Piovan Maschinenbedienung],MATCH($B53,tab_MinKomp[[Stanowisko / Position ]:[Stanowisko / Position ]],0))="n/a","n/a",BU53-INDEX(tab_MinKomp[Obsługa maszyn Piovan / Piovan Maschinenbedienung],MATCH($B53,tab_MinKomp[[Stanowisko / Position ]:[Stanowisko / Position ]],0)))</f>
        <v>n/a</v>
      </c>
      <c r="BV54" s="315" t="str">
        <f>IF(INDEX(tab_MinKomp[Obsługa maszyn REP / REP Maschinenbedienung],MATCH($B53,tab_MinKomp[[Stanowisko / Position ]:[Stanowisko / Position ]],0))="n/a","n/a",BV53-INDEX(tab_MinKomp[Obsługa maszyn REP / REP Maschinenbedienung],MATCH($B53,tab_MinKomp[[Stanowisko / Position ]:[Stanowisko / Position ]],0)))</f>
        <v>n/a</v>
      </c>
      <c r="BW54" s="315" t="str">
        <f>IF(INDEX(tab_MinKomp[Eliminacja awarii / Beseitigung von Ausfällen],MATCH($B53,tab_MinKomp[[Stanowisko / Position ]:[Stanowisko / Position ]],0))="n/a","n/a",BW53-INDEX(tab_MinKomp[Eliminacja awarii / Beseitigung von Ausfällen],MATCH($B53,tab_MinKomp[[Stanowisko / Position ]:[Stanowisko / Position ]],0)))</f>
        <v>n/a</v>
      </c>
      <c r="BX54" s="315" t="str">
        <f>IF(INDEX(tab_MinKomp[Informatyka ogólna (techniczne i systemowe) / Allgemeine IT (Technik und System)],MATCH($B53,tab_MinKomp[[Stanowisko / Position ]:[Stanowisko / Position ]],0))="n/a","n/a",BX53-INDEX(tab_MinKomp[Informatyka ogólna (techniczne i systemowe) / Allgemeine IT (Technik und System)],MATCH($B53,tab_MinKomp[[Stanowisko / Position ]:[Stanowisko / Position ]],0)))</f>
        <v>n/a</v>
      </c>
      <c r="BY54" s="315" t="str">
        <f>IF(INDEX(tab_MinKomp[Sieci komputerowe / Computernetzwerke],MATCH($B53,tab_MinKomp[[Stanowisko / Position ]:[Stanowisko / Position ]],0))="n/a","n/a",BY53-INDEX(tab_MinKomp[Sieci komputerowe / Computernetzwerke],MATCH($B53,tab_MinKomp[[Stanowisko / Position ]:[Stanowisko / Position ]],0)))</f>
        <v>n/a</v>
      </c>
      <c r="BZ54" s="315" t="str">
        <f>IF(INDEX(tab_MinKomp[Hardware (komputery PC, drukarki biurowe i etykietowe, telefonia stacjonarna i mobilna) (PC, Drucker, Telefpne, Handys)],MATCH($B53,tab_MinKomp[[Stanowisko / Position ]:[Stanowisko / Position ]],0))="n/a","n/a",BZ53-INDEX(tab_MinKomp[Hardware (komputery PC, drukarki biurowe i etykietowe, telefonia stacjonarna i mobilna) (PC, Drucker, Telefpne, Handys)],MATCH($B53,tab_MinKomp[[Stanowisko / Position ]:[Stanowisko / Position ]],0)))</f>
        <v>n/a</v>
      </c>
      <c r="CA54" s="315" t="str">
        <f>IF(INDEX(tab_MinKomp[Software &amp; Systems (MS Office, MS Remote Desktop)],MATCH($B53,tab_MinKomp[[Stanowisko / Position ]:[Stanowisko / Position ]],0))="n/a","n/a",CA53-INDEX(tab_MinKomp[Software &amp; Systems (MS Office, MS Remote Desktop)],MATCH($B53,tab_MinKomp[[Stanowisko / Position ]:[Stanowisko / Position ]],0)))</f>
        <v>n/a</v>
      </c>
      <c r="CB54" s="315" t="str">
        <f>IF(INDEX(tab_MinKomp[Programowanie obiektowe (PHP) / Objektprogrammierung],MATCH($B53,tab_MinKomp[[Stanowisko / Position ]:[Stanowisko / Position ]],0))="n/a","n/a",CB53-INDEX(tab_MinKomp[Programowanie obiektowe (PHP) / Objektprogrammierung],MATCH($B53,tab_MinKomp[[Stanowisko / Position ]:[Stanowisko / Position ]],0)))</f>
        <v>n/a</v>
      </c>
      <c r="CC54" s="315" t="str">
        <f>IF(INDEX(tab_MinKomp[Scrum],MATCH($B53,tab_MinKomp[[Stanowisko / Position ]:[Stanowisko / Position ]],0))="n/a","n/a",CC53-INDEX(tab_MinKomp[Scrum],MATCH($B53,tab_MinKomp[[Stanowisko / Position ]:[Stanowisko / Position ]],0)))</f>
        <v>n/a</v>
      </c>
      <c r="CD54" s="315" t="str">
        <f>IF(INDEX(tab_MinKomp[SQL (MySQL)],MATCH($B53,tab_MinKomp[[Stanowisko / Position ]:[Stanowisko / Position ]],0))="n/a","n/a",CD53-INDEX(tab_MinKomp[SQL (MySQL)],MATCH($B53,tab_MinKomp[[Stanowisko / Position ]:[Stanowisko / Position ]],0)))</f>
        <v>n/a</v>
      </c>
      <c r="CE54" s="315" t="str">
        <f>IF(INDEX(tab_MinKomp[Javascript],MATCH($B53,tab_MinKomp[[Stanowisko / Position ]:[Stanowisko / Position ]],0))="n/a","n/a",CE53-INDEX(tab_MinKomp[Javascript],MATCH($B53,tab_MinKomp[[Stanowisko / Position ]:[Stanowisko / Position ]],0)))</f>
        <v>n/a</v>
      </c>
      <c r="CF54" s="315" t="str">
        <f>IF(INDEX(tab_MinKomp[Joomla],MATCH($B53,tab_MinKomp[[Stanowisko / Position ]:[Stanowisko / Position ]],0))="n/a","n/a",CF53-INDEX(tab_MinKomp[Joomla],MATCH($B53,tab_MinKomp[[Stanowisko / Position ]:[Stanowisko / Position ]],0)))</f>
        <v>n/a</v>
      </c>
      <c r="CG54" s="315">
        <f>IF(INDEX(tab_MinKomp[Systemy MES (HYDRA / SFMS)],MATCH($B53,tab_MinKomp[[Stanowisko / Position ]:[Stanowisko / Position ]],0))="n/a","n/a",CG53-INDEX(tab_MinKomp[Systemy MES (HYDRA / SFMS)],MATCH($B53,tab_MinKomp[[Stanowisko / Position ]:[Stanowisko / Position ]],0)))</f>
        <v>1</v>
      </c>
      <c r="CH54" s="315" t="str">
        <f>IF(INDEX(tab_MinKomp[HTML / CSS],MATCH($B53,tab_MinKomp[[Stanowisko / Position ]:[Stanowisko / Position ]],0))="n/a","n/a",CH53-INDEX(tab_MinKomp[HTML / CSS],MATCH($B53,tab_MinKomp[[Stanowisko / Position ]:[Stanowisko / Position ]],0)))</f>
        <v>n/a</v>
      </c>
      <c r="CI54" s="315">
        <f>IF(INDEX(tab_MinKomp[SYSTEM PR],MATCH($B53,tab_MinKomp[[Stanowisko / Position ]:[Stanowisko / Position ]],0))="n/a","n/a",CI53-INDEX(tab_MinKomp[SYSTEM PR],MATCH($B53,tab_MinKomp[[Stanowisko / Position ]:[Stanowisko / Position ]],0)))</f>
        <v>0</v>
      </c>
      <c r="CJ54" s="315">
        <f>IF(INDEX(tab_MinKomp[System Einkauf XP / EBA],MATCH($B53,tab_MinKomp[[Stanowisko / Position ]:[Stanowisko / Position ]],0))="n/a","n/a",CJ53-INDEX(tab_MinKomp[System Einkauf XP / EBA],MATCH($B53,tab_MinKomp[[Stanowisko / Position ]:[Stanowisko / Position ]],0)))</f>
        <v>0</v>
      </c>
      <c r="CK54" s="315" t="str">
        <f>IF(INDEX(tab_MinKomp[Techniki negocjacyjne / Verhandlungstechniken],MATCH($B53,tab_MinKomp[[Stanowisko / Position ]:[Stanowisko / Position ]],0))="n/a","n/a",CK53-INDEX(tab_MinKomp[Techniki negocjacyjne / Verhandlungstechniken],MATCH($B53,tab_MinKomp[[Stanowisko / Position ]:[Stanowisko / Position ]],0)))</f>
        <v>n/a</v>
      </c>
      <c r="CL54" s="315" t="str">
        <f>IF(INDEX(tab_MinKomp[Znajomość rynku branżowego / Kenntnis des Industrie Marktes],MATCH($B53,tab_MinKomp[[Stanowisko / Position ]:[Stanowisko / Position ]],0))="n/a","n/a",CL53-INDEX(tab_MinKomp[Znajomość rynku branżowego / Kenntnis des Industrie Marktes],MATCH($B53,tab_MinKomp[[Stanowisko / Position ]:[Stanowisko / Position ]],0)))</f>
        <v>n/a</v>
      </c>
      <c r="CM54" s="315">
        <f>IF(INDEX(tab_MinKomp[RAPORTY 8D / 8D Berichten],MATCH($B53,tab_MinKomp[[Stanowisko / Position ]:[Stanowisko / Position ]],0))="n/a","n/a",CM53-INDEX(tab_MinKomp[RAPORTY 8D / 8D Berichten],MATCH($B53,tab_MinKomp[[Stanowisko / Position ]:[Stanowisko / Position ]],0)))</f>
        <v>0</v>
      </c>
      <c r="CN54" s="315">
        <f>IF(INDEX(tab_MinKomp[NARZĘDZIA JAKOŚCIOWE (5WHY, Ishikawa, etc) / QS-Werkzeuge],MATCH($B53,tab_MinKomp[[Stanowisko / Position ]:[Stanowisko / Position ]],0))="n/a","n/a",CN53-INDEX(tab_MinKomp[NARZĘDZIA JAKOŚCIOWE (5WHY, Ishikawa, etc) / QS-Werkzeuge],MATCH($B53,tab_MinKomp[[Stanowisko / Position ]:[Stanowisko / Position ]],0)))</f>
        <v>0</v>
      </c>
      <c r="CO54" s="315">
        <f>IF(INDEX(tab_MinKomp[PDCA],MATCH($B53,tab_MinKomp[[Stanowisko / Position ]:[Stanowisko / Position ]],0))="n/a","n/a",CO53-INDEX(tab_MinKomp[PDCA],MATCH($B53,tab_MinKomp[[Stanowisko / Position ]:[Stanowisko / Position ]],0)))</f>
        <v>0</v>
      </c>
      <c r="CP54" s="315">
        <f>IF(INDEX(tab_MinKomp[Pareto],MATCH($B53,tab_MinKomp[[Stanowisko / Position ]:[Stanowisko / Position ]],0))="n/a","n/a",CP53-INDEX(tab_MinKomp[Pareto],MATCH($B53,tab_MinKomp[[Stanowisko / Position ]:[Stanowisko / Position ]],0)))</f>
        <v>0</v>
      </c>
      <c r="CQ54" s="315">
        <f>IF(INDEX(tab_MinKomp[PPAP/PSW],MATCH($B53,tab_MinKomp[[Stanowisko / Position ]:[Stanowisko / Position ]],0))="n/a","n/a",CQ53-INDEX(tab_MinKomp[PPAP/PSW],MATCH($B53,tab_MinKomp[[Stanowisko / Position ]:[Stanowisko / Position ]],0)))</f>
        <v>0</v>
      </c>
      <c r="CR54" s="315">
        <f>IF(INDEX(tab_MinKomp[SUPPLIER MANAGEMENT],MATCH($B53,tab_MinKomp[[Stanowisko / Position ]:[Stanowisko / Position ]],0))="n/a","n/a",CR53-INDEX(tab_MinKomp[SUPPLIER MANAGEMENT],MATCH($B53,tab_MinKomp[[Stanowisko / Position ]:[Stanowisko / Position ]],0)))</f>
        <v>0</v>
      </c>
      <c r="CS54" s="315">
        <f>IF(INDEX(tab_MinKomp[OBSŁUGA PORTALI KLIENTA / Kundenportale],MATCH($B53,tab_MinKomp[[Stanowisko / Position ]:[Stanowisko / Position ]],0))="n/a","n/a",CS53-INDEX(tab_MinKomp[OBSŁUGA PORTALI KLIENTA / Kundenportale],MATCH($B53,tab_MinKomp[[Stanowisko / Position ]:[Stanowisko / Position ]],0)))</f>
        <v>0</v>
      </c>
      <c r="CT54" s="315">
        <f>IF(INDEX(tab_MinKomp[Obsługa systemu BABTECQ / BABTECQ System],MATCH($B53,tab_MinKomp[[Stanowisko / Position ]:[Stanowisko / Position ]],0))="n/a","n/a",CT53-INDEX(tab_MinKomp[Obsługa systemu BABTECQ / BABTECQ System],MATCH($B53,tab_MinKomp[[Stanowisko / Position ]:[Stanowisko / Position ]],0)))</f>
        <v>0</v>
      </c>
      <c r="CU54" s="315">
        <f>IF(INDEX(tab_MinKomp[Rysunek techniczny / technische Zeichnung],MATCH($B53,tab_MinKomp[[Stanowisko / Position ]:[Stanowisko / Position ]],0))="n/a","n/a",CU53-INDEX(tab_MinKomp[Rysunek techniczny / technische Zeichnung],MATCH($B53,tab_MinKomp[[Stanowisko / Position ]:[Stanowisko / Position ]],0)))</f>
        <v>0</v>
      </c>
      <c r="CV54" s="315" t="str">
        <f>IF(INDEX(tab_MinKomp[Kalibracja / Kalibrierung],MATCH($B53,tab_MinKomp[[Stanowisko / Position ]:[Stanowisko / Position ]],0))="n/a","n/a",CV53-INDEX(tab_MinKomp[Kalibracja / Kalibrierung],MATCH($B53,tab_MinKomp[[Stanowisko / Position ]:[Stanowisko / Position ]],0)))</f>
        <v>n/a</v>
      </c>
      <c r="CW54" s="315" t="str">
        <f>IF(INDEX(tab_MinKomp[Rekwalifikacja / Requalifizierung],MATCH($B53,tab_MinKomp[[Stanowisko / Position ]:[Stanowisko / Position ]],0))="n/a","n/a",CW53-INDEX(tab_MinKomp[Rekwalifikacja / Requalifizierung],MATCH($B53,tab_MinKomp[[Stanowisko / Position ]:[Stanowisko / Position ]],0)))</f>
        <v>n/a</v>
      </c>
      <c r="CX54" s="315" t="str">
        <f>IF(INDEX(tab_MinKomp[Obsługa mikroskopu optycznego / Bedienung eines optischen Mikroskops],MATCH($B53,tab_MinKomp[[Stanowisko / Position ]:[Stanowisko / Position ]],0))="n/a","n/a",CX53-INDEX(tab_MinKomp[Obsługa mikroskopu optycznego / Bedienung eines optischen Mikroskops],MATCH($B53,tab_MinKomp[[Stanowisko / Position ]:[Stanowisko / Position ]],0)))</f>
        <v>n/a</v>
      </c>
      <c r="CY54" s="315" t="str">
        <f>IF(INDEX(tab_MinKomp[Wykonywanie pomiarów optycznych - ocena wizualna / Optische Messungen durchführen – visuelle Beurteilung],MATCH($B53,tab_MinKomp[[Stanowisko / Position ]:[Stanowisko / Position ]],0))="n/a","n/a",CY53-INDEX(tab_MinKomp[Wykonywanie pomiarów optycznych - ocena wizualna / Optische Messungen durchführen – visuelle Beurteilung],MATCH($B53,tab_MinKomp[[Stanowisko / Position ]:[Stanowisko / Position ]],0)))</f>
        <v>n/a</v>
      </c>
      <c r="CZ54" s="315" t="str">
        <f>IF(INDEX(tab_MinKomp[Obsługa Rheometra / Rheometra-Unterstützung],MATCH($B53,tab_MinKomp[[Stanowisko / Position ]:[Stanowisko / Position ]],0))="n/a","n/a",CZ53-INDEX(tab_MinKomp[Obsługa Rheometra / Rheometra-Unterstützung],MATCH($B53,tab_MinKomp[[Stanowisko / Position ]:[Stanowisko / Position ]],0)))</f>
        <v>n/a</v>
      </c>
      <c r="DA54" s="315" t="str">
        <f>IF(INDEX(tab_MinKomp[Testy właściwości Rheometra mieszanki gumy],MATCH($B53,tab_MinKomp[[Stanowisko / Position ]:[Stanowisko / Position ]],0))="n/a","n/a",DA53-INDEX(tab_MinKomp[Testy właściwości Rheometra mieszanki gumy],MATCH($B53,tab_MinKomp[[Stanowisko / Position ]:[Stanowisko / Position ]],0)))</f>
        <v>n/a</v>
      </c>
      <c r="DB54" s="315" t="str">
        <f>IF(INDEX(tab_MinKomp[CMM - Contura Zeiss],MATCH($B53,tab_MinKomp[[Stanowisko / Position ]:[Stanowisko / Position ]],0))="n/a","n/a",DB53-INDEX(tab_MinKomp[CMM - Contura Zeiss],MATCH($B53,tab_MinKomp[[Stanowisko / Position ]:[Stanowisko / Position ]],0)))</f>
        <v>n/a</v>
      </c>
      <c r="DC54" s="315" t="str">
        <f>IF(INDEX(tab_MinKomp[Wykonywanie precyzyjnych pomiarów metrycznych, pomiary 3D],MATCH($B53,tab_MinKomp[[Stanowisko / Position ]:[Stanowisko / Position ]],0))="n/a","n/a",DC53-INDEX(tab_MinKomp[Wykonywanie precyzyjnych pomiarów metrycznych, pomiary 3D],MATCH($B53,tab_MinKomp[[Stanowisko / Position ]:[Stanowisko / Position ]],0)))</f>
        <v>n/a</v>
      </c>
      <c r="DD54" s="315" t="str">
        <f>IF(INDEX(tab_MinKomp[Pisanie programów / Programme schreiben],MATCH($B53,tab_MinKomp[[Stanowisko / Position ]:[Stanowisko / Position ]],0))="n/a","n/a",DD53-INDEX(tab_MinKomp[Pisanie programów / Programme schreiben],MATCH($B53,tab_MinKomp[[Stanowisko / Position ]:[Stanowisko / Position ]],0)))</f>
        <v>n/a</v>
      </c>
      <c r="DE54" s="315" t="str">
        <f>IF(INDEX(tab_MinKomp[Obsługa wyposażenia do testów czystości (myjka + analizator) / Betrieb von Sauberkeitsprüfgeräten (Waschmaschine + Analysegerät)],MATCH($B53,tab_MinKomp[[Stanowisko / Position ]:[Stanowisko / Position ]],0))="n/a","n/a",DE53-INDEX(tab_MinKomp[Obsługa wyposażenia do testów czystości (myjka + analizator) / Betrieb von Sauberkeitsprüfgeräten (Waschmaschine + Analysegerät)],MATCH($B53,tab_MinKomp[[Stanowisko / Position ]:[Stanowisko / Position ]],0)))</f>
        <v>n/a</v>
      </c>
      <c r="DF54" s="315" t="str">
        <f>IF(INDEX(tab_MinKomp[Testy czystości / Reinheitstests],MATCH($B53,tab_MinKomp[[Stanowisko / Position ]:[Stanowisko / Position ]],0))="n/a","n/a",DF53-INDEX(tab_MinKomp[Testy czystości / Reinheitstests],MATCH($B53,tab_MinKomp[[Stanowisko / Position ]:[Stanowisko / Position ]],0)))</f>
        <v>n/a</v>
      </c>
      <c r="DG54" s="315" t="str">
        <f>IF(INDEX(tab_MinKomp[Obsługa wysokościomierza / Unterstützung für Höhenmesser],MATCH($B53,tab_MinKomp[[Stanowisko / Position ]:[Stanowisko / Position ]],0))="n/a","n/a",DG53-INDEX(tab_MinKomp[Obsługa wysokościomierza / Unterstützung für Höhenmesser],MATCH($B53,tab_MinKomp[[Stanowisko / Position ]:[Stanowisko / Position ]],0)))</f>
        <v>n/a</v>
      </c>
      <c r="DH54" s="315" t="str">
        <f>IF(INDEX(tab_MinKomp[Pomiary wysokości materiału / Materialhöhenmessungen],MATCH($B53,tab_MinKomp[[Stanowisko / Position ]:[Stanowisko / Position ]],0))="n/a","n/a",DH53-INDEX(tab_MinKomp[Pomiary wysokości materiału / Materialhöhenmessungen],MATCH($B53,tab_MinKomp[[Stanowisko / Position ]:[Stanowisko / Position ]],0)))</f>
        <v>n/a</v>
      </c>
      <c r="DI54" s="315" t="str">
        <f>IF(INDEX(tab_MinKomp[Obsługa okrągłościomierza / Unterstützung für Rundheitsmessgeräte],MATCH($B53,tab_MinKomp[[Stanowisko / Position ]:[Stanowisko / Position ]],0))="n/a","n/a",DI53-INDEX(tab_MinKomp[Obsługa okrągłościomierza / Unterstützung für Rundheitsmessgeräte],MATCH($B53,tab_MinKomp[[Stanowisko / Position ]:[Stanowisko / Position ]],0)))</f>
        <v>n/a</v>
      </c>
      <c r="DJ54" s="315" t="str">
        <f>IF(INDEX(tab_MinKomp[Wykonywania pomiarów owalności, srednicy materiału / Messung der Ovalität und des Durchmessers des Materials],MATCH($B53,tab_MinKomp[[Stanowisko / Position ]:[Stanowisko / Position ]],0))="n/a","n/a",DJ53-INDEX(tab_MinKomp[Wykonywania pomiarów owalności, srednicy materiału / Messung der Ovalität und des Durchmessers des Materials],MATCH($B53,tab_MinKomp[[Stanowisko / Position ]:[Stanowisko / Position ]],0)))</f>
        <v>n/a</v>
      </c>
      <c r="DK54" s="315" t="str">
        <f>IF(INDEX(tab_MinKomp[Obsługa urządzenia do pomiarów chropowoatości powierzchni materiału],MATCH($B53,tab_MinKomp[[Stanowisko / Position ]:[Stanowisko / Position ]],0))="n/a","n/a",DK53-INDEX(tab_MinKomp[Obsługa urządzenia do pomiarów chropowoatości powierzchni materiału],MATCH($B53,tab_MinKomp[[Stanowisko / Position ]:[Stanowisko / Position ]],0)))</f>
        <v>n/a</v>
      </c>
      <c r="DL54" s="315" t="str">
        <f>IF(INDEX(tab_MinKomp[Wykonywanie pomiarów chropowatości powierzchni materiału / Durchführung von Messungen der Materialoberflächenrauheit],MATCH($B53,tab_MinKomp[[Stanowisko / Position ]:[Stanowisko / Position ]],0))="n/a","n/a",DL53-INDEX(tab_MinKomp[Wykonywanie pomiarów chropowatości powierzchni materiału / Durchführung von Messungen der Materialoberflächenrauheit],MATCH($B53,tab_MinKomp[[Stanowisko / Position ]:[Stanowisko / Position ]],0)))</f>
        <v>n/a</v>
      </c>
      <c r="DM54" s="315" t="str">
        <f>IF(INDEX(tab_MinKomp[Obsługa urządzenia do pomiaru siły radialnej części - postępowanie z trzpieniami. / Funktionsweise des Geräts zur Messung der Radialkraft von Teilen – Handhabungsstifte.],MATCH($B53,tab_MinKomp[[Stanowisko / Position ]:[Stanowisko / Position ]],0))="n/a","n/a",DM53-INDEX(tab_MinKomp[Obsługa urządzenia do pomiaru siły radialnej części - postępowanie z trzpieniami. / Funktionsweise des Geräts zur Messung der Radialkraft von Teilen – Handhabungsstifte.],MATCH($B53,tab_MinKomp[[Stanowisko / Position ]:[Stanowisko / Position ]],0)))</f>
        <v>n/a</v>
      </c>
      <c r="DN54" s="315" t="str">
        <f>IF(INDEX(tab_MinKomp[Wykonywanie pomiarów siły radialnej części / Führen Sie Radialkraftmessungen an Teilen durch],MATCH($B53,tab_MinKomp[[Stanowisko / Position ]:[Stanowisko / Position ]],0))="n/a","n/a",DN53-INDEX(tab_MinKomp[Wykonywanie pomiarów siły radialnej części / Führen Sie Radialkraftmessungen an Teilen durch],MATCH($B53,tab_MinKomp[[Stanowisko / Position ]:[Stanowisko / Position ]],0)))</f>
        <v>n/a</v>
      </c>
      <c r="DO54" s="315" t="str">
        <f>IF(INDEX(tab_MinKomp[Obsługa komory do testów wybuchwych / Betrieb einer Explosionsprüfkammer],MATCH($B53,tab_MinKomp[[Stanowisko / Position ]:[Stanowisko / Position ]],0))="n/a","n/a",DO53-INDEX(tab_MinKomp[Obsługa komory do testów wybuchwych / Betrieb einer Explosionsprüfkammer],MATCH($B53,tab_MinKomp[[Stanowisko / Position ]:[Stanowisko / Position ]],0)))</f>
        <v>n/a</v>
      </c>
      <c r="DP54" s="315" t="str">
        <f>IF(INDEX(tab_MinKomp[Wykonywanie testów wybuchowych części / Durchführung von Explosionstests an Teilen],MATCH($B53,tab_MinKomp[[Stanowisko / Position ]:[Stanowisko / Position ]],0))="n/a","n/a",DP53-INDEX(tab_MinKomp[Wykonywanie testów wybuchowych części / Durchführung von Explosionstests an Teilen],MATCH($B53,tab_MinKomp[[Stanowisko / Position ]:[Stanowisko / Position ]],0)))</f>
        <v>n/a</v>
      </c>
      <c r="DQ54" s="315" t="str">
        <f>IF(INDEX(tab_MinKomp[Obsługa urządzeń do mierzenia siły trzymania i/lub rozciągania / Betrieb von Geräten zur Messung der Halte- und/oder Dehnkraft],MATCH($B53,tab_MinKomp[[Stanowisko / Position ]:[Stanowisko / Position ]],0))="n/a","n/a",DQ53-INDEX(tab_MinKomp[Obsługa urządzeń do mierzenia siły trzymania i/lub rozciągania / Betrieb von Geräten zur Messung der Halte- und/oder Dehnkraft],MATCH($B53,tab_MinKomp[[Stanowisko / Position ]:[Stanowisko / Position ]],0)))</f>
        <v>n/a</v>
      </c>
      <c r="DR54" s="315" t="str">
        <f>IF(INDEX(tab_MinKomp[Wykonywanie testów mierzenia siły trzymania i/lub rozciągania / Durchführung von Tests zur Messung der Halte- und/oder Streckkraft],MATCH($B53,tab_MinKomp[[Stanowisko / Position ]:[Stanowisko / Position ]],0))="n/a","n/a",DR53-INDEX(tab_MinKomp[Wykonywanie testów mierzenia siły trzymania i/lub rozciągania / Durchführung von Tests zur Messung der Halte- und/oder Streckkraft],MATCH($B53,tab_MinKomp[[Stanowisko / Position ]:[Stanowisko / Position ]],0)))</f>
        <v>n/a</v>
      </c>
      <c r="DS54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Luftstrom)],MATCH($B53,tab_MinKomp[[Stanowisko / Position ]:[Stanowisko / Position ]],0))="n/a","n/a",DS53-INDEX(tab_MinKomp[Obsługa multimetru do pomiarów środowiskowych (temperatura, wilgotność, hałas, oświetlenie, przepływ powietrza) / Betrieb eines Multimeters für Umweltmessungen (Temperatur, Luftfeuchtigkeit, Lärm, Beleuchtung, Luftstrom)],MATCH($B53,tab_MinKomp[[Stanowisko / Position ]:[Stanowisko / Position ]],0)))</f>
        <v>n/a</v>
      </c>
      <c r="DT54" s="315" t="str">
        <f>IF(INDEX(tab_MinKomp[Kontrola warunków środowiskowych pracy (temperatura, wilgotność, hałas, oświetlenie, przepływ powietrza) / Kontrolle der Arbeitsumgebungsbedingungen (Temperatur, Luftfeuchtigkeit, Lärm, Beleuchtung, Luftstrom)],MATCH($B53,tab_MinKomp[[Stanowisko / Position ]:[Stanowisko / Position ]],0))="n/a","n/a",DT53-INDEX(tab_MinKomp[Kontrola warunków środowiskowych pracy (temperatura, wilgotność, hałas, oświetlenie, przepływ powietrza) / Kontrolle der Arbeitsumgebungsbedingungen (Temperatur, Luftfeuchtigkeit, Lärm, Beleuchtung, Luftstrom)],MATCH($B53,tab_MinKomp[[Stanowisko / Position ]:[Stanowisko / Position ]],0)))</f>
        <v>n/a</v>
      </c>
      <c r="DU54" s="315" t="str">
        <f>IF(INDEX(tab_MinKomp[MSA i SPC],MATCH($B53,tab_MinKomp[[Stanowisko / Position ]:[Stanowisko / Position ]],0))="n/a","n/a",DU53-INDEX(tab_MinKomp[MSA i SPC],MATCH($B53,tab_MinKomp[[Stanowisko / Position ]:[Stanowisko / Position ]],0)))</f>
        <v>n/a</v>
      </c>
      <c r="DV54" s="315" t="str">
        <f>IF(INDEX(tab_MinKomp[Kontrola wejściowa komponentów/ Eingangskontrolle],MATCH($B53,tab_MinKomp[[Stanowisko / Position ]:[Stanowisko / Position ]],0))="n/a","n/a",DV53-INDEX(tab_MinKomp[Kontrola wejściowa komponentów/ Eingangskontrolle],MATCH($B53,tab_MinKomp[[Stanowisko / Position ]:[Stanowisko / Position ]],0)))</f>
        <v>n/a</v>
      </c>
      <c r="DW54" s="315" t="str">
        <f>IF(INDEX(tab_MinKomp[Kontrola wyjściowa produktu / Ausgangskontrolle],MATCH($B53,tab_MinKomp[[Stanowisko / Position ]:[Stanowisko / Position ]],0))="n/a","n/a",DW53-INDEX(tab_MinKomp[Kontrola wyjściowa produktu / Ausgangskontrolle],MATCH($B53,tab_MinKomp[[Stanowisko / Position ]:[Stanowisko / Position ]],0)))</f>
        <v>n/a</v>
      </c>
      <c r="DX54" s="315" t="str">
        <f>IF(INDEX(tab_MinKomp[Kontrola codzienna produkcji / Tägliche Produktionskontrolle],MATCH($B53,tab_MinKomp[[Stanowisko / Position ]:[Stanowisko / Position ]],0))="n/a","n/a",DX53-INDEX(tab_MinKomp[Kontrola codzienna produkcji / Tägliche Produktionskontrolle],MATCH($B53,tab_MinKomp[[Stanowisko / Position ]:[Stanowisko / Position ]],0)))</f>
        <v>n/a</v>
      </c>
      <c r="DY54" s="315" t="str">
        <f>IF(INDEX(tab_MinKomp[Konserwacja Rep],MATCH($B53,tab_MinKomp[[Stanowisko / Position ]:[Stanowisko / Position ]],0))="n/a","n/a",DY53-INDEX(tab_MinKomp[Konserwacja Rep],MATCH($B53,tab_MinKomp[[Stanowisko / Position ]:[Stanowisko / Position ]],0)))</f>
        <v>n/a</v>
      </c>
      <c r="DZ54" s="315" t="str">
        <f>IF(INDEX(tab_MinKomp[[Konserwacja Engel ]],MATCH($B53,tab_MinKomp[[Stanowisko / Position ]:[Stanowisko / Position ]],0))="n/a","n/a",DZ53-INDEX(tab_MinKomp[[Konserwacja Engel ]],MATCH($B53,tab_MinKomp[[Stanowisko / Position ]:[Stanowisko / Position ]],0)))</f>
        <v>n/a</v>
      </c>
      <c r="EA54" s="315" t="str">
        <f>IF(INDEX(tab_MinKomp[Konserwacja B 50],MATCH($B53,tab_MinKomp[[Stanowisko / Position ]:[Stanowisko / Position ]],0))="n/a","n/a",EA53-INDEX(tab_MinKomp[Konserwacja B 50],MATCH($B53,tab_MinKomp[[Stanowisko / Position ]:[Stanowisko / Position ]],0)))</f>
        <v>n/a</v>
      </c>
      <c r="EB54" s="315" t="str">
        <f>IF(INDEX(tab_MinKomp[[Konserwacja EOL ]],MATCH($B53,tab_MinKomp[[Stanowisko / Position ]:[Stanowisko / Position ]],0))="n/a","n/a",EB53-INDEX(tab_MinKomp[[Konserwacja EOL ]],MATCH($B53,tab_MinKomp[[Stanowisko / Position ]:[Stanowisko / Position ]],0)))</f>
        <v>n/a</v>
      </c>
      <c r="EC54" s="315" t="str">
        <f>IF(INDEX(tab_MinKomp[Konserwacja Branson],MATCH($B53,tab_MinKomp[[Stanowisko / Position ]:[Stanowisko / Position ]],0))="n/a","n/a",EC53-INDEX(tab_MinKomp[Konserwacja Branson],MATCH($B53,tab_MinKomp[[Stanowisko / Position ]:[Stanowisko / Position ]],0)))</f>
        <v>n/a</v>
      </c>
      <c r="ED54" s="315" t="str">
        <f>IF(INDEX(tab_MinKomp[Konserwacja coolery],MATCH($B53,tab_MinKomp[[Stanowisko / Position ]:[Stanowisko / Position ]],0))="n/a","n/a",ED53-INDEX(tab_MinKomp[Konserwacja coolery],MATCH($B53,tab_MinKomp[[Stanowisko / Position ]:[Stanowisko / Position ]],0)))</f>
        <v>n/a</v>
      </c>
      <c r="EE54" s="315" t="str">
        <f>IF(INDEX(tab_MinKomp[Konserwacja piecy],MATCH($B53,tab_MinKomp[[Stanowisko / Position ]:[Stanowisko / Position ]],0))="n/a","n/a",EE53-INDEX(tab_MinKomp[Konserwacja piecy],MATCH($B53,tab_MinKomp[[Stanowisko / Position ]:[Stanowisko / Position ]],0)))</f>
        <v>n/a</v>
      </c>
      <c r="EF54" s="315" t="str">
        <f>IF(INDEX(tab_MinKomp[Rysunek techniczny- czytanie],MATCH($B53,tab_MinKomp[[Stanowisko / Position ]:[Stanowisko / Position ]],0))="n/a","n/a",EF53-INDEX(tab_MinKomp[Rysunek techniczny- czytanie],MATCH($B53,tab_MinKomp[[Stanowisko / Position ]:[Stanowisko / Position ]],0)))</f>
        <v>n/a</v>
      </c>
      <c r="EG54" s="315" t="str">
        <f>IF(INDEX(tab_MinKomp[Elektryka],MATCH($B53,tab_MinKomp[[Stanowisko / Position ]:[Stanowisko / Position ]],0))="n/a","n/a",EG53-INDEX(tab_MinKomp[Elektryka],MATCH($B53,tab_MinKomp[[Stanowisko / Position ]:[Stanowisko / Position ]],0)))</f>
        <v>n/a</v>
      </c>
      <c r="EH54" s="315" t="str">
        <f>IF(INDEX(tab_MinKomp[Pneumatyka],MATCH($B53,tab_MinKomp[[Stanowisko / Position ]:[Stanowisko / Position ]],0))="n/a","n/a",EH53-INDEX(tab_MinKomp[Pneumatyka],MATCH($B53,tab_MinKomp[[Stanowisko / Position ]:[Stanowisko / Position ]],0)))</f>
        <v>n/a</v>
      </c>
      <c r="EI54" s="315" t="str">
        <f>IF(INDEX(tab_MinKomp[[Hydraulika ]],MATCH($B53,tab_MinKomp[[Stanowisko / Position ]:[Stanowisko / Position ]],0))="n/a","n/a",EI53-INDEX(tab_MinKomp[[Hydraulika ]],MATCH($B53,tab_MinKomp[[Stanowisko / Position ]:[Stanowisko / Position ]],0)))</f>
        <v>n/a</v>
      </c>
      <c r="EJ54" s="315" t="str">
        <f>IF(INDEX(tab_MinKomp[Podciśnienie],MATCH($B53,tab_MinKomp[[Stanowisko / Position ]:[Stanowisko / Position ]],0))="n/a","n/a",EJ53-INDEX(tab_MinKomp[Podciśnienie],MATCH($B53,tab_MinKomp[[Stanowisko / Position ]:[Stanowisko / Position ]],0)))</f>
        <v>n/a</v>
      </c>
      <c r="EK54" s="315" t="str">
        <f>IF(INDEX(tab_MinKomp[Usuwanie awarii],MATCH($B53,tab_MinKomp[[Stanowisko / Position ]:[Stanowisko / Position ]],0))="n/a","n/a",EK53-INDEX(tab_MinKomp[Usuwanie awarii],MATCH($B53,tab_MinKomp[[Stanowisko / Position ]:[Stanowisko / Position ]],0)))</f>
        <v>n/a</v>
      </c>
      <c r="EL54" s="315" t="str">
        <f>IF(INDEX(tab_MinKomp[Obsługa robotów],MATCH($B53,tab_MinKomp[[Stanowisko / Position ]:[Stanowisko / Position ]],0))="n/a","n/a",EL53-INDEX(tab_MinKomp[Obsługa robotów],MATCH($B53,tab_MinKomp[[Stanowisko / Position ]:[Stanowisko / Position ]],0)))</f>
        <v>n/a</v>
      </c>
      <c r="EM54" s="315" t="str">
        <f>IF(INDEX(tab_MinKomp[Obsługa sterowania maszyny],MATCH($B53,tab_MinKomp[[Stanowisko / Position ]:[Stanowisko / Position ]],0))="n/a","n/a",EM53-INDEX(tab_MinKomp[Obsługa sterowania maszyny],MATCH($B53,tab_MinKomp[[Stanowisko / Position ]:[Stanowisko / Position ]],0)))</f>
        <v>n/a</v>
      </c>
      <c r="EN54" s="315" t="str">
        <f>IF(INDEX(tab_MinKomp[Usuwanie przyczyn żródłowych],MATCH($B53,tab_MinKomp[[Stanowisko / Position ]:[Stanowisko / Position ]],0))="n/a","n/a",EN53-INDEX(tab_MinKomp[Usuwanie przyczyn żródłowych],MATCH($B53,tab_MinKomp[[Stanowisko / Position ]:[Stanowisko / Position ]],0)))</f>
        <v>n/a</v>
      </c>
      <c r="EO54" s="315" t="str">
        <f>IF(INDEX(tab_MinKomp[Cmms stosowanie],MATCH($B53,tab_MinKomp[[Stanowisko / Position ]:[Stanowisko / Position ]],0))="n/a","n/a",EO53-INDEX(tab_MinKomp[Cmms stosowanie],MATCH($B53,tab_MinKomp[[Stanowisko / Position ]:[Stanowisko / Position ]],0)))</f>
        <v>n/a</v>
      </c>
      <c r="EP54" s="315" t="str">
        <f>IF(INDEX(tab_MinKomp[[Czyszczenie form gumowych ]],MATCH($B53,tab_MinKomp[[Stanowisko / Position ]:[Stanowisko / Position ]],0))="n/a","n/a",EP53-INDEX(tab_MinKomp[[Czyszczenie form gumowych ]],MATCH($B53,tab_MinKomp[[Stanowisko / Position ]:[Stanowisko / Position ]],0)))</f>
        <v>n/a</v>
      </c>
      <c r="EQ54" s="315" t="str">
        <f>IF(INDEX(tab_MinKomp[Czyszczenie form plastikowych],MATCH($B53,tab_MinKomp[[Stanowisko / Position ]:[Stanowisko / Position ]],0))="n/a","n/a",EQ53-INDEX(tab_MinKomp[Czyszczenie form plastikowych],MATCH($B53,tab_MinKomp[[Stanowisko / Position ]:[Stanowisko / Position ]],0)))</f>
        <v>n/a</v>
      </c>
      <c r="ER54" s="315" t="str">
        <f>IF(INDEX(tab_MinKomp[Wymiana form plastik],MATCH($B53,tab_MinKomp[[Stanowisko / Position ]:[Stanowisko / Position ]],0))="n/a","n/a",ER53-INDEX(tab_MinKomp[Wymiana form plastik],MATCH($B53,tab_MinKomp[[Stanowisko / Position ]:[Stanowisko / Position ]],0)))</f>
        <v>n/a</v>
      </c>
      <c r="ES54" s="315" t="str">
        <f>IF(INDEX(tab_MinKomp[Wymiana form guma],MATCH($B53,tab_MinKomp[[Stanowisko / Position ]:[Stanowisko / Position ]],0))="n/a","n/a",ES53-INDEX(tab_MinKomp[Wymiana form guma],MATCH($B53,tab_MinKomp[[Stanowisko / Position ]:[Stanowisko / Position ]],0)))</f>
        <v>n/a</v>
      </c>
      <c r="ET54" s="315" t="str">
        <f>IF(INDEX(tab_MinKomp[Konserwacja KK],MATCH($B53,tab_MinKomp[[Stanowisko / Position ]:[Stanowisko / Position ]],0))="n/a","n/a",ET53-INDEX(tab_MinKomp[Konserwacja KK],MATCH($B53,tab_MinKomp[[Stanowisko / Position ]:[Stanowisko / Position ]],0)))</f>
        <v>n/a</v>
      </c>
      <c r="EU54" s="315" t="str">
        <f>IF(INDEX(tab_MinKomp[Konserwacja form guma],MATCH($B53,tab_MinKomp[[Stanowisko / Position ]:[Stanowisko / Position ]],0))="n/a","n/a",EU53-INDEX(tab_MinKomp[Konserwacja form guma],MATCH($B53,tab_MinKomp[[Stanowisko / Position ]:[Stanowisko / Position ]],0)))</f>
        <v>n/a</v>
      </c>
      <c r="EV54" s="315" t="str">
        <f>IF(INDEX(tab_MinKomp[Konserwacja form plastiki],MATCH($B53,tab_MinKomp[[Stanowisko / Position ]:[Stanowisko / Position ]],0))="n/a","n/a",EV53-INDEX(tab_MinKomp[Konserwacja form plastiki],MATCH($B53,tab_MinKomp[[Stanowisko / Position ]:[Stanowisko / Position ]],0)))</f>
        <v>n/a</v>
      </c>
      <c r="EW54" s="330" t="str">
        <f>IF(INDEX(tab_MinKomp[Konserwacja form plastiki],MATCH($B53,tab_MinKomp[[Stanowisko / Position ]:[Stanowisko / Position ]],0))="n/a","n/a",EW53-INDEX(tab_MinKomp[Konserwacja form plastiki],MATCH($B53,tab_MinKomp[[Stanowisko / Position ]:[Stanowisko / Position ]],0)))</f>
        <v>n/a</v>
      </c>
      <c r="EX54" s="315" t="str">
        <f>IF(INDEX(tab_MinKomp[Konserwacja Gorącego Kanału],MATCH($B53,tab_MinKomp[[Stanowisko / Position ]:[Stanowisko / Position ]],0))="n/a","n/a",EX53-INDEX(tab_MinKomp[Konserwacja Gorącego Kanału],MATCH($B53,tab_MinKomp[[Stanowisko / Position ]:[Stanowisko / Position ]],0)))</f>
        <v>n/a</v>
      </c>
      <c r="EY54" s="315">
        <f>IF(INDEX(tab_MinKomp[MS Office (Excel)],MATCH($B53,tab_MinKomp[[Stanowisko / Position ]:[Stanowisko / Position ]],0))="n/a","n/a",EY53-INDEX(tab_MinKomp[MS Office (Excel)],MATCH($B53,tab_MinKomp[[Stanowisko / Position ]:[Stanowisko / Position ]],0)))</f>
        <v>0</v>
      </c>
      <c r="EZ54" s="315">
        <f>IF(INDEX(tab_MinKomp[MS Office (Word)],MATCH($B53,tab_MinKomp[[Stanowisko / Position ]:[Stanowisko / Position ]],0))="n/a","n/a",EZ53-INDEX(tab_MinKomp[MS Office (Word)],MATCH($B53,tab_MinKomp[[Stanowisko / Position ]:[Stanowisko / Position ]],0)))</f>
        <v>0</v>
      </c>
      <c r="FA54" s="315">
        <f>IF(INDEX(tab_MinKomp[MS Office (Power Point)],MATCH($B53,tab_MinKomp[[Stanowisko / Position ]:[Stanowisko / Position ]],0))="n/a","n/a",FA53-INDEX(tab_MinKomp[MS Office (Power Point)],MATCH($B53,tab_MinKomp[[Stanowisko / Position ]:[Stanowisko / Position ]],0)))</f>
        <v>0</v>
      </c>
      <c r="FB54" s="315">
        <f>IF(INDEX(tab_MinKomp[Język angielski / Englisch],MATCH($B53,tab_MinKomp[[Stanowisko / Position ]:[Stanowisko / Position ]],0))="n/a","n/a",FB53-INDEX(tab_MinKomp[Język angielski / Englisch],MATCH($B53,tab_MinKomp[[Stanowisko / Position ]:[Stanowisko / Position ]],0)))</f>
        <v>0</v>
      </c>
      <c r="FC54" s="315" t="str">
        <f>IF(INDEX(tab_MinKomp[Język niemiecki / Deutsch],MATCH($B53,tab_MinKomp[[Stanowisko / Position ]:[Stanowisko / Position ]],0))="n/a","n/a",FC53-INDEX(tab_MinKomp[Język niemiecki / Deutsch],MATCH($B53,tab_MinKomp[[Stanowisko / Position ]:[Stanowisko / Position ]],0)))</f>
        <v>n/a</v>
      </c>
      <c r="FD54" s="315">
        <f>IF(INDEX(tab_MinKomp[Zarządzanie dokumentacją procesową / Process dokumentation management],MATCH($B53,tab_MinKomp[[Stanowisko / Position ]:[Stanowisko / Position ]],0))="n/a","n/a",FD53-INDEX(tab_MinKomp[Zarządzanie dokumentacją procesową / Process dokumentation management],MATCH($B53,tab_MinKomp[[Stanowisko / Position ]:[Stanowisko / Position ]],0)))</f>
        <v>0</v>
      </c>
      <c r="FE54" s="315">
        <f>IF(INDEX(tab_MinKomp[Znajomość procesów z obszaru / Kenntiss der prozesse in dem Bereich],MATCH($B53,tab_MinKomp[[Stanowisko / Position ]:[Stanowisko / Position ]],0))="n/a","n/a",FE53-INDEX(tab_MinKomp[Znajomość procesów z obszaru / Kenntiss der prozesse in dem Bereich],MATCH($B53,tab_MinKomp[[Stanowisko / Position ]:[Stanowisko / Position ]],0)))</f>
        <v>0</v>
      </c>
      <c r="FF54" s="315">
        <f>IF(INDEX(tab_MinKomp[optymalizacja procesów / Prozessoptymalisierung],MATCH($B53,tab_MinKomp[[Stanowisko / Position ]:[Stanowisko / Position ]],0))="n/a","n/a",FF53-INDEX(tab_MinKomp[optymalizacja procesów / Prozessoptymalisierung],MATCH($B53,tab_MinKomp[[Stanowisko / Position ]:[Stanowisko / Position ]],0)))</f>
        <v>0</v>
      </c>
      <c r="FG54" s="315">
        <f>IF(INDEX(tab_MinKomp[Umiejętności szkoleniowe / Trainingsfähigkeiten],MATCH($B53,tab_MinKomp[[Stanowisko / Position ]:[Stanowisko / Position ]],0))="n/a","n/a",FG53-INDEX(tab_MinKomp[Umiejętności szkoleniowe / Trainingsfähigkeiten],MATCH($B53,tab_MinKomp[[Stanowisko / Position ]:[Stanowisko / Position ]],0)))</f>
        <v>0</v>
      </c>
      <c r="FH54" s="315">
        <f>IF(INDEX(tab_MinKomp[Analityczne myślenie, podejście / Analitysches Denken, Einstellung],MATCH($B53,tab_MinKomp[[Stanowisko / Position ]:[Stanowisko / Position ]],0))="n/a","n/a",FH53-INDEX(tab_MinKomp[Analityczne myślenie, podejście / Analitysches Denken, Einstellung],MATCH($B53,tab_MinKomp[[Stanowisko / Position ]:[Stanowisko / Position ]],0)))</f>
        <v>0</v>
      </c>
      <c r="FI54" s="315">
        <f>IF(INDEX(tab_MinKomp[Dokładność, precyzja w dzialaniu / Genauigkeit, Präzision in die Arbeit],MATCH($B53,tab_MinKomp[[Stanowisko / Position ]:[Stanowisko / Position ]],0))="n/a","n/a",FI53-INDEX(tab_MinKomp[Dokładność, precyzja w dzialaniu / Genauigkeit, Präzision in die Arbeit],MATCH($B53,tab_MinKomp[[Stanowisko / Position ]:[Stanowisko / Position ]],0)))</f>
        <v>0</v>
      </c>
      <c r="FJ54" s="315">
        <f>IF(INDEX(tab_MinKomp[Dyspozycyjność / Verfügbarkeit],MATCH($B53,tab_MinKomp[[Stanowisko / Position ]:[Stanowisko / Position ]],0))="n/a","n/a",FJ53-INDEX(tab_MinKomp[Dyspozycyjność / Verfügbarkeit],MATCH($B53,tab_MinKomp[[Stanowisko / Position ]:[Stanowisko / Position ]],0)))</f>
        <v>0</v>
      </c>
      <c r="FK54" s="315">
        <f>IF(INDEX(tab_MinKomp[Zaangażowanie / 
Engagement],MATCH($B53,tab_MinKomp[[Stanowisko / Position ]:[Stanowisko / Position ]],0))="n/a","n/a",FK53-INDEX(tab_MinKomp[Zaangażowanie / 
Engagement],MATCH($B53,tab_MinKomp[[Stanowisko / Position ]:[Stanowisko / Position ]],0)))</f>
        <v>0</v>
      </c>
      <c r="FL54" s="315">
        <f>IF(INDEX(tab_MinKomp[Planowanie strategiczne / Strategische Planung],MATCH($B53,tab_MinKomp[[Stanowisko / Position ]:[Stanowisko / Position ]],0))="n/a","n/a",FL53-INDEX(tab_MinKomp[Planowanie strategiczne / Strategische Planung],MATCH($B53,tab_MinKomp[[Stanowisko / Position ]:[Stanowisko / Position ]],0)))</f>
        <v>0</v>
      </c>
      <c r="FM54" s="315">
        <f>IF(INDEX(tab_MinKomp[Konsekwentne i dynamiczne działanie],MATCH($B53,tab_MinKomp[[Stanowisko / Position ]:[Stanowisko / Position ]],0))="n/a","n/a",FM53-INDEX(tab_MinKomp[Konsekwentne i dynamiczne działanie],MATCH($B53,tab_MinKomp[[Stanowisko / Position ]:[Stanowisko / Position ]],0)))</f>
        <v>0</v>
      </c>
      <c r="FN54" s="315">
        <f>IF(INDEX(tab_MinKomp[Elastyczność w działaniu],MATCH($B53,tab_MinKomp[[Stanowisko / Position ]:[Stanowisko / Position ]],0))="n/a","n/a",FN53-INDEX(tab_MinKomp[Elastyczność w działaniu],MATCH($B53,tab_MinKomp[[Stanowisko / Position ]:[Stanowisko / Position ]],0)))</f>
        <v>0</v>
      </c>
      <c r="FO54" s="315">
        <f>IF(INDEX(tab_MinKomp[Komunikatywność],MATCH($B53,tab_MinKomp[[Stanowisko / Position ]:[Stanowisko / Position ]],0))="n/a","n/a",FO53-INDEX(tab_MinKomp[Komunikatywność],MATCH($B53,tab_MinKomp[[Stanowisko / Position ]:[Stanowisko / Position ]],0)))</f>
        <v>0</v>
      </c>
      <c r="FP54" s="315">
        <f>IF(INDEX(tab_MinKomp[Motywowanie i budowanie zaangażowania zespołu],MATCH($B53,tab_MinKomp[[Stanowisko / Position ]:[Stanowisko / Position ]],0))="n/a","n/a",FP53-INDEX(tab_MinKomp[Motywowanie i budowanie zaangażowania zespołu],MATCH($B53,tab_MinKomp[[Stanowisko / Position ]:[Stanowisko / Position ]],0)))</f>
        <v>0</v>
      </c>
      <c r="FQ54" s="473" t="s">
        <v>160</v>
      </c>
      <c r="FR54" s="472" t="str">
        <f>IF(INDEX(tab_MinKomp[MINIMUM 1 ROK / min. 1 Jahr],MATCH($B53,tab_MinKomp[[Stanowisko / Position ]:[Stanowisko / Position ]],0))="n/a","n/a",INDEX(tab_MinKomp[MINIMUM 1 ROK / min. 1 Jahr],MATCH($B53,tab_MinKomp[[Stanowisko / Position ]:[Stanowisko / Position ]],0)))</f>
        <v>n/a</v>
      </c>
      <c r="FS54" s="315" t="str">
        <f>IF(INDEX(tab_MinKomp[MINIMUM 2 LATA / min. 2 Jahre],MATCH($B53,tab_MinKomp[[Stanowisko / Position ]:[Stanowisko / Position ]],0))="n/a","n/a",INDEX(tab_MinKomp[MINIMUM 2 LATA / min. 2 Jahre],MATCH($B53,tab_MinKomp[[Stanowisko / Position ]:[Stanowisko / Position ]],0)))</f>
        <v>n/a</v>
      </c>
      <c r="FT54" s="315" t="str">
        <f>IF(INDEX(tab_MinKomp[MINIMUM 3 LATA / min. 3 Jahre],MATCH($B53,tab_MinKomp[[Stanowisko / Position ]:[Stanowisko / Position ]],0))="n/a","n/a",INDEX(tab_MinKomp[MINIMUM 3 LATA / min. 3 Jahre],MATCH($B53,tab_MinKomp[[Stanowisko / Position ]:[Stanowisko / Position ]],0)))</f>
        <v>n/a</v>
      </c>
      <c r="FU54" s="315" t="str">
        <f>IF(INDEX(tab_MinKomp[MINIMUM 4 LATA / min. 4 Jahre],MATCH($B53,tab_MinKomp[[Stanowisko / Position ]:[Stanowisko / Position ]],0))="n/a","n/a",INDEX(tab_MinKomp[MINIMUM 4 LATA / min. 4 Jahre],MATCH($B53,tab_MinKomp[[Stanowisko / Position ]:[Stanowisko / Position ]],0)))</f>
        <v>n/a</v>
      </c>
      <c r="FV54" s="315" t="str">
        <f>IF(INDEX(tab_MinKomp[MINIMUM 5 LAT / min. 5 Jahre],MATCH($B53,tab_MinKomp[[Stanowisko / Position ]:[Stanowisko / Position ]],0))="n/a","n/a",INDEX(tab_MinKomp[MINIMUM 5 LAT / min. 5 Jahre],MATCH($B53,tab_MinKomp[[Stanowisko / Position ]:[Stanowisko / Position ]],0)))</f>
        <v>n/a</v>
      </c>
      <c r="FW54" s="315" t="str">
        <f>IF(INDEX(tab_MinKomp[BRAK / Keine9],MATCH($B53,tab_MinKomp[[Stanowisko / Position ]:[Stanowisko / Position ]],0))="n/a","n/a",INDEX(tab_MinKomp[BRAK / Keine9],MATCH($B53,tab_MinKomp[[Stanowisko / Position ]:[Stanowisko / Position ]],0)))</f>
        <v>n/a</v>
      </c>
      <c r="FX54" s="315" t="str">
        <f>IF(INDEX(tab_MinKomp[ZAWODOWE / Berufsausbildung],MATCH($B53,tab_MinKomp[[Stanowisko / Position ]:[Stanowisko / Position ]],0))="n/a","n/a",INDEX(tab_MinKomp[ZAWODOWE / Berufsausbildung],MATCH($B53,tab_MinKomp[[Stanowisko / Position ]:[Stanowisko / Position ]],0)))</f>
        <v>n/a</v>
      </c>
      <c r="FY54" s="315" t="str">
        <f>IF(INDEX(tab_MinKomp[ŚREDNIE OGÓLNE / Abitur allgemeine],MATCH($B53,tab_MinKomp[[Stanowisko / Position ]:[Stanowisko / Position ]],0))="n/a","n/a",INDEX(tab_MinKomp[ŚREDNIE OGÓLNE / Abitur allgemeine],MATCH($B53,tab_MinKomp[[Stanowisko / Position ]:[Stanowisko / Position ]],0)))</f>
        <v>n/a</v>
      </c>
      <c r="FZ54" s="315" t="str">
        <f>IF(INDEX(tab_MinKomp[ŚREDNIE KIERUNKOWE / berufliches Gymnasium],MATCH($B53,tab_MinKomp[[Stanowisko / Position ]:[Stanowisko / Position ]],0))="n/a","n/a",INDEX(tab_MinKomp[ŚREDNIE KIERUNKOWE / berufliches Gymnasium],MATCH($B53,tab_MinKomp[[Stanowisko / Position ]:[Stanowisko / Position ]],0)))</f>
        <v>n/a</v>
      </c>
      <c r="GA54" s="478" t="s">
        <v>160</v>
      </c>
      <c r="GB54" s="315" t="str">
        <f>IF(INDEX(tab_MinKomp[ŚREDNIE KIERUNKOWE / berufliches Gymnasium],MATCH($B53,tab_MinKomp[[Stanowisko / Position ]:[Stanowisko / Position ]],0))="n/a","n/a",INDEX(tab_MinKomp[ŚREDNIE KIERUNKOWE / berufliches Gymnasium],MATCH($B53,tab_MinKomp[[Stanowisko / Position ]:[Stanowisko / Position ]],0)))</f>
        <v>n/a</v>
      </c>
      <c r="GC54" s="315" t="str">
        <f>IF(INDEX(tab_MinKomp[WYŻSZE OGÓLNE / Hochschule allgemeine],MATCH($B53,tab_MinKomp[[Stanowisko / Position ]:[Stanowisko / Position ]],0))="n/a","n/a",INDEX(tab_MinKomp[WYŻSZE OGÓLNE / Hochschule allgemeine],MATCH($B53,tab_MinKomp[[Stanowisko / Position ]:[Stanowisko / Position ]],0)))</f>
        <v>X</v>
      </c>
      <c r="GD54" s="315" t="str">
        <f>IF(INDEX(tab_MinKomp[WYŻSZE KIERUNKOWE / Hochschule berufliche],MATCH($B53,tab_MinKomp[[Stanowisko / Position ]:[Stanowisko / Position ]],0))="n/a","n/a",INDEX(tab_MinKomp[WYŻSZE KIERUNKOWE / Hochschule berufliche],MATCH($B53,tab_MinKomp[[Stanowisko / Position ]:[Stanowisko / Position ]],0)))</f>
        <v>n/a</v>
      </c>
      <c r="GE54" s="315" t="str">
        <f>IF(INDEX(tab_MinKomp[PIERWSZA POMOC / Erste Hilfe],MATCH($B53,tab_MinKomp[[Stanowisko / Position ]:[Stanowisko / Position ]],0))="n/a","n/a",INDEX(tab_MinKomp[PIERWSZA POMOC / Erste Hilfe],MATCH($B53,tab_MinKomp[[Stanowisko / Position ]:[Stanowisko / Position ]],0)))</f>
        <v>n/a</v>
      </c>
      <c r="GF54" s="315" t="str">
        <f>IF(INDEX(tab_MinKomp[Specjalista BHP / BHP Spezialist],MATCH($B53,tab_MinKomp[[Stanowisko / Position ]:[Stanowisko / Position ]],0))="n/a","n/a",INDEX(tab_MinKomp[Specjalista BHP / BHP Spezialist],MATCH($B53,tab_MinKomp[[Stanowisko / Position ]:[Stanowisko / Position ]],0)))</f>
        <v>n/a</v>
      </c>
      <c r="GG54" s="315" t="str">
        <f>IF(INDEX(tab_MinKomp[Inspektor ochrony PPOŻ / Brandschutzinspektor],MATCH($B53,tab_MinKomp[[Stanowisko / Position ]:[Stanowisko / Position ]],0))="n/a","n/a",INDEX(tab_MinKomp[Inspektor ochrony PPOŻ / Brandschutzinspektor],MATCH($B53,tab_MinKomp[[Stanowisko / Position ]:[Stanowisko / Position ]],0)))</f>
        <v>n/a</v>
      </c>
      <c r="GH54" s="315" t="str">
        <f>IF(INDEX(tab_MinKomp[WÓZKI JEZDNIOWE / Gebelstapler],MATCH($B53,tab_MinKomp[[Stanowisko / Position ]:[Stanowisko / Position ]],0))="n/a","n/a",INDEX(tab_MinKomp[WÓZKI JEZDNIOWE / Gebelstapler],MATCH($B53,tab_MinKomp[[Stanowisko / Position ]:[Stanowisko / Position ]],0)))</f>
        <v>n/a</v>
      </c>
      <c r="GI54" s="315" t="str">
        <f>IF(INDEX(tab_MinKomp[SEP],MATCH($B53,tab_MinKomp[[Stanowisko / Position ]:[Stanowisko / Position ]],0))="n/a","n/a",INDEX(tab_MinKomp[SEP],MATCH($B53,tab_MinKomp[[Stanowisko / Position ]:[Stanowisko / Position ]],0)))</f>
        <v>n/a</v>
      </c>
      <c r="GJ54" s="315" t="str">
        <f>IF(INDEX(tab_MinKomp[SEP  DOZÓR / SEP Aufsicht],MATCH($B53,tab_MinKomp[[Stanowisko / Position ]:[Stanowisko / Position ]],0))="n/a","n/a",INDEX(tab_MinKomp[SEP  DOZÓR / SEP Aufsicht],MATCH($B53,tab_MinKomp[[Stanowisko / Position ]:[Stanowisko / Position ]],0)))</f>
        <v>n/a</v>
      </c>
      <c r="GK54" s="315" t="str">
        <f>IF(INDEX(tab_MinKomp[PODNOŚNIKI / Hebevorrichtung],MATCH($B53,tab_MinKomp[[Stanowisko / Position ]:[Stanowisko / Position ]],0))="n/a","n/a",INDEX(tab_MinKomp[PODNOŚNIKI / Hebevorrichtung],MATCH($B53,tab_MinKomp[[Stanowisko / Position ]:[Stanowisko / Position ]],0)))</f>
        <v>n/a</v>
      </c>
      <c r="GL54" s="320">
        <f>SUM(G54:FP54)/(GL53-(SUM(G54:FP54)))</f>
        <v>4.3209876543209874E-2</v>
      </c>
      <c r="GM54" s="132"/>
    </row>
    <row r="55" spans="1:195" s="187" customFormat="1" ht="28.35" customHeight="1" x14ac:dyDescent="0.25">
      <c r="A55" s="135" t="s">
        <v>188</v>
      </c>
      <c r="B55" s="135" t="s">
        <v>197</v>
      </c>
      <c r="C55" s="135" t="s">
        <v>747</v>
      </c>
      <c r="D55" s="135">
        <v>1280</v>
      </c>
      <c r="E55" s="565" t="s">
        <v>380</v>
      </c>
      <c r="F55" s="307" t="s">
        <v>165</v>
      </c>
      <c r="G55" s="308">
        <v>2</v>
      </c>
      <c r="H55" s="308">
        <v>2</v>
      </c>
      <c r="I55" s="308">
        <v>2</v>
      </c>
      <c r="J55" s="308">
        <v>2</v>
      </c>
      <c r="K55" s="308">
        <v>2</v>
      </c>
      <c r="L55" s="308">
        <v>1</v>
      </c>
      <c r="M55" s="308" t="s">
        <v>176</v>
      </c>
      <c r="N55" s="308" t="s">
        <v>176</v>
      </c>
      <c r="O55" s="308">
        <v>2</v>
      </c>
      <c r="P55" s="308">
        <v>1</v>
      </c>
      <c r="Q55" s="308" t="s">
        <v>176</v>
      </c>
      <c r="R55" s="308" t="s">
        <v>176</v>
      </c>
      <c r="S55" s="308" t="s">
        <v>176</v>
      </c>
      <c r="T55" s="308">
        <v>1</v>
      </c>
      <c r="U55" s="308" t="s">
        <v>176</v>
      </c>
      <c r="V55" s="308" t="s">
        <v>176</v>
      </c>
      <c r="W55" s="308" t="s">
        <v>176</v>
      </c>
      <c r="X55" s="308" t="s">
        <v>176</v>
      </c>
      <c r="Y55" s="308" t="s">
        <v>176</v>
      </c>
      <c r="Z55" s="308" t="s">
        <v>176</v>
      </c>
      <c r="AA55" s="308" t="s">
        <v>176</v>
      </c>
      <c r="AB55" s="308">
        <v>2</v>
      </c>
      <c r="AC55" s="308"/>
      <c r="AD55" s="308">
        <v>1</v>
      </c>
      <c r="AE55" s="308"/>
      <c r="AF55" s="308"/>
      <c r="AG55" s="308" t="s">
        <v>176</v>
      </c>
      <c r="AH55" s="308" t="s">
        <v>176</v>
      </c>
      <c r="AI55" s="308" t="s">
        <v>176</v>
      </c>
      <c r="AJ55" s="308" t="s">
        <v>176</v>
      </c>
      <c r="AK55" s="308" t="s">
        <v>176</v>
      </c>
      <c r="AL55" s="308">
        <v>1</v>
      </c>
      <c r="AM55" s="308"/>
      <c r="AN55" s="308" t="s">
        <v>176</v>
      </c>
      <c r="AO55" s="308" t="s">
        <v>176</v>
      </c>
      <c r="AP55" s="308" t="s">
        <v>176</v>
      </c>
      <c r="AQ55" s="308" t="s">
        <v>176</v>
      </c>
      <c r="AR55" s="308" t="s">
        <v>176</v>
      </c>
      <c r="AS55" s="308" t="s">
        <v>176</v>
      </c>
      <c r="AT55" s="308" t="s">
        <v>176</v>
      </c>
      <c r="AU55" s="308" t="s">
        <v>176</v>
      </c>
      <c r="AV55" s="308">
        <v>2</v>
      </c>
      <c r="AW55" s="308">
        <v>1</v>
      </c>
      <c r="AX55" s="308">
        <v>1</v>
      </c>
      <c r="AY55" s="308" t="s">
        <v>176</v>
      </c>
      <c r="AZ55" s="308" t="s">
        <v>176</v>
      </c>
      <c r="BA55" s="308" t="s">
        <v>176</v>
      </c>
      <c r="BB55" s="308"/>
      <c r="BC55" s="308" t="s">
        <v>176</v>
      </c>
      <c r="BD55" s="308" t="s">
        <v>176</v>
      </c>
      <c r="BE55" s="308" t="s">
        <v>176</v>
      </c>
      <c r="BF55" s="308" t="s">
        <v>176</v>
      </c>
      <c r="BG55" s="308" t="s">
        <v>176</v>
      </c>
      <c r="BH55" s="308" t="s">
        <v>176</v>
      </c>
      <c r="BI55" s="308" t="s">
        <v>176</v>
      </c>
      <c r="BJ55" s="308" t="s">
        <v>176</v>
      </c>
      <c r="BK55" s="308" t="s">
        <v>176</v>
      </c>
      <c r="BL55" s="308" t="s">
        <v>176</v>
      </c>
      <c r="BM55" s="308"/>
      <c r="BN55" s="308">
        <v>1</v>
      </c>
      <c r="BO55" s="308">
        <v>1</v>
      </c>
      <c r="BP55" s="308" t="s">
        <v>176</v>
      </c>
      <c r="BQ55" s="308" t="s">
        <v>176</v>
      </c>
      <c r="BR55" s="308" t="s">
        <v>176</v>
      </c>
      <c r="BS55" s="308" t="s">
        <v>176</v>
      </c>
      <c r="BT55" s="308"/>
      <c r="BU55" s="308">
        <v>1</v>
      </c>
      <c r="BV55" s="308">
        <v>2</v>
      </c>
      <c r="BW55" s="308" t="s">
        <v>176</v>
      </c>
      <c r="BX55" s="308" t="s">
        <v>176</v>
      </c>
      <c r="BY55" s="308" t="s">
        <v>176</v>
      </c>
      <c r="BZ55" s="308" t="s">
        <v>176</v>
      </c>
      <c r="CA55" s="308" t="s">
        <v>176</v>
      </c>
      <c r="CB55" s="308" t="s">
        <v>176</v>
      </c>
      <c r="CC55" s="308" t="s">
        <v>176</v>
      </c>
      <c r="CD55" s="308" t="s">
        <v>176</v>
      </c>
      <c r="CE55" s="308" t="s">
        <v>176</v>
      </c>
      <c r="CF55" s="308" t="s">
        <v>176</v>
      </c>
      <c r="CG55" s="308" t="s">
        <v>176</v>
      </c>
      <c r="CH55" s="308" t="s">
        <v>176</v>
      </c>
      <c r="CI55" s="308"/>
      <c r="CJ55" s="308" t="s">
        <v>176</v>
      </c>
      <c r="CK55" s="308" t="s">
        <v>176</v>
      </c>
      <c r="CL55" s="308" t="s">
        <v>176</v>
      </c>
      <c r="CM55" s="308" t="s">
        <v>176</v>
      </c>
      <c r="CN55" s="308">
        <v>2</v>
      </c>
      <c r="CO55" s="308">
        <v>1</v>
      </c>
      <c r="CP55" s="308">
        <v>2</v>
      </c>
      <c r="CQ55" s="308" t="s">
        <v>176</v>
      </c>
      <c r="CR55" s="308" t="s">
        <v>176</v>
      </c>
      <c r="CS55" s="308" t="s">
        <v>176</v>
      </c>
      <c r="CT55" s="308" t="s">
        <v>176</v>
      </c>
      <c r="CU55" s="308">
        <v>3</v>
      </c>
      <c r="CV55" s="308" t="s">
        <v>176</v>
      </c>
      <c r="CW55" s="308" t="s">
        <v>176</v>
      </c>
      <c r="CX55" s="308" t="s">
        <v>176</v>
      </c>
      <c r="CY55" s="308" t="s">
        <v>176</v>
      </c>
      <c r="CZ55" s="308" t="s">
        <v>176</v>
      </c>
      <c r="DA55" s="308" t="s">
        <v>176</v>
      </c>
      <c r="DB55" s="308" t="s">
        <v>176</v>
      </c>
      <c r="DC55" s="308" t="s">
        <v>176</v>
      </c>
      <c r="DD55" s="308" t="s">
        <v>176</v>
      </c>
      <c r="DE55" s="308" t="s">
        <v>176</v>
      </c>
      <c r="DF55" s="308" t="s">
        <v>176</v>
      </c>
      <c r="DG55" s="308" t="s">
        <v>176</v>
      </c>
      <c r="DH55" s="308" t="s">
        <v>176</v>
      </c>
      <c r="DI55" s="308" t="s">
        <v>176</v>
      </c>
      <c r="DJ55" s="308" t="s">
        <v>176</v>
      </c>
      <c r="DK55" s="308" t="s">
        <v>176</v>
      </c>
      <c r="DL55" s="308" t="s">
        <v>176</v>
      </c>
      <c r="DM55" s="308" t="s">
        <v>176</v>
      </c>
      <c r="DN55" s="308" t="s">
        <v>176</v>
      </c>
      <c r="DO55" s="308" t="s">
        <v>176</v>
      </c>
      <c r="DP55" s="308" t="s">
        <v>176</v>
      </c>
      <c r="DQ55" s="308" t="s">
        <v>176</v>
      </c>
      <c r="DR55" s="308" t="s">
        <v>176</v>
      </c>
      <c r="DS55" s="308" t="s">
        <v>176</v>
      </c>
      <c r="DT55" s="308" t="s">
        <v>176</v>
      </c>
      <c r="DU55" s="308" t="s">
        <v>176</v>
      </c>
      <c r="DV55" s="308" t="s">
        <v>176</v>
      </c>
      <c r="DW55" s="308" t="s">
        <v>176</v>
      </c>
      <c r="DX55" s="308" t="s">
        <v>176</v>
      </c>
      <c r="DY55" s="308" t="s">
        <v>176</v>
      </c>
      <c r="DZ55" s="308" t="s">
        <v>176</v>
      </c>
      <c r="EA55" s="308" t="s">
        <v>176</v>
      </c>
      <c r="EB55" s="308" t="s">
        <v>176</v>
      </c>
      <c r="EC55" s="308" t="s">
        <v>176</v>
      </c>
      <c r="ED55" s="308" t="s">
        <v>176</v>
      </c>
      <c r="EE55" s="308" t="s">
        <v>176</v>
      </c>
      <c r="EF55" s="308">
        <v>3</v>
      </c>
      <c r="EG55" s="308">
        <v>2</v>
      </c>
      <c r="EH55" s="308">
        <v>2</v>
      </c>
      <c r="EI55" s="308">
        <v>2</v>
      </c>
      <c r="EJ55" s="308">
        <v>2</v>
      </c>
      <c r="EK55" s="308">
        <v>3</v>
      </c>
      <c r="EL55" s="308">
        <v>2</v>
      </c>
      <c r="EM55" s="308">
        <v>2</v>
      </c>
      <c r="EN55" s="308">
        <v>2</v>
      </c>
      <c r="EO55" s="308">
        <v>2</v>
      </c>
      <c r="EP55" s="308">
        <v>3</v>
      </c>
      <c r="EQ55" s="308">
        <v>3</v>
      </c>
      <c r="ER55" s="308">
        <v>3</v>
      </c>
      <c r="ES55" s="308">
        <v>3</v>
      </c>
      <c r="ET55" s="308">
        <v>3</v>
      </c>
      <c r="EU55" s="308">
        <v>3</v>
      </c>
      <c r="EV55" s="308">
        <v>3</v>
      </c>
      <c r="EW55" s="308">
        <v>2</v>
      </c>
      <c r="EX55" s="308">
        <v>3</v>
      </c>
      <c r="EY55" s="308">
        <v>2</v>
      </c>
      <c r="EZ55" s="308">
        <v>2</v>
      </c>
      <c r="FA55" s="308">
        <v>1</v>
      </c>
      <c r="FB55" s="308">
        <v>1</v>
      </c>
      <c r="FC55" s="308" t="s">
        <v>176</v>
      </c>
      <c r="FD55" s="308">
        <v>2</v>
      </c>
      <c r="FE55" s="308">
        <v>2</v>
      </c>
      <c r="FF55" s="308">
        <v>2</v>
      </c>
      <c r="FG55" s="308">
        <v>2</v>
      </c>
      <c r="FH55" s="308">
        <v>2</v>
      </c>
      <c r="FI55" s="308">
        <v>2</v>
      </c>
      <c r="FJ55" s="308">
        <v>3</v>
      </c>
      <c r="FK55" s="308">
        <v>3</v>
      </c>
      <c r="FL55" s="308">
        <v>2</v>
      </c>
      <c r="FM55" s="308">
        <v>2</v>
      </c>
      <c r="FN55" s="308">
        <v>3</v>
      </c>
      <c r="FO55" s="308">
        <v>2</v>
      </c>
      <c r="FP55" s="308">
        <v>2</v>
      </c>
      <c r="FQ55" s="308" t="s">
        <v>176</v>
      </c>
      <c r="FR55" s="308"/>
      <c r="FS55" s="308" t="s">
        <v>176</v>
      </c>
      <c r="FT55" s="308" t="s">
        <v>176</v>
      </c>
      <c r="FU55" s="308" t="s">
        <v>176</v>
      </c>
      <c r="FV55" s="308" t="s">
        <v>176</v>
      </c>
      <c r="FW55" s="308" t="s">
        <v>176</v>
      </c>
      <c r="FX55" s="308" t="s">
        <v>176</v>
      </c>
      <c r="FY55" s="308" t="s">
        <v>176</v>
      </c>
      <c r="FZ55" s="308" t="s">
        <v>176</v>
      </c>
      <c r="GA55" s="308" t="s">
        <v>176</v>
      </c>
      <c r="GB55" s="308" t="s">
        <v>176</v>
      </c>
      <c r="GC55" s="308" t="s">
        <v>176</v>
      </c>
      <c r="GD55" s="308" t="s">
        <v>176</v>
      </c>
      <c r="GE55" s="308" t="s">
        <v>176</v>
      </c>
      <c r="GF55" s="308"/>
      <c r="GG55" s="308"/>
      <c r="GH55" s="308" t="s">
        <v>176</v>
      </c>
      <c r="GI55" s="308" t="s">
        <v>176</v>
      </c>
      <c r="GJ55" s="308"/>
      <c r="GK55" s="308"/>
      <c r="GL55" s="329">
        <f>SUM(G55:FP55)</f>
        <v>119</v>
      </c>
      <c r="GM55" s="132"/>
    </row>
    <row r="56" spans="1:195" s="187" customFormat="1" ht="28.35" customHeight="1" thickBot="1" x14ac:dyDescent="0.3">
      <c r="A56" s="138" t="str">
        <f>A55</f>
        <v>Serwis form-Tooling</v>
      </c>
      <c r="B56" s="138" t="str">
        <f>B55</f>
        <v>Teamleader Serwisu Form</v>
      </c>
      <c r="C56" s="138" t="str">
        <f>C55</f>
        <v>KC</v>
      </c>
      <c r="D56" s="138">
        <f>D55</f>
        <v>1280</v>
      </c>
      <c r="E56" s="566" t="str">
        <f>E55</f>
        <v>Balejko Mariusz</v>
      </c>
      <c r="F56" s="312" t="s">
        <v>166</v>
      </c>
      <c r="G56" s="330">
        <f>IF(INDEX(tab_MinKomp[Przepisy BHP / BHP Vorschriften],MATCH($B55,tab_MinKomp[[Stanowisko / Position ]:[Stanowisko / Position ]],0))="n/a","n/a",G55-INDEX(tab_MinKomp[Przepisy BHP / BHP Vorschriften],MATCH($B55,tab_MinKomp[[Stanowisko / Position ]:[Stanowisko / Position ]],0)))</f>
        <v>0</v>
      </c>
      <c r="H56" s="330">
        <f>IF(INDEX(tab_MinKomp[Przepisy PPOŻ / Brandschutzbestimmungen],MATCH($B55,tab_MinKomp[[Stanowisko / Position ]:[Stanowisko / Position ]],0))="n/a","n/a",H55-INDEX(tab_MinKomp[Przepisy PPOŻ / Brandschutzbestimmungen],MATCH($B55,tab_MinKomp[[Stanowisko / Position ]:[Stanowisko / Position ]],0)))</f>
        <v>0</v>
      </c>
      <c r="I56" s="330">
        <f>IF(INDEX(tab_MinKomp[Ryzyko zawodowe na stanowiskach pracyv/ Berufliche Risiken an Arbeitsstellen],MATCH($B55,tab_MinKomp[[Stanowisko / Position ]:[Stanowisko / Position ]],0))="n/a","n/a",I55-INDEX(tab_MinKomp[Ryzyko zawodowe na stanowiskach pracyv/ Berufliche Risiken an Arbeitsstellen],MATCH($B55,tab_MinKomp[[Stanowisko / Position ]:[Stanowisko / Position ]],0)))</f>
        <v>0</v>
      </c>
      <c r="J56" s="330">
        <f>IF(INDEX(tab_MinKomp[Gospodarka substancjami niebezpiecznymi / Gefahrstoffmanagement],MATCH($B55,tab_MinKomp[[Stanowisko / Position ]:[Stanowisko / Position ]],0))="n/a","n/a",J55-INDEX(tab_MinKomp[Gospodarka substancjami niebezpiecznymi / Gefahrstoffmanagement],MATCH($B55,tab_MinKomp[[Stanowisko / Position ]:[Stanowisko / Position ]],0)))</f>
        <v>0</v>
      </c>
      <c r="K56" s="330">
        <f>IF(INDEX(tab_MinKomp[Gospodarka odpadami / Abfallwirtschaft],MATCH($B55,tab_MinKomp[[Stanowisko / Position ]:[Stanowisko / Position ]],0))="n/a","n/a",K55-INDEX(tab_MinKomp[Gospodarka odpadami / Abfallwirtschaft],MATCH($B55,tab_MinKomp[[Stanowisko / Position ]:[Stanowisko / Position ]],0)))</f>
        <v>0</v>
      </c>
      <c r="L56" s="330">
        <f>IF(INDEX(tab_MinKomp[Przepisy kodeksu pracy / Bestimmungen des Arbeitsgesetzes],MATCH($B55,tab_MinKomp[[Stanowisko / Position ]:[Stanowisko / Position ]],0))="n/a","n/a",L55-INDEX(tab_MinKomp[Przepisy kodeksu pracy / Bestimmungen des Arbeitsgesetzes],MATCH($B55,tab_MinKomp[[Stanowisko / Position ]:[Stanowisko / Position ]],0)))</f>
        <v>0</v>
      </c>
      <c r="M56" s="330" t="str">
        <f>IF(INDEX(tab_MinKomp[Przepisy o ub.społ. ZUS  / Sozialversicherungsvorschriften],MATCH($B55,tab_MinKomp[[Stanowisko / Position ]:[Stanowisko / Position ]],0))="n/a","n/a",M55-INDEX(tab_MinKomp[Przepisy o ub.społ. ZUS  / Sozialversicherungsvorschriften],MATCH($B55,tab_MinKomp[[Stanowisko / Position ]:[Stanowisko / Position ]],0)))</f>
        <v>n/a</v>
      </c>
      <c r="N56" s="330" t="str">
        <f>IF(INDEX(tab_MinKomp[PRZEPISY O PDOF /persönlich Einkommensteuergesetz ],MATCH($B55,tab_MinKomp[[Stanowisko / Position ]:[Stanowisko / Position ]],0))="n/a","n/a",N55-INDEX(tab_MinKomp[PRZEPISY O PDOF /persönlich Einkommensteuergesetz ],MATCH($B55,tab_MinKomp[[Stanowisko / Position ]:[Stanowisko / Position ]],0)))</f>
        <v>n/a</v>
      </c>
      <c r="O56" s="330">
        <f>IF(INDEX(tab_MinKomp[Regulamin pracy / Arbeitsordnung],MATCH($B55,tab_MinKomp[[Stanowisko / Position ]:[Stanowisko / Position ]],0))="n/a","n/a",O55-INDEX(tab_MinKomp[Regulamin pracy / Arbeitsordnung],MATCH($B55,tab_MinKomp[[Stanowisko / Position ]:[Stanowisko / Position ]],0)))</f>
        <v>0</v>
      </c>
      <c r="P56" s="330">
        <f>IF(INDEX(tab_MinKomp[Regulamin wynagradzania / Vergütungsordnung],MATCH($B55,tab_MinKomp[[Stanowisko / Position ]:[Stanowisko / Position ]],0))="n/a","n/a",P55-INDEX(tab_MinKomp[Regulamin wynagradzania / Vergütungsordnung],MATCH($B55,tab_MinKomp[[Stanowisko / Position ]:[Stanowisko / Position ]],0)))</f>
        <v>0</v>
      </c>
      <c r="Q56" s="330" t="str">
        <f>IF(INDEX(tab_MinKomp[System R2PŁATNIK PRO: Płace / Lohnabrechnung],MATCH($B55,tab_MinKomp[[Stanowisko / Position ]:[Stanowisko / Position ]],0))="n/a","n/a",Q55-INDEX(tab_MinKomp[System R2PŁATNIK PRO: Płace / Lohnabrechnung],MATCH($B55,tab_MinKomp[[Stanowisko / Position ]:[Stanowisko / Position ]],0)))</f>
        <v>n/a</v>
      </c>
      <c r="R56" s="330" t="str">
        <f>IF(INDEX(tab_MinKomp[SystemR2PŁATNIK PRO: KADRY / Personaldaten],MATCH($B55,tab_MinKomp[[Stanowisko / Position ]:[Stanowisko / Position ]],0))="n/a","n/a",R55-INDEX(tab_MinKomp[SystemR2PŁATNIK PRO: KADRY / Personaldaten],MATCH($B55,tab_MinKomp[[Stanowisko / Position ]:[Stanowisko / Position ]],0)))</f>
        <v>n/a</v>
      </c>
      <c r="S56" s="330" t="str">
        <f>IF(INDEX(tab_MinKomp[SYSTEM R2PŁATNIK PRO: zarządzanie pracownikami / Arbeitsverwaltung],MATCH($B55,tab_MinKomp[[Stanowisko / Position ]:[Stanowisko / Position ]],0))="n/a","n/a",S55-INDEX(tab_MinKomp[SYSTEM R2PŁATNIK PRO: zarządzanie pracownikami / Arbeitsverwaltung],MATCH($B55,tab_MinKomp[[Stanowisko / Position ]:[Stanowisko / Position ]],0)))</f>
        <v>n/a</v>
      </c>
      <c r="T56" s="330">
        <f>IF(INDEX(tab_MinKomp[Doradztwo, wsparcie personalne / Personalberatung und Unterstützung],MATCH($B55,tab_MinKomp[[Stanowisko / Position ]:[Stanowisko / Position ]],0))="n/a","n/a",T55-INDEX(tab_MinKomp[Doradztwo, wsparcie personalne / Personalberatung und Unterstützung],MATCH($B55,tab_MinKomp[[Stanowisko / Position ]:[Stanowisko / Position ]],0)))</f>
        <v>0</v>
      </c>
      <c r="U56" s="330" t="str">
        <f>IF(INDEX(tab_MinKomp[Przepisy o podatku VAT / MwSt.- Gesetz],MATCH($B55,tab_MinKomp[[Stanowisko / Position ]:[Stanowisko / Position ]],0))="n/a","n/a",U55-INDEX(tab_MinKomp[Przepisy o podatku VAT / MwSt.- Gesetz],MATCH($B55,tab_MinKomp[[Stanowisko / Position ]:[Stanowisko / Position ]],0)))</f>
        <v>n/a</v>
      </c>
      <c r="V56" s="330" t="str">
        <f>IF(INDEX(tab_MinKomp[PrzepisyPDOP / geschäftlich Einkommensteuergesetz],MATCH($B55,tab_MinKomp[[Stanowisko / Position ]:[Stanowisko / Position ]],0))="n/a","n/a",V55-INDEX(tab_MinKomp[PrzepisyPDOP / geschäftlich Einkommensteuergesetz],MATCH($B55,tab_MinKomp[[Stanowisko / Position ]:[Stanowisko / Position ]],0)))</f>
        <v>n/a</v>
      </c>
      <c r="W56" s="330" t="str">
        <f>IF(INDEX(tab_MinKomp[System BAAN / FINANSE (FIBU)],MATCH($B55,tab_MinKomp[[Stanowisko / Position ]:[Stanowisko / Position ]],0))="n/a","n/a",W55-INDEX(tab_MinKomp[System BAAN / FINANSE (FIBU)],MATCH($B55,tab_MinKomp[[Stanowisko / Position ]:[Stanowisko / Position ]],0)))</f>
        <v>n/a</v>
      </c>
      <c r="X56" s="330" t="str">
        <f>IF(INDEX(tab_MinKomp[Systemy pomocnicze / Hilfssysteme(STOCKPROGRAM, KALK2000 etc.)],MATCH($B55,tab_MinKomp[[Stanowisko / Position ]:[Stanowisko / Position ]],0))="n/a","n/a",X55-INDEX(tab_MinKomp[Systemy pomocnicze / Hilfssysteme(STOCKPROGRAM, KALK2000 etc.)],MATCH($B55,tab_MinKomp[[Stanowisko / Position ]:[Stanowisko / Position ]],0)))</f>
        <v>n/a</v>
      </c>
      <c r="Y56" s="330" t="str">
        <f>IF(INDEX(tab_MinKomp[Polityka rachunkowości / Buchführungspolitik],MATCH($B55,tab_MinKomp[[Stanowisko / Position ]:[Stanowisko / Position ]],0))="n/a","n/a",Y55-INDEX(tab_MinKomp[Polityka rachunkowości / Buchführungspolitik],MATCH($B55,tab_MinKomp[[Stanowisko / Position ]:[Stanowisko / Position ]],0)))</f>
        <v>n/a</v>
      </c>
      <c r="Z56" s="330" t="str">
        <f>IF(INDEX(tab_MinKomp[Ustawa o rachunkowości / Rechnungslegungsgesetz],MATCH($B55,tab_MinKomp[[Stanowisko / Position ]:[Stanowisko / Position ]],0))="n/a","n/a",Z55-INDEX(tab_MinKomp[Ustawa o rachunkowości / Rechnungslegungsgesetz],MATCH($B55,tab_MinKomp[[Stanowisko / Position ]:[Stanowisko / Position ]],0)))</f>
        <v>n/a</v>
      </c>
      <c r="AA56" s="330" t="str">
        <f>IF(INDEX(tab_MinKomp[WORKFLOW - TS-100],MATCH($B55,tab_MinKomp[[Stanowisko / Position ]:[Stanowisko / Position ]],0))="n/a","n/a",AA55-INDEX(tab_MinKomp[WORKFLOW - TS-100],MATCH($B55,tab_MinKomp[[Stanowisko / Position ]:[Stanowisko / Position ]],0)))</f>
        <v>n/a</v>
      </c>
      <c r="AB56" s="330">
        <f>IF(INDEX(tab_MinKomp[WORKFLOW - SFMS],MATCH($B55,tab_MinKomp[[Stanowisko / Position ]:[Stanowisko / Position ]],0))="n/a","n/a",AB55-INDEX(tab_MinKomp[WORKFLOW - SFMS],MATCH($B55,tab_MinKomp[[Stanowisko / Position ]:[Stanowisko / Position ]],0)))</f>
        <v>0</v>
      </c>
      <c r="AC56" s="330">
        <f>IF(INDEX(tab_MinKomp[System ISO 9001:2015],MATCH($B55,tab_MinKomp[[Stanowisko / Position ]:[Stanowisko / Position ]],0))="n/a","n/a",AC55-INDEX(tab_MinKomp[System ISO 9001:2015],MATCH($B55,tab_MinKomp[[Stanowisko / Position ]:[Stanowisko / Position ]],0)))</f>
        <v>-1</v>
      </c>
      <c r="AD56" s="330">
        <f>IF(INDEX(tab_MinKomp[System IATF 16949:2016],MATCH($B55,tab_MinKomp[[Stanowisko / Position ]:[Stanowisko / Position ]],0))="n/a","n/a",AD55-INDEX(tab_MinKomp[System IATF 16949:2016],MATCH($B55,tab_MinKomp[[Stanowisko / Position ]:[Stanowisko / Position ]],0)))</f>
        <v>0</v>
      </c>
      <c r="AE56" s="330">
        <f>IF(INDEX(tab_MinKomp[System ISO 14001:2015],MATCH($B55,tab_MinKomp[[Stanowisko / Position ]:[Stanowisko / Position ]],0))="n/a","n/a",AE55-INDEX(tab_MinKomp[System ISO 14001:2015],MATCH($B55,tab_MinKomp[[Stanowisko / Position ]:[Stanowisko / Position ]],0)))</f>
        <v>-1</v>
      </c>
      <c r="AF56" s="330">
        <f>IF(INDEX(tab_MinKomp[System PN-N 18001:2004 / ISO 45001:2018],MATCH($B55,tab_MinKomp[[Stanowisko / Position ]:[Stanowisko / Position ]],0))="n/a","n/a",AF55-INDEX(tab_MinKomp[System PN-N 18001:2004 / ISO 45001:2018],MATCH($B55,tab_MinKomp[[Stanowisko / Position ]:[Stanowisko / Position ]],0)))</f>
        <v>-1</v>
      </c>
      <c r="AG56" s="330" t="str">
        <f>IF(INDEX(tab_MinKomp[Wymagania VDA 6.3 Process / Forderungen],MATCH($B55,tab_MinKomp[[Stanowisko / Position ]:[Stanowisko / Position ]],0))="n/a","n/a",AG55-INDEX(tab_MinKomp[Wymagania VDA 6.3 Process / Forderungen],MATCH($B55,tab_MinKomp[[Stanowisko / Position ]:[Stanowisko / Position ]],0)))</f>
        <v>n/a</v>
      </c>
      <c r="AH56" s="330" t="str">
        <f>IF(INDEX(tab_MinKomp[Wymagania VDA 6.5 Product / Forderungen],MATCH($B55,tab_MinKomp[[Stanowisko / Position ]:[Stanowisko / Position ]],0))="n/a","n/a",AH55-INDEX(tab_MinKomp[Wymagania VDA 6.5 Product / Forderungen],MATCH($B55,tab_MinKomp[[Stanowisko / Position ]:[Stanowisko / Position ]],0)))</f>
        <v>n/a</v>
      </c>
      <c r="AI56" s="330" t="str">
        <f>IF(INDEX(tab_MinKomp[PSCR (VW Product Safety &amp; Conformity Representative)],MATCH($B55,tab_MinKomp[[Stanowisko / Position ]:[Stanowisko / Position ]],0))="n/a","n/a",AI55-INDEX(tab_MinKomp[PSCR (VW Product Safety &amp; Conformity Representative)],MATCH($B55,tab_MinKomp[[Stanowisko / Position ]:[Stanowisko / Position ]],0)))</f>
        <v>n/a</v>
      </c>
      <c r="AJ56" s="330" t="str">
        <f>IF(INDEX(tab_MinKomp[Auditor systemu ISO 17025:2018],MATCH($B55,tab_MinKomp[[Stanowisko / Position ]:[Stanowisko / Position ]],0))="n/a","n/a",AJ55-INDEX(tab_MinKomp[Auditor systemu ISO 17025:2018],MATCH($B55,tab_MinKomp[[Stanowisko / Position ]:[Stanowisko / Position ]],0)))</f>
        <v>n/a</v>
      </c>
      <c r="AK56" s="330" t="str">
        <f>IF(INDEX(tab_MinKomp[Pełnomocnik systemu / Systemvertreter],MATCH($B55,tab_MinKomp[[Stanowisko / Position ]:[Stanowisko / Position ]],0))="n/a","n/a",AK55-INDEX(tab_MinKomp[Pełnomocnik systemu / Systemvertreter],MATCH($B55,tab_MinKomp[[Stanowisko / Position ]:[Stanowisko / Position ]],0)))</f>
        <v>n/a</v>
      </c>
      <c r="AL56" s="330">
        <f>IF(INDEX(tab_MinKomp[Polityka Etyczna - Compliance],MATCH($B55,tab_MinKomp[[Stanowisko / Position ]:[Stanowisko / Position ]],0))="n/a","n/a",AL55-INDEX(tab_MinKomp[Polityka Etyczna - Compliance],MATCH($B55,tab_MinKomp[[Stanowisko / Position ]:[Stanowisko / Position ]],0)))</f>
        <v>-1</v>
      </c>
      <c r="AM56" s="330">
        <f>IF(INDEX(tab_MinKomp[WDRAŻANIE NOWYCH PROJEKTÓW/ PROCEDURA CTM],MATCH($B55,tab_MinKomp[[Stanowisko / Position ]:[Stanowisko / Position ]],0))="n/a","n/a",AM55-INDEX(tab_MinKomp[WDRAŻANIE NOWYCH PROJEKTÓW/ PROCEDURA CTM],MATCH($B55,tab_MinKomp[[Stanowisko / Position ]:[Stanowisko / Position ]],0)))</f>
        <v>-1</v>
      </c>
      <c r="AN56" s="330" t="str">
        <f>IF(INDEX(tab_MinKomp[KAMIENIE MILOWE MSL/PIFF],MATCH($B55,tab_MinKomp[[Stanowisko / Position ]:[Stanowisko / Position ]],0))="n/a","n/a",AN55-INDEX(tab_MinKomp[KAMIENIE MILOWE MSL/PIFF],MATCH($B55,tab_MinKomp[[Stanowisko / Position ]:[Stanowisko / Position ]],0)))</f>
        <v>n/a</v>
      </c>
      <c r="AO56" s="330" t="str">
        <f>IF(INDEX(tab_MinKomp[CP],MATCH($B55,tab_MinKomp[[Stanowisko / Position ]:[Stanowisko / Position ]],0))="n/a","n/a",AO55-INDEX(tab_MinKomp[CP],MATCH($B55,tab_MinKomp[[Stanowisko / Position ]:[Stanowisko / Position ]],0)))</f>
        <v>n/a</v>
      </c>
      <c r="AP56" s="330" t="str">
        <f>IF(INDEX(tab_MinKomp[FMEA],MATCH($B55,tab_MinKomp[[Stanowisko / Position ]:[Stanowisko / Position ]],0))="n/a","n/a",AP55-INDEX(tab_MinKomp[FMEA],MATCH($B55,tab_MinKomp[[Stanowisko / Position ]:[Stanowisko / Position ]],0)))</f>
        <v>n/a</v>
      </c>
      <c r="AQ56" s="330" t="str">
        <f>IF(INDEX(tab_MinKomp[FLOW CHART],MATCH($B55,tab_MinKomp[[Stanowisko / Position ]:[Stanowisko / Position ]],0))="n/a","n/a",AQ55-INDEX(tab_MinKomp[FLOW CHART],MATCH($B55,tab_MinKomp[[Stanowisko / Position ]:[Stanowisko / Position ]],0)))</f>
        <v>n/a</v>
      </c>
      <c r="AR56" s="330" t="str">
        <f>IF(INDEX(tab_MinKomp[APQP],MATCH($B55,tab_MinKomp[[Stanowisko / Position ]:[Stanowisko / Position ]],0))="n/a","n/a",AR55-INDEX(tab_MinKomp[APQP],MATCH($B55,tab_MinKomp[[Stanowisko / Position ]:[Stanowisko / Position ]],0)))</f>
        <v>n/a</v>
      </c>
      <c r="AS56" s="330" t="str">
        <f>IF(INDEX(tab_MinKomp[MSA],MATCH($B55,tab_MinKomp[[Stanowisko / Position ]:[Stanowisko / Position ]],0))="n/a","n/a",AS55-INDEX(tab_MinKomp[MSA],MATCH($B55,tab_MinKomp[[Stanowisko / Position ]:[Stanowisko / Position ]],0)))</f>
        <v>n/a</v>
      </c>
      <c r="AT56" s="330" t="str">
        <f>IF(INDEX(tab_MinKomp[SPC],MATCH($B55,tab_MinKomp[[Stanowisko / Position ]:[Stanowisko / Position ]],0))="n/a","n/a",AT55-INDEX(tab_MinKomp[SPC],MATCH($B55,tab_MinKomp[[Stanowisko / Position ]:[Stanowisko / Position ]],0)))</f>
        <v>n/a</v>
      </c>
      <c r="AU56" s="330" t="str">
        <f>IF(INDEX(tab_MinKomp[CSR (SPECYFICZNE WYMAGANIA KLIENTA)],MATCH($B55,tab_MinKomp[[Stanowisko / Position ]:[Stanowisko / Position ]],0))="n/a","n/a",AU55-INDEX(tab_MinKomp[CSR (SPECYFICZNE WYMAGANIA KLIENTA)],MATCH($B55,tab_MinKomp[[Stanowisko / Position ]:[Stanowisko / Position ]],0)))</f>
        <v>n/a</v>
      </c>
      <c r="AV56" s="330">
        <f>IF(INDEX(tab_MinKomp[5S],MATCH($B55,tab_MinKomp[[Stanowisko / Position ]:[Stanowisko / Position ]],0))="n/a","n/a",AV55-INDEX(tab_MinKomp[5S],MATCH($B55,tab_MinKomp[[Stanowisko / Position ]:[Stanowisko / Position ]],0)))</f>
        <v>0</v>
      </c>
      <c r="AW56" s="330">
        <f>IF(INDEX(tab_MinKomp[LEAN MANAGEMENT],MATCH($B55,tab_MinKomp[[Stanowisko / Position ]:[Stanowisko / Position ]],0))="n/a","n/a",AW55-INDEX(tab_MinKomp[LEAN MANAGEMENT],MATCH($B55,tab_MinKomp[[Stanowisko / Position ]:[Stanowisko / Position ]],0)))</f>
        <v>0</v>
      </c>
      <c r="AX56" s="330">
        <f>IF(INDEX(tab_MinKomp[5R],MATCH($B55,tab_MinKomp[[Stanowisko / Position ]:[Stanowisko / Position ]],0))="n/a","n/a",AX55-INDEX(tab_MinKomp[5R],MATCH($B55,tab_MinKomp[[Stanowisko / Position ]:[Stanowisko / Position ]],0)))</f>
        <v>0</v>
      </c>
      <c r="AY56" s="330" t="str">
        <f>IF(INDEX(tab_MinKomp[Six Sigma],MATCH($B55,tab_MinKomp[[Stanowisko / Position ]:[Stanowisko / Position ]],0))="n/a","n/a",AY55-INDEX(tab_MinKomp[Six Sigma],MATCH($B55,tab_MinKomp[[Stanowisko / Position ]:[Stanowisko / Position ]],0)))</f>
        <v>n/a</v>
      </c>
      <c r="AZ56" s="330" t="str">
        <f>IF(INDEX(tab_MinKomp[System BAAN / Distribution &amp; Supply Chain],MATCH($B55,tab_MinKomp[[Stanowisko / Position ]:[Stanowisko / Position ]],0))="n/a","n/a",AZ55-INDEX(tab_MinKomp[System BAAN / Distribution &amp; Supply Chain],MATCH($B55,tab_MinKomp[[Stanowisko / Position ]:[Stanowisko / Position ]],0)))</f>
        <v>n/a</v>
      </c>
      <c r="BA56" s="330" t="str">
        <f>IF(INDEX(tab_MinKomp[Gospodarka magazynowa / Lagerverwaltung],MATCH($B55,tab_MinKomp[[Stanowisko / Position ]:[Stanowisko / Position ]],0))="n/a","n/a",BA55-INDEX(tab_MinKomp[Gospodarka magazynowa / Lagerverwaltung],MATCH($B55,tab_MinKomp[[Stanowisko / Position ]:[Stanowisko / Position ]],0)))</f>
        <v>n/a</v>
      </c>
      <c r="BB56" s="330">
        <f>IF(INDEX(tab_MinKomp[Inwentaryzacja - organizacja i przebieg / Inventurprozess],MATCH($B55,tab_MinKomp[[Stanowisko / Position ]:[Stanowisko / Position ]],0))="n/a","n/a",BB55-INDEX(tab_MinKomp[Inwentaryzacja - organizacja i przebieg / Inventurprozess],MATCH($B55,tab_MinKomp[[Stanowisko / Position ]:[Stanowisko / Position ]],0)))</f>
        <v>-1</v>
      </c>
      <c r="BC56" s="330" t="str">
        <f>IF(INDEX(tab_MinKomp[Organizacja dostaw / Versorgungsorganisation],MATCH($B55,tab_MinKomp[[Stanowisko / Position ]:[Stanowisko / Position ]],0))="n/a","n/a",BC55-INDEX(tab_MinKomp[Organizacja dostaw / Versorgungsorganisation],MATCH($B55,tab_MinKomp[[Stanowisko / Position ]:[Stanowisko / Position ]],0)))</f>
        <v>n/a</v>
      </c>
      <c r="BD56" s="330" t="str">
        <f>IF(INDEX(tab_MinKomp[Organizacja wysyłek / Organisation von Lieferungen],MATCH($B55,tab_MinKomp[[Stanowisko / Position ]:[Stanowisko / Position ]],0))="n/a","n/a",BD55-INDEX(tab_MinKomp[Organizacja wysyłek / Organisation von Lieferungen],MATCH($B55,tab_MinKomp[[Stanowisko / Position ]:[Stanowisko / Position ]],0)))</f>
        <v>n/a</v>
      </c>
      <c r="BE56" s="330" t="str">
        <f>IF(INDEX(tab_MinKomp[Analiza magazynowa - Program Polen.mdb / Inventuranalyse],MATCH($B55,tab_MinKomp[[Stanowisko / Position ]:[Stanowisko / Position ]],0))="n/a","n/a",BE55-INDEX(tab_MinKomp[Analiza magazynowa - Program Polen.mdb / Inventuranalyse],MATCH($B55,tab_MinKomp[[Stanowisko / Position ]:[Stanowisko / Position ]],0)))</f>
        <v>n/a</v>
      </c>
      <c r="BF56" s="330" t="str">
        <f>IF(INDEX(tab_MinKomp[MMOG (Materials Management Operations Guidelines)],MATCH($B55,tab_MinKomp[[Stanowisko / Position ]:[Stanowisko / Position ]],0))="n/a","n/a",BF55-INDEX(tab_MinKomp[MMOG (Materials Management Operations Guidelines)],MATCH($B55,tab_MinKomp[[Stanowisko / Position ]:[Stanowisko / Position ]],0)))</f>
        <v>n/a</v>
      </c>
      <c r="BG56" s="330" t="str">
        <f>IF(INDEX(tab_MinKomp[DETC],MATCH($B55,tab_MinKomp[[Stanowisko / Position ]:[Stanowisko / Position ]],0))="n/a","n/a",BG55-INDEX(tab_MinKomp[DETC],MATCH($B55,tab_MinKomp[[Stanowisko / Position ]:[Stanowisko / Position ]],0)))</f>
        <v>n/a</v>
      </c>
      <c r="BH56" s="330" t="str">
        <f>IF(INDEX(tab_MinKomp[GPP],MATCH($B55,tab_MinKomp[[Stanowisko / Position ]:[Stanowisko / Position ]],0))="n/a","n/a",BH55-INDEX(tab_MinKomp[GPP],MATCH($B55,tab_MinKomp[[Stanowisko / Position ]:[Stanowisko / Position ]],0)))</f>
        <v>n/a</v>
      </c>
      <c r="BI56" s="330" t="str">
        <f>IF(INDEX(tab_MinKomp[AIAG (Automotive Industry Action Group)],MATCH($B55,tab_MinKomp[[Stanowisko / Position ]:[Stanowisko / Position ]],0))="n/a","n/a",BI55-INDEX(tab_MinKomp[AIAG (Automotive Industry Action Group)],MATCH($B55,tab_MinKomp[[Stanowisko / Position ]:[Stanowisko / Position ]],0)))</f>
        <v>n/a</v>
      </c>
      <c r="BJ56" s="330" t="str">
        <f>IF(INDEX(tab_MinKomp[Super-G disputes],MATCH($B55,tab_MinKomp[[Stanowisko / Position ]:[Stanowisko / Position ]],0))="n/a","n/a",BJ55-INDEX(tab_MinKomp[Super-G disputes],MATCH($B55,tab_MinKomp[[Stanowisko / Position ]:[Stanowisko / Position ]],0)))</f>
        <v>n/a</v>
      </c>
      <c r="BK56" s="330" t="str">
        <f>IF(INDEX(tab_MinKomp[CMMS3/eDDL (Direct Data Link)],MATCH($B55,tab_MinKomp[[Stanowisko / Position ]:[Stanowisko / Position ]],0))="n/a","n/a",BK55-INDEX(tab_MinKomp[CMMS3/eDDL (Direct Data Link)],MATCH($B55,tab_MinKomp[[Stanowisko / Position ]:[Stanowisko / Position ]],0)))</f>
        <v>n/a</v>
      </c>
      <c r="BL56" s="330" t="str">
        <f>IF(INDEX(tab_MinKomp[MP&amp;L (Material Planning and Logistics)],MATCH($B55,tab_MinKomp[[Stanowisko / Position ]:[Stanowisko / Position ]],0))="n/a","n/a",BL55-INDEX(tab_MinKomp[MP&amp;L (Material Planning and Logistics)],MATCH($B55,tab_MinKomp[[Stanowisko / Position ]:[Stanowisko / Position ]],0)))</f>
        <v>n/a</v>
      </c>
      <c r="BM56" s="330">
        <f>IF(INDEX(tab_MinKomp[Planowanie produkcji / Produktionsplanung],MATCH($B55,tab_MinKomp[[Stanowisko / Position ]:[Stanowisko / Position ]],0))="n/a","n/a",BM55-INDEX(tab_MinKomp[Planowanie produkcji / Produktionsplanung],MATCH($B55,tab_MinKomp[[Stanowisko / Position ]:[Stanowisko / Position ]],0)))</f>
        <v>-1</v>
      </c>
      <c r="BN56" s="330">
        <f>IF(INDEX(tab_MinKomp[Obsługa maszyn Engel / Engel Maschinenbedienung],MATCH($B55,tab_MinKomp[[Stanowisko / Position ]:[Stanowisko / Position ]],0))="n/a","n/a",BN55-INDEX(tab_MinKomp[Obsługa maszyn Engel / Engel Maschinenbedienung],MATCH($B55,tab_MinKomp[[Stanowisko / Position ]:[Stanowisko / Position ]],0)))</f>
        <v>-1</v>
      </c>
      <c r="BO56" s="330">
        <f>IF(INDEX(tab_MinKomp[Obsługa maszyn Novapax / Novapax Maschinenbedienung],MATCH($B55,tab_MinKomp[[Stanowisko / Position ]:[Stanowisko / Position ]],0))="n/a","n/a",BO55-INDEX(tab_MinKomp[Obsługa maszyn Novapax / Novapax Maschinenbedienung],MATCH($B55,tab_MinKomp[[Stanowisko / Position ]:[Stanowisko / Position ]],0)))</f>
        <v>-1</v>
      </c>
      <c r="BP56" s="330" t="str">
        <f>IF(INDEX(tab_MinKomp[Obsługa maszyn KVT / KVT Maschinenbedienung],MATCH($B55,tab_MinKomp[[Stanowisko / Position ]:[Stanowisko / Position ]],0))="n/a","n/a",BP55-INDEX(tab_MinKomp[Obsługa maszyn KVT / KVT Maschinenbedienung],MATCH($B55,tab_MinKomp[[Stanowisko / Position ]:[Stanowisko / Position ]],0)))</f>
        <v>n/a</v>
      </c>
      <c r="BQ56" s="330" t="str">
        <f>IF(INDEX(tab_MinKomp[Obsługa maszyn ASL / ASL Maschinenbedienung],MATCH($B55,tab_MinKomp[[Stanowisko / Position ]:[Stanowisko / Position ]],0))="n/a","n/a",BQ55-INDEX(tab_MinKomp[Obsługa maszyn ASL / ASL Maschinenbedienung],MATCH($B55,tab_MinKomp[[Stanowisko / Position ]:[Stanowisko / Position ]],0)))</f>
        <v>n/a</v>
      </c>
      <c r="BR56" s="330" t="str">
        <f>IF(INDEX(tab_MinKomp[Obsługa maszyn Branson / Branson Maschinenbedienung],MATCH($B55,tab_MinKomp[[Stanowisko / Position ]:[Stanowisko / Position ]],0))="n/a","n/a",BR55-INDEX(tab_MinKomp[Obsługa maszyn Branson / Branson Maschinenbedienung],MATCH($B55,tab_MinKomp[[Stanowisko / Position ]:[Stanowisko / Position ]],0)))</f>
        <v>n/a</v>
      </c>
      <c r="BS56" s="330" t="str">
        <f>IF(INDEX(tab_MinKomp[Obsługa maszyn Kamtec / Kamtec Maschinenbedienung],MATCH($B55,tab_MinKomp[[Stanowisko / Position ]:[Stanowisko / Position ]],0))="n/a","n/a",BS55-INDEX(tab_MinKomp[Obsługa maszyn Kamtec / Kamtec Maschinenbedienung],MATCH($B55,tab_MinKomp[[Stanowisko / Position ]:[Stanowisko / Position ]],0)))</f>
        <v>n/a</v>
      </c>
      <c r="BT56" s="330">
        <f>IF(INDEX(tab_MinKomp[Obsługa maszyn Piovan / Piovan Maschinenbedienung],MATCH($B55,tab_MinKomp[[Stanowisko / Position ]:[Stanowisko / Position ]],0))="n/a","n/a",BT55-INDEX(tab_MinKomp[Obsługa maszyn Piovan / Piovan Maschinenbedienung],MATCH($B55,tab_MinKomp[[Stanowisko / Position ]:[Stanowisko / Position ]],0)))</f>
        <v>-1</v>
      </c>
      <c r="BU56" s="330">
        <f>IF(INDEX(tab_MinKomp[Obsługa maszyn REP / REP Maschinenbedienung],MATCH($B55,tab_MinKomp[[Stanowisko / Position ]:[Stanowisko / Position ]],0))="n/a","n/a",BU55-INDEX(tab_MinKomp[Obsługa maszyn REP / REP Maschinenbedienung],MATCH($B55,tab_MinKomp[[Stanowisko / Position ]:[Stanowisko / Position ]],0)))</f>
        <v>-1</v>
      </c>
      <c r="BV56" s="330">
        <f>IF(INDEX(tab_MinKomp[Eliminacja awarii / Beseitigung von Ausfällen],MATCH($B55,tab_MinKomp[[Stanowisko / Position ]:[Stanowisko / Position ]],0))="n/a","n/a",BV55-INDEX(tab_MinKomp[Eliminacja awarii / Beseitigung von Ausfällen],MATCH($B55,tab_MinKomp[[Stanowisko / Position ]:[Stanowisko / Position ]],0)))</f>
        <v>0</v>
      </c>
      <c r="BW56" s="330" t="str">
        <f>IF(INDEX(tab_MinKomp[Informatyka ogólna (techniczne i systemowe) / Allgemeine IT (Technik und System)],MATCH($B55,tab_MinKomp[[Stanowisko / Position ]:[Stanowisko / Position ]],0))="n/a","n/a",BW55-INDEX(tab_MinKomp[Informatyka ogólna (techniczne i systemowe) / Allgemeine IT (Technik und System)],MATCH($B55,tab_MinKomp[[Stanowisko / Position ]:[Stanowisko / Position ]],0)))</f>
        <v>n/a</v>
      </c>
      <c r="BX56" s="330" t="str">
        <f>IF(INDEX(tab_MinKomp[Sieci komputerowe / Computernetzwerke],MATCH($B55,tab_MinKomp[[Stanowisko / Position ]:[Stanowisko / Position ]],0))="n/a","n/a",BX55-INDEX(tab_MinKomp[Sieci komputerowe / Computernetzwerke],MATCH($B55,tab_MinKomp[[Stanowisko / Position ]:[Stanowisko / Position ]],0)))</f>
        <v>n/a</v>
      </c>
      <c r="BY56" s="330" t="str">
        <f>IF(INDEX(tab_MinKomp[Hardware (komputery PC, drukarki biurowe i etykietowe, telefonia stacjonarna i mobilna) (PC, Drucker, Telefpne, Handys)],MATCH($B55,tab_MinKomp[[Stanowisko / Position ]:[Stanowisko / Position ]],0))="n/a","n/a",BY55-INDEX(tab_MinKomp[Hardware (komputery PC, drukarki biurowe i etykietowe, telefonia stacjonarna i mobilna) (PC, Drucker, Telefpne, Handys)],MATCH($B55,tab_MinKomp[[Stanowisko / Position ]:[Stanowisko / Position ]],0)))</f>
        <v>n/a</v>
      </c>
      <c r="BZ56" s="330" t="str">
        <f>IF(INDEX(tab_MinKomp[Software &amp; Systems (MS Office, MS Remote Desktop)],MATCH($B55,tab_MinKomp[[Stanowisko / Position ]:[Stanowisko / Position ]],0))="n/a","n/a",BZ55-INDEX(tab_MinKomp[Software &amp; Systems (MS Office, MS Remote Desktop)],MATCH($B55,tab_MinKomp[[Stanowisko / Position ]:[Stanowisko / Position ]],0)))</f>
        <v>n/a</v>
      </c>
      <c r="CA56" s="330" t="str">
        <f>IF(INDEX(tab_MinKomp[Programowanie obiektowe (PHP) / Objektprogrammierung],MATCH($B55,tab_MinKomp[[Stanowisko / Position ]:[Stanowisko / Position ]],0))="n/a","n/a",CA55-INDEX(tab_MinKomp[Programowanie obiektowe (PHP) / Objektprogrammierung],MATCH($B55,tab_MinKomp[[Stanowisko / Position ]:[Stanowisko / Position ]],0)))</f>
        <v>n/a</v>
      </c>
      <c r="CB56" s="330" t="str">
        <f>IF(INDEX(tab_MinKomp[Scrum],MATCH($B55,tab_MinKomp[[Stanowisko / Position ]:[Stanowisko / Position ]],0))="n/a","n/a",CB55-INDEX(tab_MinKomp[Scrum],MATCH($B55,tab_MinKomp[[Stanowisko / Position ]:[Stanowisko / Position ]],0)))</f>
        <v>n/a</v>
      </c>
      <c r="CC56" s="330" t="str">
        <f>IF(INDEX(tab_MinKomp[SQL (MySQL)],MATCH($B55,tab_MinKomp[[Stanowisko / Position ]:[Stanowisko / Position ]],0))="n/a","n/a",CC55-INDEX(tab_MinKomp[SQL (MySQL)],MATCH($B55,tab_MinKomp[[Stanowisko / Position ]:[Stanowisko / Position ]],0)))</f>
        <v>n/a</v>
      </c>
      <c r="CD56" s="330" t="str">
        <f>IF(INDEX(tab_MinKomp[Javascript],MATCH($B55,tab_MinKomp[[Stanowisko / Position ]:[Stanowisko / Position ]],0))="n/a","n/a",CD55-INDEX(tab_MinKomp[Javascript],MATCH($B55,tab_MinKomp[[Stanowisko / Position ]:[Stanowisko / Position ]],0)))</f>
        <v>n/a</v>
      </c>
      <c r="CE56" s="330" t="str">
        <f>IF(INDEX(tab_MinKomp[Joomla],MATCH($B55,tab_MinKomp[[Stanowisko / Position ]:[Stanowisko / Position ]],0))="n/a","n/a",CE55-INDEX(tab_MinKomp[Joomla],MATCH($B55,tab_MinKomp[[Stanowisko / Position ]:[Stanowisko / Position ]],0)))</f>
        <v>n/a</v>
      </c>
      <c r="CF56" s="330" t="str">
        <f>IF(INDEX(tab_MinKomp[Bash],MATCH($B55,tab_MinKomp[[Stanowisko / Position ]:[Stanowisko / Position ]],0))="n/a","n/a",CF55-INDEX(tab_MinKomp[Bash],MATCH($B55,tab_MinKomp[[Stanowisko / Position ]:[Stanowisko / Position ]],0)))</f>
        <v>n/a</v>
      </c>
      <c r="CG56" s="330" t="str">
        <f>IF(INDEX(tab_MinKomp[Systemy MES (HYDRA / SFMS)],MATCH($B55,tab_MinKomp[[Stanowisko / Position ]:[Stanowisko / Position ]],0))="n/a","n/a",CG55-INDEX(tab_MinKomp[Systemy MES (HYDRA / SFMS)],MATCH($B55,tab_MinKomp[[Stanowisko / Position ]:[Stanowisko / Position ]],0)))</f>
        <v>n/a</v>
      </c>
      <c r="CH56" s="330" t="str">
        <f>IF(INDEX(tab_MinKomp[HTML / CSS],MATCH($B55,tab_MinKomp[[Stanowisko / Position ]:[Stanowisko / Position ]],0))="n/a","n/a",CH55-INDEX(tab_MinKomp[HTML / CSS],MATCH($B55,tab_MinKomp[[Stanowisko / Position ]:[Stanowisko / Position ]],0)))</f>
        <v>n/a</v>
      </c>
      <c r="CI56" s="330">
        <f>IF(INDEX(tab_MinKomp[SYSTEM PR],MATCH($B55,tab_MinKomp[[Stanowisko / Position ]:[Stanowisko / Position ]],0))="n/a","n/a",CI55-INDEX(tab_MinKomp[SYSTEM PR],MATCH($B55,tab_MinKomp[[Stanowisko / Position ]:[Stanowisko / Position ]],0)))</f>
        <v>-2</v>
      </c>
      <c r="CJ56" s="330" t="str">
        <f>IF(INDEX(tab_MinKomp[System Einkauf XP / EBA],MATCH($B55,tab_MinKomp[[Stanowisko / Position ]:[Stanowisko / Position ]],0))="n/a","n/a",CJ55-INDEX(tab_MinKomp[System Einkauf XP / EBA],MATCH($B55,tab_MinKomp[[Stanowisko / Position ]:[Stanowisko / Position ]],0)))</f>
        <v>n/a</v>
      </c>
      <c r="CK56" s="330" t="str">
        <f>IF(INDEX(tab_MinKomp[Techniki negocjacyjne / Verhandlungstechniken],MATCH($B55,tab_MinKomp[[Stanowisko / Position ]:[Stanowisko / Position ]],0))="n/a","n/a",CK55-INDEX(tab_MinKomp[Techniki negocjacyjne / Verhandlungstechniken],MATCH($B55,tab_MinKomp[[Stanowisko / Position ]:[Stanowisko / Position ]],0)))</f>
        <v>n/a</v>
      </c>
      <c r="CL56" s="330" t="str">
        <f>IF(INDEX(tab_MinKomp[Znajomość rynku branżowego / Kenntnis des Industrie Marktes],MATCH($B55,tab_MinKomp[[Stanowisko / Position ]:[Stanowisko / Position ]],0))="n/a","n/a",CL55-INDEX(tab_MinKomp[Znajomość rynku branżowego / Kenntnis des Industrie Marktes],MATCH($B55,tab_MinKomp[[Stanowisko / Position ]:[Stanowisko / Position ]],0)))</f>
        <v>n/a</v>
      </c>
      <c r="CM56" s="330" t="str">
        <f>IF(INDEX(tab_MinKomp[RAPORTY 8D / 8D Berichten],MATCH($B55,tab_MinKomp[[Stanowisko / Position ]:[Stanowisko / Position ]],0))="n/a","n/a",CM55-INDEX(tab_MinKomp[RAPORTY 8D / 8D Berichten],MATCH($B55,tab_MinKomp[[Stanowisko / Position ]:[Stanowisko / Position ]],0)))</f>
        <v>n/a</v>
      </c>
      <c r="CN56" s="330">
        <f>IF(INDEX(tab_MinKomp[NARZĘDZIA JAKOŚCIOWE (5WHY, Ishikawa, etc) / QS-Werkzeuge],MATCH($B55,tab_MinKomp[[Stanowisko / Position ]:[Stanowisko / Position ]],0))="n/a","n/a",CN55-INDEX(tab_MinKomp[NARZĘDZIA JAKOŚCIOWE (5WHY, Ishikawa, etc) / QS-Werkzeuge],MATCH($B55,tab_MinKomp[[Stanowisko / Position ]:[Stanowisko / Position ]],0)))</f>
        <v>0</v>
      </c>
      <c r="CO56" s="330">
        <f>IF(INDEX(tab_MinKomp[PDCA],MATCH($B55,tab_MinKomp[[Stanowisko / Position ]:[Stanowisko / Position ]],0))="n/a","n/a",CO55-INDEX(tab_MinKomp[PDCA],MATCH($B55,tab_MinKomp[[Stanowisko / Position ]:[Stanowisko / Position ]],0)))</f>
        <v>-1</v>
      </c>
      <c r="CP56" s="330">
        <f>IF(INDEX(tab_MinKomp[Pareto],MATCH($B55,tab_MinKomp[[Stanowisko / Position ]:[Stanowisko / Position ]],0))="n/a","n/a",CP55-INDEX(tab_MinKomp[Pareto],MATCH($B55,tab_MinKomp[[Stanowisko / Position ]:[Stanowisko / Position ]],0)))</f>
        <v>0</v>
      </c>
      <c r="CQ56" s="330" t="str">
        <f>IF(INDEX(tab_MinKomp[PPAP/PSW],MATCH($B55,tab_MinKomp[[Stanowisko / Position ]:[Stanowisko / Position ]],0))="n/a","n/a",CQ55-INDEX(tab_MinKomp[PPAP/PSW],MATCH($B55,tab_MinKomp[[Stanowisko / Position ]:[Stanowisko / Position ]],0)))</f>
        <v>n/a</v>
      </c>
      <c r="CR56" s="330" t="str">
        <f>IF(INDEX(tab_MinKomp[SUPPLIER MANAGEMENT],MATCH($B55,tab_MinKomp[[Stanowisko / Position ]:[Stanowisko / Position ]],0))="n/a","n/a",CR55-INDEX(tab_MinKomp[SUPPLIER MANAGEMENT],MATCH($B55,tab_MinKomp[[Stanowisko / Position ]:[Stanowisko / Position ]],0)))</f>
        <v>n/a</v>
      </c>
      <c r="CS56" s="330" t="str">
        <f>IF(INDEX(tab_MinKomp[OBSŁUGA PORTALI KLIENTA / Kundenportale],MATCH($B55,tab_MinKomp[[Stanowisko / Position ]:[Stanowisko / Position ]],0))="n/a","n/a",CS55-INDEX(tab_MinKomp[OBSŁUGA PORTALI KLIENTA / Kundenportale],MATCH($B55,tab_MinKomp[[Stanowisko / Position ]:[Stanowisko / Position ]],0)))</f>
        <v>n/a</v>
      </c>
      <c r="CT56" s="330" t="str">
        <f>IF(INDEX(tab_MinKomp[Obsługa systemu BABTECQ / BABTECQ System],MATCH($B55,tab_MinKomp[[Stanowisko / Position ]:[Stanowisko / Position ]],0))="n/a","n/a",CT55-INDEX(tab_MinKomp[Obsługa systemu BABTECQ / BABTECQ System],MATCH($B55,tab_MinKomp[[Stanowisko / Position ]:[Stanowisko / Position ]],0)))</f>
        <v>n/a</v>
      </c>
      <c r="CU56" s="330">
        <f>IF(INDEX(tab_MinKomp[Rysunek techniczny / technische Zeichnung],MATCH($B55,tab_MinKomp[[Stanowisko / Position ]:[Stanowisko / Position ]],0))="n/a","n/a",CU55-INDEX(tab_MinKomp[Rysunek techniczny / technische Zeichnung],MATCH($B55,tab_MinKomp[[Stanowisko / Position ]:[Stanowisko / Position ]],0)))</f>
        <v>1</v>
      </c>
      <c r="CV56" s="330" t="str">
        <f>IF(INDEX(tab_MinKomp[Kalibracja / Kalibrierung],MATCH($B55,tab_MinKomp[[Stanowisko / Position ]:[Stanowisko / Position ]],0))="n/a","n/a",CV55-INDEX(tab_MinKomp[Kalibracja / Kalibrierung],MATCH($B55,tab_MinKomp[[Stanowisko / Position ]:[Stanowisko / Position ]],0)))</f>
        <v>n/a</v>
      </c>
      <c r="CW56" s="330" t="str">
        <f>IF(INDEX(tab_MinKomp[Rekwalifikacja / Requalifizierung],MATCH($B55,tab_MinKomp[[Stanowisko / Position ]:[Stanowisko / Position ]],0))="n/a","n/a",CW55-INDEX(tab_MinKomp[Rekwalifikacja / Requalifizierung],MATCH($B55,tab_MinKomp[[Stanowisko / Position ]:[Stanowisko / Position ]],0)))</f>
        <v>n/a</v>
      </c>
      <c r="CX56" s="330" t="str">
        <f>IF(INDEX(tab_MinKomp[Obsługa mikroskopu optycznego / Bedienung eines optischen Mikroskops],MATCH($B55,tab_MinKomp[[Stanowisko / Position ]:[Stanowisko / Position ]],0))="n/a","n/a",CX55-INDEX(tab_MinKomp[Obsługa mikroskopu optycznego / Bedienung eines optischen Mikroskops],MATCH($B55,tab_MinKomp[[Stanowisko / Position ]:[Stanowisko / Position ]],0)))</f>
        <v>n/a</v>
      </c>
      <c r="CY56" s="330" t="str">
        <f>IF(INDEX(tab_MinKomp[Wykonywanie pomiarów optycznych - ocena wizualna / Optische Messungen durchführen – visuelle Beurteilung],MATCH($B55,tab_MinKomp[[Stanowisko / Position ]:[Stanowisko / Position ]],0))="n/a","n/a",CY55-INDEX(tab_MinKomp[Wykonywanie pomiarów optycznych - ocena wizualna / Optische Messungen durchführen – visuelle Beurteilung],MATCH($B55,tab_MinKomp[[Stanowisko / Position ]:[Stanowisko / Position ]],0)))</f>
        <v>n/a</v>
      </c>
      <c r="CZ56" s="330" t="str">
        <f>IF(INDEX(tab_MinKomp[Obsługa Rheometra / Rheometra-Unterstützung],MATCH($B55,tab_MinKomp[[Stanowisko / Position ]:[Stanowisko / Position ]],0))="n/a","n/a",CZ55-INDEX(tab_MinKomp[Obsługa Rheometra / Rheometra-Unterstützung],MATCH($B55,tab_MinKomp[[Stanowisko / Position ]:[Stanowisko / Position ]],0)))</f>
        <v>n/a</v>
      </c>
      <c r="DA56" s="330" t="str">
        <f>IF(INDEX(tab_MinKomp[Testy właściwości Rheometra mieszanki gumy],MATCH($B55,tab_MinKomp[[Stanowisko / Position ]:[Stanowisko / Position ]],0))="n/a","n/a",DA55-INDEX(tab_MinKomp[Testy właściwości Rheometra mieszanki gumy],MATCH($B55,tab_MinKomp[[Stanowisko / Position ]:[Stanowisko / Position ]],0)))</f>
        <v>n/a</v>
      </c>
      <c r="DB56" s="330" t="str">
        <f>IF(INDEX(tab_MinKomp[CMM - Contura Zeiss],MATCH($B55,tab_MinKomp[[Stanowisko / Position ]:[Stanowisko / Position ]],0))="n/a","n/a",DB55-INDEX(tab_MinKomp[CMM - Contura Zeiss],MATCH($B55,tab_MinKomp[[Stanowisko / Position ]:[Stanowisko / Position ]],0)))</f>
        <v>n/a</v>
      </c>
      <c r="DC56" s="330" t="str">
        <f>IF(INDEX(tab_MinKomp[Wykonywanie precyzyjnych pomiarów metrycznych, pomiary 3D],MATCH($B55,tab_MinKomp[[Stanowisko / Position ]:[Stanowisko / Position ]],0))="n/a","n/a",DC55-INDEX(tab_MinKomp[Wykonywanie precyzyjnych pomiarów metrycznych, pomiary 3D],MATCH($B55,tab_MinKomp[[Stanowisko / Position ]:[Stanowisko / Position ]],0)))</f>
        <v>n/a</v>
      </c>
      <c r="DD56" s="330" t="str">
        <f>IF(INDEX(tab_MinKomp[Pisanie programów / Programme schreiben],MATCH($B55,tab_MinKomp[[Stanowisko / Position ]:[Stanowisko / Position ]],0))="n/a","n/a",DD55-INDEX(tab_MinKomp[Pisanie programów / Programme schreiben],MATCH($B55,tab_MinKomp[[Stanowisko / Position ]:[Stanowisko / Position ]],0)))</f>
        <v>n/a</v>
      </c>
      <c r="DE56" s="330" t="str">
        <f>IF(INDEX(tab_MinKomp[Obsługa wyposażenia do testów czystości (myjka + analizator) / Betrieb von Sauberkeitsprüfgeräten (Waschmaschine + Analysegerät)],MATCH($B55,tab_MinKomp[[Stanowisko / Position ]:[Stanowisko / Position ]],0))="n/a","n/a",DE55-INDEX(tab_MinKomp[Obsługa wyposażenia do testów czystości (myjka + analizator) / Betrieb von Sauberkeitsprüfgeräten (Waschmaschine + Analysegerät)],MATCH($B55,tab_MinKomp[[Stanowisko / Position ]:[Stanowisko / Position ]],0)))</f>
        <v>n/a</v>
      </c>
      <c r="DF56" s="330" t="str">
        <f>IF(INDEX(tab_MinKomp[Testy czystości / Reinheitstests],MATCH($B55,tab_MinKomp[[Stanowisko / Position ]:[Stanowisko / Position ]],0))="n/a","n/a",DF55-INDEX(tab_MinKomp[Testy czystości / Reinheitstests],MATCH($B55,tab_MinKomp[[Stanowisko / Position ]:[Stanowisko / Position ]],0)))</f>
        <v>n/a</v>
      </c>
      <c r="DG56" s="330" t="str">
        <f>IF(INDEX(tab_MinKomp[Obsługa wysokościomierza / Unterstützung für Höhenmesser],MATCH($B55,tab_MinKomp[[Stanowisko / Position ]:[Stanowisko / Position ]],0))="n/a","n/a",DG55-INDEX(tab_MinKomp[Obsługa wysokościomierza / Unterstützung für Höhenmesser],MATCH($B55,tab_MinKomp[[Stanowisko / Position ]:[Stanowisko / Position ]],0)))</f>
        <v>n/a</v>
      </c>
      <c r="DH56" s="330" t="str">
        <f>IF(INDEX(tab_MinKomp[Pomiary wysokości materiału / Materialhöhenmessungen],MATCH($B55,tab_MinKomp[[Stanowisko / Position ]:[Stanowisko / Position ]],0))="n/a","n/a",DH55-INDEX(tab_MinKomp[Pomiary wysokości materiału / Materialhöhenmessungen],MATCH($B55,tab_MinKomp[[Stanowisko / Position ]:[Stanowisko / Position ]],0)))</f>
        <v>n/a</v>
      </c>
      <c r="DI56" s="330" t="str">
        <f>IF(INDEX(tab_MinKomp[Obsługa okrągłościomierza / Unterstützung für Rundheitsmessgeräte],MATCH($B55,tab_MinKomp[[Stanowisko / Position ]:[Stanowisko / Position ]],0))="n/a","n/a",DI55-INDEX(tab_MinKomp[Obsługa okrągłościomierza / Unterstützung für Rundheitsmessgeräte],MATCH($B55,tab_MinKomp[[Stanowisko / Position ]:[Stanowisko / Position ]],0)))</f>
        <v>n/a</v>
      </c>
      <c r="DJ56" s="330" t="str">
        <f>IF(INDEX(tab_MinKomp[Wykonywania pomiarów owalności, srednicy materiału / Messung der Ovalität und des Durchmessers des Materials],MATCH($B55,tab_MinKomp[[Stanowisko / Position ]:[Stanowisko / Position ]],0))="n/a","n/a",DJ55-INDEX(tab_MinKomp[Wykonywania pomiarów owalności, srednicy materiału / Messung der Ovalität und des Durchmessers des Materials],MATCH($B55,tab_MinKomp[[Stanowisko / Position ]:[Stanowisko / Position ]],0)))</f>
        <v>n/a</v>
      </c>
      <c r="DK56" s="330" t="str">
        <f>IF(INDEX(tab_MinKomp[Obsługa urządzenia do pomiarów chropowoatości powierzchni materiału],MATCH($B55,tab_MinKomp[[Stanowisko / Position ]:[Stanowisko / Position ]],0))="n/a","n/a",DK55-INDEX(tab_MinKomp[Obsługa urządzenia do pomiarów chropowoatości powierzchni materiału],MATCH($B55,tab_MinKomp[[Stanowisko / Position ]:[Stanowisko / Position ]],0)))</f>
        <v>n/a</v>
      </c>
      <c r="DL56" s="330" t="str">
        <f>IF(INDEX(tab_MinKomp[Wykonywanie pomiarów chropowatości powierzchni materiału / Durchführung von Messungen der Materialoberflächenrauheit],MATCH($B55,tab_MinKomp[[Stanowisko / Position ]:[Stanowisko / Position ]],0))="n/a","n/a",DL55-INDEX(tab_MinKomp[Wykonywanie pomiarów chropowatości powierzchni materiału / Durchführung von Messungen der Materialoberflächenrauheit],MATCH($B55,tab_MinKomp[[Stanowisko / Position ]:[Stanowisko / Position ]],0)))</f>
        <v>n/a</v>
      </c>
      <c r="DM56" s="330" t="str">
        <f>IF(INDEX(tab_MinKomp[Obsługa urządzenia do pomiaru siły radialnej części - postępowanie z trzpieniami. / Funktionsweise des Geräts zur Messung der Radialkraft von Teilen – Handhabungsstifte.],MATCH($B55,tab_MinKomp[[Stanowisko / Position ]:[Stanowisko / Position ]],0))="n/a","n/a",DM55-INDEX(tab_MinKomp[Obsługa urządzenia do pomiaru siły radialnej części - postępowanie z trzpieniami. / Funktionsweise des Geräts zur Messung der Radialkraft von Teilen – Handhabungsstifte.],MATCH($B55,tab_MinKomp[[Stanowisko / Position ]:[Stanowisko / Position ]],0)))</f>
        <v>n/a</v>
      </c>
      <c r="DN56" s="330" t="str">
        <f>IF(INDEX(tab_MinKomp[Wykonywanie pomiarów siły radialnej części / Führen Sie Radialkraftmessungen an Teilen durch],MATCH($B55,tab_MinKomp[[Stanowisko / Position ]:[Stanowisko / Position ]],0))="n/a","n/a",DN55-INDEX(tab_MinKomp[Wykonywanie pomiarów siły radialnej części / Führen Sie Radialkraftmessungen an Teilen durch],MATCH($B55,tab_MinKomp[[Stanowisko / Position ]:[Stanowisko / Position ]],0)))</f>
        <v>n/a</v>
      </c>
      <c r="DO56" s="330" t="str">
        <f>IF(INDEX(tab_MinKomp[Obsługa komory do testów wybuchwych / Betrieb einer Explosionsprüfkammer],MATCH($B55,tab_MinKomp[[Stanowisko / Position ]:[Stanowisko / Position ]],0))="n/a","n/a",DO55-INDEX(tab_MinKomp[Obsługa komory do testów wybuchwych / Betrieb einer Explosionsprüfkammer],MATCH($B55,tab_MinKomp[[Stanowisko / Position ]:[Stanowisko / Position ]],0)))</f>
        <v>n/a</v>
      </c>
      <c r="DP56" s="330" t="str">
        <f>IF(INDEX(tab_MinKomp[Wykonywanie testów wybuchowych części / Durchführung von Explosionstests an Teilen],MATCH($B55,tab_MinKomp[[Stanowisko / Position ]:[Stanowisko / Position ]],0))="n/a","n/a",DP55-INDEX(tab_MinKomp[Wykonywanie testów wybuchowych części / Durchführung von Explosionstests an Teilen],MATCH($B55,tab_MinKomp[[Stanowisko / Position ]:[Stanowisko / Position ]],0)))</f>
        <v>n/a</v>
      </c>
      <c r="DQ56" s="330" t="str">
        <f>IF(INDEX(tab_MinKomp[Obsługa urządzeń do mierzenia siły trzymania i/lub rozciągania / Betrieb von Geräten zur Messung der Halte- und/oder Dehnkraft],MATCH($B55,tab_MinKomp[[Stanowisko / Position ]:[Stanowisko / Position ]],0))="n/a","n/a",DQ55-INDEX(tab_MinKomp[Obsługa urządzeń do mierzenia siły trzymania i/lub rozciągania / Betrieb von Geräten zur Messung der Halte- und/oder Dehnkraft],MATCH($B55,tab_MinKomp[[Stanowisko / Position ]:[Stanowisko / Position ]],0)))</f>
        <v>n/a</v>
      </c>
      <c r="DR56" s="330" t="str">
        <f>IF(INDEX(tab_MinKomp[Wykonywanie testów mierzenia siły trzymania i/lub rozciągania / Durchführung von Tests zur Messung der Halte- und/oder Streckkraft],MATCH($B55,tab_MinKomp[[Stanowisko / Position ]:[Stanowisko / Position ]],0))="n/a","n/a",DR55-INDEX(tab_MinKomp[Wykonywanie testów mierzenia siły trzymania i/lub rozciągania / Durchführung von Tests zur Messung der Halte- und/oder Streckkraft],MATCH($B55,tab_MinKomp[[Stanowisko / Position ]:[Stanowisko / Position ]],0)))</f>
        <v>n/a</v>
      </c>
      <c r="DS56" s="330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Luftstrom)],MATCH($B55,tab_MinKomp[[Stanowisko / Position ]:[Stanowisko / Position ]],0))="n/a","n/a",DS55-INDEX(tab_MinKomp[Obsługa multimetru do pomiarów środowiskowych (temperatura, wilgotność, hałas, oświetlenie, przepływ powietrza) / Betrieb eines Multimeters für Umweltmessungen (Temperatur, Luftfeuchtigkeit, Lärm, Beleuchtung, Luftstrom)],MATCH($B55,tab_MinKomp[[Stanowisko / Position ]:[Stanowisko / Position ]],0)))</f>
        <v>n/a</v>
      </c>
      <c r="DT56" s="330" t="str">
        <f>IF(INDEX(tab_MinKomp[Kontrola warunków środowiskowych pracy (temperatura, wilgotność, hałas, oświetlenie, przepływ powietrza) / Kontrolle der Arbeitsumgebungsbedingungen (Temperatur, Luftfeuchtigkeit, Lärm, Beleuchtung, Luftstrom)],MATCH($B55,tab_MinKomp[[Stanowisko / Position ]:[Stanowisko / Position ]],0))="n/a","n/a",DT55-INDEX(tab_MinKomp[Kontrola warunków środowiskowych pracy (temperatura, wilgotność, hałas, oświetlenie, przepływ powietrza) / Kontrolle der Arbeitsumgebungsbedingungen (Temperatur, Luftfeuchtigkeit, Lärm, Beleuchtung, Luftstrom)],MATCH($B55,tab_MinKomp[[Stanowisko / Position ]:[Stanowisko / Position ]],0)))</f>
        <v>n/a</v>
      </c>
      <c r="DU56" s="330" t="str">
        <f>IF(INDEX(tab_MinKomp[MSA i SPC],MATCH($B55,tab_MinKomp[[Stanowisko / Position ]:[Stanowisko / Position ]],0))="n/a","n/a",DU55-INDEX(tab_MinKomp[MSA i SPC],MATCH($B55,tab_MinKomp[[Stanowisko / Position ]:[Stanowisko / Position ]],0)))</f>
        <v>n/a</v>
      </c>
      <c r="DV56" s="330" t="str">
        <f>IF(INDEX(tab_MinKomp[Kontrola wejściowa komponentów/ Eingangskontrolle],MATCH($B55,tab_MinKomp[[Stanowisko / Position ]:[Stanowisko / Position ]],0))="n/a","n/a",DV55-INDEX(tab_MinKomp[Kontrola wejściowa komponentów/ Eingangskontrolle],MATCH($B55,tab_MinKomp[[Stanowisko / Position ]:[Stanowisko / Position ]],0)))</f>
        <v>n/a</v>
      </c>
      <c r="DW56" s="330" t="str">
        <f>IF(INDEX(tab_MinKomp[Kontrola wyjściowa produktu / Ausgangskontrolle],MATCH($B55,tab_MinKomp[[Stanowisko / Position ]:[Stanowisko / Position ]],0))="n/a","n/a",DW55-INDEX(tab_MinKomp[Kontrola wyjściowa produktu / Ausgangskontrolle],MATCH($B55,tab_MinKomp[[Stanowisko / Position ]:[Stanowisko / Position ]],0)))</f>
        <v>n/a</v>
      </c>
      <c r="DX56" s="330" t="str">
        <f>IF(INDEX(tab_MinKomp[Kontrola codzienna produkcji / Tägliche Produktionskontrolle],MATCH($B55,tab_MinKomp[[Stanowisko / Position ]:[Stanowisko / Position ]],0))="n/a","n/a",DX55-INDEX(tab_MinKomp[Kontrola codzienna produkcji / Tägliche Produktionskontrolle],MATCH($B55,tab_MinKomp[[Stanowisko / Position ]:[Stanowisko / Position ]],0)))</f>
        <v>n/a</v>
      </c>
      <c r="DY56" s="330" t="str">
        <f>IF(INDEX(tab_MinKomp[Konserwacja Rep],MATCH($B55,tab_MinKomp[[Stanowisko / Position ]:[Stanowisko / Position ]],0))="n/a","n/a",DY55-INDEX(tab_MinKomp[Konserwacja Rep],MATCH($B55,tab_MinKomp[[Stanowisko / Position ]:[Stanowisko / Position ]],0)))</f>
        <v>n/a</v>
      </c>
      <c r="DZ56" s="330" t="str">
        <f>IF(INDEX(tab_MinKomp[[Konserwacja Engel ]],MATCH($B55,tab_MinKomp[[Stanowisko / Position ]:[Stanowisko / Position ]],0))="n/a","n/a",DZ55-INDEX(tab_MinKomp[[Konserwacja Engel ]],MATCH($B55,tab_MinKomp[[Stanowisko / Position ]:[Stanowisko / Position ]],0)))</f>
        <v>n/a</v>
      </c>
      <c r="EA56" s="330" t="str">
        <f>IF(INDEX(tab_MinKomp[Konserwacja B 50],MATCH($B55,tab_MinKomp[[Stanowisko / Position ]:[Stanowisko / Position ]],0))="n/a","n/a",EA55-INDEX(tab_MinKomp[Konserwacja B 50],MATCH($B55,tab_MinKomp[[Stanowisko / Position ]:[Stanowisko / Position ]],0)))</f>
        <v>n/a</v>
      </c>
      <c r="EB56" s="330" t="str">
        <f>IF(INDEX(tab_MinKomp[[Konserwacja EOL ]],MATCH($B55,tab_MinKomp[[Stanowisko / Position ]:[Stanowisko / Position ]],0))="n/a","n/a",EB55-INDEX(tab_MinKomp[[Konserwacja EOL ]],MATCH($B55,tab_MinKomp[[Stanowisko / Position ]:[Stanowisko / Position ]],0)))</f>
        <v>n/a</v>
      </c>
      <c r="EC56" s="330" t="str">
        <f>IF(INDEX(tab_MinKomp[Konserwacja Branson],MATCH($B55,tab_MinKomp[[Stanowisko / Position ]:[Stanowisko / Position ]],0))="n/a","n/a",EC55-INDEX(tab_MinKomp[Konserwacja Branson],MATCH($B55,tab_MinKomp[[Stanowisko / Position ]:[Stanowisko / Position ]],0)))</f>
        <v>n/a</v>
      </c>
      <c r="ED56" s="330" t="str">
        <f>IF(INDEX(tab_MinKomp[Konserwacja coolery],MATCH($B55,tab_MinKomp[[Stanowisko / Position ]:[Stanowisko / Position ]],0))="n/a","n/a",ED55-INDEX(tab_MinKomp[Konserwacja coolery],MATCH($B55,tab_MinKomp[[Stanowisko / Position ]:[Stanowisko / Position ]],0)))</f>
        <v>n/a</v>
      </c>
      <c r="EE56" s="330" t="str">
        <f>IF(INDEX(tab_MinKomp[Konserwacja piecy],MATCH($B55,tab_MinKomp[[Stanowisko / Position ]:[Stanowisko / Position ]],0))="n/a","n/a",EE55-INDEX(tab_MinKomp[Konserwacja piecy],MATCH($B55,tab_MinKomp[[Stanowisko / Position ]:[Stanowisko / Position ]],0)))</f>
        <v>n/a</v>
      </c>
      <c r="EF56" s="330">
        <f>IF(INDEX(tab_MinKomp[Rysunek techniczny- czytanie],MATCH($B55,tab_MinKomp[[Stanowisko / Position ]:[Stanowisko / Position ]],0))="n/a","n/a",EF55-INDEX(tab_MinKomp[Rysunek techniczny- czytanie],MATCH($B55,tab_MinKomp[[Stanowisko / Position ]:[Stanowisko / Position ]],0)))</f>
        <v>1</v>
      </c>
      <c r="EG56" s="330">
        <f>IF(INDEX(tab_MinKomp[Elektryka],MATCH($B55,tab_MinKomp[[Stanowisko / Position ]:[Stanowisko / Position ]],0))="n/a","n/a",EG55-INDEX(tab_MinKomp[Elektryka],MATCH($B55,tab_MinKomp[[Stanowisko / Position ]:[Stanowisko / Position ]],0)))</f>
        <v>0</v>
      </c>
      <c r="EH56" s="330">
        <f>IF(INDEX(tab_MinKomp[Pneumatyka],MATCH($B55,tab_MinKomp[[Stanowisko / Position ]:[Stanowisko / Position ]],0))="n/a","n/a",EH55-INDEX(tab_MinKomp[Pneumatyka],MATCH($B55,tab_MinKomp[[Stanowisko / Position ]:[Stanowisko / Position ]],0)))</f>
        <v>0</v>
      </c>
      <c r="EI56" s="330">
        <f>IF(INDEX(tab_MinKomp[[Hydraulika ]],MATCH($B55,tab_MinKomp[[Stanowisko / Position ]:[Stanowisko / Position ]],0))="n/a","n/a",EI55-INDEX(tab_MinKomp[[Hydraulika ]],MATCH($B55,tab_MinKomp[[Stanowisko / Position ]:[Stanowisko / Position ]],0)))</f>
        <v>0</v>
      </c>
      <c r="EJ56" s="330">
        <f>IF(INDEX(tab_MinKomp[Podciśnienie],MATCH($B55,tab_MinKomp[[Stanowisko / Position ]:[Stanowisko / Position ]],0))="n/a","n/a",EJ55-INDEX(tab_MinKomp[Podciśnienie],MATCH($B55,tab_MinKomp[[Stanowisko / Position ]:[Stanowisko / Position ]],0)))</f>
        <v>0</v>
      </c>
      <c r="EK56" s="330">
        <f>IF(INDEX(tab_MinKomp[Usuwanie awarii],MATCH($B55,tab_MinKomp[[Stanowisko / Position ]:[Stanowisko / Position ]],0))="n/a","n/a",EK55-INDEX(tab_MinKomp[Usuwanie awarii],MATCH($B55,tab_MinKomp[[Stanowisko / Position ]:[Stanowisko / Position ]],0)))</f>
        <v>1</v>
      </c>
      <c r="EL56" s="330">
        <f>IF(INDEX(tab_MinKomp[Obsługa robotów],MATCH($B55,tab_MinKomp[[Stanowisko / Position ]:[Stanowisko / Position ]],0))="n/a","n/a",EL55-INDEX(tab_MinKomp[Obsługa robotów],MATCH($B55,tab_MinKomp[[Stanowisko / Position ]:[Stanowisko / Position ]],0)))</f>
        <v>1</v>
      </c>
      <c r="EM56" s="330">
        <f>IF(INDEX(tab_MinKomp[Obsługa sterowania maszyny],MATCH($B55,tab_MinKomp[[Stanowisko / Position ]:[Stanowisko / Position ]],0))="n/a","n/a",EM55-INDEX(tab_MinKomp[Obsługa sterowania maszyny],MATCH($B55,tab_MinKomp[[Stanowisko / Position ]:[Stanowisko / Position ]],0)))</f>
        <v>1</v>
      </c>
      <c r="EN56" s="330">
        <f>IF(INDEX(tab_MinKomp[Usuwanie przyczyn żródłowych],MATCH($B55,tab_MinKomp[[Stanowisko / Position ]:[Stanowisko / Position ]],0))="n/a","n/a",EN55-INDEX(tab_MinKomp[Usuwanie przyczyn żródłowych],MATCH($B55,tab_MinKomp[[Stanowisko / Position ]:[Stanowisko / Position ]],0)))</f>
        <v>0</v>
      </c>
      <c r="EO56" s="330">
        <f>IF(INDEX(tab_MinKomp[Cmms stosowanie],MATCH($B55,tab_MinKomp[[Stanowisko / Position ]:[Stanowisko / Position ]],0))="n/a","n/a",EO55-INDEX(tab_MinKomp[Cmms stosowanie],MATCH($B55,tab_MinKomp[[Stanowisko / Position ]:[Stanowisko / Position ]],0)))</f>
        <v>0</v>
      </c>
      <c r="EP56" s="330">
        <f>IF(INDEX(tab_MinKomp[[Czyszczenie form gumowych ]],MATCH($B55,tab_MinKomp[[Stanowisko / Position ]:[Stanowisko / Position ]],0))="n/a","n/a",EP55-INDEX(tab_MinKomp[[Czyszczenie form gumowych ]],MATCH($B55,tab_MinKomp[[Stanowisko / Position ]:[Stanowisko / Position ]],0)))</f>
        <v>0</v>
      </c>
      <c r="EQ56" s="330">
        <f>IF(INDEX(tab_MinKomp[Czyszczenie form plastikowych],MATCH($B55,tab_MinKomp[[Stanowisko / Position ]:[Stanowisko / Position ]],0))="n/a","n/a",EQ55-INDEX(tab_MinKomp[Czyszczenie form plastikowych],MATCH($B55,tab_MinKomp[[Stanowisko / Position ]:[Stanowisko / Position ]],0)))</f>
        <v>0</v>
      </c>
      <c r="ER56" s="330">
        <f>IF(INDEX(tab_MinKomp[Wymiana form plastik],MATCH($B55,tab_MinKomp[[Stanowisko / Position ]:[Stanowisko / Position ]],0))="n/a","n/a",ER55-INDEX(tab_MinKomp[Wymiana form plastik],MATCH($B55,tab_MinKomp[[Stanowisko / Position ]:[Stanowisko / Position ]],0)))</f>
        <v>0</v>
      </c>
      <c r="ES56" s="330">
        <f>IF(INDEX(tab_MinKomp[Wymiana form guma],MATCH($B55,tab_MinKomp[[Stanowisko / Position ]:[Stanowisko / Position ]],0))="n/a","n/a",ES55-INDEX(tab_MinKomp[Wymiana form guma],MATCH($B55,tab_MinKomp[[Stanowisko / Position ]:[Stanowisko / Position ]],0)))</f>
        <v>0</v>
      </c>
      <c r="ET56" s="330">
        <f>IF(INDEX(tab_MinKomp[Konserwacja KK],MATCH($B55,tab_MinKomp[[Stanowisko / Position ]:[Stanowisko / Position ]],0))="n/a","n/a",ET55-INDEX(tab_MinKomp[Konserwacja KK],MATCH($B55,tab_MinKomp[[Stanowisko / Position ]:[Stanowisko / Position ]],0)))</f>
        <v>0</v>
      </c>
      <c r="EU56" s="330">
        <f>IF(INDEX(tab_MinKomp[Konserwacja form guma],MATCH($B55,tab_MinKomp[[Stanowisko / Position ]:[Stanowisko / Position ]],0))="n/a","n/a",EU55-INDEX(tab_MinKomp[Konserwacja form guma],MATCH($B55,tab_MinKomp[[Stanowisko / Position ]:[Stanowisko / Position ]],0)))</f>
        <v>0</v>
      </c>
      <c r="EV56" s="330">
        <f>IF(INDEX(tab_MinKomp[Konserwacja form plastiki],MATCH($B55,tab_MinKomp[[Stanowisko / Position ]:[Stanowisko / Position ]],0))="n/a","n/a",EV55-INDEX(tab_MinKomp[Konserwacja form plastiki],MATCH($B55,tab_MinKomp[[Stanowisko / Position ]:[Stanowisko / Position ]],0)))</f>
        <v>0</v>
      </c>
      <c r="EW56" s="330">
        <f>IF(INDEX(tab_MinKomp[Konserwacja form plastiki],MATCH($B55,tab_MinKomp[[Stanowisko / Position ]:[Stanowisko / Position ]],0))="n/a","n/a",EW55-INDEX(tab_MinKomp[Konserwacja form plastiki],MATCH($B55,tab_MinKomp[[Stanowisko / Position ]:[Stanowisko / Position ]],0)))</f>
        <v>-1</v>
      </c>
      <c r="EX56" s="330">
        <f>IF(INDEX(tab_MinKomp[Konserwacja Gorącego Kanału],MATCH($B55,tab_MinKomp[[Stanowisko / Position ]:[Stanowisko / Position ]],0))="n/a","n/a",EX55-INDEX(tab_MinKomp[Konserwacja Gorącego Kanału],MATCH($B55,tab_MinKomp[[Stanowisko / Position ]:[Stanowisko / Position ]],0)))</f>
        <v>0</v>
      </c>
      <c r="EY56" s="330">
        <f>IF(INDEX(tab_MinKomp[MS Office (Excel)],MATCH($B55,tab_MinKomp[[Stanowisko / Position ]:[Stanowisko / Position ]],0))="n/a","n/a",EY55-INDEX(tab_MinKomp[MS Office (Excel)],MATCH($B55,tab_MinKomp[[Stanowisko / Position ]:[Stanowisko / Position ]],0)))</f>
        <v>0</v>
      </c>
      <c r="EZ56" s="330">
        <f>IF(INDEX(tab_MinKomp[MS Office (Word)],MATCH($B55,tab_MinKomp[[Stanowisko / Position ]:[Stanowisko / Position ]],0))="n/a","n/a",EZ55-INDEX(tab_MinKomp[MS Office (Word)],MATCH($B55,tab_MinKomp[[Stanowisko / Position ]:[Stanowisko / Position ]],0)))</f>
        <v>0</v>
      </c>
      <c r="FA56" s="330">
        <f>IF(INDEX(tab_MinKomp[MS Office (Power Point)],MATCH($B55,tab_MinKomp[[Stanowisko / Position ]:[Stanowisko / Position ]],0))="n/a","n/a",FA55-INDEX(tab_MinKomp[MS Office (Power Point)],MATCH($B55,tab_MinKomp[[Stanowisko / Position ]:[Stanowisko / Position ]],0)))</f>
        <v>-1</v>
      </c>
      <c r="FB56" s="330">
        <f>IF(INDEX(tab_MinKomp[Język angielski / Englisch],MATCH($B55,tab_MinKomp[[Stanowisko / Position ]:[Stanowisko / Position ]],0))="n/a","n/a",FB55-INDEX(tab_MinKomp[Język angielski / Englisch],MATCH($B55,tab_MinKomp[[Stanowisko / Position ]:[Stanowisko / Position ]],0)))</f>
        <v>0</v>
      </c>
      <c r="FC56" s="330" t="str">
        <f>IF(INDEX(tab_MinKomp[Język niemiecki / Deutsch],MATCH($B55,tab_MinKomp[[Stanowisko / Position ]:[Stanowisko / Position ]],0))="n/a","n/a",FC55-INDEX(tab_MinKomp[Język niemiecki / Deutsch],MATCH($B55,tab_MinKomp[[Stanowisko / Position ]:[Stanowisko / Position ]],0)))</f>
        <v>n/a</v>
      </c>
      <c r="FD56" s="330">
        <f>IF(INDEX(tab_MinKomp[Zarządzanie dokumentacją procesową / Process dokumentation management],MATCH($B55,tab_MinKomp[[Stanowisko / Position ]:[Stanowisko / Position ]],0))="n/a","n/a",FD55-INDEX(tab_MinKomp[Zarządzanie dokumentacją procesową / Process dokumentation management],MATCH($B55,tab_MinKomp[[Stanowisko / Position ]:[Stanowisko / Position ]],0)))</f>
        <v>0</v>
      </c>
      <c r="FE56" s="330">
        <f>IF(INDEX(tab_MinKomp[Znajomość procesów z obszaru / Kenntiss der prozesse in dem Bereich],MATCH($B55,tab_MinKomp[[Stanowisko / Position ]:[Stanowisko / Position ]],0))="n/a","n/a",FE55-INDEX(tab_MinKomp[Znajomość procesów z obszaru / Kenntiss der prozesse in dem Bereich],MATCH($B55,tab_MinKomp[[Stanowisko / Position ]:[Stanowisko / Position ]],0)))</f>
        <v>0</v>
      </c>
      <c r="FF56" s="330">
        <f>IF(INDEX(tab_MinKomp[optymalizacja procesów / Prozessoptymalisierung],MATCH($B55,tab_MinKomp[[Stanowisko / Position ]:[Stanowisko / Position ]],0))="n/a","n/a",FF55-INDEX(tab_MinKomp[optymalizacja procesów / Prozessoptymalisierung],MATCH($B55,tab_MinKomp[[Stanowisko / Position ]:[Stanowisko / Position ]],0)))</f>
        <v>0</v>
      </c>
      <c r="FG56" s="330">
        <f>IF(INDEX(tab_MinKomp[Umiejętności szkoleniowe / Trainingsfähigkeiten],MATCH($B55,tab_MinKomp[[Stanowisko / Position ]:[Stanowisko / Position ]],0))="n/a","n/a",FG55-INDEX(tab_MinKomp[Umiejętności szkoleniowe / Trainingsfähigkeiten],MATCH($B55,tab_MinKomp[[Stanowisko / Position ]:[Stanowisko / Position ]],0)))</f>
        <v>0</v>
      </c>
      <c r="FH56" s="330">
        <f>IF(INDEX(tab_MinKomp[Analityczne myślenie, podejście / Analitysches Denken, Einstellung],MATCH($B55,tab_MinKomp[[Stanowisko / Position ]:[Stanowisko / Position ]],0))="n/a","n/a",FH55-INDEX(tab_MinKomp[Analityczne myślenie, podejście / Analitysches Denken, Einstellung],MATCH($B55,tab_MinKomp[[Stanowisko / Position ]:[Stanowisko / Position ]],0)))</f>
        <v>0</v>
      </c>
      <c r="FI56" s="330">
        <f>IF(INDEX(tab_MinKomp[Dokładność, precyzja w dzialaniu / Genauigkeit, Präzision in die Arbeit],MATCH($B55,tab_MinKomp[[Stanowisko / Position ]:[Stanowisko / Position ]],0))="n/a","n/a",FI55-INDEX(tab_MinKomp[Dokładność, precyzja w dzialaniu / Genauigkeit, Präzision in die Arbeit],MATCH($B55,tab_MinKomp[[Stanowisko / Position ]:[Stanowisko / Position ]],0)))</f>
        <v>0</v>
      </c>
      <c r="FJ56" s="330">
        <f>IF(INDEX(tab_MinKomp[Dyspozycyjność / Verfügbarkeit],MATCH($B55,tab_MinKomp[[Stanowisko / Position ]:[Stanowisko / Position ]],0))="n/a","n/a",FJ55-INDEX(tab_MinKomp[Dyspozycyjność / Verfügbarkeit],MATCH($B55,tab_MinKomp[[Stanowisko / Position ]:[Stanowisko / Position ]],0)))</f>
        <v>1</v>
      </c>
      <c r="FK56" s="330">
        <f>IF(INDEX(tab_MinKomp[Zaangażowanie / 
Engagement],MATCH($B55,tab_MinKomp[[Stanowisko / Position ]:[Stanowisko / Position ]],0))="n/a","n/a",FK55-INDEX(tab_MinKomp[Zaangażowanie / 
Engagement],MATCH($B55,tab_MinKomp[[Stanowisko / Position ]:[Stanowisko / Position ]],0)))</f>
        <v>1</v>
      </c>
      <c r="FL56" s="330">
        <f>IF(INDEX(tab_MinKomp[Planowanie strategiczne / Strategische Planung],MATCH($B55,tab_MinKomp[[Stanowisko / Position ]:[Stanowisko / Position ]],0))="n/a","n/a",FL55-INDEX(tab_MinKomp[Planowanie strategiczne / Strategische Planung],MATCH($B55,tab_MinKomp[[Stanowisko / Position ]:[Stanowisko / Position ]],0)))</f>
        <v>1</v>
      </c>
      <c r="FM56" s="330">
        <f>IF(INDEX(tab_MinKomp[Konsekwentne i dynamiczne działanie],MATCH($B55,tab_MinKomp[[Stanowisko / Position ]:[Stanowisko / Position ]],0))="n/a","n/a",FM55-INDEX(tab_MinKomp[Konsekwentne i dynamiczne działanie],MATCH($B55,tab_MinKomp[[Stanowisko / Position ]:[Stanowisko / Position ]],0)))</f>
        <v>0</v>
      </c>
      <c r="FN56" s="330">
        <f>IF(INDEX(tab_MinKomp[Elastyczność w działaniu],MATCH($B55,tab_MinKomp[[Stanowisko / Position ]:[Stanowisko / Position ]],0))="n/a","n/a",FN55-INDEX(tab_MinKomp[Elastyczność w działaniu],MATCH($B55,tab_MinKomp[[Stanowisko / Position ]:[Stanowisko / Position ]],0)))</f>
        <v>1</v>
      </c>
      <c r="FO56" s="330">
        <f>IF(INDEX(tab_MinKomp[Komunikatywność],MATCH($B55,tab_MinKomp[[Stanowisko / Position ]:[Stanowisko / Position ]],0))="n/a","n/a",FO55-INDEX(tab_MinKomp[Komunikatywność],MATCH($B55,tab_MinKomp[[Stanowisko / Position ]:[Stanowisko / Position ]],0)))</f>
        <v>0</v>
      </c>
      <c r="FP56" s="330">
        <f>IF(INDEX(tab_MinKomp[Motywowanie i budowanie zaangażowania zespołu],MATCH($B55,tab_MinKomp[[Stanowisko / Position ]:[Stanowisko / Position ]],0))="n/a","n/a",FP55-INDEX(tab_MinKomp[Motywowanie i budowanie zaangażowania zespołu],MATCH($B55,tab_MinKomp[[Stanowisko / Position ]:[Stanowisko / Position ]],0)))</f>
        <v>0</v>
      </c>
      <c r="FQ56" s="330" t="str">
        <f>IF(INDEX(tab_MinKomp[BRAK / Keine],MATCH($B55,tab_MinKomp[[Stanowisko / Position ]:[Stanowisko / Position ]],0))="n/a","n/a",FQ55-INDEX(tab_MinKomp[BRAK / Keine],MATCH($B55,tab_MinKomp[[Stanowisko / Position ]:[Stanowisko / Position ]],0)))</f>
        <v>n/a</v>
      </c>
      <c r="FR56" s="330" t="s">
        <v>387</v>
      </c>
      <c r="FS56" s="330" t="str">
        <f>IF(INDEX(tab_MinKomp[MINIMUM 2 LATA / min. 2 Jahre],MATCH($B55,tab_MinKomp[[Stanowisko / Position ]:[Stanowisko / Position ]],0))="n/a","n/a",FS55-INDEX(tab_MinKomp[MINIMUM 2 LATA / min. 2 Jahre],MATCH($B55,tab_MinKomp[[Stanowisko / Position ]:[Stanowisko / Position ]],0)))</f>
        <v>n/a</v>
      </c>
      <c r="FT56" s="330" t="str">
        <f>IF(INDEX(tab_MinKomp[MINIMUM 3 LATA / min. 3 Jahre],MATCH($B55,tab_MinKomp[[Stanowisko / Position ]:[Stanowisko / Position ]],0))="n/a","n/a",FT55-INDEX(tab_MinKomp[MINIMUM 3 LATA / min. 3 Jahre],MATCH($B55,tab_MinKomp[[Stanowisko / Position ]:[Stanowisko / Position ]],0)))</f>
        <v>n/a</v>
      </c>
      <c r="FU56" s="330" t="str">
        <f>IF(INDEX(tab_MinKomp[MINIMUM 4 LATA / min. 4 Jahre],MATCH($B55,tab_MinKomp[[Stanowisko / Position ]:[Stanowisko / Position ]],0))="n/a","n/a",FU55-INDEX(tab_MinKomp[MINIMUM 4 LATA / min. 4 Jahre],MATCH($B55,tab_MinKomp[[Stanowisko / Position ]:[Stanowisko / Position ]],0)))</f>
        <v>n/a</v>
      </c>
      <c r="FV56" s="330" t="str">
        <f>IF(INDEX(tab_MinKomp[MINIMUM 5 LAT / min. 5 Jahre],MATCH($B55,tab_MinKomp[[Stanowisko / Position ]:[Stanowisko / Position ]],0))="n/a","n/a",FV55-INDEX(tab_MinKomp[MINIMUM 5 LAT / min. 5 Jahre],MATCH($B55,tab_MinKomp[[Stanowisko / Position ]:[Stanowisko / Position ]],0)))</f>
        <v>n/a</v>
      </c>
      <c r="FW56" s="330" t="str">
        <f>IF(INDEX(tab_MinKomp[BRAK / Keine9],MATCH($B55,tab_MinKomp[[Stanowisko / Position ]:[Stanowisko / Position ]],0))="n/a","n/a",FW55-INDEX(tab_MinKomp[BRAK / Keine9],MATCH($B55,tab_MinKomp[[Stanowisko / Position ]:[Stanowisko / Position ]],0)))</f>
        <v>n/a</v>
      </c>
      <c r="FX56" s="330" t="str">
        <f>IF(INDEX(tab_MinKomp[ZAWODOWE / Berufsausbildung],MATCH($B55,tab_MinKomp[[Stanowisko / Position ]:[Stanowisko / Position ]],0))="n/a","n/a",FX55-INDEX(tab_MinKomp[ZAWODOWE / Berufsausbildung],MATCH($B55,tab_MinKomp[[Stanowisko / Position ]:[Stanowisko / Position ]],0)))</f>
        <v>n/a</v>
      </c>
      <c r="FY56" s="330" t="str">
        <f>IF(INDEX(tab_MinKomp[ŚREDNIE OGÓLNE / Abitur allgemeine],MATCH($B55,tab_MinKomp[[Stanowisko / Position ]:[Stanowisko / Position ]],0))="n/a","n/a",FY55-INDEX(tab_MinKomp[ŚREDNIE OGÓLNE / Abitur allgemeine],MATCH($B55,tab_MinKomp[[Stanowisko / Position ]:[Stanowisko / Position ]],0)))</f>
        <v>n/a</v>
      </c>
      <c r="FZ56" s="330" t="str">
        <f>IF(INDEX(tab_MinKomp[ŚREDNIE KIERUNKOWE / berufliches Gymnasium],MATCH($B55,tab_MinKomp[[Stanowisko / Position ]:[Stanowisko / Position ]],0))="n/a","n/a",FZ55-INDEX(tab_MinKomp[ŚREDNIE KIERUNKOWE / berufliches Gymnasium],MATCH($B55,tab_MinKomp[[Stanowisko / Position ]:[Stanowisko / Position ]],0)))</f>
        <v>n/a</v>
      </c>
      <c r="GA56" s="330" t="str">
        <f>IF(INDEX(tab_MinKomp[WYŻSZE OGÓLNE / Hochschule allgemeine],MATCH($B55,tab_MinKomp[[Stanowisko / Position ]:[Stanowisko / Position ]],0))="n/a","n/a",GA55-INDEX(tab_MinKomp[WYŻSZE OGÓLNE / Hochschule allgemeine],MATCH($B55,tab_MinKomp[[Stanowisko / Position ]:[Stanowisko / Position ]],0)))</f>
        <v>n/a</v>
      </c>
      <c r="GB56" s="330" t="str">
        <f>IF(INDEX(tab_MinKomp[WYŻSZE KIERUNKOWE / Hochschule berufliche],MATCH($B55,tab_MinKomp[[Stanowisko / Position ]:[Stanowisko / Position ]],0))="n/a","n/a",GB55-INDEX(tab_MinKomp[WYŻSZE KIERUNKOWE / Hochschule berufliche],MATCH($B55,tab_MinKomp[[Stanowisko / Position ]:[Stanowisko / Position ]],0)))</f>
        <v>n/a</v>
      </c>
      <c r="GC56" s="330" t="str">
        <f>IF(INDEX(tab_MinKomp[PIERWSZA POMOC / Erste Hilfe],MATCH($B55,tab_MinKomp[[Stanowisko / Position ]:[Stanowisko / Position ]],0))="n/a","n/a",GC55-INDEX(tab_MinKomp[PIERWSZA POMOC / Erste Hilfe],MATCH($B55,tab_MinKomp[[Stanowisko / Position ]:[Stanowisko / Position ]],0)))</f>
        <v>n/a</v>
      </c>
      <c r="GD56" s="330" t="str">
        <f>IF(INDEX(tab_MinKomp[Specjalista BHP / BHP Spezialist],MATCH($B55,tab_MinKomp[[Stanowisko / Position ]:[Stanowisko / Position ]],0))="n/a","n/a",GD55-INDEX(tab_MinKomp[Specjalista BHP / BHP Spezialist],MATCH($B55,tab_MinKomp[[Stanowisko / Position ]:[Stanowisko / Position ]],0)))</f>
        <v>n/a</v>
      </c>
      <c r="GE56" s="330" t="str">
        <f>IF(INDEX(tab_MinKomp[Inspektor ochrony PPOŻ / Brandschutzinspektor],MATCH($B55,tab_MinKomp[[Stanowisko / Position ]:[Stanowisko / Position ]],0))="n/a","n/a",GE55-INDEX(tab_MinKomp[Inspektor ochrony PPOŻ / Brandschutzinspektor],MATCH($B55,tab_MinKomp[[Stanowisko / Position ]:[Stanowisko / Position ]],0)))</f>
        <v>n/a</v>
      </c>
      <c r="GF56" s="330" t="s">
        <v>387</v>
      </c>
      <c r="GG56" s="330" t="s">
        <v>387</v>
      </c>
      <c r="GH56" s="330" t="str">
        <f>IF(INDEX(tab_MinKomp[SEP  DOZÓR / SEP Aufsicht],MATCH($B55,tab_MinKomp[[Stanowisko / Position ]:[Stanowisko / Position ]],0))="n/a","n/a",GH55-INDEX(tab_MinKomp[SEP  DOZÓR / SEP Aufsicht],MATCH($B55,tab_MinKomp[[Stanowisko / Position ]:[Stanowisko / Position ]],0)))</f>
        <v>n/a</v>
      </c>
      <c r="GI56" s="330" t="str">
        <f>IF(INDEX(tab_MinKomp[PODNOŚNIKI / Hebevorrichtung],MATCH($B55,tab_MinKomp[[Stanowisko / Position ]:[Stanowisko / Position ]],0))="n/a","n/a",GI55-INDEX(tab_MinKomp[PODNOŚNIKI / Hebevorrichtung],MATCH($B55,tab_MinKomp[[Stanowisko / Position ]:[Stanowisko / Position ]],0)))</f>
        <v>n/a</v>
      </c>
      <c r="GJ56" s="330" t="s">
        <v>387</v>
      </c>
      <c r="GK56" s="330" t="str">
        <f>IF(INDEX(tab_MinKomp[WYSOKOŚCIOWE / Höhenberechtigungen],MATCH($B55,tab_MinKomp[[Stanowisko / Position ]:[Stanowisko / Position ]],0))="n/a","n/a",GK55-INDEX(tab_MinKomp[WYSOKOŚCIOWE / Höhenberechtigungen],MATCH($B55,tab_MinKomp[[Stanowisko / Position ]:[Stanowisko / Position ]],0)))</f>
        <v>n/a</v>
      </c>
      <c r="GL56" s="320">
        <f>SUM(G56:FO56)/(GL55-(SUM(G56:FO56)))</f>
        <v>-5.5555555555555552E-2</v>
      </c>
      <c r="GM56" s="132"/>
    </row>
    <row r="57" spans="1:195" s="133" customFormat="1" ht="28.35" customHeight="1" x14ac:dyDescent="0.25">
      <c r="A57" s="135" t="s">
        <v>188</v>
      </c>
      <c r="B57" s="135" t="s">
        <v>207</v>
      </c>
      <c r="C57" s="138" t="s">
        <v>747</v>
      </c>
      <c r="D57" s="135">
        <v>346</v>
      </c>
      <c r="E57" s="565" t="s">
        <v>248</v>
      </c>
      <c r="F57" s="307" t="s">
        <v>165</v>
      </c>
      <c r="G57" s="308">
        <v>2</v>
      </c>
      <c r="H57" s="308">
        <v>2</v>
      </c>
      <c r="I57" s="308">
        <v>2</v>
      </c>
      <c r="J57" s="308">
        <v>1</v>
      </c>
      <c r="K57" s="308">
        <v>2</v>
      </c>
      <c r="L57" s="308">
        <v>1</v>
      </c>
      <c r="M57" s="308" t="s">
        <v>176</v>
      </c>
      <c r="N57" s="308" t="s">
        <v>176</v>
      </c>
      <c r="O57" s="308">
        <v>1</v>
      </c>
      <c r="P57" s="308">
        <v>1</v>
      </c>
      <c r="Q57" s="308" t="s">
        <v>176</v>
      </c>
      <c r="R57" s="308" t="s">
        <v>176</v>
      </c>
      <c r="S57" s="308" t="s">
        <v>176</v>
      </c>
      <c r="T57" s="308" t="s">
        <v>176</v>
      </c>
      <c r="U57" s="308" t="s">
        <v>176</v>
      </c>
      <c r="V57" s="308" t="s">
        <v>176</v>
      </c>
      <c r="W57" s="308" t="s">
        <v>176</v>
      </c>
      <c r="X57" s="308" t="s">
        <v>176</v>
      </c>
      <c r="Y57" s="308" t="s">
        <v>176</v>
      </c>
      <c r="Z57" s="308" t="s">
        <v>176</v>
      </c>
      <c r="AA57" s="308" t="s">
        <v>176</v>
      </c>
      <c r="AB57" s="308" t="s">
        <v>176</v>
      </c>
      <c r="AC57" s="308" t="s">
        <v>176</v>
      </c>
      <c r="AD57" s="308" t="s">
        <v>176</v>
      </c>
      <c r="AE57" s="308" t="s">
        <v>176</v>
      </c>
      <c r="AF57" s="308" t="s">
        <v>176</v>
      </c>
      <c r="AG57" s="308" t="s">
        <v>176</v>
      </c>
      <c r="AH57" s="308" t="s">
        <v>176</v>
      </c>
      <c r="AI57" s="308" t="s">
        <v>176</v>
      </c>
      <c r="AJ57" s="308" t="s">
        <v>176</v>
      </c>
      <c r="AK57" s="308" t="s">
        <v>176</v>
      </c>
      <c r="AL57" s="308" t="s">
        <v>176</v>
      </c>
      <c r="AM57" s="308" t="s">
        <v>176</v>
      </c>
      <c r="AN57" s="308" t="s">
        <v>176</v>
      </c>
      <c r="AO57" s="308" t="s">
        <v>176</v>
      </c>
      <c r="AP57" s="308" t="s">
        <v>176</v>
      </c>
      <c r="AQ57" s="308" t="s">
        <v>176</v>
      </c>
      <c r="AR57" s="308" t="s">
        <v>176</v>
      </c>
      <c r="AS57" s="308" t="s">
        <v>176</v>
      </c>
      <c r="AT57" s="308" t="s">
        <v>176</v>
      </c>
      <c r="AU57" s="308" t="s">
        <v>176</v>
      </c>
      <c r="AV57" s="308">
        <v>2</v>
      </c>
      <c r="AW57" s="308">
        <v>1</v>
      </c>
      <c r="AX57" s="308"/>
      <c r="AY57" s="308" t="s">
        <v>176</v>
      </c>
      <c r="AZ57" s="308" t="s">
        <v>176</v>
      </c>
      <c r="BA57" s="308" t="s">
        <v>176</v>
      </c>
      <c r="BB57" s="308" t="s">
        <v>176</v>
      </c>
      <c r="BC57" s="308" t="s">
        <v>176</v>
      </c>
      <c r="BD57" s="308" t="s">
        <v>176</v>
      </c>
      <c r="BE57" s="308" t="s">
        <v>176</v>
      </c>
      <c r="BF57" s="308" t="s">
        <v>176</v>
      </c>
      <c r="BG57" s="308" t="s">
        <v>176</v>
      </c>
      <c r="BH57" s="308" t="s">
        <v>176</v>
      </c>
      <c r="BI57" s="308" t="s">
        <v>176</v>
      </c>
      <c r="BJ57" s="308" t="s">
        <v>176</v>
      </c>
      <c r="BK57" s="308" t="s">
        <v>176</v>
      </c>
      <c r="BL57" s="308" t="s">
        <v>176</v>
      </c>
      <c r="BM57" s="308" t="s">
        <v>176</v>
      </c>
      <c r="BN57" s="308">
        <v>1</v>
      </c>
      <c r="BO57" s="308">
        <v>1</v>
      </c>
      <c r="BP57" s="308" t="s">
        <v>176</v>
      </c>
      <c r="BQ57" s="308" t="s">
        <v>176</v>
      </c>
      <c r="BR57" s="308" t="s">
        <v>176</v>
      </c>
      <c r="BS57" s="308" t="s">
        <v>176</v>
      </c>
      <c r="BT57" s="308"/>
      <c r="BU57" s="308">
        <v>1</v>
      </c>
      <c r="BV57" s="308"/>
      <c r="BW57" s="308" t="s">
        <v>176</v>
      </c>
      <c r="BX57" s="308" t="s">
        <v>176</v>
      </c>
      <c r="BY57" s="308" t="s">
        <v>176</v>
      </c>
      <c r="BZ57" s="308" t="s">
        <v>176</v>
      </c>
      <c r="CA57" s="308" t="s">
        <v>176</v>
      </c>
      <c r="CB57" s="308" t="s">
        <v>176</v>
      </c>
      <c r="CC57" s="308" t="s">
        <v>176</v>
      </c>
      <c r="CD57" s="308" t="s">
        <v>176</v>
      </c>
      <c r="CE57" s="308" t="s">
        <v>176</v>
      </c>
      <c r="CF57" s="308" t="s">
        <v>176</v>
      </c>
      <c r="CG57" s="308" t="s">
        <v>176</v>
      </c>
      <c r="CH57" s="308" t="s">
        <v>176</v>
      </c>
      <c r="CI57" s="308" t="s">
        <v>176</v>
      </c>
      <c r="CJ57" s="308" t="s">
        <v>176</v>
      </c>
      <c r="CK57" s="308" t="s">
        <v>176</v>
      </c>
      <c r="CL57" s="308" t="s">
        <v>176</v>
      </c>
      <c r="CM57" s="308" t="s">
        <v>176</v>
      </c>
      <c r="CN57" s="308">
        <v>1</v>
      </c>
      <c r="CO57" s="308">
        <v>1</v>
      </c>
      <c r="CP57" s="308">
        <v>1</v>
      </c>
      <c r="CQ57" s="308" t="s">
        <v>176</v>
      </c>
      <c r="CR57" s="308" t="s">
        <v>176</v>
      </c>
      <c r="CS57" s="308" t="s">
        <v>176</v>
      </c>
      <c r="CT57" s="308" t="s">
        <v>176</v>
      </c>
      <c r="CU57" s="308"/>
      <c r="CV57" s="308" t="s">
        <v>176</v>
      </c>
      <c r="CW57" s="308" t="s">
        <v>176</v>
      </c>
      <c r="CX57" s="308" t="s">
        <v>176</v>
      </c>
      <c r="CY57" s="308" t="s">
        <v>176</v>
      </c>
      <c r="CZ57" s="308" t="s">
        <v>176</v>
      </c>
      <c r="DA57" s="308" t="s">
        <v>176</v>
      </c>
      <c r="DB57" s="308" t="s">
        <v>176</v>
      </c>
      <c r="DC57" s="308" t="s">
        <v>176</v>
      </c>
      <c r="DD57" s="308" t="s">
        <v>176</v>
      </c>
      <c r="DE57" s="308" t="s">
        <v>176</v>
      </c>
      <c r="DF57" s="308" t="s">
        <v>176</v>
      </c>
      <c r="DG57" s="308" t="s">
        <v>176</v>
      </c>
      <c r="DH57" s="308" t="s">
        <v>176</v>
      </c>
      <c r="DI57" s="308" t="s">
        <v>176</v>
      </c>
      <c r="DJ57" s="308" t="s">
        <v>176</v>
      </c>
      <c r="DK57" s="308" t="s">
        <v>176</v>
      </c>
      <c r="DL57" s="308" t="s">
        <v>176</v>
      </c>
      <c r="DM57" s="308" t="s">
        <v>176</v>
      </c>
      <c r="DN57" s="308" t="s">
        <v>176</v>
      </c>
      <c r="DO57" s="308" t="s">
        <v>176</v>
      </c>
      <c r="DP57" s="308" t="s">
        <v>176</v>
      </c>
      <c r="DQ57" s="308" t="s">
        <v>176</v>
      </c>
      <c r="DR57" s="308" t="s">
        <v>176</v>
      </c>
      <c r="DS57" s="308" t="s">
        <v>176</v>
      </c>
      <c r="DT57" s="308" t="s">
        <v>176</v>
      </c>
      <c r="DU57" s="308" t="s">
        <v>176</v>
      </c>
      <c r="DV57" s="306" t="s">
        <v>176</v>
      </c>
      <c r="DW57" s="306" t="s">
        <v>176</v>
      </c>
      <c r="DX57" s="306" t="s">
        <v>176</v>
      </c>
      <c r="DY57" s="308" t="s">
        <v>176</v>
      </c>
      <c r="DZ57" s="308" t="s">
        <v>176</v>
      </c>
      <c r="EA57" s="308" t="s">
        <v>176</v>
      </c>
      <c r="EB57" s="308" t="s">
        <v>176</v>
      </c>
      <c r="EC57" s="308" t="s">
        <v>176</v>
      </c>
      <c r="ED57" s="308" t="s">
        <v>176</v>
      </c>
      <c r="EE57" s="308" t="s">
        <v>176</v>
      </c>
      <c r="EF57" s="308">
        <v>2</v>
      </c>
      <c r="EG57" s="308">
        <v>2</v>
      </c>
      <c r="EH57" s="308">
        <v>2</v>
      </c>
      <c r="EI57" s="308">
        <v>2</v>
      </c>
      <c r="EJ57" s="308">
        <v>2</v>
      </c>
      <c r="EK57" s="308">
        <v>2</v>
      </c>
      <c r="EL57" s="308">
        <v>1</v>
      </c>
      <c r="EM57" s="308">
        <v>1</v>
      </c>
      <c r="EN57" s="308">
        <v>2</v>
      </c>
      <c r="EO57" s="308">
        <v>2</v>
      </c>
      <c r="EP57" s="308">
        <v>2</v>
      </c>
      <c r="EQ57" s="308">
        <v>2</v>
      </c>
      <c r="ER57" s="308">
        <v>2</v>
      </c>
      <c r="ES57" s="308">
        <v>2</v>
      </c>
      <c r="ET57" s="308">
        <v>2</v>
      </c>
      <c r="EU57" s="308">
        <v>2</v>
      </c>
      <c r="EV57" s="308">
        <v>2</v>
      </c>
      <c r="EW57" s="306">
        <v>2</v>
      </c>
      <c r="EX57" s="308">
        <v>2</v>
      </c>
      <c r="EY57" s="308">
        <v>1</v>
      </c>
      <c r="EZ57" s="308">
        <v>1</v>
      </c>
      <c r="FA57" s="308">
        <v>1</v>
      </c>
      <c r="FB57" s="308" t="s">
        <v>176</v>
      </c>
      <c r="FC57" s="308" t="s">
        <v>176</v>
      </c>
      <c r="FD57" s="308">
        <v>1</v>
      </c>
      <c r="FE57" s="308">
        <v>2</v>
      </c>
      <c r="FF57" s="308">
        <v>1</v>
      </c>
      <c r="FG57" s="308"/>
      <c r="FH57" s="308">
        <v>2</v>
      </c>
      <c r="FI57" s="308">
        <v>2</v>
      </c>
      <c r="FJ57" s="308">
        <v>2</v>
      </c>
      <c r="FK57" s="308">
        <v>2</v>
      </c>
      <c r="FL57" s="308" t="s">
        <v>176</v>
      </c>
      <c r="FM57" s="308">
        <v>2</v>
      </c>
      <c r="FN57" s="308">
        <v>2</v>
      </c>
      <c r="FO57" s="308">
        <v>1</v>
      </c>
      <c r="FP57" s="308" t="s">
        <v>176</v>
      </c>
      <c r="FQ57" s="308" t="s">
        <v>176</v>
      </c>
      <c r="FR57" s="308" t="s">
        <v>176</v>
      </c>
      <c r="FS57" s="308" t="s">
        <v>176</v>
      </c>
      <c r="FT57" s="308" t="s">
        <v>176</v>
      </c>
      <c r="FU57" s="308" t="s">
        <v>176</v>
      </c>
      <c r="FV57" s="308" t="s">
        <v>176</v>
      </c>
      <c r="FW57" s="308" t="s">
        <v>176</v>
      </c>
      <c r="FX57" s="308" t="s">
        <v>176</v>
      </c>
      <c r="FY57" s="308" t="s">
        <v>176</v>
      </c>
      <c r="FZ57" s="308" t="s">
        <v>176</v>
      </c>
      <c r="GA57" s="308" t="s">
        <v>176</v>
      </c>
      <c r="GB57" s="308" t="s">
        <v>176</v>
      </c>
      <c r="GC57" s="308" t="s">
        <v>176</v>
      </c>
      <c r="GD57" s="308" t="s">
        <v>176</v>
      </c>
      <c r="GE57" s="308" t="s">
        <v>176</v>
      </c>
      <c r="GF57" s="308"/>
      <c r="GG57" s="308" t="s">
        <v>387</v>
      </c>
      <c r="GH57" s="308" t="s">
        <v>176</v>
      </c>
      <c r="GI57" s="308" t="s">
        <v>176</v>
      </c>
      <c r="GJ57" s="308" t="s">
        <v>387</v>
      </c>
      <c r="GK57" s="308" t="s">
        <v>176</v>
      </c>
      <c r="GL57" s="329">
        <f>SUM(G57:FP57)</f>
        <v>77</v>
      </c>
      <c r="GM57" s="132"/>
    </row>
    <row r="58" spans="1:195" s="133" customFormat="1" ht="28.35" customHeight="1" thickBot="1" x14ac:dyDescent="0.3">
      <c r="A58" s="138" t="str">
        <f>A57</f>
        <v>Serwis form-Tooling</v>
      </c>
      <c r="B58" s="138" t="str">
        <f>B57</f>
        <v>Konserwator form</v>
      </c>
      <c r="C58" s="138" t="str">
        <f t="shared" ref="C58:C60" si="1">C57</f>
        <v>KC</v>
      </c>
      <c r="D58" s="138">
        <f>D57</f>
        <v>346</v>
      </c>
      <c r="E58" s="566" t="str">
        <f>E57</f>
        <v>Kulesza Maciej</v>
      </c>
      <c r="F58" s="331" t="s">
        <v>166</v>
      </c>
      <c r="G58" s="330">
        <f>IF(INDEX(tab_MinKomp[Przepisy BHP / BHP Vorschriften],MATCH($B57,tab_MinKomp[[Stanowisko / Position ]:[Stanowisko / Position ]],0))="n/a","n/a",G57-INDEX(tab_MinKomp[Przepisy BHP / BHP Vorschriften],MATCH($B57,tab_MinKomp[[Stanowisko / Position ]:[Stanowisko / Position ]],0)))</f>
        <v>0</v>
      </c>
      <c r="H58" s="330">
        <f>IF(INDEX(tab_MinKomp[Przepisy PPOŻ / Brandschutzbestimmungen],MATCH($B57,tab_MinKomp[[Stanowisko / Position ]:[Stanowisko / Position ]],0))="n/a","n/a",H57-INDEX(tab_MinKomp[Przepisy PPOŻ / Brandschutzbestimmungen],MATCH($B57,tab_MinKomp[[Stanowisko / Position ]:[Stanowisko / Position ]],0)))</f>
        <v>0</v>
      </c>
      <c r="I58" s="330">
        <f>IF(INDEX(tab_MinKomp[Ryzyko zawodowe na stanowiskach pracyv/ Berufliche Risiken an Arbeitsstellen],MATCH($B57,tab_MinKomp[[Stanowisko / Position ]:[Stanowisko / Position ]],0))="n/a","n/a",I57-INDEX(tab_MinKomp[Ryzyko zawodowe na stanowiskach pracyv/ Berufliche Risiken an Arbeitsstellen],MATCH($B57,tab_MinKomp[[Stanowisko / Position ]:[Stanowisko / Position ]],0)))</f>
        <v>0</v>
      </c>
      <c r="J58" s="314">
        <f>IF(INDEX(tab_MinKomp[Gospodarka substancjami niebezpiecznymi / Gefahrstoffmanagement],MATCH($B57,tab_MinKomp[[Stanowisko / Position ]:[Stanowisko / Position ]],0))="n/a","n/a",J57-INDEX(tab_MinKomp[Gospodarka substancjami niebezpiecznymi / Gefahrstoffmanagement],MATCH($B57,tab_MinKomp[[Stanowisko / Position ]:[Stanowisko / Position ]],0)))</f>
        <v>-1</v>
      </c>
      <c r="K58" s="314">
        <f>IF(INDEX(tab_MinKomp[Gospodarka odpadami / Abfallwirtschaft],MATCH($B57,tab_MinKomp[[Stanowisko / Position ]:[Stanowisko / Position ]],0))="n/a","n/a",K57-INDEX(tab_MinKomp[Gospodarka odpadami / Abfallwirtschaft],MATCH($B57,tab_MinKomp[[Stanowisko / Position ]:[Stanowisko / Position ]],0)))</f>
        <v>0</v>
      </c>
      <c r="L58" s="315">
        <f>IF(INDEX(tab_MinKomp[Przepisy kodeksu pracy / Bestimmungen des Arbeitsgesetzes],MATCH($B57,tab_MinKomp[[Stanowisko / Position ]:[Stanowisko / Position ]],0))="n/a","n/a",L57-INDEX(tab_MinKomp[Przepisy kodeksu pracy / Bestimmungen des Arbeitsgesetzes],MATCH($B57,tab_MinKomp[[Stanowisko / Position ]:[Stanowisko / Position ]],0)))</f>
        <v>0</v>
      </c>
      <c r="M58" s="316" t="str">
        <f>IF(INDEX(tab_MinKomp[Przepisy o ub.społ. ZUS  / Sozialversicherungsvorschriften],MATCH($B57,tab_MinKomp[[Stanowisko / Position ]:[Stanowisko / Position ]],0))="n/a","n/a",M57-INDEX(tab_MinKomp[Przepisy o ub.społ. ZUS  / Sozialversicherungsvorschriften],MATCH($B57,tab_MinKomp[[Stanowisko / Position ]:[Stanowisko / Position ]],0)))</f>
        <v>n/a</v>
      </c>
      <c r="N58" s="315" t="str">
        <f>IF(INDEX(tab_MinKomp[PRZEPISY O PDOF /persönlich Einkommensteuergesetz ],MATCH($B57,tab_MinKomp[[Stanowisko / Position ]:[Stanowisko / Position ]],0))="n/a","n/a",N57-INDEX(tab_MinKomp[PRZEPISY O PDOF /persönlich Einkommensteuergesetz ],MATCH($B57,tab_MinKomp[[Stanowisko / Position ]:[Stanowisko / Position ]],0)))</f>
        <v>n/a</v>
      </c>
      <c r="O58" s="315">
        <f>IF(INDEX(tab_MinKomp[Regulamin pracy / Arbeitsordnung],MATCH($B57,tab_MinKomp[[Stanowisko / Position ]:[Stanowisko / Position ]],0))="n/a","n/a",O57-INDEX(tab_MinKomp[Regulamin pracy / Arbeitsordnung],MATCH($B57,tab_MinKomp[[Stanowisko / Position ]:[Stanowisko / Position ]],0)))</f>
        <v>0</v>
      </c>
      <c r="P58" s="315">
        <f>IF(INDEX(tab_MinKomp[Regulamin wynagradzania / Vergütungsordnung],MATCH($B57,tab_MinKomp[[Stanowisko / Position ]:[Stanowisko / Position ]],0))="n/a","n/a",P57-INDEX(tab_MinKomp[Regulamin wynagradzania / Vergütungsordnung],MATCH($B57,tab_MinKomp[[Stanowisko / Position ]:[Stanowisko / Position ]],0)))</f>
        <v>0</v>
      </c>
      <c r="Q58" s="315" t="str">
        <f>IF(INDEX(tab_MinKomp[System R2PŁATNIK PRO: Płace / Lohnabrechnung],MATCH($B57,tab_MinKomp[[Stanowisko / Position ]:[Stanowisko / Position ]],0))="n/a","n/a",Q57-INDEX(tab_MinKomp[System R2PŁATNIK PRO: Płace / Lohnabrechnung],MATCH($B57,tab_MinKomp[[Stanowisko / Position ]:[Stanowisko / Position ]],0)))</f>
        <v>n/a</v>
      </c>
      <c r="R58" s="315" t="str">
        <f>IF(INDEX(tab_MinKomp[SystemR2PŁATNIK PRO: KADRY / Personaldaten],MATCH($B57,tab_MinKomp[[Stanowisko / Position ]:[Stanowisko / Position ]],0))="n/a","n/a",R57-INDEX(tab_MinKomp[SystemR2PŁATNIK PRO: KADRY / Personaldaten],MATCH($B57,tab_MinKomp[[Stanowisko / Position ]:[Stanowisko / Position ]],0)))</f>
        <v>n/a</v>
      </c>
      <c r="S58" s="315" t="str">
        <f>IF(INDEX(tab_MinKomp[SYSTEM R2PŁATNIK PRO: zarządzanie pracownikami / Arbeitsverwaltung],MATCH($B57,tab_MinKomp[[Stanowisko / Position ]:[Stanowisko / Position ]],0))="n/a","n/a",S57-INDEX(tab_MinKomp[SYSTEM R2PŁATNIK PRO: zarządzanie pracownikami / Arbeitsverwaltung],MATCH($B57,tab_MinKomp[[Stanowisko / Position ]:[Stanowisko / Position ]],0)))</f>
        <v>n/a</v>
      </c>
      <c r="T58" s="315" t="str">
        <f>IF(INDEX(tab_MinKomp[Doradztwo, wsparcie personalne / Personalberatung und Unterstützung],MATCH($B57,tab_MinKomp[[Stanowisko / Position ]:[Stanowisko / Position ]],0))="n/a","n/a",T57-INDEX(tab_MinKomp[Doradztwo, wsparcie personalne / Personalberatung und Unterstützung],MATCH($B57,tab_MinKomp[[Stanowisko / Position ]:[Stanowisko / Position ]],0)))</f>
        <v>n/a</v>
      </c>
      <c r="U58" s="315" t="str">
        <f>IF(INDEX(tab_MinKomp[Przepisy o podatku VAT / MwSt.- Gesetz],MATCH($B57,tab_MinKomp[[Stanowisko / Position ]:[Stanowisko / Position ]],0))="n/a","n/a",U57-INDEX(tab_MinKomp[Przepisy o podatku VAT / MwSt.- Gesetz],MATCH($B57,tab_MinKomp[[Stanowisko / Position ]:[Stanowisko / Position ]],0)))</f>
        <v>n/a</v>
      </c>
      <c r="V58" s="315" t="str">
        <f>IF(INDEX(tab_MinKomp[PrzepisyPDOP / geschäftlich Einkommensteuergesetz],MATCH($B57,tab_MinKomp[[Stanowisko / Position ]:[Stanowisko / Position ]],0))="n/a","n/a",V57-INDEX(tab_MinKomp[PrzepisyPDOP / geschäftlich Einkommensteuergesetz],MATCH($B57,tab_MinKomp[[Stanowisko / Position ]:[Stanowisko / Position ]],0)))</f>
        <v>n/a</v>
      </c>
      <c r="W58" s="315" t="str">
        <f>IF(INDEX(tab_MinKomp[System BAAN / FINANSE (FIBU)],MATCH($B57,tab_MinKomp[[Stanowisko / Position ]:[Stanowisko / Position ]],0))="n/a","n/a",W57-INDEX(tab_MinKomp[System BAAN / FINANSE (FIBU)],MATCH($B57,tab_MinKomp[[Stanowisko / Position ]:[Stanowisko / Position ]],0)))</f>
        <v>n/a</v>
      </c>
      <c r="X58" s="315" t="str">
        <f>IF(INDEX(tab_MinKomp[Systemy pomocnicze / Hilfssysteme(STOCKPROGRAM, KALK2000 etc.)],MATCH($B57,tab_MinKomp[[Stanowisko / Position ]:[Stanowisko / Position ]],0))="n/a","n/a",X57-INDEX(tab_MinKomp[Systemy pomocnicze / Hilfssysteme(STOCKPROGRAM, KALK2000 etc.)],MATCH($B57,tab_MinKomp[[Stanowisko / Position ]:[Stanowisko / Position ]],0)))</f>
        <v>n/a</v>
      </c>
      <c r="Y58" s="315" t="str">
        <f>IF(INDEX(tab_MinKomp[Polityka rachunkowości / Buchführungspolitik],MATCH($B57,tab_MinKomp[[Stanowisko / Position ]:[Stanowisko / Position ]],0))="n/a","n/a",Y57-INDEX(tab_MinKomp[Polityka rachunkowości / Buchführungspolitik],MATCH($B57,tab_MinKomp[[Stanowisko / Position ]:[Stanowisko / Position ]],0)))</f>
        <v>n/a</v>
      </c>
      <c r="Z58" s="315" t="str">
        <f>IF(INDEX(tab_MinKomp[Ustawa o rachunkowości / Rechnungslegungsgesetz],MATCH($B57,tab_MinKomp[[Stanowisko / Position ]:[Stanowisko / Position ]],0))="n/a","n/a",Z57-INDEX(tab_MinKomp[Ustawa o rachunkowości / Rechnungslegungsgesetz],MATCH($B57,tab_MinKomp[[Stanowisko / Position ]:[Stanowisko / Position ]],0)))</f>
        <v>n/a</v>
      </c>
      <c r="AA58" s="315" t="str">
        <f>IF(INDEX(tab_MinKomp[WORKFLOW - TS-100],MATCH($B57,tab_MinKomp[[Stanowisko / Position ]:[Stanowisko / Position ]],0))="n/a","n/a",AA57-INDEX(tab_MinKomp[WORKFLOW - TS-100],MATCH($B57,tab_MinKomp[[Stanowisko / Position ]:[Stanowisko / Position ]],0)))</f>
        <v>n/a</v>
      </c>
      <c r="AB58" s="315" t="str">
        <f>IF(INDEX(tab_MinKomp[WORKFLOW - SFMS],MATCH($B57,tab_MinKomp[[Stanowisko / Position ]:[Stanowisko / Position ]],0))="n/a","n/a",AB57-INDEX(tab_MinKomp[WORKFLOW - SFMS],MATCH($B57,tab_MinKomp[[Stanowisko / Position ]:[Stanowisko / Position ]],0)))</f>
        <v>n/a</v>
      </c>
      <c r="AC58" s="315" t="str">
        <f>IF(INDEX(tab_MinKomp[System ISO 9001:2015],MATCH($B57,tab_MinKomp[[Stanowisko / Position ]:[Stanowisko / Position ]],0))="n/a","n/a",AC57-INDEX(tab_MinKomp[System ISO 9001:2015],MATCH($B57,tab_MinKomp[[Stanowisko / Position ]:[Stanowisko / Position ]],0)))</f>
        <v>n/a</v>
      </c>
      <c r="AD58" s="315" t="str">
        <f>IF(INDEX(tab_MinKomp[System IATF 16949:2016],MATCH($B57,tab_MinKomp[[Stanowisko / Position ]:[Stanowisko / Position ]],0))="n/a","n/a",AD57-INDEX(tab_MinKomp[System IATF 16949:2016],MATCH($B57,tab_MinKomp[[Stanowisko / Position ]:[Stanowisko / Position ]],0)))</f>
        <v>n/a</v>
      </c>
      <c r="AE58" s="315" t="str">
        <f>IF(INDEX(tab_MinKomp[System ISO 14001:2015],MATCH($B57,tab_MinKomp[[Stanowisko / Position ]:[Stanowisko / Position ]],0))="n/a","n/a",AE57-INDEX(tab_MinKomp[System ISO 14001:2015],MATCH($B57,tab_MinKomp[[Stanowisko / Position ]:[Stanowisko / Position ]],0)))</f>
        <v>n/a</v>
      </c>
      <c r="AF58" s="315" t="str">
        <f>IF(INDEX(tab_MinKomp[System PN-N 18001:2004 / ISO 45001:2018],MATCH($B57,tab_MinKomp[[Stanowisko / Position ]:[Stanowisko / Position ]],0))="n/a","n/a",AF57-INDEX(tab_MinKomp[System PN-N 18001:2004 / ISO 45001:2018],MATCH($B57,tab_MinKomp[[Stanowisko / Position ]:[Stanowisko / Position ]],0)))</f>
        <v>n/a</v>
      </c>
      <c r="AG58" s="315" t="str">
        <f>IF(INDEX(tab_MinKomp[Wymagania VDA 6.3 Process / Forderungen],MATCH($B57,tab_MinKomp[[Stanowisko / Position ]:[Stanowisko / Position ]],0))="n/a","n/a",AG57-INDEX(tab_MinKomp[Wymagania VDA 6.3 Process / Forderungen],MATCH($B57,tab_MinKomp[[Stanowisko / Position ]:[Stanowisko / Position ]],0)))</f>
        <v>n/a</v>
      </c>
      <c r="AH58" s="315" t="str">
        <f>IF(INDEX(tab_MinKomp[Wymagania VDA 6.5 Product / Forderungen],MATCH($B57,tab_MinKomp[[Stanowisko / Position ]:[Stanowisko / Position ]],0))="n/a","n/a",AH57-INDEX(tab_MinKomp[Wymagania VDA 6.5 Product / Forderungen],MATCH($B57,tab_MinKomp[[Stanowisko / Position ]:[Stanowisko / Position ]],0)))</f>
        <v>n/a</v>
      </c>
      <c r="AI58" s="315" t="str">
        <f>IF(INDEX(tab_MinKomp[PSCR (VW Product Safety &amp; Conformity Representative)],MATCH($B57,tab_MinKomp[[Stanowisko / Position ]:[Stanowisko / Position ]],0))="n/a","n/a",AI57-INDEX(tab_MinKomp[PSCR (VW Product Safety &amp; Conformity Representative)],MATCH($B57,tab_MinKomp[[Stanowisko / Position ]:[Stanowisko / Position ]],0)))</f>
        <v>n/a</v>
      </c>
      <c r="AJ58" s="315" t="str">
        <f>IF(INDEX(tab_MinKomp[Auditor systemu ISO 17025:2018],MATCH($B57,tab_MinKomp[[Stanowisko / Position ]:[Stanowisko / Position ]],0))="n/a","n/a",AJ57-INDEX(tab_MinKomp[Auditor systemu ISO 17025:2018],MATCH($B57,tab_MinKomp[[Stanowisko / Position ]:[Stanowisko / Position ]],0)))</f>
        <v>n/a</v>
      </c>
      <c r="AK58" s="315" t="str">
        <f>IF(INDEX(tab_MinKomp[Pełnomocnik systemu / Systemvertreter],MATCH($B57,tab_MinKomp[[Stanowisko / Position ]:[Stanowisko / Position ]],0))="n/a","n/a",AK57-INDEX(tab_MinKomp[Pełnomocnik systemu / Systemvertreter],MATCH($B57,tab_MinKomp[[Stanowisko / Position ]:[Stanowisko / Position ]],0)))</f>
        <v>n/a</v>
      </c>
      <c r="AL58" s="315" t="str">
        <f>IF(INDEX(tab_MinKomp[Polityka Etyczna - Compliance],MATCH($B57,tab_MinKomp[[Stanowisko / Position ]:[Stanowisko / Position ]],0))="n/a","n/a",AL57-INDEX(tab_MinKomp[Polityka Etyczna - Compliance],MATCH($B57,tab_MinKomp[[Stanowisko / Position ]:[Stanowisko / Position ]],0)))</f>
        <v>n/a</v>
      </c>
      <c r="AM58" s="315" t="str">
        <f>IF(INDEX(tab_MinKomp[WDRAŻANIE NOWYCH PROJEKTÓW/ PROCEDURA CTM],MATCH($B57,tab_MinKomp[[Stanowisko / Position ]:[Stanowisko / Position ]],0))="n/a","n/a",AM57-INDEX(tab_MinKomp[WDRAŻANIE NOWYCH PROJEKTÓW/ PROCEDURA CTM],MATCH($B57,tab_MinKomp[[Stanowisko / Position ]:[Stanowisko / Position ]],0)))</f>
        <v>n/a</v>
      </c>
      <c r="AN58" s="315" t="str">
        <f>IF(INDEX(tab_MinKomp[KAMIENIE MILOWE MSL/PIFF],MATCH($B57,tab_MinKomp[[Stanowisko / Position ]:[Stanowisko / Position ]],0))="n/a","n/a",AN57-INDEX(tab_MinKomp[KAMIENIE MILOWE MSL/PIFF],MATCH($B57,tab_MinKomp[[Stanowisko / Position ]:[Stanowisko / Position ]],0)))</f>
        <v>n/a</v>
      </c>
      <c r="AO58" s="315" t="str">
        <f>IF(INDEX(tab_MinKomp[CP],MATCH($B57,tab_MinKomp[[Stanowisko / Position ]:[Stanowisko / Position ]],0))="n/a","n/a",AO57-INDEX(tab_MinKomp[CP],MATCH($B57,tab_MinKomp[[Stanowisko / Position ]:[Stanowisko / Position ]],0)))</f>
        <v>n/a</v>
      </c>
      <c r="AP58" s="315" t="str">
        <f>IF(INDEX(tab_MinKomp[FMEA],MATCH($B57,tab_MinKomp[[Stanowisko / Position ]:[Stanowisko / Position ]],0))="n/a","n/a",AP57-INDEX(tab_MinKomp[FMEA],MATCH($B57,tab_MinKomp[[Stanowisko / Position ]:[Stanowisko / Position ]],0)))</f>
        <v>n/a</v>
      </c>
      <c r="AQ58" s="315" t="str">
        <f>IF(INDEX(tab_MinKomp[FLOW CHART],MATCH($B57,tab_MinKomp[[Stanowisko / Position ]:[Stanowisko / Position ]],0))="n/a","n/a",AQ57-INDEX(tab_MinKomp[FLOW CHART],MATCH($B57,tab_MinKomp[[Stanowisko / Position ]:[Stanowisko / Position ]],0)))</f>
        <v>n/a</v>
      </c>
      <c r="AR58" s="315" t="str">
        <f>IF(INDEX(tab_MinKomp[APQP],MATCH($B57,tab_MinKomp[[Stanowisko / Position ]:[Stanowisko / Position ]],0))="n/a","n/a",AR57-INDEX(tab_MinKomp[APQP],MATCH($B57,tab_MinKomp[[Stanowisko / Position ]:[Stanowisko / Position ]],0)))</f>
        <v>n/a</v>
      </c>
      <c r="AS58" s="315" t="str">
        <f>IF(INDEX(tab_MinKomp[MSA],MATCH($B57,tab_MinKomp[[Stanowisko / Position ]:[Stanowisko / Position ]],0))="n/a","n/a",AS57-INDEX(tab_MinKomp[MSA],MATCH($B57,tab_MinKomp[[Stanowisko / Position ]:[Stanowisko / Position ]],0)))</f>
        <v>n/a</v>
      </c>
      <c r="AT58" s="315" t="str">
        <f>IF(INDEX(tab_MinKomp[SPC],MATCH($B57,tab_MinKomp[[Stanowisko / Position ]:[Stanowisko / Position ]],0))="n/a","n/a",AT57-INDEX(tab_MinKomp[SPC],MATCH($B57,tab_MinKomp[[Stanowisko / Position ]:[Stanowisko / Position ]],0)))</f>
        <v>n/a</v>
      </c>
      <c r="AU58" s="315" t="str">
        <f>IF(INDEX(tab_MinKomp[CSR (SPECYFICZNE WYMAGANIA KLIENTA)],MATCH($B57,tab_MinKomp[[Stanowisko / Position ]:[Stanowisko / Position ]],0))="n/a","n/a",AU57-INDEX(tab_MinKomp[CSR (SPECYFICZNE WYMAGANIA KLIENTA)],MATCH($B57,tab_MinKomp[[Stanowisko / Position ]:[Stanowisko / Position ]],0)))</f>
        <v>n/a</v>
      </c>
      <c r="AV58" s="315">
        <f>IF(INDEX(tab_MinKomp[5S],MATCH($B57,tab_MinKomp[[Stanowisko / Position ]:[Stanowisko / Position ]],0))="n/a","n/a",AV57-INDEX(tab_MinKomp[5S],MATCH($B57,tab_MinKomp[[Stanowisko / Position ]:[Stanowisko / Position ]],0)))</f>
        <v>0</v>
      </c>
      <c r="AW58" s="315">
        <f>IF(INDEX(tab_MinKomp[LEAN MANAGEMENT],MATCH($B57,tab_MinKomp[[Stanowisko / Position ]:[Stanowisko / Position ]],0))="n/a","n/a",AW57-INDEX(tab_MinKomp[LEAN MANAGEMENT],MATCH($B57,tab_MinKomp[[Stanowisko / Position ]:[Stanowisko / Position ]],0)))</f>
        <v>0</v>
      </c>
      <c r="AX58" s="315">
        <f>IF(INDEX(tab_MinKomp[5R],MATCH($B57,tab_MinKomp[[Stanowisko / Position ]:[Stanowisko / Position ]],0))="n/a","n/a",AX57-INDEX(tab_MinKomp[5R],MATCH($B57,tab_MinKomp[[Stanowisko / Position ]:[Stanowisko / Position ]],0)))</f>
        <v>-1</v>
      </c>
      <c r="AY58" s="315" t="str">
        <f>IF(INDEX(tab_MinKomp[Six Sigma],MATCH($B57,tab_MinKomp[[Stanowisko / Position ]:[Stanowisko / Position ]],0))="n/a","n/a",AY57-INDEX(tab_MinKomp[Six Sigma],MATCH($B57,tab_MinKomp[[Stanowisko / Position ]:[Stanowisko / Position ]],0)))</f>
        <v>n/a</v>
      </c>
      <c r="AZ58" s="315" t="str">
        <f>IF(INDEX(tab_MinKomp[System BAAN / Distribution &amp; Supply Chain],MATCH($B57,tab_MinKomp[[Stanowisko / Position ]:[Stanowisko / Position ]],0))="n/a","n/a",AZ57-INDEX(tab_MinKomp[System BAAN / Distribution &amp; Supply Chain],MATCH($B57,tab_MinKomp[[Stanowisko / Position ]:[Stanowisko / Position ]],0)))</f>
        <v>n/a</v>
      </c>
      <c r="BA58" s="315" t="str">
        <f>IF(INDEX(tab_MinKomp[Gospodarka magazynowa / Lagerverwaltung],MATCH($B57,tab_MinKomp[[Stanowisko / Position ]:[Stanowisko / Position ]],0))="n/a","n/a",BA57-INDEX(tab_MinKomp[Gospodarka magazynowa / Lagerverwaltung],MATCH($B57,tab_MinKomp[[Stanowisko / Position ]:[Stanowisko / Position ]],0)))</f>
        <v>n/a</v>
      </c>
      <c r="BB58" s="315" t="str">
        <f>IF(INDEX(tab_MinKomp[Inwentaryzacja - organizacja i przebieg / Inventurprozess],MATCH($B57,tab_MinKomp[[Stanowisko / Position ]:[Stanowisko / Position ]],0))="n/a","n/a",BB57-INDEX(tab_MinKomp[Inwentaryzacja - organizacja i przebieg / Inventurprozess],MATCH($B57,tab_MinKomp[[Stanowisko / Position ]:[Stanowisko / Position ]],0)))</f>
        <v>n/a</v>
      </c>
      <c r="BC58" s="315" t="str">
        <f>IF(INDEX(tab_MinKomp[Organizacja dostaw / Versorgungsorganisation],MATCH($B57,tab_MinKomp[[Stanowisko / Position ]:[Stanowisko / Position ]],0))="n/a","n/a",BC57-INDEX(tab_MinKomp[Organizacja dostaw / Versorgungsorganisation],MATCH($B57,tab_MinKomp[[Stanowisko / Position ]:[Stanowisko / Position ]],0)))</f>
        <v>n/a</v>
      </c>
      <c r="BD58" s="315" t="str">
        <f>IF(INDEX(tab_MinKomp[Organizacja wysyłek / Organisation von Lieferungen],MATCH($B57,tab_MinKomp[[Stanowisko / Position ]:[Stanowisko / Position ]],0))="n/a","n/a",BD57-INDEX(tab_MinKomp[Organizacja wysyłek / Organisation von Lieferungen],MATCH($B57,tab_MinKomp[[Stanowisko / Position ]:[Stanowisko / Position ]],0)))</f>
        <v>n/a</v>
      </c>
      <c r="BE58" s="315" t="str">
        <f>IF(INDEX(tab_MinKomp[Analiza magazynowa - Program Polen.mdb / Inventuranalyse],MATCH($B57,tab_MinKomp[[Stanowisko / Position ]:[Stanowisko / Position ]],0))="n/a","n/a",BE57-INDEX(tab_MinKomp[Analiza magazynowa - Program Polen.mdb / Inventuranalyse],MATCH($B57,tab_MinKomp[[Stanowisko / Position ]:[Stanowisko / Position ]],0)))</f>
        <v>n/a</v>
      </c>
      <c r="BF58" s="315" t="str">
        <f>IF(INDEX(tab_MinKomp[MMOG (Materials Management Operations Guidelines)],MATCH($B57,tab_MinKomp[[Stanowisko / Position ]:[Stanowisko / Position ]],0))="n/a","n/a",BF57-INDEX(tab_MinKomp[MMOG (Materials Management Operations Guidelines)],MATCH($B57,tab_MinKomp[[Stanowisko / Position ]:[Stanowisko / Position ]],0)))</f>
        <v>n/a</v>
      </c>
      <c r="BG58" s="315" t="str">
        <f>IF(INDEX(tab_MinKomp[DETC],MATCH($B57,tab_MinKomp[[Stanowisko / Position ]:[Stanowisko / Position ]],0))="n/a","n/a",BG57-INDEX(tab_MinKomp[DETC],MATCH($B57,tab_MinKomp[[Stanowisko / Position ]:[Stanowisko / Position ]],0)))</f>
        <v>n/a</v>
      </c>
      <c r="BH58" s="315" t="str">
        <f>IF(INDEX(tab_MinKomp[GPP],MATCH($B57,tab_MinKomp[[Stanowisko / Position ]:[Stanowisko / Position ]],0))="n/a","n/a",BH57-INDEX(tab_MinKomp[GPP],MATCH($B57,tab_MinKomp[[Stanowisko / Position ]:[Stanowisko / Position ]],0)))</f>
        <v>n/a</v>
      </c>
      <c r="BI58" s="315" t="str">
        <f>IF(INDEX(tab_MinKomp[AIAG (Automotive Industry Action Group)],MATCH($B57,tab_MinKomp[[Stanowisko / Position ]:[Stanowisko / Position ]],0))="n/a","n/a",BI57-INDEX(tab_MinKomp[AIAG (Automotive Industry Action Group)],MATCH($B57,tab_MinKomp[[Stanowisko / Position ]:[Stanowisko / Position ]],0)))</f>
        <v>n/a</v>
      </c>
      <c r="BJ58" s="315" t="str">
        <f>IF(INDEX(tab_MinKomp[Super-G disputes],MATCH($B57,tab_MinKomp[[Stanowisko / Position ]:[Stanowisko / Position ]],0))="n/a","n/a",BJ57-INDEX(tab_MinKomp[Super-G disputes],MATCH($B57,tab_MinKomp[[Stanowisko / Position ]:[Stanowisko / Position ]],0)))</f>
        <v>n/a</v>
      </c>
      <c r="BK58" s="315" t="str">
        <f>IF(INDEX(tab_MinKomp[CMMS3/eDDL (Direct Data Link)],MATCH($B57,tab_MinKomp[[Stanowisko / Position ]:[Stanowisko / Position ]],0))="n/a","n/a",BK57-INDEX(tab_MinKomp[CMMS3/eDDL (Direct Data Link)],MATCH($B57,tab_MinKomp[[Stanowisko / Position ]:[Stanowisko / Position ]],0)))</f>
        <v>n/a</v>
      </c>
      <c r="BL58" s="315" t="str">
        <f>IF(INDEX(tab_MinKomp[MP&amp;L (Material Planning and Logistics)],MATCH($B57,tab_MinKomp[[Stanowisko / Position ]:[Stanowisko / Position ]],0))="n/a","n/a",BL57-INDEX(tab_MinKomp[MP&amp;L (Material Planning and Logistics)],MATCH($B57,tab_MinKomp[[Stanowisko / Position ]:[Stanowisko / Position ]],0)))</f>
        <v>n/a</v>
      </c>
      <c r="BM58" s="315" t="str">
        <f>IF(INDEX(tab_MinKomp[Planowanie produkcji / Produktionsplanung],MATCH($B57,tab_MinKomp[[Stanowisko / Position ]:[Stanowisko / Position ]],0))="n/a","n/a",BM57-INDEX(tab_MinKomp[Planowanie produkcji / Produktionsplanung],MATCH($B57,tab_MinKomp[[Stanowisko / Position ]:[Stanowisko / Position ]],0)))</f>
        <v>n/a</v>
      </c>
      <c r="BN58" s="315">
        <f>IF(INDEX(tab_MinKomp[Obsługa maszyn Engel / Engel Maschinenbedienung],MATCH($B57,tab_MinKomp[[Stanowisko / Position ]:[Stanowisko / Position ]],0))="n/a","n/a",BN57-INDEX(tab_MinKomp[Obsługa maszyn Engel / Engel Maschinenbedienung],MATCH($B57,tab_MinKomp[[Stanowisko / Position ]:[Stanowisko / Position ]],0)))</f>
        <v>-1</v>
      </c>
      <c r="BO58" s="315">
        <f>IF(INDEX(tab_MinKomp[Obsługa maszyn Novapax / Novapax Maschinenbedienung],MATCH($B57,tab_MinKomp[[Stanowisko / Position ]:[Stanowisko / Position ]],0))="n/a","n/a",BO57-INDEX(tab_MinKomp[Obsługa maszyn Novapax / Novapax Maschinenbedienung],MATCH($B57,tab_MinKomp[[Stanowisko / Position ]:[Stanowisko / Position ]],0)))</f>
        <v>-1</v>
      </c>
      <c r="BP58" s="315" t="str">
        <f>IF(INDEX(tab_MinKomp[Obsługa maszyn KVT / KVT Maschinenbedienung],MATCH($B57,tab_MinKomp[[Stanowisko / Position ]:[Stanowisko / Position ]],0))="n/a","n/a",BP57-INDEX(tab_MinKomp[Obsługa maszyn KVT / KVT Maschinenbedienung],MATCH($B57,tab_MinKomp[[Stanowisko / Position ]:[Stanowisko / Position ]],0)))</f>
        <v>n/a</v>
      </c>
      <c r="BQ58" s="315" t="str">
        <f>IF(INDEX(tab_MinKomp[Obsługa maszyn ASL / ASL Maschinenbedienung],MATCH($B57,tab_MinKomp[[Stanowisko / Position ]:[Stanowisko / Position ]],0))="n/a","n/a",BQ57-INDEX(tab_MinKomp[Obsługa maszyn ASL / ASL Maschinenbedienung],MATCH($B57,tab_MinKomp[[Stanowisko / Position ]:[Stanowisko / Position ]],0)))</f>
        <v>n/a</v>
      </c>
      <c r="BR58" s="315" t="str">
        <f>IF(INDEX(tab_MinKomp[Obsługa maszyn Branson / Branson Maschinenbedienung],MATCH($B57,tab_MinKomp[[Stanowisko / Position ]:[Stanowisko / Position ]],0))="n/a","n/a",BR57-INDEX(tab_MinKomp[Obsługa maszyn Branson / Branson Maschinenbedienung],MATCH($B57,tab_MinKomp[[Stanowisko / Position ]:[Stanowisko / Position ]],0)))</f>
        <v>n/a</v>
      </c>
      <c r="BS58" s="315" t="str">
        <f>IF(INDEX(tab_MinKomp[Obsługa maszyn Kamtec / Kamtec Maschinenbedienung],MATCH($B57,tab_MinKomp[[Stanowisko / Position ]:[Stanowisko / Position ]],0))="n/a","n/a",BS57-INDEX(tab_MinKomp[Obsługa maszyn Kamtec / Kamtec Maschinenbedienung],MATCH($B57,tab_MinKomp[[Stanowisko / Position ]:[Stanowisko / Position ]],0)))</f>
        <v>n/a</v>
      </c>
      <c r="BT58" s="315">
        <f>IF(INDEX(tab_MinKomp[Obsługa maszyn Piovan / Piovan Maschinenbedienung],MATCH($B57,tab_MinKomp[[Stanowisko / Position ]:[Stanowisko / Position ]],0))="n/a","n/a",BT57-INDEX(tab_MinKomp[Obsługa maszyn Piovan / Piovan Maschinenbedienung],MATCH($B57,tab_MinKomp[[Stanowisko / Position ]:[Stanowisko / Position ]],0)))</f>
        <v>-1</v>
      </c>
      <c r="BU58" s="315">
        <f>IF(INDEX(tab_MinKomp[Obsługa maszyn REP / REP Maschinenbedienung],MATCH($B57,tab_MinKomp[[Stanowisko / Position ]:[Stanowisko / Position ]],0))="n/a","n/a",BU57-INDEX(tab_MinKomp[Obsługa maszyn REP / REP Maschinenbedienung],MATCH($B57,tab_MinKomp[[Stanowisko / Position ]:[Stanowisko / Position ]],0)))</f>
        <v>-1</v>
      </c>
      <c r="BV58" s="315">
        <f>IF(INDEX(tab_MinKomp[Eliminacja awarii / Beseitigung von Ausfällen],MATCH($B57,tab_MinKomp[[Stanowisko / Position ]:[Stanowisko / Position ]],0))="n/a","n/a",BV57-INDEX(tab_MinKomp[Eliminacja awarii / Beseitigung von Ausfällen],MATCH($B57,tab_MinKomp[[Stanowisko / Position ]:[Stanowisko / Position ]],0)))</f>
        <v>-2</v>
      </c>
      <c r="BW58" s="315" t="str">
        <f>IF(INDEX(tab_MinKomp[Informatyka ogólna (techniczne i systemowe) / Allgemeine IT (Technik und System)],MATCH($B57,tab_MinKomp[[Stanowisko / Position ]:[Stanowisko / Position ]],0))="n/a","n/a",BW57-INDEX(tab_MinKomp[Informatyka ogólna (techniczne i systemowe) / Allgemeine IT (Technik und System)],MATCH($B57,tab_MinKomp[[Stanowisko / Position ]:[Stanowisko / Position ]],0)))</f>
        <v>n/a</v>
      </c>
      <c r="BX58" s="315" t="str">
        <f>IF(INDEX(tab_MinKomp[Sieci komputerowe / Computernetzwerke],MATCH($B57,tab_MinKomp[[Stanowisko / Position ]:[Stanowisko / Position ]],0))="n/a","n/a",BX57-INDEX(tab_MinKomp[Sieci komputerowe / Computernetzwerke],MATCH($B57,tab_MinKomp[[Stanowisko / Position ]:[Stanowisko / Position ]],0)))</f>
        <v>n/a</v>
      </c>
      <c r="BY58" s="315" t="str">
        <f>IF(INDEX(tab_MinKomp[Hardware (komputery PC, drukarki biurowe i etykietowe, telefonia stacjonarna i mobilna) (PC, Drucker, Telefpne, Handys)],MATCH($B57,tab_MinKomp[[Stanowisko / Position ]:[Stanowisko / Position ]],0))="n/a","n/a",BY57-INDEX(tab_MinKomp[Hardware (komputery PC, drukarki biurowe i etykietowe, telefonia stacjonarna i mobilna) (PC, Drucker, Telefpne, Handys)],MATCH($B57,tab_MinKomp[[Stanowisko / Position ]:[Stanowisko / Position ]],0)))</f>
        <v>n/a</v>
      </c>
      <c r="BZ58" s="315" t="str">
        <f>IF(INDEX(tab_MinKomp[Software &amp; Systems (MS Office, MS Remote Desktop)],MATCH($B57,tab_MinKomp[[Stanowisko / Position ]:[Stanowisko / Position ]],0))="n/a","n/a",BZ57-INDEX(tab_MinKomp[Software &amp; Systems (MS Office, MS Remote Desktop)],MATCH($B57,tab_MinKomp[[Stanowisko / Position ]:[Stanowisko / Position ]],0)))</f>
        <v>n/a</v>
      </c>
      <c r="CA58" s="315" t="str">
        <f>IF(INDEX(tab_MinKomp[Programowanie obiektowe (PHP) / Objektprogrammierung],MATCH($B57,tab_MinKomp[[Stanowisko / Position ]:[Stanowisko / Position ]],0))="n/a","n/a",CA57-INDEX(tab_MinKomp[Programowanie obiektowe (PHP) / Objektprogrammierung],MATCH($B57,tab_MinKomp[[Stanowisko / Position ]:[Stanowisko / Position ]],0)))</f>
        <v>n/a</v>
      </c>
      <c r="CB58" s="315" t="str">
        <f>IF(INDEX(tab_MinKomp[Scrum],MATCH($B57,tab_MinKomp[[Stanowisko / Position ]:[Stanowisko / Position ]],0))="n/a","n/a",CB57-INDEX(tab_MinKomp[Scrum],MATCH($B57,tab_MinKomp[[Stanowisko / Position ]:[Stanowisko / Position ]],0)))</f>
        <v>n/a</v>
      </c>
      <c r="CC58" s="315" t="str">
        <f>IF(INDEX(tab_MinKomp[SQL (MySQL)],MATCH($B57,tab_MinKomp[[Stanowisko / Position ]:[Stanowisko / Position ]],0))="n/a","n/a",CC57-INDEX(tab_MinKomp[SQL (MySQL)],MATCH($B57,tab_MinKomp[[Stanowisko / Position ]:[Stanowisko / Position ]],0)))</f>
        <v>n/a</v>
      </c>
      <c r="CD58" s="315" t="str">
        <f>IF(INDEX(tab_MinKomp[Javascript],MATCH($B57,tab_MinKomp[[Stanowisko / Position ]:[Stanowisko / Position ]],0))="n/a","n/a",CD57-INDEX(tab_MinKomp[Javascript],MATCH($B57,tab_MinKomp[[Stanowisko / Position ]:[Stanowisko / Position ]],0)))</f>
        <v>n/a</v>
      </c>
      <c r="CE58" s="315" t="str">
        <f>IF(INDEX(tab_MinKomp[Joomla],MATCH($B57,tab_MinKomp[[Stanowisko / Position ]:[Stanowisko / Position ]],0))="n/a","n/a",CE57-INDEX(tab_MinKomp[Joomla],MATCH($B57,tab_MinKomp[[Stanowisko / Position ]:[Stanowisko / Position ]],0)))</f>
        <v>n/a</v>
      </c>
      <c r="CF58" s="315" t="str">
        <f>IF(INDEX(tab_MinKomp[Bash],MATCH($B57,tab_MinKomp[[Stanowisko / Position ]:[Stanowisko / Position ]],0))="n/a","n/a",CF57-INDEX(tab_MinKomp[Bash],MATCH($B57,tab_MinKomp[[Stanowisko / Position ]:[Stanowisko / Position ]],0)))</f>
        <v>n/a</v>
      </c>
      <c r="CG58" s="315" t="str">
        <f>IF(INDEX(tab_MinKomp[Systemy MES (HYDRA / SFMS)],MATCH($B57,tab_MinKomp[[Stanowisko / Position ]:[Stanowisko / Position ]],0))="n/a","n/a",CG57-INDEX(tab_MinKomp[Systemy MES (HYDRA / SFMS)],MATCH($B57,tab_MinKomp[[Stanowisko / Position ]:[Stanowisko / Position ]],0)))</f>
        <v>n/a</v>
      </c>
      <c r="CH58" s="315" t="str">
        <f>IF(INDEX(tab_MinKomp[HTML / CSS],MATCH($B57,tab_MinKomp[[Stanowisko / Position ]:[Stanowisko / Position ]],0))="n/a","n/a",CH57-INDEX(tab_MinKomp[HTML / CSS],MATCH($B57,tab_MinKomp[[Stanowisko / Position ]:[Stanowisko / Position ]],0)))</f>
        <v>n/a</v>
      </c>
      <c r="CI58" s="315" t="str">
        <f>IF(INDEX(tab_MinKomp[SYSTEM PR],MATCH($B57,tab_MinKomp[[Stanowisko / Position ]:[Stanowisko / Position ]],0))="n/a","n/a",CI57-INDEX(tab_MinKomp[SYSTEM PR],MATCH($B57,tab_MinKomp[[Stanowisko / Position ]:[Stanowisko / Position ]],0)))</f>
        <v>n/a</v>
      </c>
      <c r="CJ58" s="315" t="str">
        <f>IF(INDEX(tab_MinKomp[System Einkauf XP / EBA],MATCH($B57,tab_MinKomp[[Stanowisko / Position ]:[Stanowisko / Position ]],0))="n/a","n/a",CJ57-INDEX(tab_MinKomp[System Einkauf XP / EBA],MATCH($B57,tab_MinKomp[[Stanowisko / Position ]:[Stanowisko / Position ]],0)))</f>
        <v>n/a</v>
      </c>
      <c r="CK58" s="315" t="str">
        <f>IF(INDEX(tab_MinKomp[Techniki negocjacyjne / Verhandlungstechniken],MATCH($B57,tab_MinKomp[[Stanowisko / Position ]:[Stanowisko / Position ]],0))="n/a","n/a",CK57-INDEX(tab_MinKomp[Techniki negocjacyjne / Verhandlungstechniken],MATCH($B57,tab_MinKomp[[Stanowisko / Position ]:[Stanowisko / Position ]],0)))</f>
        <v>n/a</v>
      </c>
      <c r="CL58" s="315" t="str">
        <f>IF(INDEX(tab_MinKomp[Znajomość rynku branżowego / Kenntnis des Industrie Marktes],MATCH($B57,tab_MinKomp[[Stanowisko / Position ]:[Stanowisko / Position ]],0))="n/a","n/a",CL57-INDEX(tab_MinKomp[Znajomość rynku branżowego / Kenntnis des Industrie Marktes],MATCH($B57,tab_MinKomp[[Stanowisko / Position ]:[Stanowisko / Position ]],0)))</f>
        <v>n/a</v>
      </c>
      <c r="CM58" s="315" t="str">
        <f>IF(INDEX(tab_MinKomp[RAPORTY 8D / 8D Berichten],MATCH($B57,tab_MinKomp[[Stanowisko / Position ]:[Stanowisko / Position ]],0))="n/a","n/a",CM57-INDEX(tab_MinKomp[RAPORTY 8D / 8D Berichten],MATCH($B57,tab_MinKomp[[Stanowisko / Position ]:[Stanowisko / Position ]],0)))</f>
        <v>n/a</v>
      </c>
      <c r="CN58" s="315">
        <f>IF(INDEX(tab_MinKomp[NARZĘDZIA JAKOŚCIOWE (5WHY, Ishikawa, etc) / QS-Werkzeuge],MATCH($B57,tab_MinKomp[[Stanowisko / Position ]:[Stanowisko / Position ]],0))="n/a","n/a",CN57-INDEX(tab_MinKomp[NARZĘDZIA JAKOŚCIOWE (5WHY, Ishikawa, etc) / QS-Werkzeuge],MATCH($B57,tab_MinKomp[[Stanowisko / Position ]:[Stanowisko / Position ]],0)))</f>
        <v>0</v>
      </c>
      <c r="CO58" s="315">
        <f>IF(INDEX(tab_MinKomp[PDCA],MATCH($B57,tab_MinKomp[[Stanowisko / Position ]:[Stanowisko / Position ]],0))="n/a","n/a",CO57-INDEX(tab_MinKomp[PDCA],MATCH($B57,tab_MinKomp[[Stanowisko / Position ]:[Stanowisko / Position ]],0)))</f>
        <v>0</v>
      </c>
      <c r="CP58" s="315">
        <f>IF(INDEX(tab_MinKomp[Pareto],MATCH($B57,tab_MinKomp[[Stanowisko / Position ]:[Stanowisko / Position ]],0))="n/a","n/a",CP57-INDEX(tab_MinKomp[Pareto],MATCH($B57,tab_MinKomp[[Stanowisko / Position ]:[Stanowisko / Position ]],0)))</f>
        <v>0</v>
      </c>
      <c r="CQ58" s="315" t="str">
        <f>IF(INDEX(tab_MinKomp[PPAP/PSW],MATCH($B57,tab_MinKomp[[Stanowisko / Position ]:[Stanowisko / Position ]],0))="n/a","n/a",CQ57-INDEX(tab_MinKomp[PPAP/PSW],MATCH($B57,tab_MinKomp[[Stanowisko / Position ]:[Stanowisko / Position ]],0)))</f>
        <v>n/a</v>
      </c>
      <c r="CR58" s="315" t="str">
        <f>IF(INDEX(tab_MinKomp[SUPPLIER MANAGEMENT],MATCH($B57,tab_MinKomp[[Stanowisko / Position ]:[Stanowisko / Position ]],0))="n/a","n/a",CR57-INDEX(tab_MinKomp[SUPPLIER MANAGEMENT],MATCH($B57,tab_MinKomp[[Stanowisko / Position ]:[Stanowisko / Position ]],0)))</f>
        <v>n/a</v>
      </c>
      <c r="CS58" s="315" t="str">
        <f>IF(INDEX(tab_MinKomp[OBSŁUGA PORTALI KLIENTA / Kundenportale],MATCH($B57,tab_MinKomp[[Stanowisko / Position ]:[Stanowisko / Position ]],0))="n/a","n/a",CS57-INDEX(tab_MinKomp[OBSŁUGA PORTALI KLIENTA / Kundenportale],MATCH($B57,tab_MinKomp[[Stanowisko / Position ]:[Stanowisko / Position ]],0)))</f>
        <v>n/a</v>
      </c>
      <c r="CT58" s="315" t="str">
        <f>IF(INDEX(tab_MinKomp[Obsługa systemu BABTECQ / BABTECQ System],MATCH($B57,tab_MinKomp[[Stanowisko / Position ]:[Stanowisko / Position ]],0))="n/a","n/a",CT57-INDEX(tab_MinKomp[Obsługa systemu BABTECQ / BABTECQ System],MATCH($B57,tab_MinKomp[[Stanowisko / Position ]:[Stanowisko / Position ]],0)))</f>
        <v>n/a</v>
      </c>
      <c r="CU58" s="315">
        <f>IF(INDEX(tab_MinKomp[Rysunek techniczny / technische Zeichnung],MATCH($B57,tab_MinKomp[[Stanowisko / Position ]:[Stanowisko / Position ]],0))="n/a","n/a",CU57-INDEX(tab_MinKomp[Rysunek techniczny / technische Zeichnung],MATCH($B57,tab_MinKomp[[Stanowisko / Position ]:[Stanowisko / Position ]],0)))</f>
        <v>-2</v>
      </c>
      <c r="CV58" s="315" t="str">
        <f>IF(INDEX(tab_MinKomp[Kalibracja / Kalibrierung],MATCH($B57,tab_MinKomp[[Stanowisko / Position ]:[Stanowisko / Position ]],0))="n/a","n/a",CV57-INDEX(tab_MinKomp[Kalibracja / Kalibrierung],MATCH($B57,tab_MinKomp[[Stanowisko / Position ]:[Stanowisko / Position ]],0)))</f>
        <v>n/a</v>
      </c>
      <c r="CW58" s="315" t="str">
        <f>IF(INDEX(tab_MinKomp[Rekwalifikacja / Requalifizierung],MATCH($B57,tab_MinKomp[[Stanowisko / Position ]:[Stanowisko / Position ]],0))="n/a","n/a",CW57-INDEX(tab_MinKomp[Rekwalifikacja / Requalifizierung],MATCH($B57,tab_MinKomp[[Stanowisko / Position ]:[Stanowisko / Position ]],0)))</f>
        <v>n/a</v>
      </c>
      <c r="CX58" s="315" t="str">
        <f>IF(INDEX(tab_MinKomp[Obsługa mikroskopu optycznego / Bedienung eines optischen Mikroskops],MATCH($B57,tab_MinKomp[[Stanowisko / Position ]:[Stanowisko / Position ]],0))="n/a","n/a",CX57-INDEX(tab_MinKomp[Obsługa mikroskopu optycznego / Bedienung eines optischen Mikroskops],MATCH($B57,tab_MinKomp[[Stanowisko / Position ]:[Stanowisko / Position ]],0)))</f>
        <v>n/a</v>
      </c>
      <c r="CY58" s="315" t="str">
        <f>IF(INDEX(tab_MinKomp[Wykonywanie pomiarów optycznych - ocena wizualna / Optische Messungen durchführen – visuelle Beurteilung],MATCH($B57,tab_MinKomp[[Stanowisko / Position ]:[Stanowisko / Position ]],0))="n/a","n/a",CY57-INDEX(tab_MinKomp[Wykonywanie pomiarów optycznych - ocena wizualna / Optische Messungen durchführen – visuelle Beurteilung],MATCH($B57,tab_MinKomp[[Stanowisko / Position ]:[Stanowisko / Position ]],0)))</f>
        <v>n/a</v>
      </c>
      <c r="CZ58" s="315" t="str">
        <f>IF(INDEX(tab_MinKomp[Obsługa Rheometra / Rheometra-Unterstützung],MATCH($B57,tab_MinKomp[[Stanowisko / Position ]:[Stanowisko / Position ]],0))="n/a","n/a",CZ57-INDEX(tab_MinKomp[Obsługa Rheometra / Rheometra-Unterstützung],MATCH($B57,tab_MinKomp[[Stanowisko / Position ]:[Stanowisko / Position ]],0)))</f>
        <v>n/a</v>
      </c>
      <c r="DA58" s="315" t="str">
        <f>IF(INDEX(tab_MinKomp[Testy właściwości Rheometra mieszanki gumy],MATCH($B57,tab_MinKomp[[Stanowisko / Position ]:[Stanowisko / Position ]],0))="n/a","n/a",DA57-INDEX(tab_MinKomp[Testy właściwości Rheometra mieszanki gumy],MATCH($B57,tab_MinKomp[[Stanowisko / Position ]:[Stanowisko / Position ]],0)))</f>
        <v>n/a</v>
      </c>
      <c r="DB58" s="315" t="str">
        <f>IF(INDEX(tab_MinKomp[CMM - Contura Zeiss],MATCH($B57,tab_MinKomp[[Stanowisko / Position ]:[Stanowisko / Position ]],0))="n/a","n/a",DB57-INDEX(tab_MinKomp[CMM - Contura Zeiss],MATCH($B57,tab_MinKomp[[Stanowisko / Position ]:[Stanowisko / Position ]],0)))</f>
        <v>n/a</v>
      </c>
      <c r="DC58" s="315" t="str">
        <f>IF(INDEX(tab_MinKomp[Wykonywanie precyzyjnych pomiarów metrycznych, pomiary 3D],MATCH($B57,tab_MinKomp[[Stanowisko / Position ]:[Stanowisko / Position ]],0))="n/a","n/a",DC57-INDEX(tab_MinKomp[Wykonywanie precyzyjnych pomiarów metrycznych, pomiary 3D],MATCH($B57,tab_MinKomp[[Stanowisko / Position ]:[Stanowisko / Position ]],0)))</f>
        <v>n/a</v>
      </c>
      <c r="DD58" s="315" t="str">
        <f>IF(INDEX(tab_MinKomp[Pisanie programów / Programme schreiben],MATCH($B57,tab_MinKomp[[Stanowisko / Position ]:[Stanowisko / Position ]],0))="n/a","n/a",DD57-INDEX(tab_MinKomp[Pisanie programów / Programme schreiben],MATCH($B57,tab_MinKomp[[Stanowisko / Position ]:[Stanowisko / Position ]],0)))</f>
        <v>n/a</v>
      </c>
      <c r="DE58" s="315" t="str">
        <f>IF(INDEX(tab_MinKomp[Obsługa wyposażenia do testów czystości (myjka + analizator) / Betrieb von Sauberkeitsprüfgeräten (Waschmaschine + Analysegerät)],MATCH($B57,tab_MinKomp[[Stanowisko / Position ]:[Stanowisko / Position ]],0))="n/a","n/a",DE57-INDEX(tab_MinKomp[Obsługa wyposażenia do testów czystości (myjka + analizator) / Betrieb von Sauberkeitsprüfgeräten (Waschmaschine + Analysegerät)],MATCH($B57,tab_MinKomp[[Stanowisko / Position ]:[Stanowisko / Position ]],0)))</f>
        <v>n/a</v>
      </c>
      <c r="DF58" s="315" t="str">
        <f>IF(INDEX(tab_MinKomp[Testy czystości / Reinheitstests],MATCH($B57,tab_MinKomp[[Stanowisko / Position ]:[Stanowisko / Position ]],0))="n/a","n/a",DF57-INDEX(tab_MinKomp[Testy czystości / Reinheitstests],MATCH($B57,tab_MinKomp[[Stanowisko / Position ]:[Stanowisko / Position ]],0)))</f>
        <v>n/a</v>
      </c>
      <c r="DG58" s="315" t="str">
        <f>IF(INDEX(tab_MinKomp[Obsługa wysokościomierza / Unterstützung für Höhenmesser],MATCH($B57,tab_MinKomp[[Stanowisko / Position ]:[Stanowisko / Position ]],0))="n/a","n/a",DG57-INDEX(tab_MinKomp[Obsługa wysokościomierza / Unterstützung für Höhenmesser],MATCH($B57,tab_MinKomp[[Stanowisko / Position ]:[Stanowisko / Position ]],0)))</f>
        <v>n/a</v>
      </c>
      <c r="DH58" s="315" t="str">
        <f>IF(INDEX(tab_MinKomp[Pomiary wysokości materiału / Materialhöhenmessungen],MATCH($B57,tab_MinKomp[[Stanowisko / Position ]:[Stanowisko / Position ]],0))="n/a","n/a",DH57-INDEX(tab_MinKomp[Pomiary wysokości materiału / Materialhöhenmessungen],MATCH($B57,tab_MinKomp[[Stanowisko / Position ]:[Stanowisko / Position ]],0)))</f>
        <v>n/a</v>
      </c>
      <c r="DI58" s="315" t="str">
        <f>IF(INDEX(tab_MinKomp[Obsługa okrągłościomierza / Unterstützung für Rundheitsmessgeräte],MATCH($B57,tab_MinKomp[[Stanowisko / Position ]:[Stanowisko / Position ]],0))="n/a","n/a",DI57-INDEX(tab_MinKomp[Obsługa okrągłościomierza / Unterstützung für Rundheitsmessgeräte],MATCH($B57,tab_MinKomp[[Stanowisko / Position ]:[Stanowisko / Position ]],0)))</f>
        <v>n/a</v>
      </c>
      <c r="DJ58" s="315" t="str">
        <f>IF(INDEX(tab_MinKomp[Wykonywania pomiarów owalności, srednicy materiału / Messung der Ovalität und des Durchmessers des Materials],MATCH($B57,tab_MinKomp[[Stanowisko / Position ]:[Stanowisko / Position ]],0))="n/a","n/a",DJ57-INDEX(tab_MinKomp[Wykonywania pomiarów owalności, srednicy materiału / Messung der Ovalität und des Durchmessers des Materials],MATCH($B57,tab_MinKomp[[Stanowisko / Position ]:[Stanowisko / Position ]],0)))</f>
        <v>n/a</v>
      </c>
      <c r="DK58" s="315" t="str">
        <f>IF(INDEX(tab_MinKomp[Obsługa urządzenia do pomiarów chropowoatości powierzchni materiału],MATCH($B57,tab_MinKomp[[Stanowisko / Position ]:[Stanowisko / Position ]],0))="n/a","n/a",DK57-INDEX(tab_MinKomp[Obsługa urządzenia do pomiarów chropowoatości powierzchni materiału],MATCH($B57,tab_MinKomp[[Stanowisko / Position ]:[Stanowisko / Position ]],0)))</f>
        <v>n/a</v>
      </c>
      <c r="DL58" s="315" t="str">
        <f>IF(INDEX(tab_MinKomp[Wykonywanie pomiarów chropowatości powierzchni materiału / Durchführung von Messungen der Materialoberflächenrauheit],MATCH($B57,tab_MinKomp[[Stanowisko / Position ]:[Stanowisko / Position ]],0))="n/a","n/a",DL57-INDEX(tab_MinKomp[Wykonywanie pomiarów chropowatości powierzchni materiału / Durchführung von Messungen der Materialoberflächenrauheit],MATCH($B57,tab_MinKomp[[Stanowisko / Position ]:[Stanowisko / Position ]],0)))</f>
        <v>n/a</v>
      </c>
      <c r="DM58" s="315" t="str">
        <f>IF(INDEX(tab_MinKomp[Obsługa urządzenia do pomiaru siły radialnej części - postępowanie z trzpieniami. / Funktionsweise des Geräts zur Messung der Radialkraft von Teilen – Handhabungsstifte.],MATCH($B57,tab_MinKomp[[Stanowisko / Position ]:[Stanowisko / Position ]],0))="n/a","n/a",DM57-INDEX(tab_MinKomp[Obsługa urządzenia do pomiaru siły radialnej części - postępowanie z trzpieniami. / Funktionsweise des Geräts zur Messung der Radialkraft von Teilen – Handhabungsstifte.],MATCH($B57,tab_MinKomp[[Stanowisko / Position ]:[Stanowisko / Position ]],0)))</f>
        <v>n/a</v>
      </c>
      <c r="DN58" s="315" t="str">
        <f>IF(INDEX(tab_MinKomp[Wykonywanie pomiarów siły radialnej części / Führen Sie Radialkraftmessungen an Teilen durch],MATCH($B57,tab_MinKomp[[Stanowisko / Position ]:[Stanowisko / Position ]],0))="n/a","n/a",DN57-INDEX(tab_MinKomp[Wykonywanie pomiarów siły radialnej części / Führen Sie Radialkraftmessungen an Teilen durch],MATCH($B57,tab_MinKomp[[Stanowisko / Position ]:[Stanowisko / Position ]],0)))</f>
        <v>n/a</v>
      </c>
      <c r="DO58" s="315" t="str">
        <f>IF(INDEX(tab_MinKomp[Obsługa komory do testów wybuchwych / Betrieb einer Explosionsprüfkammer],MATCH($B57,tab_MinKomp[[Stanowisko / Position ]:[Stanowisko / Position ]],0))="n/a","n/a",DO57-INDEX(tab_MinKomp[Obsługa komory do testów wybuchwych / Betrieb einer Explosionsprüfkammer],MATCH($B57,tab_MinKomp[[Stanowisko / Position ]:[Stanowisko / Position ]],0)))</f>
        <v>n/a</v>
      </c>
      <c r="DP58" s="315" t="str">
        <f>IF(INDEX(tab_MinKomp[Wykonywanie testów wybuchowych części / Durchführung von Explosionstests an Teilen],MATCH($B57,tab_MinKomp[[Stanowisko / Position ]:[Stanowisko / Position ]],0))="n/a","n/a",DP57-INDEX(tab_MinKomp[Wykonywanie testów wybuchowych części / Durchführung von Explosionstests an Teilen],MATCH($B57,tab_MinKomp[[Stanowisko / Position ]:[Stanowisko / Position ]],0)))</f>
        <v>n/a</v>
      </c>
      <c r="DQ58" s="315" t="str">
        <f>IF(INDEX(tab_MinKomp[Obsługa urządzeń do mierzenia siły trzymania i/lub rozciągania / Betrieb von Geräten zur Messung der Halte- und/oder Dehnkraft],MATCH($B57,tab_MinKomp[[Stanowisko / Position ]:[Stanowisko / Position ]],0))="n/a","n/a",DQ57-INDEX(tab_MinKomp[Obsługa urządzeń do mierzenia siły trzymania i/lub rozciągania / Betrieb von Geräten zur Messung der Halte- und/oder Dehnkraft],MATCH($B57,tab_MinKomp[[Stanowisko / Position ]:[Stanowisko / Position ]],0)))</f>
        <v>n/a</v>
      </c>
      <c r="DR58" s="315" t="str">
        <f>IF(INDEX(tab_MinKomp[Wykonywanie testów mierzenia siły trzymania i/lub rozciągania / Durchführung von Tests zur Messung der Halte- und/oder Streckkraft],MATCH($B57,tab_MinKomp[[Stanowisko / Position ]:[Stanowisko / Position ]],0))="n/a","n/a",DR57-INDEX(tab_MinKomp[Wykonywanie testów mierzenia siły trzymania i/lub rozciągania / Durchführung von Tests zur Messung der Halte- und/oder Streckkraft],MATCH($B57,tab_MinKomp[[Stanowisko / Position ]:[Stanowisko / Position ]],0)))</f>
        <v>n/a</v>
      </c>
      <c r="DS58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Luftstrom)],MATCH($B57,tab_MinKomp[[Stanowisko / Position ]:[Stanowisko / Position ]],0))="n/a","n/a",DS57-INDEX(tab_MinKomp[Obsługa multimetru do pomiarów środowiskowych (temperatura, wilgotność, hałas, oświetlenie, przepływ powietrza) / Betrieb eines Multimeters für Umweltmessungen (Temperatur, Luftfeuchtigkeit, Lärm, Beleuchtung, Luftstrom)],MATCH($B57,tab_MinKomp[[Stanowisko / Position ]:[Stanowisko / Position ]],0)))</f>
        <v>n/a</v>
      </c>
      <c r="DT58" s="315" t="str">
        <f>IF(INDEX(tab_MinKomp[Kontrola warunków środowiskowych pracy (temperatura, wilgotność, hałas, oświetlenie, przepływ powietrza) / Kontrolle der Arbeitsumgebungsbedingungen (Temperatur, Luftfeuchtigkeit, Lärm, Beleuchtung, Luftstrom)],MATCH($B57,tab_MinKomp[[Stanowisko / Position ]:[Stanowisko / Position ]],0))="n/a","n/a",DT57-INDEX(tab_MinKomp[Kontrola warunków środowiskowych pracy (temperatura, wilgotność, hałas, oświetlenie, przepływ powietrza) / Kontrolle der Arbeitsumgebungsbedingungen (Temperatur, Luftfeuchtigkeit, Lärm, Beleuchtung, Luftstrom)],MATCH($B57,tab_MinKomp[[Stanowisko / Position ]:[Stanowisko / Position ]],0)))</f>
        <v>n/a</v>
      </c>
      <c r="DU58" s="315" t="str">
        <f>IF(INDEX(tab_MinKomp[MSA i SPC],MATCH($B57,tab_MinKomp[[Stanowisko / Position ]:[Stanowisko / Position ]],0))="n/a","n/a",DU57-INDEX(tab_MinKomp[MSA i SPC],MATCH($B57,tab_MinKomp[[Stanowisko / Position ]:[Stanowisko / Position ]],0)))</f>
        <v>n/a</v>
      </c>
      <c r="DV58" s="315" t="str">
        <f>IF(INDEX(tab_MinKomp[Kontrola wejściowa komponentów/ Eingangskontrolle],MATCH($B57,tab_MinKomp[[Stanowisko / Position ]:[Stanowisko / Position ]],0))="n/a","n/a",DV57-INDEX(tab_MinKomp[Kontrola wejściowa komponentów/ Eingangskontrolle],MATCH($B57,tab_MinKomp[[Stanowisko / Position ]:[Stanowisko / Position ]],0)))</f>
        <v>n/a</v>
      </c>
      <c r="DW58" s="315" t="str">
        <f>IF(INDEX(tab_MinKomp[Kontrola wyjściowa produktu / Ausgangskontrolle],MATCH($B57,tab_MinKomp[[Stanowisko / Position ]:[Stanowisko / Position ]],0))="n/a","n/a",DW57-INDEX(tab_MinKomp[Kontrola wyjściowa produktu / Ausgangskontrolle],MATCH($B57,tab_MinKomp[[Stanowisko / Position ]:[Stanowisko / Position ]],0)))</f>
        <v>n/a</v>
      </c>
      <c r="DX58" s="315" t="str">
        <f>IF(INDEX(tab_MinKomp[Kontrola codzienna produkcji / Tägliche Produktionskontrolle],MATCH($B57,tab_MinKomp[[Stanowisko / Position ]:[Stanowisko / Position ]],0))="n/a","n/a",DX57-INDEX(tab_MinKomp[Kontrola codzienna produkcji / Tägliche Produktionskontrolle],MATCH($B57,tab_MinKomp[[Stanowisko / Position ]:[Stanowisko / Position ]],0)))</f>
        <v>n/a</v>
      </c>
      <c r="DY58" s="315" t="str">
        <f>IF(INDEX(tab_MinKomp[Konserwacja Rep],MATCH($B57,tab_MinKomp[[Stanowisko / Position ]:[Stanowisko / Position ]],0))="n/a","n/a",DY57-INDEX(tab_MinKomp[Konserwacja Rep],MATCH($B57,tab_MinKomp[[Stanowisko / Position ]:[Stanowisko / Position ]],0)))</f>
        <v>n/a</v>
      </c>
      <c r="DZ58" s="315" t="str">
        <f>IF(INDEX(tab_MinKomp[[Konserwacja Engel ]],MATCH($B57,tab_MinKomp[[Stanowisko / Position ]:[Stanowisko / Position ]],0))="n/a","n/a",DZ57-INDEX(tab_MinKomp[[Konserwacja Engel ]],MATCH($B57,tab_MinKomp[[Stanowisko / Position ]:[Stanowisko / Position ]],0)))</f>
        <v>n/a</v>
      </c>
      <c r="EA58" s="315" t="str">
        <f>IF(INDEX(tab_MinKomp[Konserwacja B 50],MATCH($B57,tab_MinKomp[[Stanowisko / Position ]:[Stanowisko / Position ]],0))="n/a","n/a",EA57-INDEX(tab_MinKomp[Konserwacja B 50],MATCH($B57,tab_MinKomp[[Stanowisko / Position ]:[Stanowisko / Position ]],0)))</f>
        <v>n/a</v>
      </c>
      <c r="EB58" s="315" t="str">
        <f>IF(INDEX(tab_MinKomp[[Konserwacja EOL ]],MATCH($B57,tab_MinKomp[[Stanowisko / Position ]:[Stanowisko / Position ]],0))="n/a","n/a",EB57-INDEX(tab_MinKomp[[Konserwacja EOL ]],MATCH($B57,tab_MinKomp[[Stanowisko / Position ]:[Stanowisko / Position ]],0)))</f>
        <v>n/a</v>
      </c>
      <c r="EC58" s="315" t="str">
        <f>IF(INDEX(tab_MinKomp[Konserwacja Branson],MATCH($B57,tab_MinKomp[[Stanowisko / Position ]:[Stanowisko / Position ]],0))="n/a","n/a",EC57-INDEX(tab_MinKomp[Konserwacja Branson],MATCH($B57,tab_MinKomp[[Stanowisko / Position ]:[Stanowisko / Position ]],0)))</f>
        <v>n/a</v>
      </c>
      <c r="ED58" s="315" t="str">
        <f>IF(INDEX(tab_MinKomp[Konserwacja coolery],MATCH($B57,tab_MinKomp[[Stanowisko / Position ]:[Stanowisko / Position ]],0))="n/a","n/a",ED57-INDEX(tab_MinKomp[Konserwacja coolery],MATCH($B57,tab_MinKomp[[Stanowisko / Position ]:[Stanowisko / Position ]],0)))</f>
        <v>n/a</v>
      </c>
      <c r="EE58" s="315" t="str">
        <f>IF(INDEX(tab_MinKomp[Konserwacja piecy],MATCH($B57,tab_MinKomp[[Stanowisko / Position ]:[Stanowisko / Position ]],0))="n/a","n/a",EE57-INDEX(tab_MinKomp[Konserwacja piecy],MATCH($B57,tab_MinKomp[[Stanowisko / Position ]:[Stanowisko / Position ]],0)))</f>
        <v>n/a</v>
      </c>
      <c r="EF58" s="315">
        <f>IF(INDEX(tab_MinKomp[Rysunek techniczny- czytanie],MATCH($B57,tab_MinKomp[[Stanowisko / Position ]:[Stanowisko / Position ]],0))="n/a","n/a",EF57-INDEX(tab_MinKomp[Rysunek techniczny- czytanie],MATCH($B57,tab_MinKomp[[Stanowisko / Position ]:[Stanowisko / Position ]],0)))</f>
        <v>0</v>
      </c>
      <c r="EG58" s="315">
        <f>IF(INDEX(tab_MinKomp[Elektryka],MATCH($B57,tab_MinKomp[[Stanowisko / Position ]:[Stanowisko / Position ]],0))="n/a","n/a",EG57-INDEX(tab_MinKomp[Elektryka],MATCH($B57,tab_MinKomp[[Stanowisko / Position ]:[Stanowisko / Position ]],0)))</f>
        <v>0</v>
      </c>
      <c r="EH58" s="315">
        <f>IF(INDEX(tab_MinKomp[Pneumatyka],MATCH($B57,tab_MinKomp[[Stanowisko / Position ]:[Stanowisko / Position ]],0))="n/a","n/a",EH57-INDEX(tab_MinKomp[Pneumatyka],MATCH($B57,tab_MinKomp[[Stanowisko / Position ]:[Stanowisko / Position ]],0)))</f>
        <v>0</v>
      </c>
      <c r="EI58" s="315">
        <f>IF(INDEX(tab_MinKomp[[Hydraulika ]],MATCH($B57,tab_MinKomp[[Stanowisko / Position ]:[Stanowisko / Position ]],0))="n/a","n/a",EI57-INDEX(tab_MinKomp[[Hydraulika ]],MATCH($B57,tab_MinKomp[[Stanowisko / Position ]:[Stanowisko / Position ]],0)))</f>
        <v>0</v>
      </c>
      <c r="EJ58" s="315">
        <f>IF(INDEX(tab_MinKomp[Podciśnienie],MATCH($B57,tab_MinKomp[[Stanowisko / Position ]:[Stanowisko / Position ]],0))="n/a","n/a",EJ57-INDEX(tab_MinKomp[Podciśnienie],MATCH($B57,tab_MinKomp[[Stanowisko / Position ]:[Stanowisko / Position ]],0)))</f>
        <v>0</v>
      </c>
      <c r="EK58" s="315">
        <f>IF(INDEX(tab_MinKomp[Usuwanie awarii],MATCH($B57,tab_MinKomp[[Stanowisko / Position ]:[Stanowisko / Position ]],0))="n/a","n/a",EK57-INDEX(tab_MinKomp[Usuwanie awarii],MATCH($B57,tab_MinKomp[[Stanowisko / Position ]:[Stanowisko / Position ]],0)))</f>
        <v>0</v>
      </c>
      <c r="EL58" s="315">
        <f>IF(INDEX(tab_MinKomp[Obsługa robotów],MATCH($B57,tab_MinKomp[[Stanowisko / Position ]:[Stanowisko / Position ]],0))="n/a","n/a",EL57-INDEX(tab_MinKomp[Obsługa robotów],MATCH($B57,tab_MinKomp[[Stanowisko / Position ]:[Stanowisko / Position ]],0)))</f>
        <v>0</v>
      </c>
      <c r="EM58" s="315">
        <f>IF(INDEX(tab_MinKomp[Obsługa sterowania maszyny],MATCH($B57,tab_MinKomp[[Stanowisko / Position ]:[Stanowisko / Position ]],0))="n/a","n/a",EM57-INDEX(tab_MinKomp[Obsługa sterowania maszyny],MATCH($B57,tab_MinKomp[[Stanowisko / Position ]:[Stanowisko / Position ]],0)))</f>
        <v>0</v>
      </c>
      <c r="EN58" s="315">
        <f>IF(INDEX(tab_MinKomp[Usuwanie przyczyn żródłowych],MATCH($B57,tab_MinKomp[[Stanowisko / Position ]:[Stanowisko / Position ]],0))="n/a","n/a",EN57-INDEX(tab_MinKomp[Usuwanie przyczyn żródłowych],MATCH($B57,tab_MinKomp[[Stanowisko / Position ]:[Stanowisko / Position ]],0)))</f>
        <v>0</v>
      </c>
      <c r="EO58" s="315">
        <f>IF(INDEX(tab_MinKomp[Cmms stosowanie],MATCH($B57,tab_MinKomp[[Stanowisko / Position ]:[Stanowisko / Position ]],0))="n/a","n/a",EO57-INDEX(tab_MinKomp[Cmms stosowanie],MATCH($B57,tab_MinKomp[[Stanowisko / Position ]:[Stanowisko / Position ]],0)))</f>
        <v>0</v>
      </c>
      <c r="EP58" s="315">
        <f>IF(INDEX(tab_MinKomp[[Czyszczenie form gumowych ]],MATCH($B57,tab_MinKomp[[Stanowisko / Position ]:[Stanowisko / Position ]],0))="n/a","n/a",EP57-INDEX(tab_MinKomp[[Czyszczenie form gumowych ]],MATCH($B57,tab_MinKomp[[Stanowisko / Position ]:[Stanowisko / Position ]],0)))</f>
        <v>0</v>
      </c>
      <c r="EQ58" s="315">
        <f>IF(INDEX(tab_MinKomp[Czyszczenie form plastikowych],MATCH($B57,tab_MinKomp[[Stanowisko / Position ]:[Stanowisko / Position ]],0))="n/a","n/a",EQ57-INDEX(tab_MinKomp[Czyszczenie form plastikowych],MATCH($B57,tab_MinKomp[[Stanowisko / Position ]:[Stanowisko / Position ]],0)))</f>
        <v>0</v>
      </c>
      <c r="ER58" s="315">
        <f>IF(INDEX(tab_MinKomp[Wymiana form plastik],MATCH($B57,tab_MinKomp[[Stanowisko / Position ]:[Stanowisko / Position ]],0))="n/a","n/a",ER57-INDEX(tab_MinKomp[Wymiana form plastik],MATCH($B57,tab_MinKomp[[Stanowisko / Position ]:[Stanowisko / Position ]],0)))</f>
        <v>0</v>
      </c>
      <c r="ES58" s="315">
        <f>IF(INDEX(tab_MinKomp[Wymiana form guma],MATCH($B57,tab_MinKomp[[Stanowisko / Position ]:[Stanowisko / Position ]],0))="n/a","n/a",ES57-INDEX(tab_MinKomp[Wymiana form guma],MATCH($B57,tab_MinKomp[[Stanowisko / Position ]:[Stanowisko / Position ]],0)))</f>
        <v>0</v>
      </c>
      <c r="ET58" s="315">
        <f>IF(INDEX(tab_MinKomp[Konserwacja KK],MATCH($B57,tab_MinKomp[[Stanowisko / Position ]:[Stanowisko / Position ]],0))="n/a","n/a",ET57-INDEX(tab_MinKomp[Konserwacja KK],MATCH($B57,tab_MinKomp[[Stanowisko / Position ]:[Stanowisko / Position ]],0)))</f>
        <v>0</v>
      </c>
      <c r="EU58" s="315">
        <f>IF(INDEX(tab_MinKomp[Konserwacja form guma],MATCH($B57,tab_MinKomp[[Stanowisko / Position ]:[Stanowisko / Position ]],0))="n/a","n/a",EU57-INDEX(tab_MinKomp[Konserwacja form guma],MATCH($B57,tab_MinKomp[[Stanowisko / Position ]:[Stanowisko / Position ]],0)))</f>
        <v>0</v>
      </c>
      <c r="EV58" s="315">
        <f>IF(INDEX(tab_MinKomp[Konserwacja form plastiki],MATCH($B57,tab_MinKomp[[Stanowisko / Position ]:[Stanowisko / Position ]],0))="n/a","n/a",EV57-INDEX(tab_MinKomp[Konserwacja form plastiki],MATCH($B57,tab_MinKomp[[Stanowisko / Position ]:[Stanowisko / Position ]],0)))</f>
        <v>0</v>
      </c>
      <c r="EW58" s="330">
        <f>IF(INDEX(tab_MinKomp[Konserwacja form plastiki],MATCH($B57,tab_MinKomp[[Stanowisko / Position ]:[Stanowisko / Position ]],0))="n/a","n/a",EW57-INDEX(tab_MinKomp[Konserwacja form plastiki],MATCH($B57,tab_MinKomp[[Stanowisko / Position ]:[Stanowisko / Position ]],0)))</f>
        <v>0</v>
      </c>
      <c r="EX58" s="315">
        <f>IF(INDEX(tab_MinKomp[Konserwacja Gorącego Kanału],MATCH($B57,tab_MinKomp[[Stanowisko / Position ]:[Stanowisko / Position ]],0))="n/a","n/a",EX57-INDEX(tab_MinKomp[Konserwacja Gorącego Kanału],MATCH($B57,tab_MinKomp[[Stanowisko / Position ]:[Stanowisko / Position ]],0)))</f>
        <v>0</v>
      </c>
      <c r="EY58" s="315">
        <f>IF(INDEX(tab_MinKomp[MS Office (Excel)],MATCH($B57,tab_MinKomp[[Stanowisko / Position ]:[Stanowisko / Position ]],0))="n/a","n/a",EY57-INDEX(tab_MinKomp[MS Office (Excel)],MATCH($B57,tab_MinKomp[[Stanowisko / Position ]:[Stanowisko / Position ]],0)))</f>
        <v>0</v>
      </c>
      <c r="EZ58" s="315">
        <f>IF(INDEX(tab_MinKomp[MS Office (Word)],MATCH($B57,tab_MinKomp[[Stanowisko / Position ]:[Stanowisko / Position ]],0))="n/a","n/a",EZ57-INDEX(tab_MinKomp[MS Office (Word)],MATCH($B57,tab_MinKomp[[Stanowisko / Position ]:[Stanowisko / Position ]],0)))</f>
        <v>0</v>
      </c>
      <c r="FA58" s="315">
        <f>IF(INDEX(tab_MinKomp[MS Office (Power Point)],MATCH($B57,tab_MinKomp[[Stanowisko / Position ]:[Stanowisko / Position ]],0))="n/a","n/a",FA57-INDEX(tab_MinKomp[MS Office (Power Point)],MATCH($B57,tab_MinKomp[[Stanowisko / Position ]:[Stanowisko / Position ]],0)))</f>
        <v>0</v>
      </c>
      <c r="FB58" s="315" t="str">
        <f>IF(INDEX(tab_MinKomp[Język angielski / Englisch],MATCH($B57,tab_MinKomp[[Stanowisko / Position ]:[Stanowisko / Position ]],0))="n/a","n/a",FB57-INDEX(tab_MinKomp[Język angielski / Englisch],MATCH($B57,tab_MinKomp[[Stanowisko / Position ]:[Stanowisko / Position ]],0)))</f>
        <v>n/a</v>
      </c>
      <c r="FC58" s="315" t="str">
        <f>IF(INDEX(tab_MinKomp[Język niemiecki / Deutsch],MATCH($B57,tab_MinKomp[[Stanowisko / Position ]:[Stanowisko / Position ]],0))="n/a","n/a",FC57-INDEX(tab_MinKomp[Język niemiecki / Deutsch],MATCH($B57,tab_MinKomp[[Stanowisko / Position ]:[Stanowisko / Position ]],0)))</f>
        <v>n/a</v>
      </c>
      <c r="FD58" s="315">
        <f>IF(INDEX(tab_MinKomp[Zarządzanie dokumentacją procesową / Process dokumentation management],MATCH($B57,tab_MinKomp[[Stanowisko / Position ]:[Stanowisko / Position ]],0))="n/a","n/a",FD57-INDEX(tab_MinKomp[Zarządzanie dokumentacją procesową / Process dokumentation management],MATCH($B57,tab_MinKomp[[Stanowisko / Position ]:[Stanowisko / Position ]],0)))</f>
        <v>0</v>
      </c>
      <c r="FE58" s="315">
        <f>IF(INDEX(tab_MinKomp[Znajomość procesów z obszaru / Kenntiss der prozesse in dem Bereich],MATCH($B57,tab_MinKomp[[Stanowisko / Position ]:[Stanowisko / Position ]],0))="n/a","n/a",FE57-INDEX(tab_MinKomp[Znajomość procesów z obszaru / Kenntiss der prozesse in dem Bereich],MATCH($B57,tab_MinKomp[[Stanowisko / Position ]:[Stanowisko / Position ]],0)))</f>
        <v>0</v>
      </c>
      <c r="FF58" s="315">
        <f>IF(INDEX(tab_MinKomp[optymalizacja procesów / Prozessoptymalisierung],MATCH($B57,tab_MinKomp[[Stanowisko / Position ]:[Stanowisko / Position ]],0))="n/a","n/a",FF57-INDEX(tab_MinKomp[optymalizacja procesów / Prozessoptymalisierung],MATCH($B57,tab_MinKomp[[Stanowisko / Position ]:[Stanowisko / Position ]],0)))</f>
        <v>0</v>
      </c>
      <c r="FG58" s="315">
        <f>IF(INDEX(tab_MinKomp[Umiejętności szkoleniowe / Trainingsfähigkeiten],MATCH($B57,tab_MinKomp[[Stanowisko / Position ]:[Stanowisko / Position ]],0))="n/a","n/a",FG57-INDEX(tab_MinKomp[Umiejętności szkoleniowe / Trainingsfähigkeiten],MATCH($B57,tab_MinKomp[[Stanowisko / Position ]:[Stanowisko / Position ]],0)))</f>
        <v>-1</v>
      </c>
      <c r="FH58" s="315">
        <f>IF(INDEX(tab_MinKomp[Analityczne myślenie, podejście / Analitysches Denken, Einstellung],MATCH($B57,tab_MinKomp[[Stanowisko / Position ]:[Stanowisko / Position ]],0))="n/a","n/a",FH57-INDEX(tab_MinKomp[Analityczne myślenie, podejście / Analitysches Denken, Einstellung],MATCH($B57,tab_MinKomp[[Stanowisko / Position ]:[Stanowisko / Position ]],0)))</f>
        <v>0</v>
      </c>
      <c r="FI58" s="315">
        <f>IF(INDEX(tab_MinKomp[Dokładność, precyzja w dzialaniu / Genauigkeit, Präzision in die Arbeit],MATCH($B57,tab_MinKomp[[Stanowisko / Position ]:[Stanowisko / Position ]],0))="n/a","n/a",FI57-INDEX(tab_MinKomp[Dokładność, precyzja w dzialaniu / Genauigkeit, Präzision in die Arbeit],MATCH($B57,tab_MinKomp[[Stanowisko / Position ]:[Stanowisko / Position ]],0)))</f>
        <v>0</v>
      </c>
      <c r="FJ58" s="315">
        <f>IF(INDEX(tab_MinKomp[Dyspozycyjność / Verfügbarkeit],MATCH($B57,tab_MinKomp[[Stanowisko / Position ]:[Stanowisko / Position ]],0))="n/a","n/a",FJ57-INDEX(tab_MinKomp[Dyspozycyjność / Verfügbarkeit],MATCH($B57,tab_MinKomp[[Stanowisko / Position ]:[Stanowisko / Position ]],0)))</f>
        <v>0</v>
      </c>
      <c r="FK58" s="315">
        <f>IF(INDEX(tab_MinKomp[Zaangażowanie / 
Engagement],MATCH($B57,tab_MinKomp[[Stanowisko / Position ]:[Stanowisko / Position ]],0))="n/a","n/a",FK57-INDEX(tab_MinKomp[Zaangażowanie / 
Engagement],MATCH($B57,tab_MinKomp[[Stanowisko / Position ]:[Stanowisko / Position ]],0)))</f>
        <v>0</v>
      </c>
      <c r="FL58" s="315" t="str">
        <f>IF(INDEX(tab_MinKomp[Planowanie strategiczne / Strategische Planung],MATCH($B57,tab_MinKomp[[Stanowisko / Position ]:[Stanowisko / Position ]],0))="n/a","n/a",FL57-INDEX(tab_MinKomp[Planowanie strategiczne / Strategische Planung],MATCH($B57,tab_MinKomp[[Stanowisko / Position ]:[Stanowisko / Position ]],0)))</f>
        <v>n/a</v>
      </c>
      <c r="FM58" s="315">
        <f>IF(INDEX(tab_MinKomp[Konsekwentne i dynamiczne działanie],MATCH($B57,tab_MinKomp[[Stanowisko / Position ]:[Stanowisko / Position ]],0))="n/a","n/a",FM57-INDEX(tab_MinKomp[Konsekwentne i dynamiczne działanie],MATCH($B57,tab_MinKomp[[Stanowisko / Position ]:[Stanowisko / Position ]],0)))</f>
        <v>0</v>
      </c>
      <c r="FN58" s="315">
        <f>IF(INDEX(tab_MinKomp[Elastyczność w działaniu],MATCH($B57,tab_MinKomp[[Stanowisko / Position ]:[Stanowisko / Position ]],0))="n/a","n/a",FN57-INDEX(tab_MinKomp[Elastyczność w działaniu],MATCH($B57,tab_MinKomp[[Stanowisko / Position ]:[Stanowisko / Position ]],0)))</f>
        <v>0</v>
      </c>
      <c r="FO58" s="315">
        <f>IF(INDEX(tab_MinKomp[Komunikatywność],MATCH($B57,tab_MinKomp[[Stanowisko / Position ]:[Stanowisko / Position ]],0))="n/a","n/a",FO57-INDEX(tab_MinKomp[Komunikatywność],MATCH($B57,tab_MinKomp[[Stanowisko / Position ]:[Stanowisko / Position ]],0)))</f>
        <v>-1</v>
      </c>
      <c r="FP58" s="315" t="str">
        <f>IF(INDEX(tab_MinKomp[Motywowanie i budowanie zaangażowania zespołu],MATCH($B57,tab_MinKomp[[Stanowisko / Position ]:[Stanowisko / Position ]],0))="n/a","n/a",FP57-INDEX(tab_MinKomp[Motywowanie i budowanie zaangażowania zespołu],MATCH($B57,tab_MinKomp[[Stanowisko / Position ]:[Stanowisko / Position ]],0)))</f>
        <v>n/a</v>
      </c>
      <c r="FQ58" s="318" t="str">
        <f>IFERROR(IF(INDEX(tab_MinKomp[BRAK / Keine],MATCH($B57,tab_MinKomp[[Stanowisko / Position ]:[Stanowisko / Position ]],0))="n/a","n/a",INDEX(tab_MinKomp[BRAK / Keine],MATCH($B57,tab_MinKomp[[Stanowisko / Position ]:[Stanowisko / Position ]],0))-FQ57),"")</f>
        <v>n/a</v>
      </c>
      <c r="FR58" s="315" t="str">
        <f>IF(INDEX(tab_MinKomp[MINIMUM 1 ROK / min. 1 Jahr],MATCH($B57,tab_MinKomp[[Stanowisko / Position ]:[Stanowisko / Position ]],0))="n/a","n/a",INDEX(tab_MinKomp[MINIMUM 1 ROK / min. 1 Jahr],MATCH($B57,tab_MinKomp[[Stanowisko / Position ]:[Stanowisko / Position ]],0)))</f>
        <v>n/a</v>
      </c>
      <c r="FS58" s="315" t="str">
        <f>IF(INDEX(tab_MinKomp[MINIMUM 2 LATA / min. 2 Jahre],MATCH($B57,tab_MinKomp[[Stanowisko / Position ]:[Stanowisko / Position ]],0))="n/a","n/a",INDEX(tab_MinKomp[MINIMUM 2 LATA / min. 2 Jahre],MATCH($B57,tab_MinKomp[[Stanowisko / Position ]:[Stanowisko / Position ]],0)))</f>
        <v>n/a</v>
      </c>
      <c r="FT58" s="315" t="str">
        <f>IF(INDEX(tab_MinKomp[MINIMUM 3 LATA / min. 3 Jahre],MATCH($B57,tab_MinKomp[[Stanowisko / Position ]:[Stanowisko / Position ]],0))="n/a","n/a",INDEX(tab_MinKomp[MINIMUM 3 LATA / min. 3 Jahre],MATCH($B57,tab_MinKomp[[Stanowisko / Position ]:[Stanowisko / Position ]],0)))</f>
        <v>n/a</v>
      </c>
      <c r="FU58" s="315" t="str">
        <f>IF(INDEX(tab_MinKomp[MINIMUM 4 LATA / min. 4 Jahre],MATCH($B57,tab_MinKomp[[Stanowisko / Position ]:[Stanowisko / Position ]],0))="n/a","n/a",INDEX(tab_MinKomp[MINIMUM 4 LATA / min. 4 Jahre],MATCH($B57,tab_MinKomp[[Stanowisko / Position ]:[Stanowisko / Position ]],0)))</f>
        <v>n/a</v>
      </c>
      <c r="FV58" s="319" t="str">
        <f>IF(INDEX(tab_MinKomp[MINIMUM 5 LAT / min. 5 Jahre],MATCH($B57,tab_MinKomp[[Stanowisko / Position ]:[Stanowisko / Position ]],0))="n/a","n/a",INDEX(tab_MinKomp[MINIMUM 5 LAT / min. 5 Jahre],MATCH($B57,tab_MinKomp[[Stanowisko / Position ]:[Stanowisko / Position ]],0)))</f>
        <v>n/a</v>
      </c>
      <c r="FW58" s="318" t="str">
        <f>IF(INDEX(tab_MinKomp[BRAK / Keine9],MATCH($B57,tab_MinKomp[[Stanowisko / Position ]:[Stanowisko / Position ]],0))="n/a","n/a",INDEX(tab_MinKomp[BRAK / Keine9],MATCH($B57,tab_MinKomp[[Stanowisko / Position ]:[Stanowisko / Position ]],0)))</f>
        <v>n/a</v>
      </c>
      <c r="FX58" s="315" t="str">
        <f>IF(INDEX(tab_MinKomp[ZAWODOWE / Berufsausbildung],MATCH($B57,tab_MinKomp[[Stanowisko / Position ]:[Stanowisko / Position ]],0))="n/a","n/a",INDEX(tab_MinKomp[ZAWODOWE / Berufsausbildung],MATCH($B57,tab_MinKomp[[Stanowisko / Position ]:[Stanowisko / Position ]],0)))</f>
        <v>n/a</v>
      </c>
      <c r="FY58" s="315" t="str">
        <f>IF(INDEX(tab_MinKomp[ŚREDNIE OGÓLNE / Abitur allgemeine],MATCH($B57,tab_MinKomp[[Stanowisko / Position ]:[Stanowisko / Position ]],0))="n/a","n/a",INDEX(tab_MinKomp[ŚREDNIE OGÓLNE / Abitur allgemeine],MATCH($B57,tab_MinKomp[[Stanowisko / Position ]:[Stanowisko / Position ]],0)))</f>
        <v>n/a</v>
      </c>
      <c r="FZ58" s="315" t="str">
        <f>IF(INDEX(tab_MinKomp[ŚREDNIE KIERUNKOWE / berufliches Gymnasium],MATCH($B57,tab_MinKomp[[Stanowisko / Position ]:[Stanowisko / Position ]],0))="n/a","n/a",INDEX(tab_MinKomp[ŚREDNIE KIERUNKOWE / berufliches Gymnasium],MATCH($B57,tab_MinKomp[[Stanowisko / Position ]:[Stanowisko / Position ]],0)))</f>
        <v>n/a</v>
      </c>
      <c r="GA58" s="315" t="str">
        <f>IF(INDEX(tab_MinKomp[WYŻSZE OGÓLNE / Hochschule allgemeine],MATCH($B57,tab_MinKomp[[Stanowisko / Position ]:[Stanowisko / Position ]],0))="n/a","n/a",INDEX(tab_MinKomp[WYŻSZE OGÓLNE / Hochschule allgemeine],MATCH($B57,tab_MinKomp[[Stanowisko / Position ]:[Stanowisko / Position ]],0)))</f>
        <v>n/a</v>
      </c>
      <c r="GB58" s="319" t="str">
        <f>IF(INDEX(tab_MinKomp[WYŻSZE KIERUNKOWE / Hochschule berufliche],MATCH($B57,tab_MinKomp[[Stanowisko / Position ]:[Stanowisko / Position ]],0))="n/a","n/a",INDEX(tab_MinKomp[WYŻSZE KIERUNKOWE / Hochschule berufliche],MATCH($B57,tab_MinKomp[[Stanowisko / Position ]:[Stanowisko / Position ]],0)))</f>
        <v>n/a</v>
      </c>
      <c r="GC58" s="318" t="str">
        <f>IF(INDEX(tab_MinKomp[PIERWSZA POMOC / Erste Hilfe],MATCH($B57,tab_MinKomp[[Stanowisko / Position ]:[Stanowisko / Position ]],0))="n/a","n/a",INDEX(tab_MinKomp[PIERWSZA POMOC / Erste Hilfe],MATCH($B57,tab_MinKomp[[Stanowisko / Position ]:[Stanowisko / Position ]],0)))</f>
        <v>n/a</v>
      </c>
      <c r="GD58" s="315" t="str">
        <f>IF(INDEX(tab_MinKomp[Specjalista BHP / BHP Spezialist],MATCH($B57,tab_MinKomp[[Stanowisko / Position ]:[Stanowisko / Position ]],0))="n/a","n/a",INDEX(tab_MinKomp[Specjalista BHP / BHP Spezialist],MATCH($B57,tab_MinKomp[[Stanowisko / Position ]:[Stanowisko / Position ]],0)))</f>
        <v>n/a</v>
      </c>
      <c r="GE58" s="315" t="str">
        <f>IF(INDEX(tab_MinKomp[Inspektor ochrony PPOŻ / Brandschutzinspektor],MATCH($B57,tab_MinKomp[[Stanowisko / Position ]:[Stanowisko / Position ]],0))="n/a","n/a",INDEX(tab_MinKomp[Inspektor ochrony PPOŻ / Brandschutzinspektor],MATCH($B57,tab_MinKomp[[Stanowisko / Position ]:[Stanowisko / Position ]],0)))</f>
        <v>n/a</v>
      </c>
      <c r="GF58" s="315" t="str">
        <f>IF(INDEX(tab_MinKomp[WÓZKI JEZDNIOWE / Gebelstapler],MATCH($B57,tab_MinKomp[[Stanowisko / Position ]:[Stanowisko / Position ]],0))="n/a","n/a",INDEX(tab_MinKomp[WÓZKI JEZDNIOWE / Gebelstapler],MATCH($B57,tab_MinKomp[[Stanowisko / Position ]:[Stanowisko / Position ]],0)))</f>
        <v>x</v>
      </c>
      <c r="GG58" s="315" t="str">
        <f>IF(INDEX(tab_MinKomp[SEP],MATCH($B57,tab_MinKomp[[Stanowisko / Position ]:[Stanowisko / Position ]],0))="n/a","n/a",INDEX(tab_MinKomp[SEP],MATCH($B57,tab_MinKomp[[Stanowisko / Position ]:[Stanowisko / Position ]],0)))</f>
        <v>x</v>
      </c>
      <c r="GH58" s="315" t="str">
        <f>IF(INDEX(tab_MinKomp[SEP  DOZÓR / SEP Aufsicht],MATCH($B57,tab_MinKomp[[Stanowisko / Position ]:[Stanowisko / Position ]],0))="n/a","n/a",INDEX(tab_MinKomp[SEP  DOZÓR / SEP Aufsicht],MATCH($B57,tab_MinKomp[[Stanowisko / Position ]:[Stanowisko / Position ]],0)))</f>
        <v>n/a</v>
      </c>
      <c r="GI58" s="315" t="str">
        <f>IF(INDEX(tab_MinKomp[PODNOŚNIKI / Hebevorrichtung],MATCH($B57,tab_MinKomp[[Stanowisko / Position ]:[Stanowisko / Position ]],0))="n/a","n/a",INDEX(tab_MinKomp[PODNOŚNIKI / Hebevorrichtung],MATCH($B57,tab_MinKomp[[Stanowisko / Position ]:[Stanowisko / Position ]],0)))</f>
        <v>n/a</v>
      </c>
      <c r="GJ58" s="315" t="str">
        <f>IF(INDEX(tab_MinKomp[SUWNICE / Laufkran],MATCH($B57,tab_MinKomp[[Stanowisko / Position ]:[Stanowisko / Position ]],0))="n/a","n/a",INDEX(tab_MinKomp[SUWNICE / Laufkran],MATCH($B57,tab_MinKomp[[Stanowisko / Position ]:[Stanowisko / Position ]],0)))</f>
        <v>x</v>
      </c>
      <c r="GK58" s="319" t="str">
        <f>IF(INDEX(tab_MinKomp[WYSOKOŚCIOWE / Höhenberechtigungen],MATCH($B57,tab_MinKomp[[Stanowisko / Position ]:[Stanowisko / Position ]],0))="n/a","n/a",INDEX(tab_MinKomp[WYSOKOŚCIOWE / Höhenberechtigungen],MATCH($B57,tab_MinKomp[[Stanowisko / Position ]:[Stanowisko / Position ]],0)))</f>
        <v>n/a</v>
      </c>
      <c r="GL58" s="376">
        <f>SUM(G58:FP58)/(GL57-(SUM(G58:FP58)))</f>
        <v>-0.1348314606741573</v>
      </c>
      <c r="GM58" s="132"/>
    </row>
    <row r="59" spans="1:195" s="133" customFormat="1" ht="28.35" customHeight="1" x14ac:dyDescent="0.25">
      <c r="A59" s="135" t="s">
        <v>188</v>
      </c>
      <c r="B59" s="135" t="s">
        <v>207</v>
      </c>
      <c r="C59" s="138" t="str">
        <f t="shared" si="1"/>
        <v>KC</v>
      </c>
      <c r="D59" s="135"/>
      <c r="E59" s="565" t="s">
        <v>763</v>
      </c>
      <c r="F59" s="307" t="s">
        <v>165</v>
      </c>
      <c r="G59" s="308">
        <v>1</v>
      </c>
      <c r="H59" s="308">
        <v>1</v>
      </c>
      <c r="I59" s="308">
        <v>1</v>
      </c>
      <c r="J59" s="308">
        <v>1</v>
      </c>
      <c r="K59" s="308">
        <v>1</v>
      </c>
      <c r="L59" s="308">
        <v>1</v>
      </c>
      <c r="M59" s="308" t="s">
        <v>176</v>
      </c>
      <c r="N59" s="308" t="s">
        <v>176</v>
      </c>
      <c r="O59" s="308"/>
      <c r="P59" s="308"/>
      <c r="Q59" s="308" t="s">
        <v>176</v>
      </c>
      <c r="R59" s="308" t="s">
        <v>176</v>
      </c>
      <c r="S59" s="308" t="s">
        <v>176</v>
      </c>
      <c r="T59" s="308" t="s">
        <v>176</v>
      </c>
      <c r="U59" s="308" t="s">
        <v>176</v>
      </c>
      <c r="V59" s="308" t="s">
        <v>176</v>
      </c>
      <c r="W59" s="308" t="s">
        <v>176</v>
      </c>
      <c r="X59" s="308" t="s">
        <v>176</v>
      </c>
      <c r="Y59" s="308" t="s">
        <v>176</v>
      </c>
      <c r="Z59" s="308" t="s">
        <v>176</v>
      </c>
      <c r="AA59" s="308" t="s">
        <v>176</v>
      </c>
      <c r="AB59" s="308" t="s">
        <v>176</v>
      </c>
      <c r="AC59" s="308" t="s">
        <v>176</v>
      </c>
      <c r="AD59" s="308" t="s">
        <v>176</v>
      </c>
      <c r="AE59" s="308" t="s">
        <v>176</v>
      </c>
      <c r="AF59" s="308" t="s">
        <v>176</v>
      </c>
      <c r="AG59" s="308" t="s">
        <v>176</v>
      </c>
      <c r="AH59" s="308" t="s">
        <v>176</v>
      </c>
      <c r="AI59" s="308" t="s">
        <v>176</v>
      </c>
      <c r="AJ59" s="308" t="s">
        <v>176</v>
      </c>
      <c r="AK59" s="308" t="s">
        <v>176</v>
      </c>
      <c r="AL59" s="308" t="s">
        <v>176</v>
      </c>
      <c r="AM59" s="308" t="s">
        <v>176</v>
      </c>
      <c r="AN59" s="308" t="s">
        <v>176</v>
      </c>
      <c r="AO59" s="308" t="s">
        <v>176</v>
      </c>
      <c r="AP59" s="308" t="s">
        <v>176</v>
      </c>
      <c r="AQ59" s="308" t="s">
        <v>176</v>
      </c>
      <c r="AR59" s="308" t="s">
        <v>176</v>
      </c>
      <c r="AS59" s="308" t="s">
        <v>176</v>
      </c>
      <c r="AT59" s="308" t="s">
        <v>176</v>
      </c>
      <c r="AU59" s="308" t="s">
        <v>176</v>
      </c>
      <c r="AV59" s="308"/>
      <c r="AW59" s="308"/>
      <c r="AX59" s="308"/>
      <c r="AY59" s="308" t="s">
        <v>176</v>
      </c>
      <c r="AZ59" s="308" t="s">
        <v>176</v>
      </c>
      <c r="BA59" s="308" t="s">
        <v>176</v>
      </c>
      <c r="BB59" s="308" t="s">
        <v>176</v>
      </c>
      <c r="BC59" s="308" t="s">
        <v>176</v>
      </c>
      <c r="BD59" s="308" t="s">
        <v>176</v>
      </c>
      <c r="BE59" s="308" t="s">
        <v>176</v>
      </c>
      <c r="BF59" s="308" t="s">
        <v>176</v>
      </c>
      <c r="BG59" s="308" t="s">
        <v>176</v>
      </c>
      <c r="BH59" s="308" t="s">
        <v>176</v>
      </c>
      <c r="BI59" s="308" t="s">
        <v>176</v>
      </c>
      <c r="BJ59" s="308" t="s">
        <v>176</v>
      </c>
      <c r="BK59" s="308" t="s">
        <v>176</v>
      </c>
      <c r="BL59" s="308" t="s">
        <v>176</v>
      </c>
      <c r="BM59" s="308" t="s">
        <v>176</v>
      </c>
      <c r="BN59" s="308"/>
      <c r="BO59" s="308"/>
      <c r="BP59" s="308" t="s">
        <v>176</v>
      </c>
      <c r="BQ59" s="308" t="s">
        <v>176</v>
      </c>
      <c r="BR59" s="308" t="s">
        <v>176</v>
      </c>
      <c r="BS59" s="308" t="s">
        <v>176</v>
      </c>
      <c r="BT59" s="308"/>
      <c r="BU59" s="308"/>
      <c r="BV59" s="308"/>
      <c r="BW59" s="308" t="s">
        <v>176</v>
      </c>
      <c r="BX59" s="308" t="s">
        <v>176</v>
      </c>
      <c r="BY59" s="308" t="s">
        <v>176</v>
      </c>
      <c r="BZ59" s="308" t="s">
        <v>176</v>
      </c>
      <c r="CA59" s="308" t="s">
        <v>176</v>
      </c>
      <c r="CB59" s="308" t="s">
        <v>176</v>
      </c>
      <c r="CC59" s="308" t="s">
        <v>176</v>
      </c>
      <c r="CD59" s="308" t="s">
        <v>176</v>
      </c>
      <c r="CE59" s="308" t="s">
        <v>176</v>
      </c>
      <c r="CF59" s="308" t="s">
        <v>176</v>
      </c>
      <c r="CG59" s="308" t="s">
        <v>176</v>
      </c>
      <c r="CH59" s="308" t="s">
        <v>176</v>
      </c>
      <c r="CI59" s="308" t="s">
        <v>176</v>
      </c>
      <c r="CJ59" s="308" t="s">
        <v>176</v>
      </c>
      <c r="CK59" s="308" t="s">
        <v>176</v>
      </c>
      <c r="CL59" s="308" t="s">
        <v>176</v>
      </c>
      <c r="CM59" s="308" t="s">
        <v>176</v>
      </c>
      <c r="CN59" s="308"/>
      <c r="CO59" s="308"/>
      <c r="CP59" s="308"/>
      <c r="CQ59" s="308" t="s">
        <v>176</v>
      </c>
      <c r="CR59" s="308" t="s">
        <v>176</v>
      </c>
      <c r="CS59" s="308" t="s">
        <v>176</v>
      </c>
      <c r="CT59" s="308" t="s">
        <v>176</v>
      </c>
      <c r="CU59" s="308">
        <v>1</v>
      </c>
      <c r="CV59" s="308" t="s">
        <v>176</v>
      </c>
      <c r="CW59" s="308" t="s">
        <v>176</v>
      </c>
      <c r="CX59" s="308" t="s">
        <v>176</v>
      </c>
      <c r="CY59" s="308" t="s">
        <v>176</v>
      </c>
      <c r="CZ59" s="308" t="s">
        <v>176</v>
      </c>
      <c r="DA59" s="308" t="s">
        <v>176</v>
      </c>
      <c r="DB59" s="308" t="s">
        <v>176</v>
      </c>
      <c r="DC59" s="308" t="s">
        <v>176</v>
      </c>
      <c r="DD59" s="308" t="s">
        <v>176</v>
      </c>
      <c r="DE59" s="308" t="s">
        <v>176</v>
      </c>
      <c r="DF59" s="308" t="s">
        <v>176</v>
      </c>
      <c r="DG59" s="308" t="s">
        <v>176</v>
      </c>
      <c r="DH59" s="308" t="s">
        <v>176</v>
      </c>
      <c r="DI59" s="308" t="s">
        <v>176</v>
      </c>
      <c r="DJ59" s="308" t="s">
        <v>176</v>
      </c>
      <c r="DK59" s="308" t="s">
        <v>176</v>
      </c>
      <c r="DL59" s="308" t="s">
        <v>176</v>
      </c>
      <c r="DM59" s="308" t="s">
        <v>176</v>
      </c>
      <c r="DN59" s="308" t="s">
        <v>176</v>
      </c>
      <c r="DO59" s="308" t="s">
        <v>176</v>
      </c>
      <c r="DP59" s="308" t="s">
        <v>176</v>
      </c>
      <c r="DQ59" s="308" t="s">
        <v>176</v>
      </c>
      <c r="DR59" s="308" t="s">
        <v>176</v>
      </c>
      <c r="DS59" s="308" t="s">
        <v>176</v>
      </c>
      <c r="DT59" s="308" t="s">
        <v>176</v>
      </c>
      <c r="DU59" s="308" t="s">
        <v>176</v>
      </c>
      <c r="DV59" s="306" t="s">
        <v>176</v>
      </c>
      <c r="DW59" s="306" t="s">
        <v>176</v>
      </c>
      <c r="DX59" s="306" t="s">
        <v>176</v>
      </c>
      <c r="DY59" s="308" t="s">
        <v>176</v>
      </c>
      <c r="DZ59" s="308" t="s">
        <v>176</v>
      </c>
      <c r="EA59" s="308" t="s">
        <v>176</v>
      </c>
      <c r="EB59" s="308" t="s">
        <v>176</v>
      </c>
      <c r="EC59" s="308" t="s">
        <v>176</v>
      </c>
      <c r="ED59" s="308" t="s">
        <v>176</v>
      </c>
      <c r="EE59" s="308" t="s">
        <v>176</v>
      </c>
      <c r="EF59" s="308">
        <v>1</v>
      </c>
      <c r="EG59" s="308">
        <v>1</v>
      </c>
      <c r="EH59" s="308">
        <v>1</v>
      </c>
      <c r="EI59" s="308">
        <v>1</v>
      </c>
      <c r="EJ59" s="308">
        <v>1</v>
      </c>
      <c r="EK59" s="308"/>
      <c r="EL59" s="308"/>
      <c r="EM59" s="308"/>
      <c r="EN59" s="308"/>
      <c r="EO59" s="308"/>
      <c r="EP59" s="308"/>
      <c r="EQ59" s="308"/>
      <c r="ER59" s="308"/>
      <c r="ES59" s="308"/>
      <c r="ET59" s="308"/>
      <c r="EU59" s="308"/>
      <c r="EV59" s="308"/>
      <c r="EW59" s="306"/>
      <c r="EX59" s="308"/>
      <c r="EY59" s="308">
        <v>1</v>
      </c>
      <c r="EZ59" s="308">
        <v>1</v>
      </c>
      <c r="FA59" s="308">
        <v>1</v>
      </c>
      <c r="FB59" s="308" t="s">
        <v>176</v>
      </c>
      <c r="FC59" s="308" t="s">
        <v>176</v>
      </c>
      <c r="FD59" s="308"/>
      <c r="FE59" s="308"/>
      <c r="FF59" s="308"/>
      <c r="FG59" s="308"/>
      <c r="FH59" s="308"/>
      <c r="FI59" s="308"/>
      <c r="FJ59" s="308"/>
      <c r="FK59" s="308"/>
      <c r="FL59" s="308" t="s">
        <v>176</v>
      </c>
      <c r="FM59" s="308"/>
      <c r="FN59" s="308"/>
      <c r="FO59" s="308">
        <v>1</v>
      </c>
      <c r="FP59" s="308" t="s">
        <v>176</v>
      </c>
      <c r="FQ59" s="308" t="s">
        <v>176</v>
      </c>
      <c r="FR59" s="308" t="s">
        <v>176</v>
      </c>
      <c r="FS59" s="308" t="s">
        <v>176</v>
      </c>
      <c r="FT59" s="308" t="s">
        <v>176</v>
      </c>
      <c r="FU59" s="308" t="s">
        <v>176</v>
      </c>
      <c r="FV59" s="308" t="s">
        <v>176</v>
      </c>
      <c r="FW59" s="308" t="s">
        <v>176</v>
      </c>
      <c r="FX59" s="308" t="s">
        <v>176</v>
      </c>
      <c r="FY59" s="308" t="s">
        <v>176</v>
      </c>
      <c r="FZ59" s="308" t="s">
        <v>176</v>
      </c>
      <c r="GA59" s="308" t="s">
        <v>176</v>
      </c>
      <c r="GB59" s="308" t="s">
        <v>176</v>
      </c>
      <c r="GC59" s="308" t="s">
        <v>176</v>
      </c>
      <c r="GD59" s="308" t="s">
        <v>176</v>
      </c>
      <c r="GE59" s="308" t="s">
        <v>176</v>
      </c>
      <c r="GF59" s="308"/>
      <c r="GG59" s="308" t="s">
        <v>387</v>
      </c>
      <c r="GH59" s="308" t="s">
        <v>176</v>
      </c>
      <c r="GI59" s="308" t="s">
        <v>176</v>
      </c>
      <c r="GJ59" s="308" t="s">
        <v>387</v>
      </c>
      <c r="GK59" s="308" t="s">
        <v>176</v>
      </c>
      <c r="GL59" s="329">
        <f>SUM(G59:FP59)</f>
        <v>16</v>
      </c>
      <c r="GM59" s="132"/>
    </row>
    <row r="60" spans="1:195" s="133" customFormat="1" ht="28.35" customHeight="1" thickBot="1" x14ac:dyDescent="0.3">
      <c r="A60" s="138" t="str">
        <f>A59</f>
        <v>Serwis form-Tooling</v>
      </c>
      <c r="B60" s="138" t="str">
        <f>B59</f>
        <v>Konserwator form</v>
      </c>
      <c r="C60" s="138" t="str">
        <f t="shared" si="1"/>
        <v>KC</v>
      </c>
      <c r="D60" s="138">
        <f>D59</f>
        <v>0</v>
      </c>
      <c r="E60" s="566" t="str">
        <f>E59</f>
        <v>Kilanowski Daniel</v>
      </c>
      <c r="F60" s="331" t="s">
        <v>166</v>
      </c>
      <c r="G60" s="330">
        <f>IF(INDEX(tab_MinKomp[Przepisy BHP / BHP Vorschriften],MATCH($B59,tab_MinKomp[[Stanowisko / Position ]:[Stanowisko / Position ]],0))="n/a","n/a",G59-INDEX(tab_MinKomp[Przepisy BHP / BHP Vorschriften],MATCH($B59,tab_MinKomp[[Stanowisko / Position ]:[Stanowisko / Position ]],0)))</f>
        <v>-1</v>
      </c>
      <c r="H60" s="330">
        <f>IF(INDEX(tab_MinKomp[Przepisy PPOŻ / Brandschutzbestimmungen],MATCH($B59,tab_MinKomp[[Stanowisko / Position ]:[Stanowisko / Position ]],0))="n/a","n/a",H59-INDEX(tab_MinKomp[Przepisy PPOŻ / Brandschutzbestimmungen],MATCH($B59,tab_MinKomp[[Stanowisko / Position ]:[Stanowisko / Position ]],0)))</f>
        <v>-1</v>
      </c>
      <c r="I60" s="330">
        <f>IF(INDEX(tab_MinKomp[Ryzyko zawodowe na stanowiskach pracyv/ Berufliche Risiken an Arbeitsstellen],MATCH($B59,tab_MinKomp[[Stanowisko / Position ]:[Stanowisko / Position ]],0))="n/a","n/a",I59-INDEX(tab_MinKomp[Ryzyko zawodowe na stanowiskach pracyv/ Berufliche Risiken an Arbeitsstellen],MATCH($B59,tab_MinKomp[[Stanowisko / Position ]:[Stanowisko / Position ]],0)))</f>
        <v>-1</v>
      </c>
      <c r="J60" s="314">
        <f>IF(INDEX(tab_MinKomp[Gospodarka substancjami niebezpiecznymi / Gefahrstoffmanagement],MATCH($B59,tab_MinKomp[[Stanowisko / Position ]:[Stanowisko / Position ]],0))="n/a","n/a",J59-INDEX(tab_MinKomp[Gospodarka substancjami niebezpiecznymi / Gefahrstoffmanagement],MATCH($B59,tab_MinKomp[[Stanowisko / Position ]:[Stanowisko / Position ]],0)))</f>
        <v>-1</v>
      </c>
      <c r="K60" s="314">
        <f>IF(INDEX(tab_MinKomp[Gospodarka odpadami / Abfallwirtschaft],MATCH($B59,tab_MinKomp[[Stanowisko / Position ]:[Stanowisko / Position ]],0))="n/a","n/a",K59-INDEX(tab_MinKomp[Gospodarka odpadami / Abfallwirtschaft],MATCH($B59,tab_MinKomp[[Stanowisko / Position ]:[Stanowisko / Position ]],0)))</f>
        <v>-1</v>
      </c>
      <c r="L60" s="315">
        <f>IF(INDEX(tab_MinKomp[Przepisy kodeksu pracy / Bestimmungen des Arbeitsgesetzes],MATCH($B59,tab_MinKomp[[Stanowisko / Position ]:[Stanowisko / Position ]],0))="n/a","n/a",L59-INDEX(tab_MinKomp[Przepisy kodeksu pracy / Bestimmungen des Arbeitsgesetzes],MATCH($B59,tab_MinKomp[[Stanowisko / Position ]:[Stanowisko / Position ]],0)))</f>
        <v>0</v>
      </c>
      <c r="M60" s="316" t="str">
        <f>IF(INDEX(tab_MinKomp[Przepisy o ub.społ. ZUS  / Sozialversicherungsvorschriften],MATCH($B59,tab_MinKomp[[Stanowisko / Position ]:[Stanowisko / Position ]],0))="n/a","n/a",M59-INDEX(tab_MinKomp[Przepisy o ub.społ. ZUS  / Sozialversicherungsvorschriften],MATCH($B59,tab_MinKomp[[Stanowisko / Position ]:[Stanowisko / Position ]],0)))</f>
        <v>n/a</v>
      </c>
      <c r="N60" s="315" t="str">
        <f>IF(INDEX(tab_MinKomp[PRZEPISY O PDOF /persönlich Einkommensteuergesetz ],MATCH($B59,tab_MinKomp[[Stanowisko / Position ]:[Stanowisko / Position ]],0))="n/a","n/a",N59-INDEX(tab_MinKomp[PRZEPISY O PDOF /persönlich Einkommensteuergesetz ],MATCH($B59,tab_MinKomp[[Stanowisko / Position ]:[Stanowisko / Position ]],0)))</f>
        <v>n/a</v>
      </c>
      <c r="O60" s="315">
        <f>IF(INDEX(tab_MinKomp[Regulamin pracy / Arbeitsordnung],MATCH($B59,tab_MinKomp[[Stanowisko / Position ]:[Stanowisko / Position ]],0))="n/a","n/a",O59-INDEX(tab_MinKomp[Regulamin pracy / Arbeitsordnung],MATCH($B59,tab_MinKomp[[Stanowisko / Position ]:[Stanowisko / Position ]],0)))</f>
        <v>-1</v>
      </c>
      <c r="P60" s="315">
        <f>IF(INDEX(tab_MinKomp[Regulamin wynagradzania / Vergütungsordnung],MATCH($B59,tab_MinKomp[[Stanowisko / Position ]:[Stanowisko / Position ]],0))="n/a","n/a",P59-INDEX(tab_MinKomp[Regulamin wynagradzania / Vergütungsordnung],MATCH($B59,tab_MinKomp[[Stanowisko / Position ]:[Stanowisko / Position ]],0)))</f>
        <v>-1</v>
      </c>
      <c r="Q60" s="315" t="str">
        <f>IF(INDEX(tab_MinKomp[System R2PŁATNIK PRO: Płace / Lohnabrechnung],MATCH($B59,tab_MinKomp[[Stanowisko / Position ]:[Stanowisko / Position ]],0))="n/a","n/a",Q59-INDEX(tab_MinKomp[System R2PŁATNIK PRO: Płace / Lohnabrechnung],MATCH($B59,tab_MinKomp[[Stanowisko / Position ]:[Stanowisko / Position ]],0)))</f>
        <v>n/a</v>
      </c>
      <c r="R60" s="315" t="str">
        <f>IF(INDEX(tab_MinKomp[SystemR2PŁATNIK PRO: KADRY / Personaldaten],MATCH($B59,tab_MinKomp[[Stanowisko / Position ]:[Stanowisko / Position ]],0))="n/a","n/a",R59-INDEX(tab_MinKomp[SystemR2PŁATNIK PRO: KADRY / Personaldaten],MATCH($B59,tab_MinKomp[[Stanowisko / Position ]:[Stanowisko / Position ]],0)))</f>
        <v>n/a</v>
      </c>
      <c r="S60" s="315" t="str">
        <f>IF(INDEX(tab_MinKomp[SYSTEM R2PŁATNIK PRO: zarządzanie pracownikami / Arbeitsverwaltung],MATCH($B59,tab_MinKomp[[Stanowisko / Position ]:[Stanowisko / Position ]],0))="n/a","n/a",S59-INDEX(tab_MinKomp[SYSTEM R2PŁATNIK PRO: zarządzanie pracownikami / Arbeitsverwaltung],MATCH($B59,tab_MinKomp[[Stanowisko / Position ]:[Stanowisko / Position ]],0)))</f>
        <v>n/a</v>
      </c>
      <c r="T60" s="315" t="str">
        <f>IF(INDEX(tab_MinKomp[Doradztwo, wsparcie personalne / Personalberatung und Unterstützung],MATCH($B59,tab_MinKomp[[Stanowisko / Position ]:[Stanowisko / Position ]],0))="n/a","n/a",T59-INDEX(tab_MinKomp[Doradztwo, wsparcie personalne / Personalberatung und Unterstützung],MATCH($B59,tab_MinKomp[[Stanowisko / Position ]:[Stanowisko / Position ]],0)))</f>
        <v>n/a</v>
      </c>
      <c r="U60" s="315" t="str">
        <f>IF(INDEX(tab_MinKomp[Przepisy o podatku VAT / MwSt.- Gesetz],MATCH($B59,tab_MinKomp[[Stanowisko / Position ]:[Stanowisko / Position ]],0))="n/a","n/a",U59-INDEX(tab_MinKomp[Przepisy o podatku VAT / MwSt.- Gesetz],MATCH($B59,tab_MinKomp[[Stanowisko / Position ]:[Stanowisko / Position ]],0)))</f>
        <v>n/a</v>
      </c>
      <c r="V60" s="315" t="str">
        <f>IF(INDEX(tab_MinKomp[PrzepisyPDOP / geschäftlich Einkommensteuergesetz],MATCH($B59,tab_MinKomp[[Stanowisko / Position ]:[Stanowisko / Position ]],0))="n/a","n/a",V59-INDEX(tab_MinKomp[PrzepisyPDOP / geschäftlich Einkommensteuergesetz],MATCH($B59,tab_MinKomp[[Stanowisko / Position ]:[Stanowisko / Position ]],0)))</f>
        <v>n/a</v>
      </c>
      <c r="W60" s="315" t="str">
        <f>IF(INDEX(tab_MinKomp[System BAAN / FINANSE (FIBU)],MATCH($B59,tab_MinKomp[[Stanowisko / Position ]:[Stanowisko / Position ]],0))="n/a","n/a",W59-INDEX(tab_MinKomp[System BAAN / FINANSE (FIBU)],MATCH($B59,tab_MinKomp[[Stanowisko / Position ]:[Stanowisko / Position ]],0)))</f>
        <v>n/a</v>
      </c>
      <c r="X60" s="315" t="str">
        <f>IF(INDEX(tab_MinKomp[Systemy pomocnicze / Hilfssysteme(STOCKPROGRAM, KALK2000 etc.)],MATCH($B59,tab_MinKomp[[Stanowisko / Position ]:[Stanowisko / Position ]],0))="n/a","n/a",X59-INDEX(tab_MinKomp[Systemy pomocnicze / Hilfssysteme(STOCKPROGRAM, KALK2000 etc.)],MATCH($B59,tab_MinKomp[[Stanowisko / Position ]:[Stanowisko / Position ]],0)))</f>
        <v>n/a</v>
      </c>
      <c r="Y60" s="315" t="str">
        <f>IF(INDEX(tab_MinKomp[Polityka rachunkowości / Buchführungspolitik],MATCH($B59,tab_MinKomp[[Stanowisko / Position ]:[Stanowisko / Position ]],0))="n/a","n/a",Y59-INDEX(tab_MinKomp[Polityka rachunkowości / Buchführungspolitik],MATCH($B59,tab_MinKomp[[Stanowisko / Position ]:[Stanowisko / Position ]],0)))</f>
        <v>n/a</v>
      </c>
      <c r="Z60" s="315" t="str">
        <f>IF(INDEX(tab_MinKomp[Ustawa o rachunkowości / Rechnungslegungsgesetz],MATCH($B59,tab_MinKomp[[Stanowisko / Position ]:[Stanowisko / Position ]],0))="n/a","n/a",Z59-INDEX(tab_MinKomp[Ustawa o rachunkowości / Rechnungslegungsgesetz],MATCH($B59,tab_MinKomp[[Stanowisko / Position ]:[Stanowisko / Position ]],0)))</f>
        <v>n/a</v>
      </c>
      <c r="AA60" s="315" t="str">
        <f>IF(INDEX(tab_MinKomp[WORKFLOW - TS-100],MATCH($B59,tab_MinKomp[[Stanowisko / Position ]:[Stanowisko / Position ]],0))="n/a","n/a",AA59-INDEX(tab_MinKomp[WORKFLOW - TS-100],MATCH($B59,tab_MinKomp[[Stanowisko / Position ]:[Stanowisko / Position ]],0)))</f>
        <v>n/a</v>
      </c>
      <c r="AB60" s="315" t="str">
        <f>IF(INDEX(tab_MinKomp[WORKFLOW - SFMS],MATCH($B59,tab_MinKomp[[Stanowisko / Position ]:[Stanowisko / Position ]],0))="n/a","n/a",AB59-INDEX(tab_MinKomp[WORKFLOW - SFMS],MATCH($B59,tab_MinKomp[[Stanowisko / Position ]:[Stanowisko / Position ]],0)))</f>
        <v>n/a</v>
      </c>
      <c r="AC60" s="315" t="str">
        <f>IF(INDEX(tab_MinKomp[System ISO 9001:2015],MATCH($B59,tab_MinKomp[[Stanowisko / Position ]:[Stanowisko / Position ]],0))="n/a","n/a",AC59-INDEX(tab_MinKomp[System ISO 9001:2015],MATCH($B59,tab_MinKomp[[Stanowisko / Position ]:[Stanowisko / Position ]],0)))</f>
        <v>n/a</v>
      </c>
      <c r="AD60" s="315" t="str">
        <f>IF(INDEX(tab_MinKomp[System IATF 16949:2016],MATCH($B59,tab_MinKomp[[Stanowisko / Position ]:[Stanowisko / Position ]],0))="n/a","n/a",AD59-INDEX(tab_MinKomp[System IATF 16949:2016],MATCH($B59,tab_MinKomp[[Stanowisko / Position ]:[Stanowisko / Position ]],0)))</f>
        <v>n/a</v>
      </c>
      <c r="AE60" s="315" t="str">
        <f>IF(INDEX(tab_MinKomp[System ISO 14001:2015],MATCH($B59,tab_MinKomp[[Stanowisko / Position ]:[Stanowisko / Position ]],0))="n/a","n/a",AE59-INDEX(tab_MinKomp[System ISO 14001:2015],MATCH($B59,tab_MinKomp[[Stanowisko / Position ]:[Stanowisko / Position ]],0)))</f>
        <v>n/a</v>
      </c>
      <c r="AF60" s="315" t="str">
        <f>IF(INDEX(tab_MinKomp[System PN-N 18001:2004 / ISO 45001:2018],MATCH($B59,tab_MinKomp[[Stanowisko / Position ]:[Stanowisko / Position ]],0))="n/a","n/a",AF59-INDEX(tab_MinKomp[System PN-N 18001:2004 / ISO 45001:2018],MATCH($B59,tab_MinKomp[[Stanowisko / Position ]:[Stanowisko / Position ]],0)))</f>
        <v>n/a</v>
      </c>
      <c r="AG60" s="315" t="str">
        <f>IF(INDEX(tab_MinKomp[Wymagania VDA 6.3 Process / Forderungen],MATCH($B59,tab_MinKomp[[Stanowisko / Position ]:[Stanowisko / Position ]],0))="n/a","n/a",AG59-INDEX(tab_MinKomp[Wymagania VDA 6.3 Process / Forderungen],MATCH($B59,tab_MinKomp[[Stanowisko / Position ]:[Stanowisko / Position ]],0)))</f>
        <v>n/a</v>
      </c>
      <c r="AH60" s="315" t="str">
        <f>IF(INDEX(tab_MinKomp[Wymagania VDA 6.5 Product / Forderungen],MATCH($B59,tab_MinKomp[[Stanowisko / Position ]:[Stanowisko / Position ]],0))="n/a","n/a",AH59-INDEX(tab_MinKomp[Wymagania VDA 6.5 Product / Forderungen],MATCH($B59,tab_MinKomp[[Stanowisko / Position ]:[Stanowisko / Position ]],0)))</f>
        <v>n/a</v>
      </c>
      <c r="AI60" s="315" t="str">
        <f>IF(INDEX(tab_MinKomp[PSCR (VW Product Safety &amp; Conformity Representative)],MATCH($B59,tab_MinKomp[[Stanowisko / Position ]:[Stanowisko / Position ]],0))="n/a","n/a",AI59-INDEX(tab_MinKomp[PSCR (VW Product Safety &amp; Conformity Representative)],MATCH($B59,tab_MinKomp[[Stanowisko / Position ]:[Stanowisko / Position ]],0)))</f>
        <v>n/a</v>
      </c>
      <c r="AJ60" s="315" t="str">
        <f>IF(INDEX(tab_MinKomp[Auditor systemu ISO 17025:2018],MATCH($B59,tab_MinKomp[[Stanowisko / Position ]:[Stanowisko / Position ]],0))="n/a","n/a",AJ59-INDEX(tab_MinKomp[Auditor systemu ISO 17025:2018],MATCH($B59,tab_MinKomp[[Stanowisko / Position ]:[Stanowisko / Position ]],0)))</f>
        <v>n/a</v>
      </c>
      <c r="AK60" s="315" t="str">
        <f>IF(INDEX(tab_MinKomp[Pełnomocnik systemu / Systemvertreter],MATCH($B59,tab_MinKomp[[Stanowisko / Position ]:[Stanowisko / Position ]],0))="n/a","n/a",AK59-INDEX(tab_MinKomp[Pełnomocnik systemu / Systemvertreter],MATCH($B59,tab_MinKomp[[Stanowisko / Position ]:[Stanowisko / Position ]],0)))</f>
        <v>n/a</v>
      </c>
      <c r="AL60" s="315" t="str">
        <f>IF(INDEX(tab_MinKomp[Polityka Etyczna - Compliance],MATCH($B59,tab_MinKomp[[Stanowisko / Position ]:[Stanowisko / Position ]],0))="n/a","n/a",AL59-INDEX(tab_MinKomp[Polityka Etyczna - Compliance],MATCH($B59,tab_MinKomp[[Stanowisko / Position ]:[Stanowisko / Position ]],0)))</f>
        <v>n/a</v>
      </c>
      <c r="AM60" s="315" t="str">
        <f>IF(INDEX(tab_MinKomp[WDRAŻANIE NOWYCH PROJEKTÓW/ PROCEDURA CTM],MATCH($B59,tab_MinKomp[[Stanowisko / Position ]:[Stanowisko / Position ]],0))="n/a","n/a",AM59-INDEX(tab_MinKomp[WDRAŻANIE NOWYCH PROJEKTÓW/ PROCEDURA CTM],MATCH($B59,tab_MinKomp[[Stanowisko / Position ]:[Stanowisko / Position ]],0)))</f>
        <v>n/a</v>
      </c>
      <c r="AN60" s="315" t="str">
        <f>IF(INDEX(tab_MinKomp[KAMIENIE MILOWE MSL/PIFF],MATCH($B59,tab_MinKomp[[Stanowisko / Position ]:[Stanowisko / Position ]],0))="n/a","n/a",AN59-INDEX(tab_MinKomp[KAMIENIE MILOWE MSL/PIFF],MATCH($B59,tab_MinKomp[[Stanowisko / Position ]:[Stanowisko / Position ]],0)))</f>
        <v>n/a</v>
      </c>
      <c r="AO60" s="315" t="str">
        <f>IF(INDEX(tab_MinKomp[CP],MATCH($B59,tab_MinKomp[[Stanowisko / Position ]:[Stanowisko / Position ]],0))="n/a","n/a",AO59-INDEX(tab_MinKomp[CP],MATCH($B59,tab_MinKomp[[Stanowisko / Position ]:[Stanowisko / Position ]],0)))</f>
        <v>n/a</v>
      </c>
      <c r="AP60" s="315" t="str">
        <f>IF(INDEX(tab_MinKomp[FMEA],MATCH($B59,tab_MinKomp[[Stanowisko / Position ]:[Stanowisko / Position ]],0))="n/a","n/a",AP59-INDEX(tab_MinKomp[FMEA],MATCH($B59,tab_MinKomp[[Stanowisko / Position ]:[Stanowisko / Position ]],0)))</f>
        <v>n/a</v>
      </c>
      <c r="AQ60" s="315" t="str">
        <f>IF(INDEX(tab_MinKomp[FLOW CHART],MATCH($B59,tab_MinKomp[[Stanowisko / Position ]:[Stanowisko / Position ]],0))="n/a","n/a",AQ59-INDEX(tab_MinKomp[FLOW CHART],MATCH($B59,tab_MinKomp[[Stanowisko / Position ]:[Stanowisko / Position ]],0)))</f>
        <v>n/a</v>
      </c>
      <c r="AR60" s="315" t="str">
        <f>IF(INDEX(tab_MinKomp[APQP],MATCH($B59,tab_MinKomp[[Stanowisko / Position ]:[Stanowisko / Position ]],0))="n/a","n/a",AR59-INDEX(tab_MinKomp[APQP],MATCH($B59,tab_MinKomp[[Stanowisko / Position ]:[Stanowisko / Position ]],0)))</f>
        <v>n/a</v>
      </c>
      <c r="AS60" s="315" t="str">
        <f>IF(INDEX(tab_MinKomp[MSA],MATCH($B59,tab_MinKomp[[Stanowisko / Position ]:[Stanowisko / Position ]],0))="n/a","n/a",AS59-INDEX(tab_MinKomp[MSA],MATCH($B59,tab_MinKomp[[Stanowisko / Position ]:[Stanowisko / Position ]],0)))</f>
        <v>n/a</v>
      </c>
      <c r="AT60" s="315" t="str">
        <f>IF(INDEX(tab_MinKomp[SPC],MATCH($B59,tab_MinKomp[[Stanowisko / Position ]:[Stanowisko / Position ]],0))="n/a","n/a",AT59-INDEX(tab_MinKomp[SPC],MATCH($B59,tab_MinKomp[[Stanowisko / Position ]:[Stanowisko / Position ]],0)))</f>
        <v>n/a</v>
      </c>
      <c r="AU60" s="315" t="str">
        <f>IF(INDEX(tab_MinKomp[CSR (SPECYFICZNE WYMAGANIA KLIENTA)],MATCH($B59,tab_MinKomp[[Stanowisko / Position ]:[Stanowisko / Position ]],0))="n/a","n/a",AU59-INDEX(tab_MinKomp[CSR (SPECYFICZNE WYMAGANIA KLIENTA)],MATCH($B59,tab_MinKomp[[Stanowisko / Position ]:[Stanowisko / Position ]],0)))</f>
        <v>n/a</v>
      </c>
      <c r="AV60" s="315">
        <f>IF(INDEX(tab_MinKomp[5S],MATCH($B59,tab_MinKomp[[Stanowisko / Position ]:[Stanowisko / Position ]],0))="n/a","n/a",AV59-INDEX(tab_MinKomp[5S],MATCH($B59,tab_MinKomp[[Stanowisko / Position ]:[Stanowisko / Position ]],0)))</f>
        <v>-2</v>
      </c>
      <c r="AW60" s="315">
        <f>IF(INDEX(tab_MinKomp[LEAN MANAGEMENT],MATCH($B59,tab_MinKomp[[Stanowisko / Position ]:[Stanowisko / Position ]],0))="n/a","n/a",AW59-INDEX(tab_MinKomp[LEAN MANAGEMENT],MATCH($B59,tab_MinKomp[[Stanowisko / Position ]:[Stanowisko / Position ]],0)))</f>
        <v>-1</v>
      </c>
      <c r="AX60" s="315">
        <f>IF(INDEX(tab_MinKomp[5R],MATCH($B59,tab_MinKomp[[Stanowisko / Position ]:[Stanowisko / Position ]],0))="n/a","n/a",AX59-INDEX(tab_MinKomp[5R],MATCH($B59,tab_MinKomp[[Stanowisko / Position ]:[Stanowisko / Position ]],0)))</f>
        <v>-1</v>
      </c>
      <c r="AY60" s="315" t="str">
        <f>IF(INDEX(tab_MinKomp[Six Sigma],MATCH($B59,tab_MinKomp[[Stanowisko / Position ]:[Stanowisko / Position ]],0))="n/a","n/a",AY59-INDEX(tab_MinKomp[Six Sigma],MATCH($B59,tab_MinKomp[[Stanowisko / Position ]:[Stanowisko / Position ]],0)))</f>
        <v>n/a</v>
      </c>
      <c r="AZ60" s="315" t="str">
        <f>IF(INDEX(tab_MinKomp[System BAAN / Distribution &amp; Supply Chain],MATCH($B59,tab_MinKomp[[Stanowisko / Position ]:[Stanowisko / Position ]],0))="n/a","n/a",AZ59-INDEX(tab_MinKomp[System BAAN / Distribution &amp; Supply Chain],MATCH($B59,tab_MinKomp[[Stanowisko / Position ]:[Stanowisko / Position ]],0)))</f>
        <v>n/a</v>
      </c>
      <c r="BA60" s="315" t="str">
        <f>IF(INDEX(tab_MinKomp[Gospodarka magazynowa / Lagerverwaltung],MATCH($B59,tab_MinKomp[[Stanowisko / Position ]:[Stanowisko / Position ]],0))="n/a","n/a",BA59-INDEX(tab_MinKomp[Gospodarka magazynowa / Lagerverwaltung],MATCH($B59,tab_MinKomp[[Stanowisko / Position ]:[Stanowisko / Position ]],0)))</f>
        <v>n/a</v>
      </c>
      <c r="BB60" s="315" t="str">
        <f>IF(INDEX(tab_MinKomp[Inwentaryzacja - organizacja i przebieg / Inventurprozess],MATCH($B59,tab_MinKomp[[Stanowisko / Position ]:[Stanowisko / Position ]],0))="n/a","n/a",BB59-INDEX(tab_MinKomp[Inwentaryzacja - organizacja i przebieg / Inventurprozess],MATCH($B59,tab_MinKomp[[Stanowisko / Position ]:[Stanowisko / Position ]],0)))</f>
        <v>n/a</v>
      </c>
      <c r="BC60" s="315" t="str">
        <f>IF(INDEX(tab_MinKomp[Organizacja dostaw / Versorgungsorganisation],MATCH($B59,tab_MinKomp[[Stanowisko / Position ]:[Stanowisko / Position ]],0))="n/a","n/a",BC59-INDEX(tab_MinKomp[Organizacja dostaw / Versorgungsorganisation],MATCH($B59,tab_MinKomp[[Stanowisko / Position ]:[Stanowisko / Position ]],0)))</f>
        <v>n/a</v>
      </c>
      <c r="BD60" s="315" t="str">
        <f>IF(INDEX(tab_MinKomp[Organizacja wysyłek / Organisation von Lieferungen],MATCH($B59,tab_MinKomp[[Stanowisko / Position ]:[Stanowisko / Position ]],0))="n/a","n/a",BD59-INDEX(tab_MinKomp[Organizacja wysyłek / Organisation von Lieferungen],MATCH($B59,tab_MinKomp[[Stanowisko / Position ]:[Stanowisko / Position ]],0)))</f>
        <v>n/a</v>
      </c>
      <c r="BE60" s="315" t="str">
        <f>IF(INDEX(tab_MinKomp[Analiza magazynowa - Program Polen.mdb / Inventuranalyse],MATCH($B59,tab_MinKomp[[Stanowisko / Position ]:[Stanowisko / Position ]],0))="n/a","n/a",BE59-INDEX(tab_MinKomp[Analiza magazynowa - Program Polen.mdb / Inventuranalyse],MATCH($B59,tab_MinKomp[[Stanowisko / Position ]:[Stanowisko / Position ]],0)))</f>
        <v>n/a</v>
      </c>
      <c r="BF60" s="315" t="str">
        <f>IF(INDEX(tab_MinKomp[MMOG (Materials Management Operations Guidelines)],MATCH($B59,tab_MinKomp[[Stanowisko / Position ]:[Stanowisko / Position ]],0))="n/a","n/a",BF59-INDEX(tab_MinKomp[MMOG (Materials Management Operations Guidelines)],MATCH($B59,tab_MinKomp[[Stanowisko / Position ]:[Stanowisko / Position ]],0)))</f>
        <v>n/a</v>
      </c>
      <c r="BG60" s="315" t="str">
        <f>IF(INDEX(tab_MinKomp[DETC],MATCH($B59,tab_MinKomp[[Stanowisko / Position ]:[Stanowisko / Position ]],0))="n/a","n/a",BG59-INDEX(tab_MinKomp[DETC],MATCH($B59,tab_MinKomp[[Stanowisko / Position ]:[Stanowisko / Position ]],0)))</f>
        <v>n/a</v>
      </c>
      <c r="BH60" s="315" t="str">
        <f>IF(INDEX(tab_MinKomp[GPP],MATCH($B59,tab_MinKomp[[Stanowisko / Position ]:[Stanowisko / Position ]],0))="n/a","n/a",BH59-INDEX(tab_MinKomp[GPP],MATCH($B59,tab_MinKomp[[Stanowisko / Position ]:[Stanowisko / Position ]],0)))</f>
        <v>n/a</v>
      </c>
      <c r="BI60" s="315" t="str">
        <f>IF(INDEX(tab_MinKomp[AIAG (Automotive Industry Action Group)],MATCH($B59,tab_MinKomp[[Stanowisko / Position ]:[Stanowisko / Position ]],0))="n/a","n/a",BI59-INDEX(tab_MinKomp[AIAG (Automotive Industry Action Group)],MATCH($B59,tab_MinKomp[[Stanowisko / Position ]:[Stanowisko / Position ]],0)))</f>
        <v>n/a</v>
      </c>
      <c r="BJ60" s="315" t="str">
        <f>IF(INDEX(tab_MinKomp[Super-G disputes],MATCH($B59,tab_MinKomp[[Stanowisko / Position ]:[Stanowisko / Position ]],0))="n/a","n/a",BJ59-INDEX(tab_MinKomp[Super-G disputes],MATCH($B59,tab_MinKomp[[Stanowisko / Position ]:[Stanowisko / Position ]],0)))</f>
        <v>n/a</v>
      </c>
      <c r="BK60" s="315" t="str">
        <f>IF(INDEX(tab_MinKomp[CMMS3/eDDL (Direct Data Link)],MATCH($B59,tab_MinKomp[[Stanowisko / Position ]:[Stanowisko / Position ]],0))="n/a","n/a",BK59-INDEX(tab_MinKomp[CMMS3/eDDL (Direct Data Link)],MATCH($B59,tab_MinKomp[[Stanowisko / Position ]:[Stanowisko / Position ]],0)))</f>
        <v>n/a</v>
      </c>
      <c r="BL60" s="315" t="str">
        <f>IF(INDEX(tab_MinKomp[MP&amp;L (Material Planning and Logistics)],MATCH($B59,tab_MinKomp[[Stanowisko / Position ]:[Stanowisko / Position ]],0))="n/a","n/a",BL59-INDEX(tab_MinKomp[MP&amp;L (Material Planning and Logistics)],MATCH($B59,tab_MinKomp[[Stanowisko / Position ]:[Stanowisko / Position ]],0)))</f>
        <v>n/a</v>
      </c>
      <c r="BM60" s="315" t="str">
        <f>IF(INDEX(tab_MinKomp[Planowanie produkcji / Produktionsplanung],MATCH($B59,tab_MinKomp[[Stanowisko / Position ]:[Stanowisko / Position ]],0))="n/a","n/a",BM59-INDEX(tab_MinKomp[Planowanie produkcji / Produktionsplanung],MATCH($B59,tab_MinKomp[[Stanowisko / Position ]:[Stanowisko / Position ]],0)))</f>
        <v>n/a</v>
      </c>
      <c r="BN60" s="315">
        <f>IF(INDEX(tab_MinKomp[Obsługa maszyn Engel / Engel Maschinenbedienung],MATCH($B59,tab_MinKomp[[Stanowisko / Position ]:[Stanowisko / Position ]],0))="n/a","n/a",BN59-INDEX(tab_MinKomp[Obsługa maszyn Engel / Engel Maschinenbedienung],MATCH($B59,tab_MinKomp[[Stanowisko / Position ]:[Stanowisko / Position ]],0)))</f>
        <v>-2</v>
      </c>
      <c r="BO60" s="315">
        <f>IF(INDEX(tab_MinKomp[Obsługa maszyn Novapax / Novapax Maschinenbedienung],MATCH($B59,tab_MinKomp[[Stanowisko / Position ]:[Stanowisko / Position ]],0))="n/a","n/a",BO59-INDEX(tab_MinKomp[Obsługa maszyn Novapax / Novapax Maschinenbedienung],MATCH($B59,tab_MinKomp[[Stanowisko / Position ]:[Stanowisko / Position ]],0)))</f>
        <v>-2</v>
      </c>
      <c r="BP60" s="315" t="str">
        <f>IF(INDEX(tab_MinKomp[Obsługa maszyn KVT / KVT Maschinenbedienung],MATCH($B59,tab_MinKomp[[Stanowisko / Position ]:[Stanowisko / Position ]],0))="n/a","n/a",BP59-INDEX(tab_MinKomp[Obsługa maszyn KVT / KVT Maschinenbedienung],MATCH($B59,tab_MinKomp[[Stanowisko / Position ]:[Stanowisko / Position ]],0)))</f>
        <v>n/a</v>
      </c>
      <c r="BQ60" s="315" t="str">
        <f>IF(INDEX(tab_MinKomp[Obsługa maszyn ASL / ASL Maschinenbedienung],MATCH($B59,tab_MinKomp[[Stanowisko / Position ]:[Stanowisko / Position ]],0))="n/a","n/a",BQ59-INDEX(tab_MinKomp[Obsługa maszyn ASL / ASL Maschinenbedienung],MATCH($B59,tab_MinKomp[[Stanowisko / Position ]:[Stanowisko / Position ]],0)))</f>
        <v>n/a</v>
      </c>
      <c r="BR60" s="315" t="str">
        <f>IF(INDEX(tab_MinKomp[Obsługa maszyn Branson / Branson Maschinenbedienung],MATCH($B59,tab_MinKomp[[Stanowisko / Position ]:[Stanowisko / Position ]],0))="n/a","n/a",BR59-INDEX(tab_MinKomp[Obsługa maszyn Branson / Branson Maschinenbedienung],MATCH($B59,tab_MinKomp[[Stanowisko / Position ]:[Stanowisko / Position ]],0)))</f>
        <v>n/a</v>
      </c>
      <c r="BS60" s="315" t="str">
        <f>IF(INDEX(tab_MinKomp[Obsługa maszyn Kamtec / Kamtec Maschinenbedienung],MATCH($B59,tab_MinKomp[[Stanowisko / Position ]:[Stanowisko / Position ]],0))="n/a","n/a",BS59-INDEX(tab_MinKomp[Obsługa maszyn Kamtec / Kamtec Maschinenbedienung],MATCH($B59,tab_MinKomp[[Stanowisko / Position ]:[Stanowisko / Position ]],0)))</f>
        <v>n/a</v>
      </c>
      <c r="BT60" s="315">
        <f>IF(INDEX(tab_MinKomp[Obsługa maszyn Piovan / Piovan Maschinenbedienung],MATCH($B59,tab_MinKomp[[Stanowisko / Position ]:[Stanowisko / Position ]],0))="n/a","n/a",BT59-INDEX(tab_MinKomp[Obsługa maszyn Piovan / Piovan Maschinenbedienung],MATCH($B59,tab_MinKomp[[Stanowisko / Position ]:[Stanowisko / Position ]],0)))</f>
        <v>-1</v>
      </c>
      <c r="BU60" s="315">
        <f>IF(INDEX(tab_MinKomp[Obsługa maszyn REP / REP Maschinenbedienung],MATCH($B59,tab_MinKomp[[Stanowisko / Position ]:[Stanowisko / Position ]],0))="n/a","n/a",BU59-INDEX(tab_MinKomp[Obsługa maszyn REP / REP Maschinenbedienung],MATCH($B59,tab_MinKomp[[Stanowisko / Position ]:[Stanowisko / Position ]],0)))</f>
        <v>-2</v>
      </c>
      <c r="BV60" s="315">
        <f>IF(INDEX(tab_MinKomp[Eliminacja awarii / Beseitigung von Ausfällen],MATCH($B59,tab_MinKomp[[Stanowisko / Position ]:[Stanowisko / Position ]],0))="n/a","n/a",BV59-INDEX(tab_MinKomp[Eliminacja awarii / Beseitigung von Ausfällen],MATCH($B59,tab_MinKomp[[Stanowisko / Position ]:[Stanowisko / Position ]],0)))</f>
        <v>-2</v>
      </c>
      <c r="BW60" s="315" t="str">
        <f>IF(INDEX(tab_MinKomp[Informatyka ogólna (techniczne i systemowe) / Allgemeine IT (Technik und System)],MATCH($B59,tab_MinKomp[[Stanowisko / Position ]:[Stanowisko / Position ]],0))="n/a","n/a",BW59-INDEX(tab_MinKomp[Informatyka ogólna (techniczne i systemowe) / Allgemeine IT (Technik und System)],MATCH($B59,tab_MinKomp[[Stanowisko / Position ]:[Stanowisko / Position ]],0)))</f>
        <v>n/a</v>
      </c>
      <c r="BX60" s="315" t="str">
        <f>IF(INDEX(tab_MinKomp[Sieci komputerowe / Computernetzwerke],MATCH($B59,tab_MinKomp[[Stanowisko / Position ]:[Stanowisko / Position ]],0))="n/a","n/a",BX59-INDEX(tab_MinKomp[Sieci komputerowe / Computernetzwerke],MATCH($B59,tab_MinKomp[[Stanowisko / Position ]:[Stanowisko / Position ]],0)))</f>
        <v>n/a</v>
      </c>
      <c r="BY60" s="315" t="str">
        <f>IF(INDEX(tab_MinKomp[Hardware (komputery PC, drukarki biurowe i etykietowe, telefonia stacjonarna i mobilna) (PC, Drucker, Telefpne, Handys)],MATCH($B59,tab_MinKomp[[Stanowisko / Position ]:[Stanowisko / Position ]],0))="n/a","n/a",BY59-INDEX(tab_MinKomp[Hardware (komputery PC, drukarki biurowe i etykietowe, telefonia stacjonarna i mobilna) (PC, Drucker, Telefpne, Handys)],MATCH($B59,tab_MinKomp[[Stanowisko / Position ]:[Stanowisko / Position ]],0)))</f>
        <v>n/a</v>
      </c>
      <c r="BZ60" s="315" t="str">
        <f>IF(INDEX(tab_MinKomp[Software &amp; Systems (MS Office, MS Remote Desktop)],MATCH($B59,tab_MinKomp[[Stanowisko / Position ]:[Stanowisko / Position ]],0))="n/a","n/a",BZ59-INDEX(tab_MinKomp[Software &amp; Systems (MS Office, MS Remote Desktop)],MATCH($B59,tab_MinKomp[[Stanowisko / Position ]:[Stanowisko / Position ]],0)))</f>
        <v>n/a</v>
      </c>
      <c r="CA60" s="315" t="str">
        <f>IF(INDEX(tab_MinKomp[Programowanie obiektowe (PHP) / Objektprogrammierung],MATCH($B59,tab_MinKomp[[Stanowisko / Position ]:[Stanowisko / Position ]],0))="n/a","n/a",CA59-INDEX(tab_MinKomp[Programowanie obiektowe (PHP) / Objektprogrammierung],MATCH($B59,tab_MinKomp[[Stanowisko / Position ]:[Stanowisko / Position ]],0)))</f>
        <v>n/a</v>
      </c>
      <c r="CB60" s="315" t="str">
        <f>IF(INDEX(tab_MinKomp[Scrum],MATCH($B59,tab_MinKomp[[Stanowisko / Position ]:[Stanowisko / Position ]],0))="n/a","n/a",CB59-INDEX(tab_MinKomp[Scrum],MATCH($B59,tab_MinKomp[[Stanowisko / Position ]:[Stanowisko / Position ]],0)))</f>
        <v>n/a</v>
      </c>
      <c r="CC60" s="315" t="str">
        <f>IF(INDEX(tab_MinKomp[SQL (MySQL)],MATCH($B59,tab_MinKomp[[Stanowisko / Position ]:[Stanowisko / Position ]],0))="n/a","n/a",CC59-INDEX(tab_MinKomp[SQL (MySQL)],MATCH($B59,tab_MinKomp[[Stanowisko / Position ]:[Stanowisko / Position ]],0)))</f>
        <v>n/a</v>
      </c>
      <c r="CD60" s="315" t="str">
        <f>IF(INDEX(tab_MinKomp[Javascript],MATCH($B59,tab_MinKomp[[Stanowisko / Position ]:[Stanowisko / Position ]],0))="n/a","n/a",CD59-INDEX(tab_MinKomp[Javascript],MATCH($B59,tab_MinKomp[[Stanowisko / Position ]:[Stanowisko / Position ]],0)))</f>
        <v>n/a</v>
      </c>
      <c r="CE60" s="315" t="str">
        <f>IF(INDEX(tab_MinKomp[Joomla],MATCH($B59,tab_MinKomp[[Stanowisko / Position ]:[Stanowisko / Position ]],0))="n/a","n/a",CE59-INDEX(tab_MinKomp[Joomla],MATCH($B59,tab_MinKomp[[Stanowisko / Position ]:[Stanowisko / Position ]],0)))</f>
        <v>n/a</v>
      </c>
      <c r="CF60" s="315" t="str">
        <f>IF(INDEX(tab_MinKomp[Bash],MATCH($B59,tab_MinKomp[[Stanowisko / Position ]:[Stanowisko / Position ]],0))="n/a","n/a",CF59-INDEX(tab_MinKomp[Bash],MATCH($B59,tab_MinKomp[[Stanowisko / Position ]:[Stanowisko / Position ]],0)))</f>
        <v>n/a</v>
      </c>
      <c r="CG60" s="315" t="str">
        <f>IF(INDEX(tab_MinKomp[Systemy MES (HYDRA / SFMS)],MATCH($B59,tab_MinKomp[[Stanowisko / Position ]:[Stanowisko / Position ]],0))="n/a","n/a",CG59-INDEX(tab_MinKomp[Systemy MES (HYDRA / SFMS)],MATCH($B59,tab_MinKomp[[Stanowisko / Position ]:[Stanowisko / Position ]],0)))</f>
        <v>n/a</v>
      </c>
      <c r="CH60" s="315" t="str">
        <f>IF(INDEX(tab_MinKomp[HTML / CSS],MATCH($B59,tab_MinKomp[[Stanowisko / Position ]:[Stanowisko / Position ]],0))="n/a","n/a",CH59-INDEX(tab_MinKomp[HTML / CSS],MATCH($B59,tab_MinKomp[[Stanowisko / Position ]:[Stanowisko / Position ]],0)))</f>
        <v>n/a</v>
      </c>
      <c r="CI60" s="315" t="str">
        <f>IF(INDEX(tab_MinKomp[SYSTEM PR],MATCH($B59,tab_MinKomp[[Stanowisko / Position ]:[Stanowisko / Position ]],0))="n/a","n/a",CI59-INDEX(tab_MinKomp[SYSTEM PR],MATCH($B59,tab_MinKomp[[Stanowisko / Position ]:[Stanowisko / Position ]],0)))</f>
        <v>n/a</v>
      </c>
      <c r="CJ60" s="315" t="str">
        <f>IF(INDEX(tab_MinKomp[System Einkauf XP / EBA],MATCH($B59,tab_MinKomp[[Stanowisko / Position ]:[Stanowisko / Position ]],0))="n/a","n/a",CJ59-INDEX(tab_MinKomp[System Einkauf XP / EBA],MATCH($B59,tab_MinKomp[[Stanowisko / Position ]:[Stanowisko / Position ]],0)))</f>
        <v>n/a</v>
      </c>
      <c r="CK60" s="315" t="str">
        <f>IF(INDEX(tab_MinKomp[Techniki negocjacyjne / Verhandlungstechniken],MATCH($B59,tab_MinKomp[[Stanowisko / Position ]:[Stanowisko / Position ]],0))="n/a","n/a",CK59-INDEX(tab_MinKomp[Techniki negocjacyjne / Verhandlungstechniken],MATCH($B59,tab_MinKomp[[Stanowisko / Position ]:[Stanowisko / Position ]],0)))</f>
        <v>n/a</v>
      </c>
      <c r="CL60" s="315" t="str">
        <f>IF(INDEX(tab_MinKomp[Znajomość rynku branżowego / Kenntnis des Industrie Marktes],MATCH($B59,tab_MinKomp[[Stanowisko / Position ]:[Stanowisko / Position ]],0))="n/a","n/a",CL59-INDEX(tab_MinKomp[Znajomość rynku branżowego / Kenntnis des Industrie Marktes],MATCH($B59,tab_MinKomp[[Stanowisko / Position ]:[Stanowisko / Position ]],0)))</f>
        <v>n/a</v>
      </c>
      <c r="CM60" s="315" t="str">
        <f>IF(INDEX(tab_MinKomp[RAPORTY 8D / 8D Berichten],MATCH($B59,tab_MinKomp[[Stanowisko / Position ]:[Stanowisko / Position ]],0))="n/a","n/a",CM59-INDEX(tab_MinKomp[RAPORTY 8D / 8D Berichten],MATCH($B59,tab_MinKomp[[Stanowisko / Position ]:[Stanowisko / Position ]],0)))</f>
        <v>n/a</v>
      </c>
      <c r="CN60" s="315">
        <f>IF(INDEX(tab_MinKomp[NARZĘDZIA JAKOŚCIOWE (5WHY, Ishikawa, etc) / QS-Werkzeuge],MATCH($B59,tab_MinKomp[[Stanowisko / Position ]:[Stanowisko / Position ]],0))="n/a","n/a",CN59-INDEX(tab_MinKomp[NARZĘDZIA JAKOŚCIOWE (5WHY, Ishikawa, etc) / QS-Werkzeuge],MATCH($B59,tab_MinKomp[[Stanowisko / Position ]:[Stanowisko / Position ]],0)))</f>
        <v>-1</v>
      </c>
      <c r="CO60" s="315">
        <f>IF(INDEX(tab_MinKomp[PDCA],MATCH($B59,tab_MinKomp[[Stanowisko / Position ]:[Stanowisko / Position ]],0))="n/a","n/a",CO59-INDEX(tab_MinKomp[PDCA],MATCH($B59,tab_MinKomp[[Stanowisko / Position ]:[Stanowisko / Position ]],0)))</f>
        <v>-1</v>
      </c>
      <c r="CP60" s="315">
        <f>IF(INDEX(tab_MinKomp[Pareto],MATCH($B59,tab_MinKomp[[Stanowisko / Position ]:[Stanowisko / Position ]],0))="n/a","n/a",CP59-INDEX(tab_MinKomp[Pareto],MATCH($B59,tab_MinKomp[[Stanowisko / Position ]:[Stanowisko / Position ]],0)))</f>
        <v>-1</v>
      </c>
      <c r="CQ60" s="315" t="str">
        <f>IF(INDEX(tab_MinKomp[PPAP/PSW],MATCH($B59,tab_MinKomp[[Stanowisko / Position ]:[Stanowisko / Position ]],0))="n/a","n/a",CQ59-INDEX(tab_MinKomp[PPAP/PSW],MATCH($B59,tab_MinKomp[[Stanowisko / Position ]:[Stanowisko / Position ]],0)))</f>
        <v>n/a</v>
      </c>
      <c r="CR60" s="315" t="str">
        <f>IF(INDEX(tab_MinKomp[SUPPLIER MANAGEMENT],MATCH($B59,tab_MinKomp[[Stanowisko / Position ]:[Stanowisko / Position ]],0))="n/a","n/a",CR59-INDEX(tab_MinKomp[SUPPLIER MANAGEMENT],MATCH($B59,tab_MinKomp[[Stanowisko / Position ]:[Stanowisko / Position ]],0)))</f>
        <v>n/a</v>
      </c>
      <c r="CS60" s="315" t="str">
        <f>IF(INDEX(tab_MinKomp[OBSŁUGA PORTALI KLIENTA / Kundenportale],MATCH($B59,tab_MinKomp[[Stanowisko / Position ]:[Stanowisko / Position ]],0))="n/a","n/a",CS59-INDEX(tab_MinKomp[OBSŁUGA PORTALI KLIENTA / Kundenportale],MATCH($B59,tab_MinKomp[[Stanowisko / Position ]:[Stanowisko / Position ]],0)))</f>
        <v>n/a</v>
      </c>
      <c r="CT60" s="315" t="str">
        <f>IF(INDEX(tab_MinKomp[Obsługa systemu BABTECQ / BABTECQ System],MATCH($B59,tab_MinKomp[[Stanowisko / Position ]:[Stanowisko / Position ]],0))="n/a","n/a",CT59-INDEX(tab_MinKomp[Obsługa systemu BABTECQ / BABTECQ System],MATCH($B59,tab_MinKomp[[Stanowisko / Position ]:[Stanowisko / Position ]],0)))</f>
        <v>n/a</v>
      </c>
      <c r="CU60" s="315">
        <f>IF(INDEX(tab_MinKomp[Rysunek techniczny / technische Zeichnung],MATCH($B59,tab_MinKomp[[Stanowisko / Position ]:[Stanowisko / Position ]],0))="n/a","n/a",CU59-INDEX(tab_MinKomp[Rysunek techniczny / technische Zeichnung],MATCH($B59,tab_MinKomp[[Stanowisko / Position ]:[Stanowisko / Position ]],0)))</f>
        <v>-1</v>
      </c>
      <c r="CV60" s="315" t="str">
        <f>IF(INDEX(tab_MinKomp[Kalibracja / Kalibrierung],MATCH($B59,tab_MinKomp[[Stanowisko / Position ]:[Stanowisko / Position ]],0))="n/a","n/a",CV59-INDEX(tab_MinKomp[Kalibracja / Kalibrierung],MATCH($B59,tab_MinKomp[[Stanowisko / Position ]:[Stanowisko / Position ]],0)))</f>
        <v>n/a</v>
      </c>
      <c r="CW60" s="315" t="str">
        <f>IF(INDEX(tab_MinKomp[Rekwalifikacja / Requalifizierung],MATCH($B59,tab_MinKomp[[Stanowisko / Position ]:[Stanowisko / Position ]],0))="n/a","n/a",CW59-INDEX(tab_MinKomp[Rekwalifikacja / Requalifizierung],MATCH($B59,tab_MinKomp[[Stanowisko / Position ]:[Stanowisko / Position ]],0)))</f>
        <v>n/a</v>
      </c>
      <c r="CX60" s="315" t="str">
        <f>IF(INDEX(tab_MinKomp[Obsługa mikroskopu optycznego / Bedienung eines optischen Mikroskops],MATCH($B59,tab_MinKomp[[Stanowisko / Position ]:[Stanowisko / Position ]],0))="n/a","n/a",CX59-INDEX(tab_MinKomp[Obsługa mikroskopu optycznego / Bedienung eines optischen Mikroskops],MATCH($B59,tab_MinKomp[[Stanowisko / Position ]:[Stanowisko / Position ]],0)))</f>
        <v>n/a</v>
      </c>
      <c r="CY60" s="315" t="str">
        <f>IF(INDEX(tab_MinKomp[Wykonywanie pomiarów optycznych - ocena wizualna / Optische Messungen durchführen – visuelle Beurteilung],MATCH($B59,tab_MinKomp[[Stanowisko / Position ]:[Stanowisko / Position ]],0))="n/a","n/a",CY59-INDEX(tab_MinKomp[Wykonywanie pomiarów optycznych - ocena wizualna / Optische Messungen durchführen – visuelle Beurteilung],MATCH($B59,tab_MinKomp[[Stanowisko / Position ]:[Stanowisko / Position ]],0)))</f>
        <v>n/a</v>
      </c>
      <c r="CZ60" s="315" t="str">
        <f>IF(INDEX(tab_MinKomp[Obsługa Rheometra / Rheometra-Unterstützung],MATCH($B59,tab_MinKomp[[Stanowisko / Position ]:[Stanowisko / Position ]],0))="n/a","n/a",CZ59-INDEX(tab_MinKomp[Obsługa Rheometra / Rheometra-Unterstützung],MATCH($B59,tab_MinKomp[[Stanowisko / Position ]:[Stanowisko / Position ]],0)))</f>
        <v>n/a</v>
      </c>
      <c r="DA60" s="315" t="str">
        <f>IF(INDEX(tab_MinKomp[Testy właściwości Rheometra mieszanki gumy],MATCH($B59,tab_MinKomp[[Stanowisko / Position ]:[Stanowisko / Position ]],0))="n/a","n/a",DA59-INDEX(tab_MinKomp[Testy właściwości Rheometra mieszanki gumy],MATCH($B59,tab_MinKomp[[Stanowisko / Position ]:[Stanowisko / Position ]],0)))</f>
        <v>n/a</v>
      </c>
      <c r="DB60" s="315" t="str">
        <f>IF(INDEX(tab_MinKomp[CMM - Contura Zeiss],MATCH($B59,tab_MinKomp[[Stanowisko / Position ]:[Stanowisko / Position ]],0))="n/a","n/a",DB59-INDEX(tab_MinKomp[CMM - Contura Zeiss],MATCH($B59,tab_MinKomp[[Stanowisko / Position ]:[Stanowisko / Position ]],0)))</f>
        <v>n/a</v>
      </c>
      <c r="DC60" s="315" t="str">
        <f>IF(INDEX(tab_MinKomp[Wykonywanie precyzyjnych pomiarów metrycznych, pomiary 3D],MATCH($B59,tab_MinKomp[[Stanowisko / Position ]:[Stanowisko / Position ]],0))="n/a","n/a",DC59-INDEX(tab_MinKomp[Wykonywanie precyzyjnych pomiarów metrycznych, pomiary 3D],MATCH($B59,tab_MinKomp[[Stanowisko / Position ]:[Stanowisko / Position ]],0)))</f>
        <v>n/a</v>
      </c>
      <c r="DD60" s="315" t="str">
        <f>IF(INDEX(tab_MinKomp[Pisanie programów / Programme schreiben],MATCH($B59,tab_MinKomp[[Stanowisko / Position ]:[Stanowisko / Position ]],0))="n/a","n/a",DD59-INDEX(tab_MinKomp[Pisanie programów / Programme schreiben],MATCH($B59,tab_MinKomp[[Stanowisko / Position ]:[Stanowisko / Position ]],0)))</f>
        <v>n/a</v>
      </c>
      <c r="DE60" s="315" t="str">
        <f>IF(INDEX(tab_MinKomp[Obsługa wyposażenia do testów czystości (myjka + analizator) / Betrieb von Sauberkeitsprüfgeräten (Waschmaschine + Analysegerät)],MATCH($B59,tab_MinKomp[[Stanowisko / Position ]:[Stanowisko / Position ]],0))="n/a","n/a",DE59-INDEX(tab_MinKomp[Obsługa wyposażenia do testów czystości (myjka + analizator) / Betrieb von Sauberkeitsprüfgeräten (Waschmaschine + Analysegerät)],MATCH($B59,tab_MinKomp[[Stanowisko / Position ]:[Stanowisko / Position ]],0)))</f>
        <v>n/a</v>
      </c>
      <c r="DF60" s="315" t="str">
        <f>IF(INDEX(tab_MinKomp[Testy czystości / Reinheitstests],MATCH($B59,tab_MinKomp[[Stanowisko / Position ]:[Stanowisko / Position ]],0))="n/a","n/a",DF59-INDEX(tab_MinKomp[Testy czystości / Reinheitstests],MATCH($B59,tab_MinKomp[[Stanowisko / Position ]:[Stanowisko / Position ]],0)))</f>
        <v>n/a</v>
      </c>
      <c r="DG60" s="315" t="str">
        <f>IF(INDEX(tab_MinKomp[Obsługa wysokościomierza / Unterstützung für Höhenmesser],MATCH($B59,tab_MinKomp[[Stanowisko / Position ]:[Stanowisko / Position ]],0))="n/a","n/a",DG59-INDEX(tab_MinKomp[Obsługa wysokościomierza / Unterstützung für Höhenmesser],MATCH($B59,tab_MinKomp[[Stanowisko / Position ]:[Stanowisko / Position ]],0)))</f>
        <v>n/a</v>
      </c>
      <c r="DH60" s="315" t="str">
        <f>IF(INDEX(tab_MinKomp[Pomiary wysokości materiału / Materialhöhenmessungen],MATCH($B59,tab_MinKomp[[Stanowisko / Position ]:[Stanowisko / Position ]],0))="n/a","n/a",DH59-INDEX(tab_MinKomp[Pomiary wysokości materiału / Materialhöhenmessungen],MATCH($B59,tab_MinKomp[[Stanowisko / Position ]:[Stanowisko / Position ]],0)))</f>
        <v>n/a</v>
      </c>
      <c r="DI60" s="315" t="str">
        <f>IF(INDEX(tab_MinKomp[Obsługa okrągłościomierza / Unterstützung für Rundheitsmessgeräte],MATCH($B59,tab_MinKomp[[Stanowisko / Position ]:[Stanowisko / Position ]],0))="n/a","n/a",DI59-INDEX(tab_MinKomp[Obsługa okrągłościomierza / Unterstützung für Rundheitsmessgeräte],MATCH($B59,tab_MinKomp[[Stanowisko / Position ]:[Stanowisko / Position ]],0)))</f>
        <v>n/a</v>
      </c>
      <c r="DJ60" s="315" t="str">
        <f>IF(INDEX(tab_MinKomp[Wykonywania pomiarów owalności, srednicy materiału / Messung der Ovalität und des Durchmessers des Materials],MATCH($B59,tab_MinKomp[[Stanowisko / Position ]:[Stanowisko / Position ]],0))="n/a","n/a",DJ59-INDEX(tab_MinKomp[Wykonywania pomiarów owalności, srednicy materiału / Messung der Ovalität und des Durchmessers des Materials],MATCH($B59,tab_MinKomp[[Stanowisko / Position ]:[Stanowisko / Position ]],0)))</f>
        <v>n/a</v>
      </c>
      <c r="DK60" s="315" t="str">
        <f>IF(INDEX(tab_MinKomp[Obsługa urządzenia do pomiarów chropowoatości powierzchni materiału],MATCH($B59,tab_MinKomp[[Stanowisko / Position ]:[Stanowisko / Position ]],0))="n/a","n/a",DK59-INDEX(tab_MinKomp[Obsługa urządzenia do pomiarów chropowoatości powierzchni materiału],MATCH($B59,tab_MinKomp[[Stanowisko / Position ]:[Stanowisko / Position ]],0)))</f>
        <v>n/a</v>
      </c>
      <c r="DL60" s="315" t="str">
        <f>IF(INDEX(tab_MinKomp[Wykonywanie pomiarów chropowatości powierzchni materiału / Durchführung von Messungen der Materialoberflächenrauheit],MATCH($B59,tab_MinKomp[[Stanowisko / Position ]:[Stanowisko / Position ]],0))="n/a","n/a",DL59-INDEX(tab_MinKomp[Wykonywanie pomiarów chropowatości powierzchni materiału / Durchführung von Messungen der Materialoberflächenrauheit],MATCH($B59,tab_MinKomp[[Stanowisko / Position ]:[Stanowisko / Position ]],0)))</f>
        <v>n/a</v>
      </c>
      <c r="DM60" s="315" t="str">
        <f>IF(INDEX(tab_MinKomp[Obsługa urządzenia do pomiaru siły radialnej części - postępowanie z trzpieniami. / Funktionsweise des Geräts zur Messung der Radialkraft von Teilen – Handhabungsstifte.],MATCH($B59,tab_MinKomp[[Stanowisko / Position ]:[Stanowisko / Position ]],0))="n/a","n/a",DM59-INDEX(tab_MinKomp[Obsługa urządzenia do pomiaru siły radialnej części - postępowanie z trzpieniami. / Funktionsweise des Geräts zur Messung der Radialkraft von Teilen – Handhabungsstifte.],MATCH($B59,tab_MinKomp[[Stanowisko / Position ]:[Stanowisko / Position ]],0)))</f>
        <v>n/a</v>
      </c>
      <c r="DN60" s="315" t="str">
        <f>IF(INDEX(tab_MinKomp[Wykonywanie pomiarów siły radialnej części / Führen Sie Radialkraftmessungen an Teilen durch],MATCH($B59,tab_MinKomp[[Stanowisko / Position ]:[Stanowisko / Position ]],0))="n/a","n/a",DN59-INDEX(tab_MinKomp[Wykonywanie pomiarów siły radialnej części / Führen Sie Radialkraftmessungen an Teilen durch],MATCH($B59,tab_MinKomp[[Stanowisko / Position ]:[Stanowisko / Position ]],0)))</f>
        <v>n/a</v>
      </c>
      <c r="DO60" s="315" t="str">
        <f>IF(INDEX(tab_MinKomp[Obsługa komory do testów wybuchwych / Betrieb einer Explosionsprüfkammer],MATCH($B59,tab_MinKomp[[Stanowisko / Position ]:[Stanowisko / Position ]],0))="n/a","n/a",DO59-INDEX(tab_MinKomp[Obsługa komory do testów wybuchwych / Betrieb einer Explosionsprüfkammer],MATCH($B59,tab_MinKomp[[Stanowisko / Position ]:[Stanowisko / Position ]],0)))</f>
        <v>n/a</v>
      </c>
      <c r="DP60" s="315" t="str">
        <f>IF(INDEX(tab_MinKomp[Wykonywanie testów wybuchowych części / Durchführung von Explosionstests an Teilen],MATCH($B59,tab_MinKomp[[Stanowisko / Position ]:[Stanowisko / Position ]],0))="n/a","n/a",DP59-INDEX(tab_MinKomp[Wykonywanie testów wybuchowych części / Durchführung von Explosionstests an Teilen],MATCH($B59,tab_MinKomp[[Stanowisko / Position ]:[Stanowisko / Position ]],0)))</f>
        <v>n/a</v>
      </c>
      <c r="DQ60" s="315" t="str">
        <f>IF(INDEX(tab_MinKomp[Obsługa urządzeń do mierzenia siły trzymania i/lub rozciągania / Betrieb von Geräten zur Messung der Halte- und/oder Dehnkraft],MATCH($B59,tab_MinKomp[[Stanowisko / Position ]:[Stanowisko / Position ]],0))="n/a","n/a",DQ59-INDEX(tab_MinKomp[Obsługa urządzeń do mierzenia siły trzymania i/lub rozciągania / Betrieb von Geräten zur Messung der Halte- und/oder Dehnkraft],MATCH($B59,tab_MinKomp[[Stanowisko / Position ]:[Stanowisko / Position ]],0)))</f>
        <v>n/a</v>
      </c>
      <c r="DR60" s="315" t="str">
        <f>IF(INDEX(tab_MinKomp[Wykonywanie testów mierzenia siły trzymania i/lub rozciągania / Durchführung von Tests zur Messung der Halte- und/oder Streckkraft],MATCH($B59,tab_MinKomp[[Stanowisko / Position ]:[Stanowisko / Position ]],0))="n/a","n/a",DR59-INDEX(tab_MinKomp[Wykonywanie testów mierzenia siły trzymania i/lub rozciągania / Durchführung von Tests zur Messung der Halte- und/oder Streckkraft],MATCH($B59,tab_MinKomp[[Stanowisko / Position ]:[Stanowisko / Position ]],0)))</f>
        <v>n/a</v>
      </c>
      <c r="DS60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Luftstrom)],MATCH($B59,tab_MinKomp[[Stanowisko / Position ]:[Stanowisko / Position ]],0))="n/a","n/a",DS59-INDEX(tab_MinKomp[Obsługa multimetru do pomiarów środowiskowych (temperatura, wilgotność, hałas, oświetlenie, przepływ powietrza) / Betrieb eines Multimeters für Umweltmessungen (Temperatur, Luftfeuchtigkeit, Lärm, Beleuchtung, Luftstrom)],MATCH($B59,tab_MinKomp[[Stanowisko / Position ]:[Stanowisko / Position ]],0)))</f>
        <v>n/a</v>
      </c>
      <c r="DT60" s="315" t="str">
        <f>IF(INDEX(tab_MinKomp[Kontrola warunków środowiskowych pracy (temperatura, wilgotność, hałas, oświetlenie, przepływ powietrza) / Kontrolle der Arbeitsumgebungsbedingungen (Temperatur, Luftfeuchtigkeit, Lärm, Beleuchtung, Luftstrom)],MATCH($B59,tab_MinKomp[[Stanowisko / Position ]:[Stanowisko / Position ]],0))="n/a","n/a",DT59-INDEX(tab_MinKomp[Kontrola warunków środowiskowych pracy (temperatura, wilgotność, hałas, oświetlenie, przepływ powietrza) / Kontrolle der Arbeitsumgebungsbedingungen (Temperatur, Luftfeuchtigkeit, Lärm, Beleuchtung, Luftstrom)],MATCH($B59,tab_MinKomp[[Stanowisko / Position ]:[Stanowisko / Position ]],0)))</f>
        <v>n/a</v>
      </c>
      <c r="DU60" s="315" t="str">
        <f>IF(INDEX(tab_MinKomp[MSA i SPC],MATCH($B59,tab_MinKomp[[Stanowisko / Position ]:[Stanowisko / Position ]],0))="n/a","n/a",DU59-INDEX(tab_MinKomp[MSA i SPC],MATCH($B59,tab_MinKomp[[Stanowisko / Position ]:[Stanowisko / Position ]],0)))</f>
        <v>n/a</v>
      </c>
      <c r="DV60" s="315" t="str">
        <f>IF(INDEX(tab_MinKomp[Kontrola wejściowa komponentów/ Eingangskontrolle],MATCH($B59,tab_MinKomp[[Stanowisko / Position ]:[Stanowisko / Position ]],0))="n/a","n/a",DV59-INDEX(tab_MinKomp[Kontrola wejściowa komponentów/ Eingangskontrolle],MATCH($B59,tab_MinKomp[[Stanowisko / Position ]:[Stanowisko / Position ]],0)))</f>
        <v>n/a</v>
      </c>
      <c r="DW60" s="315" t="str">
        <f>IF(INDEX(tab_MinKomp[Kontrola wyjściowa produktu / Ausgangskontrolle],MATCH($B59,tab_MinKomp[[Stanowisko / Position ]:[Stanowisko / Position ]],0))="n/a","n/a",DW59-INDEX(tab_MinKomp[Kontrola wyjściowa produktu / Ausgangskontrolle],MATCH($B59,tab_MinKomp[[Stanowisko / Position ]:[Stanowisko / Position ]],0)))</f>
        <v>n/a</v>
      </c>
      <c r="DX60" s="315" t="str">
        <f>IF(INDEX(tab_MinKomp[Kontrola codzienna produkcji / Tägliche Produktionskontrolle],MATCH($B59,tab_MinKomp[[Stanowisko / Position ]:[Stanowisko / Position ]],0))="n/a","n/a",DX59-INDEX(tab_MinKomp[Kontrola codzienna produkcji / Tägliche Produktionskontrolle],MATCH($B59,tab_MinKomp[[Stanowisko / Position ]:[Stanowisko / Position ]],0)))</f>
        <v>n/a</v>
      </c>
      <c r="DY60" s="315" t="str">
        <f>IF(INDEX(tab_MinKomp[Konserwacja Rep],MATCH($B59,tab_MinKomp[[Stanowisko / Position ]:[Stanowisko / Position ]],0))="n/a","n/a",DY59-INDEX(tab_MinKomp[Konserwacja Rep],MATCH($B59,tab_MinKomp[[Stanowisko / Position ]:[Stanowisko / Position ]],0)))</f>
        <v>n/a</v>
      </c>
      <c r="DZ60" s="315" t="str">
        <f>IF(INDEX(tab_MinKomp[[Konserwacja Engel ]],MATCH($B59,tab_MinKomp[[Stanowisko / Position ]:[Stanowisko / Position ]],0))="n/a","n/a",DZ59-INDEX(tab_MinKomp[[Konserwacja Engel ]],MATCH($B59,tab_MinKomp[[Stanowisko / Position ]:[Stanowisko / Position ]],0)))</f>
        <v>n/a</v>
      </c>
      <c r="EA60" s="315" t="str">
        <f>IF(INDEX(tab_MinKomp[Konserwacja B 50],MATCH($B59,tab_MinKomp[[Stanowisko / Position ]:[Stanowisko / Position ]],0))="n/a","n/a",EA59-INDEX(tab_MinKomp[Konserwacja B 50],MATCH($B59,tab_MinKomp[[Stanowisko / Position ]:[Stanowisko / Position ]],0)))</f>
        <v>n/a</v>
      </c>
      <c r="EB60" s="315" t="str">
        <f>IF(INDEX(tab_MinKomp[[Konserwacja EOL ]],MATCH($B59,tab_MinKomp[[Stanowisko / Position ]:[Stanowisko / Position ]],0))="n/a","n/a",EB59-INDEX(tab_MinKomp[[Konserwacja EOL ]],MATCH($B59,tab_MinKomp[[Stanowisko / Position ]:[Stanowisko / Position ]],0)))</f>
        <v>n/a</v>
      </c>
      <c r="EC60" s="315" t="str">
        <f>IF(INDEX(tab_MinKomp[Konserwacja Branson],MATCH($B59,tab_MinKomp[[Stanowisko / Position ]:[Stanowisko / Position ]],0))="n/a","n/a",EC59-INDEX(tab_MinKomp[Konserwacja Branson],MATCH($B59,tab_MinKomp[[Stanowisko / Position ]:[Stanowisko / Position ]],0)))</f>
        <v>n/a</v>
      </c>
      <c r="ED60" s="315" t="str">
        <f>IF(INDEX(tab_MinKomp[Konserwacja coolery],MATCH($B59,tab_MinKomp[[Stanowisko / Position ]:[Stanowisko / Position ]],0))="n/a","n/a",ED59-INDEX(tab_MinKomp[Konserwacja coolery],MATCH($B59,tab_MinKomp[[Stanowisko / Position ]:[Stanowisko / Position ]],0)))</f>
        <v>n/a</v>
      </c>
      <c r="EE60" s="315" t="str">
        <f>IF(INDEX(tab_MinKomp[Konserwacja piecy],MATCH($B59,tab_MinKomp[[Stanowisko / Position ]:[Stanowisko / Position ]],0))="n/a","n/a",EE59-INDEX(tab_MinKomp[Konserwacja piecy],MATCH($B59,tab_MinKomp[[Stanowisko / Position ]:[Stanowisko / Position ]],0)))</f>
        <v>n/a</v>
      </c>
      <c r="EF60" s="315">
        <f>IF(INDEX(tab_MinKomp[Rysunek techniczny- czytanie],MATCH($B59,tab_MinKomp[[Stanowisko / Position ]:[Stanowisko / Position ]],0))="n/a","n/a",EF59-INDEX(tab_MinKomp[Rysunek techniczny- czytanie],MATCH($B59,tab_MinKomp[[Stanowisko / Position ]:[Stanowisko / Position ]],0)))</f>
        <v>-1</v>
      </c>
      <c r="EG60" s="315">
        <f>IF(INDEX(tab_MinKomp[Elektryka],MATCH($B59,tab_MinKomp[[Stanowisko / Position ]:[Stanowisko / Position ]],0))="n/a","n/a",EG59-INDEX(tab_MinKomp[Elektryka],MATCH($B59,tab_MinKomp[[Stanowisko / Position ]:[Stanowisko / Position ]],0)))</f>
        <v>-1</v>
      </c>
      <c r="EH60" s="315">
        <f>IF(INDEX(tab_MinKomp[Pneumatyka],MATCH($B59,tab_MinKomp[[Stanowisko / Position ]:[Stanowisko / Position ]],0))="n/a","n/a",EH59-INDEX(tab_MinKomp[Pneumatyka],MATCH($B59,tab_MinKomp[[Stanowisko / Position ]:[Stanowisko / Position ]],0)))</f>
        <v>-1</v>
      </c>
      <c r="EI60" s="315">
        <f>IF(INDEX(tab_MinKomp[[Hydraulika ]],MATCH($B59,tab_MinKomp[[Stanowisko / Position ]:[Stanowisko / Position ]],0))="n/a","n/a",EI59-INDEX(tab_MinKomp[[Hydraulika ]],MATCH($B59,tab_MinKomp[[Stanowisko / Position ]:[Stanowisko / Position ]],0)))</f>
        <v>-1</v>
      </c>
      <c r="EJ60" s="315">
        <f>IF(INDEX(tab_MinKomp[Podciśnienie],MATCH($B59,tab_MinKomp[[Stanowisko / Position ]:[Stanowisko / Position ]],0))="n/a","n/a",EJ59-INDEX(tab_MinKomp[Podciśnienie],MATCH($B59,tab_MinKomp[[Stanowisko / Position ]:[Stanowisko / Position ]],0)))</f>
        <v>-1</v>
      </c>
      <c r="EK60" s="315">
        <f>IF(INDEX(tab_MinKomp[Usuwanie awarii],MATCH($B59,tab_MinKomp[[Stanowisko / Position ]:[Stanowisko / Position ]],0))="n/a","n/a",EK59-INDEX(tab_MinKomp[Usuwanie awarii],MATCH($B59,tab_MinKomp[[Stanowisko / Position ]:[Stanowisko / Position ]],0)))</f>
        <v>-2</v>
      </c>
      <c r="EL60" s="315">
        <f>IF(INDEX(tab_MinKomp[Obsługa robotów],MATCH($B59,tab_MinKomp[[Stanowisko / Position ]:[Stanowisko / Position ]],0))="n/a","n/a",EL59-INDEX(tab_MinKomp[Obsługa robotów],MATCH($B59,tab_MinKomp[[Stanowisko / Position ]:[Stanowisko / Position ]],0)))</f>
        <v>-1</v>
      </c>
      <c r="EM60" s="315">
        <f>IF(INDEX(tab_MinKomp[Obsługa sterowania maszyny],MATCH($B59,tab_MinKomp[[Stanowisko / Position ]:[Stanowisko / Position ]],0))="n/a","n/a",EM59-INDEX(tab_MinKomp[Obsługa sterowania maszyny],MATCH($B59,tab_MinKomp[[Stanowisko / Position ]:[Stanowisko / Position ]],0)))</f>
        <v>-1</v>
      </c>
      <c r="EN60" s="315">
        <f>IF(INDEX(tab_MinKomp[Usuwanie przyczyn żródłowych],MATCH($B59,tab_MinKomp[[Stanowisko / Position ]:[Stanowisko / Position ]],0))="n/a","n/a",EN59-INDEX(tab_MinKomp[Usuwanie przyczyn żródłowych],MATCH($B59,tab_MinKomp[[Stanowisko / Position ]:[Stanowisko / Position ]],0)))</f>
        <v>-2</v>
      </c>
      <c r="EO60" s="315">
        <f>IF(INDEX(tab_MinKomp[Cmms stosowanie],MATCH($B59,tab_MinKomp[[Stanowisko / Position ]:[Stanowisko / Position ]],0))="n/a","n/a",EO59-INDEX(tab_MinKomp[Cmms stosowanie],MATCH($B59,tab_MinKomp[[Stanowisko / Position ]:[Stanowisko / Position ]],0)))</f>
        <v>-2</v>
      </c>
      <c r="EP60" s="315">
        <f>IF(INDEX(tab_MinKomp[[Czyszczenie form gumowych ]],MATCH($B59,tab_MinKomp[[Stanowisko / Position ]:[Stanowisko / Position ]],0))="n/a","n/a",EP59-INDEX(tab_MinKomp[[Czyszczenie form gumowych ]],MATCH($B59,tab_MinKomp[[Stanowisko / Position ]:[Stanowisko / Position ]],0)))</f>
        <v>-2</v>
      </c>
      <c r="EQ60" s="315">
        <f>IF(INDEX(tab_MinKomp[Czyszczenie form plastikowych],MATCH($B59,tab_MinKomp[[Stanowisko / Position ]:[Stanowisko / Position ]],0))="n/a","n/a",EQ59-INDEX(tab_MinKomp[Czyszczenie form plastikowych],MATCH($B59,tab_MinKomp[[Stanowisko / Position ]:[Stanowisko / Position ]],0)))</f>
        <v>-2</v>
      </c>
      <c r="ER60" s="315">
        <f>IF(INDEX(tab_MinKomp[Wymiana form plastik],MATCH($B59,tab_MinKomp[[Stanowisko / Position ]:[Stanowisko / Position ]],0))="n/a","n/a",ER59-INDEX(tab_MinKomp[Wymiana form plastik],MATCH($B59,tab_MinKomp[[Stanowisko / Position ]:[Stanowisko / Position ]],0)))</f>
        <v>-2</v>
      </c>
      <c r="ES60" s="315">
        <f>IF(INDEX(tab_MinKomp[Wymiana form guma],MATCH($B59,tab_MinKomp[[Stanowisko / Position ]:[Stanowisko / Position ]],0))="n/a","n/a",ES59-INDEX(tab_MinKomp[Wymiana form guma],MATCH($B59,tab_MinKomp[[Stanowisko / Position ]:[Stanowisko / Position ]],0)))</f>
        <v>-2</v>
      </c>
      <c r="ET60" s="315">
        <f>IF(INDEX(tab_MinKomp[Konserwacja KK],MATCH($B59,tab_MinKomp[[Stanowisko / Position ]:[Stanowisko / Position ]],0))="n/a","n/a",ET59-INDEX(tab_MinKomp[Konserwacja KK],MATCH($B59,tab_MinKomp[[Stanowisko / Position ]:[Stanowisko / Position ]],0)))</f>
        <v>-2</v>
      </c>
      <c r="EU60" s="315">
        <f>IF(INDEX(tab_MinKomp[Konserwacja form guma],MATCH($B59,tab_MinKomp[[Stanowisko / Position ]:[Stanowisko / Position ]],0))="n/a","n/a",EU59-INDEX(tab_MinKomp[Konserwacja form guma],MATCH($B59,tab_MinKomp[[Stanowisko / Position ]:[Stanowisko / Position ]],0)))</f>
        <v>-2</v>
      </c>
      <c r="EV60" s="315">
        <f>IF(INDEX(tab_MinKomp[Konserwacja form plastiki],MATCH($B59,tab_MinKomp[[Stanowisko / Position ]:[Stanowisko / Position ]],0))="n/a","n/a",EV59-INDEX(tab_MinKomp[Konserwacja form plastiki],MATCH($B59,tab_MinKomp[[Stanowisko / Position ]:[Stanowisko / Position ]],0)))</f>
        <v>-2</v>
      </c>
      <c r="EW60" s="330">
        <f>IF(INDEX(tab_MinKomp[Konserwacja form plastiki],MATCH($B59,tab_MinKomp[[Stanowisko / Position ]:[Stanowisko / Position ]],0))="n/a","n/a",EW59-INDEX(tab_MinKomp[Konserwacja form plastiki],MATCH($B59,tab_MinKomp[[Stanowisko / Position ]:[Stanowisko / Position ]],0)))</f>
        <v>-2</v>
      </c>
      <c r="EX60" s="315">
        <f>IF(INDEX(tab_MinKomp[Konserwacja Gorącego Kanału],MATCH($B59,tab_MinKomp[[Stanowisko / Position ]:[Stanowisko / Position ]],0))="n/a","n/a",EX59-INDEX(tab_MinKomp[Konserwacja Gorącego Kanału],MATCH($B59,tab_MinKomp[[Stanowisko / Position ]:[Stanowisko / Position ]],0)))</f>
        <v>-2</v>
      </c>
      <c r="EY60" s="315">
        <f>IF(INDEX(tab_MinKomp[MS Office (Excel)],MATCH($B59,tab_MinKomp[[Stanowisko / Position ]:[Stanowisko / Position ]],0))="n/a","n/a",EY59-INDEX(tab_MinKomp[MS Office (Excel)],MATCH($B59,tab_MinKomp[[Stanowisko / Position ]:[Stanowisko / Position ]],0)))</f>
        <v>0</v>
      </c>
      <c r="EZ60" s="315">
        <f>IF(INDEX(tab_MinKomp[MS Office (Word)],MATCH($B59,tab_MinKomp[[Stanowisko / Position ]:[Stanowisko / Position ]],0))="n/a","n/a",EZ59-INDEX(tab_MinKomp[MS Office (Word)],MATCH($B59,tab_MinKomp[[Stanowisko / Position ]:[Stanowisko / Position ]],0)))</f>
        <v>0</v>
      </c>
      <c r="FA60" s="315">
        <f>IF(INDEX(tab_MinKomp[MS Office (Power Point)],MATCH($B59,tab_MinKomp[[Stanowisko / Position ]:[Stanowisko / Position ]],0))="n/a","n/a",FA59-INDEX(tab_MinKomp[MS Office (Power Point)],MATCH($B59,tab_MinKomp[[Stanowisko / Position ]:[Stanowisko / Position ]],0)))</f>
        <v>0</v>
      </c>
      <c r="FB60" s="315" t="str">
        <f>IF(INDEX(tab_MinKomp[Język angielski / Englisch],MATCH($B59,tab_MinKomp[[Stanowisko / Position ]:[Stanowisko / Position ]],0))="n/a","n/a",FB59-INDEX(tab_MinKomp[Język angielski / Englisch],MATCH($B59,tab_MinKomp[[Stanowisko / Position ]:[Stanowisko / Position ]],0)))</f>
        <v>n/a</v>
      </c>
      <c r="FC60" s="315" t="str">
        <f>IF(INDEX(tab_MinKomp[Język niemiecki / Deutsch],MATCH($B59,tab_MinKomp[[Stanowisko / Position ]:[Stanowisko / Position ]],0))="n/a","n/a",FC59-INDEX(tab_MinKomp[Język niemiecki / Deutsch],MATCH($B59,tab_MinKomp[[Stanowisko / Position ]:[Stanowisko / Position ]],0)))</f>
        <v>n/a</v>
      </c>
      <c r="FD60" s="315">
        <f>IF(INDEX(tab_MinKomp[Zarządzanie dokumentacją procesową / Process dokumentation management],MATCH($B59,tab_MinKomp[[Stanowisko / Position ]:[Stanowisko / Position ]],0))="n/a","n/a",FD59-INDEX(tab_MinKomp[Zarządzanie dokumentacją procesową / Process dokumentation management],MATCH($B59,tab_MinKomp[[Stanowisko / Position ]:[Stanowisko / Position ]],0)))</f>
        <v>-1</v>
      </c>
      <c r="FE60" s="315">
        <f>IF(INDEX(tab_MinKomp[Znajomość procesów z obszaru / Kenntiss der prozesse in dem Bereich],MATCH($B59,tab_MinKomp[[Stanowisko / Position ]:[Stanowisko / Position ]],0))="n/a","n/a",FE59-INDEX(tab_MinKomp[Znajomość procesów z obszaru / Kenntiss der prozesse in dem Bereich],MATCH($B59,tab_MinKomp[[Stanowisko / Position ]:[Stanowisko / Position ]],0)))</f>
        <v>-2</v>
      </c>
      <c r="FF60" s="315">
        <f>IF(INDEX(tab_MinKomp[optymalizacja procesów / Prozessoptymalisierung],MATCH($B59,tab_MinKomp[[Stanowisko / Position ]:[Stanowisko / Position ]],0))="n/a","n/a",FF59-INDEX(tab_MinKomp[optymalizacja procesów / Prozessoptymalisierung],MATCH($B59,tab_MinKomp[[Stanowisko / Position ]:[Stanowisko / Position ]],0)))</f>
        <v>-1</v>
      </c>
      <c r="FG60" s="315">
        <f>IF(INDEX(tab_MinKomp[Umiejętności szkoleniowe / Trainingsfähigkeiten],MATCH($B59,tab_MinKomp[[Stanowisko / Position ]:[Stanowisko / Position ]],0))="n/a","n/a",FG59-INDEX(tab_MinKomp[Umiejętności szkoleniowe / Trainingsfähigkeiten],MATCH($B59,tab_MinKomp[[Stanowisko / Position ]:[Stanowisko / Position ]],0)))</f>
        <v>-1</v>
      </c>
      <c r="FH60" s="315">
        <f>IF(INDEX(tab_MinKomp[Analityczne myślenie, podejście / Analitysches Denken, Einstellung],MATCH($B59,tab_MinKomp[[Stanowisko / Position ]:[Stanowisko / Position ]],0))="n/a","n/a",FH59-INDEX(tab_MinKomp[Analityczne myślenie, podejście / Analitysches Denken, Einstellung],MATCH($B59,tab_MinKomp[[Stanowisko / Position ]:[Stanowisko / Position ]],0)))</f>
        <v>-2</v>
      </c>
      <c r="FI60" s="315">
        <f>IF(INDEX(tab_MinKomp[Dokładność, precyzja w dzialaniu / Genauigkeit, Präzision in die Arbeit],MATCH($B59,tab_MinKomp[[Stanowisko / Position ]:[Stanowisko / Position ]],0))="n/a","n/a",FI59-INDEX(tab_MinKomp[Dokładność, precyzja w dzialaniu / Genauigkeit, Präzision in die Arbeit],MATCH($B59,tab_MinKomp[[Stanowisko / Position ]:[Stanowisko / Position ]],0)))</f>
        <v>-2</v>
      </c>
      <c r="FJ60" s="315">
        <f>IF(INDEX(tab_MinKomp[Dyspozycyjność / Verfügbarkeit],MATCH($B59,tab_MinKomp[[Stanowisko / Position ]:[Stanowisko / Position ]],0))="n/a","n/a",FJ59-INDEX(tab_MinKomp[Dyspozycyjność / Verfügbarkeit],MATCH($B59,tab_MinKomp[[Stanowisko / Position ]:[Stanowisko / Position ]],0)))</f>
        <v>-2</v>
      </c>
      <c r="FK60" s="315">
        <f>IF(INDEX(tab_MinKomp[Zaangażowanie / 
Engagement],MATCH($B59,tab_MinKomp[[Stanowisko / Position ]:[Stanowisko / Position ]],0))="n/a","n/a",FK59-INDEX(tab_MinKomp[Zaangażowanie / 
Engagement],MATCH($B59,tab_MinKomp[[Stanowisko / Position ]:[Stanowisko / Position ]],0)))</f>
        <v>-2</v>
      </c>
      <c r="FL60" s="315" t="str">
        <f>IF(INDEX(tab_MinKomp[Planowanie strategiczne / Strategische Planung],MATCH($B59,tab_MinKomp[[Stanowisko / Position ]:[Stanowisko / Position ]],0))="n/a","n/a",FL59-INDEX(tab_MinKomp[Planowanie strategiczne / Strategische Planung],MATCH($B59,tab_MinKomp[[Stanowisko / Position ]:[Stanowisko / Position ]],0)))</f>
        <v>n/a</v>
      </c>
      <c r="FM60" s="315">
        <f>IF(INDEX(tab_MinKomp[Konsekwentne i dynamiczne działanie],MATCH($B59,tab_MinKomp[[Stanowisko / Position ]:[Stanowisko / Position ]],0))="n/a","n/a",FM59-INDEX(tab_MinKomp[Konsekwentne i dynamiczne działanie],MATCH($B59,tab_MinKomp[[Stanowisko / Position ]:[Stanowisko / Position ]],0)))</f>
        <v>-2</v>
      </c>
      <c r="FN60" s="315">
        <f>IF(INDEX(tab_MinKomp[Elastyczność w działaniu],MATCH($B59,tab_MinKomp[[Stanowisko / Position ]:[Stanowisko / Position ]],0))="n/a","n/a",FN59-INDEX(tab_MinKomp[Elastyczność w działaniu],MATCH($B59,tab_MinKomp[[Stanowisko / Position ]:[Stanowisko / Position ]],0)))</f>
        <v>-2</v>
      </c>
      <c r="FO60" s="315">
        <f>IF(INDEX(tab_MinKomp[Komunikatywność],MATCH($B59,tab_MinKomp[[Stanowisko / Position ]:[Stanowisko / Position ]],0))="n/a","n/a",FO59-INDEX(tab_MinKomp[Komunikatywność],MATCH($B59,tab_MinKomp[[Stanowisko / Position ]:[Stanowisko / Position ]],0)))</f>
        <v>-1</v>
      </c>
      <c r="FP60" s="315" t="str">
        <f>IF(INDEX(tab_MinKomp[Motywowanie i budowanie zaangażowania zespołu],MATCH($B59,tab_MinKomp[[Stanowisko / Position ]:[Stanowisko / Position ]],0))="n/a","n/a",FP59-INDEX(tab_MinKomp[Motywowanie i budowanie zaangażowania zespołu],MATCH($B59,tab_MinKomp[[Stanowisko / Position ]:[Stanowisko / Position ]],0)))</f>
        <v>n/a</v>
      </c>
      <c r="FQ60" s="318" t="str">
        <f>IFERROR(IF(INDEX(tab_MinKomp[BRAK / Keine],MATCH($B59,tab_MinKomp[[Stanowisko / Position ]:[Stanowisko / Position ]],0))="n/a","n/a",INDEX(tab_MinKomp[BRAK / Keine],MATCH($B59,tab_MinKomp[[Stanowisko / Position ]:[Stanowisko / Position ]],0))-FQ59),"")</f>
        <v>n/a</v>
      </c>
      <c r="FR60" s="315" t="str">
        <f>IF(INDEX(tab_MinKomp[MINIMUM 1 ROK / min. 1 Jahr],MATCH($B59,tab_MinKomp[[Stanowisko / Position ]:[Stanowisko / Position ]],0))="n/a","n/a",INDEX(tab_MinKomp[MINIMUM 1 ROK / min. 1 Jahr],MATCH($B59,tab_MinKomp[[Stanowisko / Position ]:[Stanowisko / Position ]],0)))</f>
        <v>n/a</v>
      </c>
      <c r="FS60" s="315" t="str">
        <f>IF(INDEX(tab_MinKomp[MINIMUM 2 LATA / min. 2 Jahre],MATCH($B59,tab_MinKomp[[Stanowisko / Position ]:[Stanowisko / Position ]],0))="n/a","n/a",INDEX(tab_MinKomp[MINIMUM 2 LATA / min. 2 Jahre],MATCH($B59,tab_MinKomp[[Stanowisko / Position ]:[Stanowisko / Position ]],0)))</f>
        <v>n/a</v>
      </c>
      <c r="FT60" s="315" t="str">
        <f>IF(INDEX(tab_MinKomp[MINIMUM 3 LATA / min. 3 Jahre],MATCH($B59,tab_MinKomp[[Stanowisko / Position ]:[Stanowisko / Position ]],0))="n/a","n/a",INDEX(tab_MinKomp[MINIMUM 3 LATA / min. 3 Jahre],MATCH($B59,tab_MinKomp[[Stanowisko / Position ]:[Stanowisko / Position ]],0)))</f>
        <v>n/a</v>
      </c>
      <c r="FU60" s="315" t="str">
        <f>IF(INDEX(tab_MinKomp[MINIMUM 4 LATA / min. 4 Jahre],MATCH($B59,tab_MinKomp[[Stanowisko / Position ]:[Stanowisko / Position ]],0))="n/a","n/a",INDEX(tab_MinKomp[MINIMUM 4 LATA / min. 4 Jahre],MATCH($B59,tab_MinKomp[[Stanowisko / Position ]:[Stanowisko / Position ]],0)))</f>
        <v>n/a</v>
      </c>
      <c r="FV60" s="319" t="str">
        <f>IF(INDEX(tab_MinKomp[MINIMUM 5 LAT / min. 5 Jahre],MATCH($B59,tab_MinKomp[[Stanowisko / Position ]:[Stanowisko / Position ]],0))="n/a","n/a",INDEX(tab_MinKomp[MINIMUM 5 LAT / min. 5 Jahre],MATCH($B59,tab_MinKomp[[Stanowisko / Position ]:[Stanowisko / Position ]],0)))</f>
        <v>n/a</v>
      </c>
      <c r="FW60" s="318" t="str">
        <f>IF(INDEX(tab_MinKomp[BRAK / Keine9],MATCH($B59,tab_MinKomp[[Stanowisko / Position ]:[Stanowisko / Position ]],0))="n/a","n/a",INDEX(tab_MinKomp[BRAK / Keine9],MATCH($B59,tab_MinKomp[[Stanowisko / Position ]:[Stanowisko / Position ]],0)))</f>
        <v>n/a</v>
      </c>
      <c r="FX60" s="315" t="str">
        <f>IF(INDEX(tab_MinKomp[ZAWODOWE / Berufsausbildung],MATCH($B59,tab_MinKomp[[Stanowisko / Position ]:[Stanowisko / Position ]],0))="n/a","n/a",INDEX(tab_MinKomp[ZAWODOWE / Berufsausbildung],MATCH($B59,tab_MinKomp[[Stanowisko / Position ]:[Stanowisko / Position ]],0)))</f>
        <v>n/a</v>
      </c>
      <c r="FY60" s="315" t="str">
        <f>IF(INDEX(tab_MinKomp[ŚREDNIE OGÓLNE / Abitur allgemeine],MATCH($B59,tab_MinKomp[[Stanowisko / Position ]:[Stanowisko / Position ]],0))="n/a","n/a",INDEX(tab_MinKomp[ŚREDNIE OGÓLNE / Abitur allgemeine],MATCH($B59,tab_MinKomp[[Stanowisko / Position ]:[Stanowisko / Position ]],0)))</f>
        <v>n/a</v>
      </c>
      <c r="FZ60" s="315" t="str">
        <f>IF(INDEX(tab_MinKomp[ŚREDNIE KIERUNKOWE / berufliches Gymnasium],MATCH($B59,tab_MinKomp[[Stanowisko / Position ]:[Stanowisko / Position ]],0))="n/a","n/a",INDEX(tab_MinKomp[ŚREDNIE KIERUNKOWE / berufliches Gymnasium],MATCH($B59,tab_MinKomp[[Stanowisko / Position ]:[Stanowisko / Position ]],0)))</f>
        <v>n/a</v>
      </c>
      <c r="GA60" s="315" t="str">
        <f>IF(INDEX(tab_MinKomp[WYŻSZE OGÓLNE / Hochschule allgemeine],MATCH($B59,tab_MinKomp[[Stanowisko / Position ]:[Stanowisko / Position ]],0))="n/a","n/a",INDEX(tab_MinKomp[WYŻSZE OGÓLNE / Hochschule allgemeine],MATCH($B59,tab_MinKomp[[Stanowisko / Position ]:[Stanowisko / Position ]],0)))</f>
        <v>n/a</v>
      </c>
      <c r="GB60" s="319" t="str">
        <f>IF(INDEX(tab_MinKomp[WYŻSZE KIERUNKOWE / Hochschule berufliche],MATCH($B59,tab_MinKomp[[Stanowisko / Position ]:[Stanowisko / Position ]],0))="n/a","n/a",INDEX(tab_MinKomp[WYŻSZE KIERUNKOWE / Hochschule berufliche],MATCH($B59,tab_MinKomp[[Stanowisko / Position ]:[Stanowisko / Position ]],0)))</f>
        <v>n/a</v>
      </c>
      <c r="GC60" s="318" t="str">
        <f>IF(INDEX(tab_MinKomp[PIERWSZA POMOC / Erste Hilfe],MATCH($B59,tab_MinKomp[[Stanowisko / Position ]:[Stanowisko / Position ]],0))="n/a","n/a",INDEX(tab_MinKomp[PIERWSZA POMOC / Erste Hilfe],MATCH($B59,tab_MinKomp[[Stanowisko / Position ]:[Stanowisko / Position ]],0)))</f>
        <v>n/a</v>
      </c>
      <c r="GD60" s="315" t="str">
        <f>IF(INDEX(tab_MinKomp[Specjalista BHP / BHP Spezialist],MATCH($B59,tab_MinKomp[[Stanowisko / Position ]:[Stanowisko / Position ]],0))="n/a","n/a",INDEX(tab_MinKomp[Specjalista BHP / BHP Spezialist],MATCH($B59,tab_MinKomp[[Stanowisko / Position ]:[Stanowisko / Position ]],0)))</f>
        <v>n/a</v>
      </c>
      <c r="GE60" s="315" t="str">
        <f>IF(INDEX(tab_MinKomp[Inspektor ochrony PPOŻ / Brandschutzinspektor],MATCH($B59,tab_MinKomp[[Stanowisko / Position ]:[Stanowisko / Position ]],0))="n/a","n/a",INDEX(tab_MinKomp[Inspektor ochrony PPOŻ / Brandschutzinspektor],MATCH($B59,tab_MinKomp[[Stanowisko / Position ]:[Stanowisko / Position ]],0)))</f>
        <v>n/a</v>
      </c>
      <c r="GF60" s="315" t="str">
        <f>IF(INDEX(tab_MinKomp[WÓZKI JEZDNIOWE / Gebelstapler],MATCH($B59,tab_MinKomp[[Stanowisko / Position ]:[Stanowisko / Position ]],0))="n/a","n/a",INDEX(tab_MinKomp[WÓZKI JEZDNIOWE / Gebelstapler],MATCH($B59,tab_MinKomp[[Stanowisko / Position ]:[Stanowisko / Position ]],0)))</f>
        <v>x</v>
      </c>
      <c r="GG60" s="315" t="str">
        <f>IF(INDEX(tab_MinKomp[SEP],MATCH($B59,tab_MinKomp[[Stanowisko / Position ]:[Stanowisko / Position ]],0))="n/a","n/a",INDEX(tab_MinKomp[SEP],MATCH($B59,tab_MinKomp[[Stanowisko / Position ]:[Stanowisko / Position ]],0)))</f>
        <v>x</v>
      </c>
      <c r="GH60" s="315" t="str">
        <f>IF(INDEX(tab_MinKomp[SEP  DOZÓR / SEP Aufsicht],MATCH($B59,tab_MinKomp[[Stanowisko / Position ]:[Stanowisko / Position ]],0))="n/a","n/a",INDEX(tab_MinKomp[SEP  DOZÓR / SEP Aufsicht],MATCH($B59,tab_MinKomp[[Stanowisko / Position ]:[Stanowisko / Position ]],0)))</f>
        <v>n/a</v>
      </c>
      <c r="GI60" s="315" t="str">
        <f>IF(INDEX(tab_MinKomp[PODNOŚNIKI / Hebevorrichtung],MATCH($B59,tab_MinKomp[[Stanowisko / Position ]:[Stanowisko / Position ]],0))="n/a","n/a",INDEX(tab_MinKomp[PODNOŚNIKI / Hebevorrichtung],MATCH($B59,tab_MinKomp[[Stanowisko / Position ]:[Stanowisko / Position ]],0)))</f>
        <v>n/a</v>
      </c>
      <c r="GJ60" s="315" t="str">
        <f>IF(INDEX(tab_MinKomp[SUWNICE / Laufkran],MATCH($B59,tab_MinKomp[[Stanowisko / Position ]:[Stanowisko / Position ]],0))="n/a","n/a",INDEX(tab_MinKomp[SUWNICE / Laufkran],MATCH($B59,tab_MinKomp[[Stanowisko / Position ]:[Stanowisko / Position ]],0)))</f>
        <v>x</v>
      </c>
      <c r="GK60" s="319" t="str">
        <f>IF(INDEX(tab_MinKomp[WYSOKOŚCIOWE / Höhenberechtigungen],MATCH($B59,tab_MinKomp[[Stanowisko / Position ]:[Stanowisko / Position ]],0))="n/a","n/a",INDEX(tab_MinKomp[WYSOKOŚCIOWE / Höhenberechtigungen],MATCH($B59,tab_MinKomp[[Stanowisko / Position ]:[Stanowisko / Position ]],0)))</f>
        <v>n/a</v>
      </c>
      <c r="GL60" s="376">
        <f>SUM(G60:FP60)/(GL59-(SUM(G60:FP60)))</f>
        <v>-0.8202247191011236</v>
      </c>
      <c r="GM60" s="132"/>
    </row>
    <row r="61" spans="1:195" s="423" customFormat="1" ht="28.35" customHeight="1" x14ac:dyDescent="0.25">
      <c r="A61" s="138" t="s">
        <v>188</v>
      </c>
      <c r="B61" s="138" t="s">
        <v>207</v>
      </c>
      <c r="C61" s="138" t="s">
        <v>747</v>
      </c>
      <c r="D61" s="138">
        <v>1804</v>
      </c>
      <c r="E61" s="604" t="s">
        <v>707</v>
      </c>
      <c r="F61" s="337" t="s">
        <v>165</v>
      </c>
      <c r="G61" s="308">
        <v>2</v>
      </c>
      <c r="H61" s="308">
        <v>2</v>
      </c>
      <c r="I61" s="308">
        <v>2</v>
      </c>
      <c r="J61" s="308">
        <v>1</v>
      </c>
      <c r="K61" s="308">
        <v>2</v>
      </c>
      <c r="L61" s="308">
        <v>1</v>
      </c>
      <c r="M61" s="308" t="s">
        <v>176</v>
      </c>
      <c r="N61" s="308" t="s">
        <v>176</v>
      </c>
      <c r="O61" s="308">
        <v>1</v>
      </c>
      <c r="P61" s="308">
        <v>1</v>
      </c>
      <c r="Q61" s="308" t="s">
        <v>176</v>
      </c>
      <c r="R61" s="308" t="s">
        <v>176</v>
      </c>
      <c r="S61" s="308" t="s">
        <v>176</v>
      </c>
      <c r="T61" s="308" t="s">
        <v>176</v>
      </c>
      <c r="U61" s="308" t="s">
        <v>176</v>
      </c>
      <c r="V61" s="308" t="s">
        <v>176</v>
      </c>
      <c r="W61" s="308" t="s">
        <v>176</v>
      </c>
      <c r="X61" s="308" t="s">
        <v>176</v>
      </c>
      <c r="Y61" s="308" t="s">
        <v>176</v>
      </c>
      <c r="Z61" s="308" t="s">
        <v>176</v>
      </c>
      <c r="AA61" s="308" t="s">
        <v>176</v>
      </c>
      <c r="AB61" s="308" t="s">
        <v>176</v>
      </c>
      <c r="AC61" s="308" t="s">
        <v>176</v>
      </c>
      <c r="AD61" s="308" t="s">
        <v>176</v>
      </c>
      <c r="AE61" s="308" t="s">
        <v>176</v>
      </c>
      <c r="AF61" s="308" t="s">
        <v>176</v>
      </c>
      <c r="AG61" s="308" t="s">
        <v>176</v>
      </c>
      <c r="AH61" s="308" t="s">
        <v>176</v>
      </c>
      <c r="AI61" s="308" t="s">
        <v>176</v>
      </c>
      <c r="AJ61" s="308" t="s">
        <v>176</v>
      </c>
      <c r="AK61" s="308" t="s">
        <v>176</v>
      </c>
      <c r="AL61" s="308" t="s">
        <v>176</v>
      </c>
      <c r="AM61" s="308" t="s">
        <v>176</v>
      </c>
      <c r="AN61" s="308" t="s">
        <v>176</v>
      </c>
      <c r="AO61" s="308" t="s">
        <v>176</v>
      </c>
      <c r="AP61" s="308" t="s">
        <v>176</v>
      </c>
      <c r="AQ61" s="308" t="s">
        <v>176</v>
      </c>
      <c r="AR61" s="308" t="s">
        <v>176</v>
      </c>
      <c r="AS61" s="308" t="s">
        <v>176</v>
      </c>
      <c r="AT61" s="308" t="s">
        <v>176</v>
      </c>
      <c r="AU61" s="308" t="s">
        <v>176</v>
      </c>
      <c r="AV61" s="308">
        <v>1</v>
      </c>
      <c r="AW61" s="308">
        <v>1</v>
      </c>
      <c r="AX61" s="308"/>
      <c r="AY61" s="308" t="s">
        <v>176</v>
      </c>
      <c r="AZ61" s="308" t="s">
        <v>176</v>
      </c>
      <c r="BA61" s="308" t="s">
        <v>176</v>
      </c>
      <c r="BB61" s="308" t="s">
        <v>176</v>
      </c>
      <c r="BC61" s="308" t="s">
        <v>176</v>
      </c>
      <c r="BD61" s="308" t="s">
        <v>176</v>
      </c>
      <c r="BE61" s="308" t="s">
        <v>176</v>
      </c>
      <c r="BF61" s="308" t="s">
        <v>176</v>
      </c>
      <c r="BG61" s="308" t="s">
        <v>176</v>
      </c>
      <c r="BH61" s="308" t="s">
        <v>176</v>
      </c>
      <c r="BI61" s="308" t="s">
        <v>176</v>
      </c>
      <c r="BJ61" s="308" t="s">
        <v>176</v>
      </c>
      <c r="BK61" s="308" t="s">
        <v>176</v>
      </c>
      <c r="BL61" s="308" t="s">
        <v>176</v>
      </c>
      <c r="BM61" s="308" t="s">
        <v>176</v>
      </c>
      <c r="BN61" s="308">
        <v>2</v>
      </c>
      <c r="BO61" s="308">
        <v>0</v>
      </c>
      <c r="BP61" s="308" t="s">
        <v>176</v>
      </c>
      <c r="BQ61" s="308" t="s">
        <v>176</v>
      </c>
      <c r="BR61" s="308" t="s">
        <v>176</v>
      </c>
      <c r="BS61" s="308" t="s">
        <v>176</v>
      </c>
      <c r="BT61" s="308"/>
      <c r="BU61" s="308">
        <v>1</v>
      </c>
      <c r="BV61" s="308"/>
      <c r="BW61" s="308" t="s">
        <v>176</v>
      </c>
      <c r="BX61" s="308" t="s">
        <v>176</v>
      </c>
      <c r="BY61" s="308" t="s">
        <v>176</v>
      </c>
      <c r="BZ61" s="308" t="s">
        <v>176</v>
      </c>
      <c r="CA61" s="308" t="s">
        <v>176</v>
      </c>
      <c r="CB61" s="308" t="s">
        <v>176</v>
      </c>
      <c r="CC61" s="308" t="s">
        <v>176</v>
      </c>
      <c r="CD61" s="308" t="s">
        <v>176</v>
      </c>
      <c r="CE61" s="308" t="s">
        <v>176</v>
      </c>
      <c r="CF61" s="308" t="s">
        <v>176</v>
      </c>
      <c r="CG61" s="308" t="s">
        <v>176</v>
      </c>
      <c r="CH61" s="308" t="s">
        <v>176</v>
      </c>
      <c r="CI61" s="308" t="s">
        <v>176</v>
      </c>
      <c r="CJ61" s="308" t="s">
        <v>176</v>
      </c>
      <c r="CK61" s="308" t="s">
        <v>176</v>
      </c>
      <c r="CL61" s="308" t="s">
        <v>176</v>
      </c>
      <c r="CM61" s="308" t="s">
        <v>176</v>
      </c>
      <c r="CN61" s="308">
        <v>1</v>
      </c>
      <c r="CO61" s="308">
        <v>1</v>
      </c>
      <c r="CP61" s="308">
        <v>1</v>
      </c>
      <c r="CQ61" s="308" t="s">
        <v>176</v>
      </c>
      <c r="CR61" s="308" t="s">
        <v>176</v>
      </c>
      <c r="CS61" s="308" t="s">
        <v>176</v>
      </c>
      <c r="CT61" s="308" t="s">
        <v>176</v>
      </c>
      <c r="CU61" s="308"/>
      <c r="CV61" s="308" t="s">
        <v>176</v>
      </c>
      <c r="CW61" s="308" t="s">
        <v>176</v>
      </c>
      <c r="CX61" s="308" t="s">
        <v>176</v>
      </c>
      <c r="CY61" s="308" t="s">
        <v>176</v>
      </c>
      <c r="CZ61" s="308" t="s">
        <v>176</v>
      </c>
      <c r="DA61" s="308" t="s">
        <v>176</v>
      </c>
      <c r="DB61" s="308" t="s">
        <v>176</v>
      </c>
      <c r="DC61" s="308" t="s">
        <v>176</v>
      </c>
      <c r="DD61" s="308" t="s">
        <v>176</v>
      </c>
      <c r="DE61" s="308" t="s">
        <v>176</v>
      </c>
      <c r="DF61" s="308" t="s">
        <v>176</v>
      </c>
      <c r="DG61" s="308" t="s">
        <v>176</v>
      </c>
      <c r="DH61" s="308" t="s">
        <v>176</v>
      </c>
      <c r="DI61" s="308" t="s">
        <v>176</v>
      </c>
      <c r="DJ61" s="308" t="s">
        <v>176</v>
      </c>
      <c r="DK61" s="308" t="s">
        <v>176</v>
      </c>
      <c r="DL61" s="308" t="s">
        <v>176</v>
      </c>
      <c r="DM61" s="308" t="s">
        <v>176</v>
      </c>
      <c r="DN61" s="308" t="s">
        <v>176</v>
      </c>
      <c r="DO61" s="308" t="s">
        <v>176</v>
      </c>
      <c r="DP61" s="308" t="s">
        <v>176</v>
      </c>
      <c r="DQ61" s="308" t="s">
        <v>176</v>
      </c>
      <c r="DR61" s="308" t="s">
        <v>176</v>
      </c>
      <c r="DS61" s="308" t="s">
        <v>176</v>
      </c>
      <c r="DT61" s="308" t="s">
        <v>176</v>
      </c>
      <c r="DU61" s="308" t="s">
        <v>176</v>
      </c>
      <c r="DV61" s="306" t="s">
        <v>176</v>
      </c>
      <c r="DW61" s="306" t="s">
        <v>176</v>
      </c>
      <c r="DX61" s="306" t="s">
        <v>176</v>
      </c>
      <c r="DY61" s="308" t="s">
        <v>176</v>
      </c>
      <c r="DZ61" s="308" t="s">
        <v>176</v>
      </c>
      <c r="EA61" s="308" t="s">
        <v>176</v>
      </c>
      <c r="EB61" s="308" t="s">
        <v>176</v>
      </c>
      <c r="EC61" s="308" t="s">
        <v>176</v>
      </c>
      <c r="ED61" s="308" t="s">
        <v>176</v>
      </c>
      <c r="EE61" s="308" t="s">
        <v>176</v>
      </c>
      <c r="EF61" s="308">
        <v>1</v>
      </c>
      <c r="EG61" s="308">
        <v>1</v>
      </c>
      <c r="EH61" s="308">
        <v>1</v>
      </c>
      <c r="EI61" s="308">
        <v>2</v>
      </c>
      <c r="EJ61" s="308">
        <v>1</v>
      </c>
      <c r="EK61" s="308">
        <v>1</v>
      </c>
      <c r="EL61" s="308">
        <v>2</v>
      </c>
      <c r="EM61" s="308">
        <v>1</v>
      </c>
      <c r="EN61" s="308">
        <v>1</v>
      </c>
      <c r="EO61" s="308">
        <v>1</v>
      </c>
      <c r="EP61" s="308">
        <v>1</v>
      </c>
      <c r="EQ61" s="308">
        <v>2</v>
      </c>
      <c r="ER61" s="308">
        <v>2</v>
      </c>
      <c r="ES61" s="308">
        <v>2</v>
      </c>
      <c r="ET61" s="308">
        <v>1</v>
      </c>
      <c r="EU61" s="308">
        <v>2</v>
      </c>
      <c r="EV61" s="308">
        <v>1</v>
      </c>
      <c r="EW61" s="306">
        <v>2</v>
      </c>
      <c r="EX61" s="308">
        <v>0</v>
      </c>
      <c r="EY61" s="308">
        <v>0</v>
      </c>
      <c r="EZ61" s="308">
        <v>0</v>
      </c>
      <c r="FA61" s="308">
        <v>0</v>
      </c>
      <c r="FB61" s="308" t="s">
        <v>176</v>
      </c>
      <c r="FC61" s="308" t="s">
        <v>176</v>
      </c>
      <c r="FD61" s="308">
        <v>1</v>
      </c>
      <c r="FE61" s="308">
        <v>1</v>
      </c>
      <c r="FF61" s="308">
        <v>1</v>
      </c>
      <c r="FG61" s="308"/>
      <c r="FH61" s="308">
        <v>1</v>
      </c>
      <c r="FI61" s="308">
        <v>1</v>
      </c>
      <c r="FJ61" s="308">
        <v>1</v>
      </c>
      <c r="FK61" s="308">
        <v>1</v>
      </c>
      <c r="FL61" s="308" t="s">
        <v>176</v>
      </c>
      <c r="FM61" s="308">
        <v>1</v>
      </c>
      <c r="FN61" s="308">
        <v>1</v>
      </c>
      <c r="FO61" s="308">
        <v>1</v>
      </c>
      <c r="FP61" s="308" t="s">
        <v>176</v>
      </c>
      <c r="FQ61" s="308" t="s">
        <v>176</v>
      </c>
      <c r="FR61" s="308" t="s">
        <v>176</v>
      </c>
      <c r="FS61" s="308" t="s">
        <v>176</v>
      </c>
      <c r="FT61" s="308" t="s">
        <v>176</v>
      </c>
      <c r="FU61" s="308" t="s">
        <v>176</v>
      </c>
      <c r="FV61" s="308" t="s">
        <v>176</v>
      </c>
      <c r="FW61" s="308" t="s">
        <v>176</v>
      </c>
      <c r="FX61" s="308" t="s">
        <v>176</v>
      </c>
      <c r="FY61" s="308" t="s">
        <v>176</v>
      </c>
      <c r="FZ61" s="308" t="s">
        <v>176</v>
      </c>
      <c r="GA61" s="308" t="s">
        <v>176</v>
      </c>
      <c r="GB61" s="308" t="s">
        <v>176</v>
      </c>
      <c r="GC61" s="308" t="s">
        <v>176</v>
      </c>
      <c r="GD61" s="308" t="s">
        <v>176</v>
      </c>
      <c r="GE61" s="308" t="s">
        <v>176</v>
      </c>
      <c r="GF61" s="308"/>
      <c r="GG61" s="308" t="s">
        <v>387</v>
      </c>
      <c r="GH61" s="308" t="s">
        <v>176</v>
      </c>
      <c r="GI61" s="308" t="s">
        <v>176</v>
      </c>
      <c r="GJ61" s="308" t="s">
        <v>387</v>
      </c>
      <c r="GK61" s="308" t="s">
        <v>176</v>
      </c>
      <c r="GL61" s="329">
        <f>SUM(G61:FP61)</f>
        <v>55</v>
      </c>
      <c r="GM61" s="422"/>
    </row>
    <row r="62" spans="1:195" s="423" customFormat="1" ht="28.35" customHeight="1" thickBot="1" x14ac:dyDescent="0.3">
      <c r="A62" s="138" t="s">
        <v>188</v>
      </c>
      <c r="B62" s="138" t="str">
        <f t="shared" ref="B62:C62" si="2">B61</f>
        <v>Konserwator form</v>
      </c>
      <c r="C62" s="138" t="str">
        <f t="shared" si="2"/>
        <v>KC</v>
      </c>
      <c r="D62" s="138">
        <v>1804</v>
      </c>
      <c r="E62" s="604"/>
      <c r="F62" s="338" t="s">
        <v>166</v>
      </c>
      <c r="G62" s="330">
        <f>IF(INDEX(tab_MinKomp[Przepisy BHP / BHP Vorschriften],MATCH($B61,tab_MinKomp[[Stanowisko / Position ]:[Stanowisko / Position ]],0))="n/a","n/a",G61-INDEX(tab_MinKomp[Przepisy BHP / BHP Vorschriften],MATCH($B61,tab_MinKomp[[Stanowisko / Position ]:[Stanowisko / Position ]],0)))</f>
        <v>0</v>
      </c>
      <c r="H62" s="330">
        <f>IF(INDEX(tab_MinKomp[Przepisy PPOŻ / Brandschutzbestimmungen],MATCH($B61,tab_MinKomp[[Stanowisko / Position ]:[Stanowisko / Position ]],0))="n/a","n/a",H61-INDEX(tab_MinKomp[Przepisy PPOŻ / Brandschutzbestimmungen],MATCH($B61,tab_MinKomp[[Stanowisko / Position ]:[Stanowisko / Position ]],0)))</f>
        <v>0</v>
      </c>
      <c r="I62" s="330">
        <f>IF(INDEX(tab_MinKomp[Ryzyko zawodowe na stanowiskach pracyv/ Berufliche Risiken an Arbeitsstellen],MATCH($B61,tab_MinKomp[[Stanowisko / Position ]:[Stanowisko / Position ]],0))="n/a","n/a",I61-INDEX(tab_MinKomp[Ryzyko zawodowe na stanowiskach pracyv/ Berufliche Risiken an Arbeitsstellen],MATCH($B61,tab_MinKomp[[Stanowisko / Position ]:[Stanowisko / Position ]],0)))</f>
        <v>0</v>
      </c>
      <c r="J62" s="314">
        <f>IF(INDEX(tab_MinKomp[Gospodarka substancjami niebezpiecznymi / Gefahrstoffmanagement],MATCH($B61,tab_MinKomp[[Stanowisko / Position ]:[Stanowisko / Position ]],0))="n/a","n/a",J61-INDEX(tab_MinKomp[Gospodarka substancjami niebezpiecznymi / Gefahrstoffmanagement],MATCH($B61,tab_MinKomp[[Stanowisko / Position ]:[Stanowisko / Position ]],0)))</f>
        <v>-1</v>
      </c>
      <c r="K62" s="314">
        <f>IF(INDEX(tab_MinKomp[Gospodarka odpadami / Abfallwirtschaft],MATCH($B61,tab_MinKomp[[Stanowisko / Position ]:[Stanowisko / Position ]],0))="n/a","n/a",K61-INDEX(tab_MinKomp[Gospodarka odpadami / Abfallwirtschaft],MATCH($B61,tab_MinKomp[[Stanowisko / Position ]:[Stanowisko / Position ]],0)))</f>
        <v>0</v>
      </c>
      <c r="L62" s="315">
        <f>IF(INDEX(tab_MinKomp[Przepisy kodeksu pracy / Bestimmungen des Arbeitsgesetzes],MATCH($B61,tab_MinKomp[[Stanowisko / Position ]:[Stanowisko / Position ]],0))="n/a","n/a",L61-INDEX(tab_MinKomp[Przepisy kodeksu pracy / Bestimmungen des Arbeitsgesetzes],MATCH($B61,tab_MinKomp[[Stanowisko / Position ]:[Stanowisko / Position ]],0)))</f>
        <v>0</v>
      </c>
      <c r="M62" s="316" t="str">
        <f>IF(INDEX(tab_MinKomp[Przepisy o ub.społ. ZUS  / Sozialversicherungsvorschriften],MATCH($B61,tab_MinKomp[[Stanowisko / Position ]:[Stanowisko / Position ]],0))="n/a","n/a",M61-INDEX(tab_MinKomp[Przepisy o ub.społ. ZUS  / Sozialversicherungsvorschriften],MATCH($B61,tab_MinKomp[[Stanowisko / Position ]:[Stanowisko / Position ]],0)))</f>
        <v>n/a</v>
      </c>
      <c r="N62" s="315" t="str">
        <f>IF(INDEX(tab_MinKomp[PRZEPISY O PDOF /persönlich Einkommensteuergesetz ],MATCH($B61,tab_MinKomp[[Stanowisko / Position ]:[Stanowisko / Position ]],0))="n/a","n/a",N61-INDEX(tab_MinKomp[PRZEPISY O PDOF /persönlich Einkommensteuergesetz ],MATCH($B61,tab_MinKomp[[Stanowisko / Position ]:[Stanowisko / Position ]],0)))</f>
        <v>n/a</v>
      </c>
      <c r="O62" s="315">
        <f>IF(INDEX(tab_MinKomp[Regulamin pracy / Arbeitsordnung],MATCH($B61,tab_MinKomp[[Stanowisko / Position ]:[Stanowisko / Position ]],0))="n/a","n/a",O61-INDEX(tab_MinKomp[Regulamin pracy / Arbeitsordnung],MATCH($B61,tab_MinKomp[[Stanowisko / Position ]:[Stanowisko / Position ]],0)))</f>
        <v>0</v>
      </c>
      <c r="P62" s="315">
        <f>IF(INDEX(tab_MinKomp[Regulamin wynagradzania / Vergütungsordnung],MATCH($B61,tab_MinKomp[[Stanowisko / Position ]:[Stanowisko / Position ]],0))="n/a","n/a",P61-INDEX(tab_MinKomp[Regulamin wynagradzania / Vergütungsordnung],MATCH($B61,tab_MinKomp[[Stanowisko / Position ]:[Stanowisko / Position ]],0)))</f>
        <v>0</v>
      </c>
      <c r="Q62" s="315" t="str">
        <f>IF(INDEX(tab_MinKomp[System R2PŁATNIK PRO: Płace / Lohnabrechnung],MATCH($B61,tab_MinKomp[[Stanowisko / Position ]:[Stanowisko / Position ]],0))="n/a","n/a",Q61-INDEX(tab_MinKomp[System R2PŁATNIK PRO: Płace / Lohnabrechnung],MATCH($B61,tab_MinKomp[[Stanowisko / Position ]:[Stanowisko / Position ]],0)))</f>
        <v>n/a</v>
      </c>
      <c r="R62" s="315" t="str">
        <f>IF(INDEX(tab_MinKomp[SystemR2PŁATNIK PRO: KADRY / Personaldaten],MATCH($B61,tab_MinKomp[[Stanowisko / Position ]:[Stanowisko / Position ]],0))="n/a","n/a",R61-INDEX(tab_MinKomp[SystemR2PŁATNIK PRO: KADRY / Personaldaten],MATCH($B61,tab_MinKomp[[Stanowisko / Position ]:[Stanowisko / Position ]],0)))</f>
        <v>n/a</v>
      </c>
      <c r="S62" s="315" t="str">
        <f>IF(INDEX(tab_MinKomp[SYSTEM R2PŁATNIK PRO: zarządzanie pracownikami / Arbeitsverwaltung],MATCH($B61,tab_MinKomp[[Stanowisko / Position ]:[Stanowisko / Position ]],0))="n/a","n/a",S61-INDEX(tab_MinKomp[SYSTEM R2PŁATNIK PRO: zarządzanie pracownikami / Arbeitsverwaltung],MATCH($B61,tab_MinKomp[[Stanowisko / Position ]:[Stanowisko / Position ]],0)))</f>
        <v>n/a</v>
      </c>
      <c r="T62" s="315" t="str">
        <f>IF(INDEX(tab_MinKomp[Doradztwo, wsparcie personalne / Personalberatung und Unterstützung],MATCH($B61,tab_MinKomp[[Stanowisko / Position ]:[Stanowisko / Position ]],0))="n/a","n/a",T61-INDEX(tab_MinKomp[Doradztwo, wsparcie personalne / Personalberatung und Unterstützung],MATCH($B61,tab_MinKomp[[Stanowisko / Position ]:[Stanowisko / Position ]],0)))</f>
        <v>n/a</v>
      </c>
      <c r="U62" s="315" t="str">
        <f>IF(INDEX(tab_MinKomp[Przepisy o podatku VAT / MwSt.- Gesetz],MATCH($B61,tab_MinKomp[[Stanowisko / Position ]:[Stanowisko / Position ]],0))="n/a","n/a",U61-INDEX(tab_MinKomp[Przepisy o podatku VAT / MwSt.- Gesetz],MATCH($B61,tab_MinKomp[[Stanowisko / Position ]:[Stanowisko / Position ]],0)))</f>
        <v>n/a</v>
      </c>
      <c r="V62" s="315" t="str">
        <f>IF(INDEX(tab_MinKomp[PrzepisyPDOP / geschäftlich Einkommensteuergesetz],MATCH($B61,tab_MinKomp[[Stanowisko / Position ]:[Stanowisko / Position ]],0))="n/a","n/a",V61-INDEX(tab_MinKomp[PrzepisyPDOP / geschäftlich Einkommensteuergesetz],MATCH($B61,tab_MinKomp[[Stanowisko / Position ]:[Stanowisko / Position ]],0)))</f>
        <v>n/a</v>
      </c>
      <c r="W62" s="315" t="str">
        <f>IF(INDEX(tab_MinKomp[System BAAN / FINANSE (FIBU)],MATCH($B61,tab_MinKomp[[Stanowisko / Position ]:[Stanowisko / Position ]],0))="n/a","n/a",W61-INDEX(tab_MinKomp[System BAAN / FINANSE (FIBU)],MATCH($B61,tab_MinKomp[[Stanowisko / Position ]:[Stanowisko / Position ]],0)))</f>
        <v>n/a</v>
      </c>
      <c r="X62" s="315" t="str">
        <f>IF(INDEX(tab_MinKomp[Systemy pomocnicze / Hilfssysteme(STOCKPROGRAM, KALK2000 etc.)],MATCH($B61,tab_MinKomp[[Stanowisko / Position ]:[Stanowisko / Position ]],0))="n/a","n/a",X61-INDEX(tab_MinKomp[Systemy pomocnicze / Hilfssysteme(STOCKPROGRAM, KALK2000 etc.)],MATCH($B61,tab_MinKomp[[Stanowisko / Position ]:[Stanowisko / Position ]],0)))</f>
        <v>n/a</v>
      </c>
      <c r="Y62" s="315" t="str">
        <f>IF(INDEX(tab_MinKomp[Polityka rachunkowości / Buchführungspolitik],MATCH($B61,tab_MinKomp[[Stanowisko / Position ]:[Stanowisko / Position ]],0))="n/a","n/a",Y61-INDEX(tab_MinKomp[Polityka rachunkowości / Buchführungspolitik],MATCH($B61,tab_MinKomp[[Stanowisko / Position ]:[Stanowisko / Position ]],0)))</f>
        <v>n/a</v>
      </c>
      <c r="Z62" s="315" t="str">
        <f>IF(INDEX(tab_MinKomp[Ustawa o rachunkowości / Rechnungslegungsgesetz],MATCH($B61,tab_MinKomp[[Stanowisko / Position ]:[Stanowisko / Position ]],0))="n/a","n/a",Z61-INDEX(tab_MinKomp[Ustawa o rachunkowości / Rechnungslegungsgesetz],MATCH($B61,tab_MinKomp[[Stanowisko / Position ]:[Stanowisko / Position ]],0)))</f>
        <v>n/a</v>
      </c>
      <c r="AA62" s="315" t="str">
        <f>IF(INDEX(tab_MinKomp[WORKFLOW - TS-100],MATCH($B61,tab_MinKomp[[Stanowisko / Position ]:[Stanowisko / Position ]],0))="n/a","n/a",AA61-INDEX(tab_MinKomp[WORKFLOW - TS-100],MATCH($B61,tab_MinKomp[[Stanowisko / Position ]:[Stanowisko / Position ]],0)))</f>
        <v>n/a</v>
      </c>
      <c r="AB62" s="315" t="str">
        <f>IF(INDEX(tab_MinKomp[WORKFLOW - SFMS],MATCH($B61,tab_MinKomp[[Stanowisko / Position ]:[Stanowisko / Position ]],0))="n/a","n/a",AB61-INDEX(tab_MinKomp[WORKFLOW - SFMS],MATCH($B61,tab_MinKomp[[Stanowisko / Position ]:[Stanowisko / Position ]],0)))</f>
        <v>n/a</v>
      </c>
      <c r="AC62" s="315" t="str">
        <f>IF(INDEX(tab_MinKomp[System ISO 9001:2015],MATCH($B61,tab_MinKomp[[Stanowisko / Position ]:[Stanowisko / Position ]],0))="n/a","n/a",AC61-INDEX(tab_MinKomp[System ISO 9001:2015],MATCH($B61,tab_MinKomp[[Stanowisko / Position ]:[Stanowisko / Position ]],0)))</f>
        <v>n/a</v>
      </c>
      <c r="AD62" s="315" t="str">
        <f>IF(INDEX(tab_MinKomp[System IATF 16949:2016],MATCH($B61,tab_MinKomp[[Stanowisko / Position ]:[Stanowisko / Position ]],0))="n/a","n/a",AD61-INDEX(tab_MinKomp[System IATF 16949:2016],MATCH($B61,tab_MinKomp[[Stanowisko / Position ]:[Stanowisko / Position ]],0)))</f>
        <v>n/a</v>
      </c>
      <c r="AE62" s="315" t="str">
        <f>IF(INDEX(tab_MinKomp[System ISO 14001:2015],MATCH($B61,tab_MinKomp[[Stanowisko / Position ]:[Stanowisko / Position ]],0))="n/a","n/a",AE61-INDEX(tab_MinKomp[System ISO 14001:2015],MATCH($B61,tab_MinKomp[[Stanowisko / Position ]:[Stanowisko / Position ]],0)))</f>
        <v>n/a</v>
      </c>
      <c r="AF62" s="315" t="str">
        <f>IF(INDEX(tab_MinKomp[System PN-N 18001:2004 / ISO 45001:2018],MATCH($B61,tab_MinKomp[[Stanowisko / Position ]:[Stanowisko / Position ]],0))="n/a","n/a",AF61-INDEX(tab_MinKomp[System PN-N 18001:2004 / ISO 45001:2018],MATCH($B61,tab_MinKomp[[Stanowisko / Position ]:[Stanowisko / Position ]],0)))</f>
        <v>n/a</v>
      </c>
      <c r="AG62" s="315" t="str">
        <f>IF(INDEX(tab_MinKomp[Wymagania VDA 6.3 Process / Forderungen],MATCH($B61,tab_MinKomp[[Stanowisko / Position ]:[Stanowisko / Position ]],0))="n/a","n/a",AG61-INDEX(tab_MinKomp[Wymagania VDA 6.3 Process / Forderungen],MATCH($B61,tab_MinKomp[[Stanowisko / Position ]:[Stanowisko / Position ]],0)))</f>
        <v>n/a</v>
      </c>
      <c r="AH62" s="315" t="str">
        <f>IF(INDEX(tab_MinKomp[Wymagania VDA 6.5 Product / Forderungen],MATCH($B61,tab_MinKomp[[Stanowisko / Position ]:[Stanowisko / Position ]],0))="n/a","n/a",AH61-INDEX(tab_MinKomp[Wymagania VDA 6.5 Product / Forderungen],MATCH($B61,tab_MinKomp[[Stanowisko / Position ]:[Stanowisko / Position ]],0)))</f>
        <v>n/a</v>
      </c>
      <c r="AI62" s="315" t="str">
        <f>IF(INDEX(tab_MinKomp[PSCR (VW Product Safety &amp; Conformity Representative)],MATCH($B61,tab_MinKomp[[Stanowisko / Position ]:[Stanowisko / Position ]],0))="n/a","n/a",AI61-INDEX(tab_MinKomp[PSCR (VW Product Safety &amp; Conformity Representative)],MATCH($B61,tab_MinKomp[[Stanowisko / Position ]:[Stanowisko / Position ]],0)))</f>
        <v>n/a</v>
      </c>
      <c r="AJ62" s="315" t="str">
        <f>IF(INDEX(tab_MinKomp[Auditor systemu ISO 17025:2018],MATCH($B61,tab_MinKomp[[Stanowisko / Position ]:[Stanowisko / Position ]],0))="n/a","n/a",AJ61-INDEX(tab_MinKomp[Auditor systemu ISO 17025:2018],MATCH($B61,tab_MinKomp[[Stanowisko / Position ]:[Stanowisko / Position ]],0)))</f>
        <v>n/a</v>
      </c>
      <c r="AK62" s="315" t="str">
        <f>IF(INDEX(tab_MinKomp[Pełnomocnik systemu / Systemvertreter],MATCH($B61,tab_MinKomp[[Stanowisko / Position ]:[Stanowisko / Position ]],0))="n/a","n/a",AK61-INDEX(tab_MinKomp[Pełnomocnik systemu / Systemvertreter],MATCH($B61,tab_MinKomp[[Stanowisko / Position ]:[Stanowisko / Position ]],0)))</f>
        <v>n/a</v>
      </c>
      <c r="AL62" s="315" t="str">
        <f>IF(INDEX(tab_MinKomp[Polityka Etyczna - Compliance],MATCH($B61,tab_MinKomp[[Stanowisko / Position ]:[Stanowisko / Position ]],0))="n/a","n/a",AL61-INDEX(tab_MinKomp[Polityka Etyczna - Compliance],MATCH($B61,tab_MinKomp[[Stanowisko / Position ]:[Stanowisko / Position ]],0)))</f>
        <v>n/a</v>
      </c>
      <c r="AM62" s="315" t="str">
        <f>IF(INDEX(tab_MinKomp[WDRAŻANIE NOWYCH PROJEKTÓW/ PROCEDURA CTM],MATCH($B61,tab_MinKomp[[Stanowisko / Position ]:[Stanowisko / Position ]],0))="n/a","n/a",AM61-INDEX(tab_MinKomp[WDRAŻANIE NOWYCH PROJEKTÓW/ PROCEDURA CTM],MATCH($B61,tab_MinKomp[[Stanowisko / Position ]:[Stanowisko / Position ]],0)))</f>
        <v>n/a</v>
      </c>
      <c r="AN62" s="315" t="str">
        <f>IF(INDEX(tab_MinKomp[KAMIENIE MILOWE MSL/PIFF],MATCH($B61,tab_MinKomp[[Stanowisko / Position ]:[Stanowisko / Position ]],0))="n/a","n/a",AN61-INDEX(tab_MinKomp[KAMIENIE MILOWE MSL/PIFF],MATCH($B61,tab_MinKomp[[Stanowisko / Position ]:[Stanowisko / Position ]],0)))</f>
        <v>n/a</v>
      </c>
      <c r="AO62" s="315" t="str">
        <f>IF(INDEX(tab_MinKomp[CP],MATCH($B61,tab_MinKomp[[Stanowisko / Position ]:[Stanowisko / Position ]],0))="n/a","n/a",AO61-INDEX(tab_MinKomp[CP],MATCH($B61,tab_MinKomp[[Stanowisko / Position ]:[Stanowisko / Position ]],0)))</f>
        <v>n/a</v>
      </c>
      <c r="AP62" s="315" t="str">
        <f>IF(INDEX(tab_MinKomp[FMEA],MATCH($B61,tab_MinKomp[[Stanowisko / Position ]:[Stanowisko / Position ]],0))="n/a","n/a",AP61-INDEX(tab_MinKomp[FMEA],MATCH($B61,tab_MinKomp[[Stanowisko / Position ]:[Stanowisko / Position ]],0)))</f>
        <v>n/a</v>
      </c>
      <c r="AQ62" s="315" t="str">
        <f>IF(INDEX(tab_MinKomp[FLOW CHART],MATCH($B61,tab_MinKomp[[Stanowisko / Position ]:[Stanowisko / Position ]],0))="n/a","n/a",AQ61-INDEX(tab_MinKomp[FLOW CHART],MATCH($B61,tab_MinKomp[[Stanowisko / Position ]:[Stanowisko / Position ]],0)))</f>
        <v>n/a</v>
      </c>
      <c r="AR62" s="315" t="str">
        <f>IF(INDEX(tab_MinKomp[APQP],MATCH($B61,tab_MinKomp[[Stanowisko / Position ]:[Stanowisko / Position ]],0))="n/a","n/a",AR61-INDEX(tab_MinKomp[APQP],MATCH($B61,tab_MinKomp[[Stanowisko / Position ]:[Stanowisko / Position ]],0)))</f>
        <v>n/a</v>
      </c>
      <c r="AS62" s="315" t="str">
        <f>IF(INDEX(tab_MinKomp[MSA],MATCH($B61,tab_MinKomp[[Stanowisko / Position ]:[Stanowisko / Position ]],0))="n/a","n/a",AS61-INDEX(tab_MinKomp[MSA],MATCH($B61,tab_MinKomp[[Stanowisko / Position ]:[Stanowisko / Position ]],0)))</f>
        <v>n/a</v>
      </c>
      <c r="AT62" s="315" t="str">
        <f>IF(INDEX(tab_MinKomp[SPC],MATCH($B61,tab_MinKomp[[Stanowisko / Position ]:[Stanowisko / Position ]],0))="n/a","n/a",AT61-INDEX(tab_MinKomp[SPC],MATCH($B61,tab_MinKomp[[Stanowisko / Position ]:[Stanowisko / Position ]],0)))</f>
        <v>n/a</v>
      </c>
      <c r="AU62" s="315" t="str">
        <f>IF(INDEX(tab_MinKomp[CSR (SPECYFICZNE WYMAGANIA KLIENTA)],MATCH($B61,tab_MinKomp[[Stanowisko / Position ]:[Stanowisko / Position ]],0))="n/a","n/a",AU61-INDEX(tab_MinKomp[CSR (SPECYFICZNE WYMAGANIA KLIENTA)],MATCH($B61,tab_MinKomp[[Stanowisko / Position ]:[Stanowisko / Position ]],0)))</f>
        <v>n/a</v>
      </c>
      <c r="AV62" s="315">
        <f>IF(INDEX(tab_MinKomp[5S],MATCH($B61,tab_MinKomp[[Stanowisko / Position ]:[Stanowisko / Position ]],0))="n/a","n/a",AV61-INDEX(tab_MinKomp[5S],MATCH($B61,tab_MinKomp[[Stanowisko / Position ]:[Stanowisko / Position ]],0)))</f>
        <v>-1</v>
      </c>
      <c r="AW62" s="315">
        <f>IF(INDEX(tab_MinKomp[LEAN MANAGEMENT],MATCH($B61,tab_MinKomp[[Stanowisko / Position ]:[Stanowisko / Position ]],0))="n/a","n/a",AW61-INDEX(tab_MinKomp[LEAN MANAGEMENT],MATCH($B61,tab_MinKomp[[Stanowisko / Position ]:[Stanowisko / Position ]],0)))</f>
        <v>0</v>
      </c>
      <c r="AX62" s="315">
        <f>IF(INDEX(tab_MinKomp[5R],MATCH($B61,tab_MinKomp[[Stanowisko / Position ]:[Stanowisko / Position ]],0))="n/a","n/a",AX61-INDEX(tab_MinKomp[5R],MATCH($B61,tab_MinKomp[[Stanowisko / Position ]:[Stanowisko / Position ]],0)))</f>
        <v>-1</v>
      </c>
      <c r="AY62" s="315" t="str">
        <f>IF(INDEX(tab_MinKomp[Six Sigma],MATCH($B61,tab_MinKomp[[Stanowisko / Position ]:[Stanowisko / Position ]],0))="n/a","n/a",AY61-INDEX(tab_MinKomp[Six Sigma],MATCH($B61,tab_MinKomp[[Stanowisko / Position ]:[Stanowisko / Position ]],0)))</f>
        <v>n/a</v>
      </c>
      <c r="AZ62" s="315" t="str">
        <f>IF(INDEX(tab_MinKomp[System BAAN / Distribution &amp; Supply Chain],MATCH($B61,tab_MinKomp[[Stanowisko / Position ]:[Stanowisko / Position ]],0))="n/a","n/a",AZ61-INDEX(tab_MinKomp[System BAAN / Distribution &amp; Supply Chain],MATCH($B61,tab_MinKomp[[Stanowisko / Position ]:[Stanowisko / Position ]],0)))</f>
        <v>n/a</v>
      </c>
      <c r="BA62" s="315" t="str">
        <f>IF(INDEX(tab_MinKomp[Gospodarka magazynowa / Lagerverwaltung],MATCH($B61,tab_MinKomp[[Stanowisko / Position ]:[Stanowisko / Position ]],0))="n/a","n/a",BA61-INDEX(tab_MinKomp[Gospodarka magazynowa / Lagerverwaltung],MATCH($B61,tab_MinKomp[[Stanowisko / Position ]:[Stanowisko / Position ]],0)))</f>
        <v>n/a</v>
      </c>
      <c r="BB62" s="315" t="str">
        <f>IF(INDEX(tab_MinKomp[Inwentaryzacja - organizacja i przebieg / Inventurprozess],MATCH($B61,tab_MinKomp[[Stanowisko / Position ]:[Stanowisko / Position ]],0))="n/a","n/a",BB61-INDEX(tab_MinKomp[Inwentaryzacja - organizacja i przebieg / Inventurprozess],MATCH($B61,tab_MinKomp[[Stanowisko / Position ]:[Stanowisko / Position ]],0)))</f>
        <v>n/a</v>
      </c>
      <c r="BC62" s="315" t="str">
        <f>IF(INDEX(tab_MinKomp[Organizacja dostaw / Versorgungsorganisation],MATCH($B61,tab_MinKomp[[Stanowisko / Position ]:[Stanowisko / Position ]],0))="n/a","n/a",BC61-INDEX(tab_MinKomp[Organizacja dostaw / Versorgungsorganisation],MATCH($B61,tab_MinKomp[[Stanowisko / Position ]:[Stanowisko / Position ]],0)))</f>
        <v>n/a</v>
      </c>
      <c r="BD62" s="315" t="str">
        <f>IF(INDEX(tab_MinKomp[Organizacja wysyłek / Organisation von Lieferungen],MATCH($B61,tab_MinKomp[[Stanowisko / Position ]:[Stanowisko / Position ]],0))="n/a","n/a",BD61-INDEX(tab_MinKomp[Organizacja wysyłek / Organisation von Lieferungen],MATCH($B61,tab_MinKomp[[Stanowisko / Position ]:[Stanowisko / Position ]],0)))</f>
        <v>n/a</v>
      </c>
      <c r="BE62" s="315" t="str">
        <f>IF(INDEX(tab_MinKomp[Analiza magazynowa - Program Polen.mdb / Inventuranalyse],MATCH($B61,tab_MinKomp[[Stanowisko / Position ]:[Stanowisko / Position ]],0))="n/a","n/a",BE61-INDEX(tab_MinKomp[Analiza magazynowa - Program Polen.mdb / Inventuranalyse],MATCH($B61,tab_MinKomp[[Stanowisko / Position ]:[Stanowisko / Position ]],0)))</f>
        <v>n/a</v>
      </c>
      <c r="BF62" s="315" t="str">
        <f>IF(INDEX(tab_MinKomp[MMOG (Materials Management Operations Guidelines)],MATCH($B61,tab_MinKomp[[Stanowisko / Position ]:[Stanowisko / Position ]],0))="n/a","n/a",BF61-INDEX(tab_MinKomp[MMOG (Materials Management Operations Guidelines)],MATCH($B61,tab_MinKomp[[Stanowisko / Position ]:[Stanowisko / Position ]],0)))</f>
        <v>n/a</v>
      </c>
      <c r="BG62" s="315" t="str">
        <f>IF(INDEX(tab_MinKomp[DETC],MATCH($B61,tab_MinKomp[[Stanowisko / Position ]:[Stanowisko / Position ]],0))="n/a","n/a",BG61-INDEX(tab_MinKomp[DETC],MATCH($B61,tab_MinKomp[[Stanowisko / Position ]:[Stanowisko / Position ]],0)))</f>
        <v>n/a</v>
      </c>
      <c r="BH62" s="315" t="str">
        <f>IF(INDEX(tab_MinKomp[GPP],MATCH($B61,tab_MinKomp[[Stanowisko / Position ]:[Stanowisko / Position ]],0))="n/a","n/a",BH61-INDEX(tab_MinKomp[GPP],MATCH($B61,tab_MinKomp[[Stanowisko / Position ]:[Stanowisko / Position ]],0)))</f>
        <v>n/a</v>
      </c>
      <c r="BI62" s="315" t="str">
        <f>IF(INDEX(tab_MinKomp[AIAG (Automotive Industry Action Group)],MATCH($B61,tab_MinKomp[[Stanowisko / Position ]:[Stanowisko / Position ]],0))="n/a","n/a",BI61-INDEX(tab_MinKomp[AIAG (Automotive Industry Action Group)],MATCH($B61,tab_MinKomp[[Stanowisko / Position ]:[Stanowisko / Position ]],0)))</f>
        <v>n/a</v>
      </c>
      <c r="BJ62" s="315" t="str">
        <f>IF(INDEX(tab_MinKomp[Super-G disputes],MATCH($B61,tab_MinKomp[[Stanowisko / Position ]:[Stanowisko / Position ]],0))="n/a","n/a",BJ61-INDEX(tab_MinKomp[Super-G disputes],MATCH($B61,tab_MinKomp[[Stanowisko / Position ]:[Stanowisko / Position ]],0)))</f>
        <v>n/a</v>
      </c>
      <c r="BK62" s="315" t="str">
        <f>IF(INDEX(tab_MinKomp[CMMS3/eDDL (Direct Data Link)],MATCH($B61,tab_MinKomp[[Stanowisko / Position ]:[Stanowisko / Position ]],0))="n/a","n/a",BK61-INDEX(tab_MinKomp[CMMS3/eDDL (Direct Data Link)],MATCH($B61,tab_MinKomp[[Stanowisko / Position ]:[Stanowisko / Position ]],0)))</f>
        <v>n/a</v>
      </c>
      <c r="BL62" s="315" t="str">
        <f>IF(INDEX(tab_MinKomp[MP&amp;L (Material Planning and Logistics)],MATCH($B61,tab_MinKomp[[Stanowisko / Position ]:[Stanowisko / Position ]],0))="n/a","n/a",BL61-INDEX(tab_MinKomp[MP&amp;L (Material Planning and Logistics)],MATCH($B61,tab_MinKomp[[Stanowisko / Position ]:[Stanowisko / Position ]],0)))</f>
        <v>n/a</v>
      </c>
      <c r="BM62" s="315" t="str">
        <f>IF(INDEX(tab_MinKomp[Planowanie produkcji / Produktionsplanung],MATCH($B61,tab_MinKomp[[Stanowisko / Position ]:[Stanowisko / Position ]],0))="n/a","n/a",BM61-INDEX(tab_MinKomp[Planowanie produkcji / Produktionsplanung],MATCH($B61,tab_MinKomp[[Stanowisko / Position ]:[Stanowisko / Position ]],0)))</f>
        <v>n/a</v>
      </c>
      <c r="BN62" s="315">
        <f>IF(INDEX(tab_MinKomp[Obsługa maszyn Engel / Engel Maschinenbedienung],MATCH($B61,tab_MinKomp[[Stanowisko / Position ]:[Stanowisko / Position ]],0))="n/a","n/a",BN61-INDEX(tab_MinKomp[Obsługa maszyn Engel / Engel Maschinenbedienung],MATCH($B61,tab_MinKomp[[Stanowisko / Position ]:[Stanowisko / Position ]],0)))</f>
        <v>0</v>
      </c>
      <c r="BO62" s="315">
        <f>IF(INDEX(tab_MinKomp[Obsługa maszyn Novapax / Novapax Maschinenbedienung],MATCH($B61,tab_MinKomp[[Stanowisko / Position ]:[Stanowisko / Position ]],0))="n/a","n/a",BO61-INDEX(tab_MinKomp[Obsługa maszyn Novapax / Novapax Maschinenbedienung],MATCH($B61,tab_MinKomp[[Stanowisko / Position ]:[Stanowisko / Position ]],0)))</f>
        <v>-2</v>
      </c>
      <c r="BP62" s="315" t="str">
        <f>IF(INDEX(tab_MinKomp[Obsługa maszyn KVT / KVT Maschinenbedienung],MATCH($B61,tab_MinKomp[[Stanowisko / Position ]:[Stanowisko / Position ]],0))="n/a","n/a",BP61-INDEX(tab_MinKomp[Obsługa maszyn KVT / KVT Maschinenbedienung],MATCH($B61,tab_MinKomp[[Stanowisko / Position ]:[Stanowisko / Position ]],0)))</f>
        <v>n/a</v>
      </c>
      <c r="BQ62" s="315" t="str">
        <f>IF(INDEX(tab_MinKomp[Obsługa maszyn ASL / ASL Maschinenbedienung],MATCH($B61,tab_MinKomp[[Stanowisko / Position ]:[Stanowisko / Position ]],0))="n/a","n/a",BQ61-INDEX(tab_MinKomp[Obsługa maszyn ASL / ASL Maschinenbedienung],MATCH($B61,tab_MinKomp[[Stanowisko / Position ]:[Stanowisko / Position ]],0)))</f>
        <v>n/a</v>
      </c>
      <c r="BR62" s="315" t="str">
        <f>IF(INDEX(tab_MinKomp[Obsługa maszyn Branson / Branson Maschinenbedienung],MATCH($B61,tab_MinKomp[[Stanowisko / Position ]:[Stanowisko / Position ]],0))="n/a","n/a",BR61-INDEX(tab_MinKomp[Obsługa maszyn Branson / Branson Maschinenbedienung],MATCH($B61,tab_MinKomp[[Stanowisko / Position ]:[Stanowisko / Position ]],0)))</f>
        <v>n/a</v>
      </c>
      <c r="BS62" s="315" t="str">
        <f>IF(INDEX(tab_MinKomp[Obsługa maszyn Kamtec / Kamtec Maschinenbedienung],MATCH($B61,tab_MinKomp[[Stanowisko / Position ]:[Stanowisko / Position ]],0))="n/a","n/a",BS61-INDEX(tab_MinKomp[Obsługa maszyn Kamtec / Kamtec Maschinenbedienung],MATCH($B61,tab_MinKomp[[Stanowisko / Position ]:[Stanowisko / Position ]],0)))</f>
        <v>n/a</v>
      </c>
      <c r="BT62" s="315">
        <f>IF(INDEX(tab_MinKomp[Obsługa maszyn Piovan / Piovan Maschinenbedienung],MATCH($B61,tab_MinKomp[[Stanowisko / Position ]:[Stanowisko / Position ]],0))="n/a","n/a",BT61-INDEX(tab_MinKomp[Obsługa maszyn Piovan / Piovan Maschinenbedienung],MATCH($B61,tab_MinKomp[[Stanowisko / Position ]:[Stanowisko / Position ]],0)))</f>
        <v>-1</v>
      </c>
      <c r="BU62" s="315">
        <f>IF(INDEX(tab_MinKomp[Obsługa maszyn REP / REP Maschinenbedienung],MATCH($B61,tab_MinKomp[[Stanowisko / Position ]:[Stanowisko / Position ]],0))="n/a","n/a",BU61-INDEX(tab_MinKomp[Obsługa maszyn REP / REP Maschinenbedienung],MATCH($B61,tab_MinKomp[[Stanowisko / Position ]:[Stanowisko / Position ]],0)))</f>
        <v>-1</v>
      </c>
      <c r="BV62" s="315">
        <f>IF(INDEX(tab_MinKomp[Eliminacja awarii / Beseitigung von Ausfällen],MATCH($B61,tab_MinKomp[[Stanowisko / Position ]:[Stanowisko / Position ]],0))="n/a","n/a",BV61-INDEX(tab_MinKomp[Eliminacja awarii / Beseitigung von Ausfällen],MATCH($B61,tab_MinKomp[[Stanowisko / Position ]:[Stanowisko / Position ]],0)))</f>
        <v>-2</v>
      </c>
      <c r="BW62" s="315" t="str">
        <f>IF(INDEX(tab_MinKomp[Informatyka ogólna (techniczne i systemowe) / Allgemeine IT (Technik und System)],MATCH($B61,tab_MinKomp[[Stanowisko / Position ]:[Stanowisko / Position ]],0))="n/a","n/a",BW61-INDEX(tab_MinKomp[Informatyka ogólna (techniczne i systemowe) / Allgemeine IT (Technik und System)],MATCH($B61,tab_MinKomp[[Stanowisko / Position ]:[Stanowisko / Position ]],0)))</f>
        <v>n/a</v>
      </c>
      <c r="BX62" s="315" t="str">
        <f>IF(INDEX(tab_MinKomp[Sieci komputerowe / Computernetzwerke],MATCH($B61,tab_MinKomp[[Stanowisko / Position ]:[Stanowisko / Position ]],0))="n/a","n/a",BX61-INDEX(tab_MinKomp[Sieci komputerowe / Computernetzwerke],MATCH($B61,tab_MinKomp[[Stanowisko / Position ]:[Stanowisko / Position ]],0)))</f>
        <v>n/a</v>
      </c>
      <c r="BY62" s="315" t="str">
        <f>IF(INDEX(tab_MinKomp[Hardware (komputery PC, drukarki biurowe i etykietowe, telefonia stacjonarna i mobilna) (PC, Drucker, Telefpne, Handys)],MATCH($B61,tab_MinKomp[[Stanowisko / Position ]:[Stanowisko / Position ]],0))="n/a","n/a",BY61-INDEX(tab_MinKomp[Hardware (komputery PC, drukarki biurowe i etykietowe, telefonia stacjonarna i mobilna) (PC, Drucker, Telefpne, Handys)],MATCH($B61,tab_MinKomp[[Stanowisko / Position ]:[Stanowisko / Position ]],0)))</f>
        <v>n/a</v>
      </c>
      <c r="BZ62" s="315" t="str">
        <f>IF(INDEX(tab_MinKomp[Software &amp; Systems (MS Office, MS Remote Desktop)],MATCH($B61,tab_MinKomp[[Stanowisko / Position ]:[Stanowisko / Position ]],0))="n/a","n/a",BZ61-INDEX(tab_MinKomp[Software &amp; Systems (MS Office, MS Remote Desktop)],MATCH($B61,tab_MinKomp[[Stanowisko / Position ]:[Stanowisko / Position ]],0)))</f>
        <v>n/a</v>
      </c>
      <c r="CA62" s="315" t="str">
        <f>IF(INDEX(tab_MinKomp[Programowanie obiektowe (PHP) / Objektprogrammierung],MATCH($B61,tab_MinKomp[[Stanowisko / Position ]:[Stanowisko / Position ]],0))="n/a","n/a",CA61-INDEX(tab_MinKomp[Programowanie obiektowe (PHP) / Objektprogrammierung],MATCH($B61,tab_MinKomp[[Stanowisko / Position ]:[Stanowisko / Position ]],0)))</f>
        <v>n/a</v>
      </c>
      <c r="CB62" s="315" t="str">
        <f>IF(INDEX(tab_MinKomp[Scrum],MATCH($B61,tab_MinKomp[[Stanowisko / Position ]:[Stanowisko / Position ]],0))="n/a","n/a",CB61-INDEX(tab_MinKomp[Scrum],MATCH($B61,tab_MinKomp[[Stanowisko / Position ]:[Stanowisko / Position ]],0)))</f>
        <v>n/a</v>
      </c>
      <c r="CC62" s="315" t="str">
        <f>IF(INDEX(tab_MinKomp[SQL (MySQL)],MATCH($B61,tab_MinKomp[[Stanowisko / Position ]:[Stanowisko / Position ]],0))="n/a","n/a",CC61-INDEX(tab_MinKomp[SQL (MySQL)],MATCH($B61,tab_MinKomp[[Stanowisko / Position ]:[Stanowisko / Position ]],0)))</f>
        <v>n/a</v>
      </c>
      <c r="CD62" s="315" t="str">
        <f>IF(INDEX(tab_MinKomp[Javascript],MATCH($B61,tab_MinKomp[[Stanowisko / Position ]:[Stanowisko / Position ]],0))="n/a","n/a",CD61-INDEX(tab_MinKomp[Javascript],MATCH($B61,tab_MinKomp[[Stanowisko / Position ]:[Stanowisko / Position ]],0)))</f>
        <v>n/a</v>
      </c>
      <c r="CE62" s="315" t="str">
        <f>IF(INDEX(tab_MinKomp[Joomla],MATCH($B61,tab_MinKomp[[Stanowisko / Position ]:[Stanowisko / Position ]],0))="n/a","n/a",CE61-INDEX(tab_MinKomp[Joomla],MATCH($B61,tab_MinKomp[[Stanowisko / Position ]:[Stanowisko / Position ]],0)))</f>
        <v>n/a</v>
      </c>
      <c r="CF62" s="315" t="str">
        <f>IF(INDEX(tab_MinKomp[Bash],MATCH($B61,tab_MinKomp[[Stanowisko / Position ]:[Stanowisko / Position ]],0))="n/a","n/a",CF61-INDEX(tab_MinKomp[Bash],MATCH($B61,tab_MinKomp[[Stanowisko / Position ]:[Stanowisko / Position ]],0)))</f>
        <v>n/a</v>
      </c>
      <c r="CG62" s="315" t="str">
        <f>IF(INDEX(tab_MinKomp[Systemy MES (HYDRA / SFMS)],MATCH($B61,tab_MinKomp[[Stanowisko / Position ]:[Stanowisko / Position ]],0))="n/a","n/a",CG61-INDEX(tab_MinKomp[Systemy MES (HYDRA / SFMS)],MATCH($B61,tab_MinKomp[[Stanowisko / Position ]:[Stanowisko / Position ]],0)))</f>
        <v>n/a</v>
      </c>
      <c r="CH62" s="315" t="str">
        <f>IF(INDEX(tab_MinKomp[HTML / CSS],MATCH($B61,tab_MinKomp[[Stanowisko / Position ]:[Stanowisko / Position ]],0))="n/a","n/a",CH61-INDEX(tab_MinKomp[HTML / CSS],MATCH($B61,tab_MinKomp[[Stanowisko / Position ]:[Stanowisko / Position ]],0)))</f>
        <v>n/a</v>
      </c>
      <c r="CI62" s="315" t="str">
        <f>IF(INDEX(tab_MinKomp[SYSTEM PR],MATCH($B61,tab_MinKomp[[Stanowisko / Position ]:[Stanowisko / Position ]],0))="n/a","n/a",CI61-INDEX(tab_MinKomp[SYSTEM PR],MATCH($B61,tab_MinKomp[[Stanowisko / Position ]:[Stanowisko / Position ]],0)))</f>
        <v>n/a</v>
      </c>
      <c r="CJ62" s="315" t="str">
        <f>IF(INDEX(tab_MinKomp[System Einkauf XP / EBA],MATCH($B61,tab_MinKomp[[Stanowisko / Position ]:[Stanowisko / Position ]],0))="n/a","n/a",CJ61-INDEX(tab_MinKomp[System Einkauf XP / EBA],MATCH($B61,tab_MinKomp[[Stanowisko / Position ]:[Stanowisko / Position ]],0)))</f>
        <v>n/a</v>
      </c>
      <c r="CK62" s="315" t="str">
        <f>IF(INDEX(tab_MinKomp[Techniki negocjacyjne / Verhandlungstechniken],MATCH($B61,tab_MinKomp[[Stanowisko / Position ]:[Stanowisko / Position ]],0))="n/a","n/a",CK61-INDEX(tab_MinKomp[Techniki negocjacyjne / Verhandlungstechniken],MATCH($B61,tab_MinKomp[[Stanowisko / Position ]:[Stanowisko / Position ]],0)))</f>
        <v>n/a</v>
      </c>
      <c r="CL62" s="315" t="str">
        <f>IF(INDEX(tab_MinKomp[Znajomość rynku branżowego / Kenntnis des Industrie Marktes],MATCH($B61,tab_MinKomp[[Stanowisko / Position ]:[Stanowisko / Position ]],0))="n/a","n/a",CL61-INDEX(tab_MinKomp[Znajomość rynku branżowego / Kenntnis des Industrie Marktes],MATCH($B61,tab_MinKomp[[Stanowisko / Position ]:[Stanowisko / Position ]],0)))</f>
        <v>n/a</v>
      </c>
      <c r="CM62" s="315" t="str">
        <f>IF(INDEX(tab_MinKomp[RAPORTY 8D / 8D Berichten],MATCH($B61,tab_MinKomp[[Stanowisko / Position ]:[Stanowisko / Position ]],0))="n/a","n/a",CM61-INDEX(tab_MinKomp[RAPORTY 8D / 8D Berichten],MATCH($B61,tab_MinKomp[[Stanowisko / Position ]:[Stanowisko / Position ]],0)))</f>
        <v>n/a</v>
      </c>
      <c r="CN62" s="315">
        <f>IF(INDEX(tab_MinKomp[NARZĘDZIA JAKOŚCIOWE (5WHY, Ishikawa, etc) / QS-Werkzeuge],MATCH($B61,tab_MinKomp[[Stanowisko / Position ]:[Stanowisko / Position ]],0))="n/a","n/a",CN61-INDEX(tab_MinKomp[NARZĘDZIA JAKOŚCIOWE (5WHY, Ishikawa, etc) / QS-Werkzeuge],MATCH($B61,tab_MinKomp[[Stanowisko / Position ]:[Stanowisko / Position ]],0)))</f>
        <v>0</v>
      </c>
      <c r="CO62" s="315">
        <f>IF(INDEX(tab_MinKomp[PDCA],MATCH($B61,tab_MinKomp[[Stanowisko / Position ]:[Stanowisko / Position ]],0))="n/a","n/a",CO61-INDEX(tab_MinKomp[PDCA],MATCH($B61,tab_MinKomp[[Stanowisko / Position ]:[Stanowisko / Position ]],0)))</f>
        <v>0</v>
      </c>
      <c r="CP62" s="315">
        <f>IF(INDEX(tab_MinKomp[Pareto],MATCH($B61,tab_MinKomp[[Stanowisko / Position ]:[Stanowisko / Position ]],0))="n/a","n/a",CP61-INDEX(tab_MinKomp[Pareto],MATCH($B61,tab_MinKomp[[Stanowisko / Position ]:[Stanowisko / Position ]],0)))</f>
        <v>0</v>
      </c>
      <c r="CQ62" s="315" t="str">
        <f>IF(INDEX(tab_MinKomp[PPAP/PSW],MATCH($B61,tab_MinKomp[[Stanowisko / Position ]:[Stanowisko / Position ]],0))="n/a","n/a",CQ61-INDEX(tab_MinKomp[PPAP/PSW],MATCH($B61,tab_MinKomp[[Stanowisko / Position ]:[Stanowisko / Position ]],0)))</f>
        <v>n/a</v>
      </c>
      <c r="CR62" s="315" t="str">
        <f>IF(INDEX(tab_MinKomp[SUPPLIER MANAGEMENT],MATCH($B61,tab_MinKomp[[Stanowisko / Position ]:[Stanowisko / Position ]],0))="n/a","n/a",CR61-INDEX(tab_MinKomp[SUPPLIER MANAGEMENT],MATCH($B61,tab_MinKomp[[Stanowisko / Position ]:[Stanowisko / Position ]],0)))</f>
        <v>n/a</v>
      </c>
      <c r="CS62" s="315" t="str">
        <f>IF(INDEX(tab_MinKomp[OBSŁUGA PORTALI KLIENTA / Kundenportale],MATCH($B61,tab_MinKomp[[Stanowisko / Position ]:[Stanowisko / Position ]],0))="n/a","n/a",CS61-INDEX(tab_MinKomp[OBSŁUGA PORTALI KLIENTA / Kundenportale],MATCH($B61,tab_MinKomp[[Stanowisko / Position ]:[Stanowisko / Position ]],0)))</f>
        <v>n/a</v>
      </c>
      <c r="CT62" s="315" t="str">
        <f>IF(INDEX(tab_MinKomp[Obsługa systemu BABTECQ / BABTECQ System],MATCH($B61,tab_MinKomp[[Stanowisko / Position ]:[Stanowisko / Position ]],0))="n/a","n/a",CT61-INDEX(tab_MinKomp[Obsługa systemu BABTECQ / BABTECQ System],MATCH($B61,tab_MinKomp[[Stanowisko / Position ]:[Stanowisko / Position ]],0)))</f>
        <v>n/a</v>
      </c>
      <c r="CU62" s="315">
        <f>IF(INDEX(tab_MinKomp[Rysunek techniczny / technische Zeichnung],MATCH($B61,tab_MinKomp[[Stanowisko / Position ]:[Stanowisko / Position ]],0))="n/a","n/a",CU61-INDEX(tab_MinKomp[Rysunek techniczny / technische Zeichnung],MATCH($B61,tab_MinKomp[[Stanowisko / Position ]:[Stanowisko / Position ]],0)))</f>
        <v>-2</v>
      </c>
      <c r="CV62" s="315" t="str">
        <f>IF(INDEX(tab_MinKomp[Kalibracja / Kalibrierung],MATCH($B61,tab_MinKomp[[Stanowisko / Position ]:[Stanowisko / Position ]],0))="n/a","n/a",CV61-INDEX(tab_MinKomp[Kalibracja / Kalibrierung],MATCH($B61,tab_MinKomp[[Stanowisko / Position ]:[Stanowisko / Position ]],0)))</f>
        <v>n/a</v>
      </c>
      <c r="CW62" s="315" t="str">
        <f>IF(INDEX(tab_MinKomp[Rekwalifikacja / Requalifizierung],MATCH($B61,tab_MinKomp[[Stanowisko / Position ]:[Stanowisko / Position ]],0))="n/a","n/a",CW61-INDEX(tab_MinKomp[Rekwalifikacja / Requalifizierung],MATCH($B61,tab_MinKomp[[Stanowisko / Position ]:[Stanowisko / Position ]],0)))</f>
        <v>n/a</v>
      </c>
      <c r="CX62" s="315" t="str">
        <f>IF(INDEX(tab_MinKomp[Obsługa mikroskopu optycznego / Bedienung eines optischen Mikroskops],MATCH($B61,tab_MinKomp[[Stanowisko / Position ]:[Stanowisko / Position ]],0))="n/a","n/a",CX61-INDEX(tab_MinKomp[Obsługa mikroskopu optycznego / Bedienung eines optischen Mikroskops],MATCH($B61,tab_MinKomp[[Stanowisko / Position ]:[Stanowisko / Position ]],0)))</f>
        <v>n/a</v>
      </c>
      <c r="CY62" s="315" t="str">
        <f>IF(INDEX(tab_MinKomp[Wykonywanie pomiarów optycznych - ocena wizualna / Optische Messungen durchführen – visuelle Beurteilung],MATCH($B61,tab_MinKomp[[Stanowisko / Position ]:[Stanowisko / Position ]],0))="n/a","n/a",CY61-INDEX(tab_MinKomp[Wykonywanie pomiarów optycznych - ocena wizualna / Optische Messungen durchführen – visuelle Beurteilung],MATCH($B61,tab_MinKomp[[Stanowisko / Position ]:[Stanowisko / Position ]],0)))</f>
        <v>n/a</v>
      </c>
      <c r="CZ62" s="315" t="str">
        <f>IF(INDEX(tab_MinKomp[Obsługa Rheometra / Rheometra-Unterstützung],MATCH($B61,tab_MinKomp[[Stanowisko / Position ]:[Stanowisko / Position ]],0))="n/a","n/a",CZ61-INDEX(tab_MinKomp[Obsługa Rheometra / Rheometra-Unterstützung],MATCH($B61,tab_MinKomp[[Stanowisko / Position ]:[Stanowisko / Position ]],0)))</f>
        <v>n/a</v>
      </c>
      <c r="DA62" s="315" t="str">
        <f>IF(INDEX(tab_MinKomp[Testy właściwości Rheometra mieszanki gumy],MATCH($B61,tab_MinKomp[[Stanowisko / Position ]:[Stanowisko / Position ]],0))="n/a","n/a",DA61-INDEX(tab_MinKomp[Testy właściwości Rheometra mieszanki gumy],MATCH($B61,tab_MinKomp[[Stanowisko / Position ]:[Stanowisko / Position ]],0)))</f>
        <v>n/a</v>
      </c>
      <c r="DB62" s="315" t="str">
        <f>IF(INDEX(tab_MinKomp[CMM - Contura Zeiss],MATCH($B61,tab_MinKomp[[Stanowisko / Position ]:[Stanowisko / Position ]],0))="n/a","n/a",DB61-INDEX(tab_MinKomp[CMM - Contura Zeiss],MATCH($B61,tab_MinKomp[[Stanowisko / Position ]:[Stanowisko / Position ]],0)))</f>
        <v>n/a</v>
      </c>
      <c r="DC62" s="315" t="str">
        <f>IF(INDEX(tab_MinKomp[Wykonywanie precyzyjnych pomiarów metrycznych, pomiary 3D],MATCH($B61,tab_MinKomp[[Stanowisko / Position ]:[Stanowisko / Position ]],0))="n/a","n/a",DC61-INDEX(tab_MinKomp[Wykonywanie precyzyjnych pomiarów metrycznych, pomiary 3D],MATCH($B61,tab_MinKomp[[Stanowisko / Position ]:[Stanowisko / Position ]],0)))</f>
        <v>n/a</v>
      </c>
      <c r="DD62" s="315" t="str">
        <f>IF(INDEX(tab_MinKomp[Pisanie programów / Programme schreiben],MATCH($B61,tab_MinKomp[[Stanowisko / Position ]:[Stanowisko / Position ]],0))="n/a","n/a",DD61-INDEX(tab_MinKomp[Pisanie programów / Programme schreiben],MATCH($B61,tab_MinKomp[[Stanowisko / Position ]:[Stanowisko / Position ]],0)))</f>
        <v>n/a</v>
      </c>
      <c r="DE62" s="315" t="str">
        <f>IF(INDEX(tab_MinKomp[Obsługa wyposażenia do testów czystości (myjka + analizator) / Betrieb von Sauberkeitsprüfgeräten (Waschmaschine + Analysegerät)],MATCH($B61,tab_MinKomp[[Stanowisko / Position ]:[Stanowisko / Position ]],0))="n/a","n/a",DE61-INDEX(tab_MinKomp[Obsługa wyposażenia do testów czystości (myjka + analizator) / Betrieb von Sauberkeitsprüfgeräten (Waschmaschine + Analysegerät)],MATCH($B61,tab_MinKomp[[Stanowisko / Position ]:[Stanowisko / Position ]],0)))</f>
        <v>n/a</v>
      </c>
      <c r="DF62" s="315" t="str">
        <f>IF(INDEX(tab_MinKomp[Testy czystości / Reinheitstests],MATCH($B61,tab_MinKomp[[Stanowisko / Position ]:[Stanowisko / Position ]],0))="n/a","n/a",DF61-INDEX(tab_MinKomp[Testy czystości / Reinheitstests],MATCH($B61,tab_MinKomp[[Stanowisko / Position ]:[Stanowisko / Position ]],0)))</f>
        <v>n/a</v>
      </c>
      <c r="DG62" s="315" t="str">
        <f>IF(INDEX(tab_MinKomp[Obsługa wysokościomierza / Unterstützung für Höhenmesser],MATCH($B61,tab_MinKomp[[Stanowisko / Position ]:[Stanowisko / Position ]],0))="n/a","n/a",DG61-INDEX(tab_MinKomp[Obsługa wysokościomierza / Unterstützung für Höhenmesser],MATCH($B61,tab_MinKomp[[Stanowisko / Position ]:[Stanowisko / Position ]],0)))</f>
        <v>n/a</v>
      </c>
      <c r="DH62" s="315" t="str">
        <f>IF(INDEX(tab_MinKomp[Pomiary wysokości materiału / Materialhöhenmessungen],MATCH($B61,tab_MinKomp[[Stanowisko / Position ]:[Stanowisko / Position ]],0))="n/a","n/a",DH61-INDEX(tab_MinKomp[Pomiary wysokości materiału / Materialhöhenmessungen],MATCH($B61,tab_MinKomp[[Stanowisko / Position ]:[Stanowisko / Position ]],0)))</f>
        <v>n/a</v>
      </c>
      <c r="DI62" s="315" t="str">
        <f>IF(INDEX(tab_MinKomp[Obsługa okrągłościomierza / Unterstützung für Rundheitsmessgeräte],MATCH($B61,tab_MinKomp[[Stanowisko / Position ]:[Stanowisko / Position ]],0))="n/a","n/a",DI61-INDEX(tab_MinKomp[Obsługa okrągłościomierza / Unterstützung für Rundheitsmessgeräte],MATCH($B61,tab_MinKomp[[Stanowisko / Position ]:[Stanowisko / Position ]],0)))</f>
        <v>n/a</v>
      </c>
      <c r="DJ62" s="315" t="str">
        <f>IF(INDEX(tab_MinKomp[Wykonywania pomiarów owalności, srednicy materiału / Messung der Ovalität und des Durchmessers des Materials],MATCH($B61,tab_MinKomp[[Stanowisko / Position ]:[Stanowisko / Position ]],0))="n/a","n/a",DJ61-INDEX(tab_MinKomp[Wykonywania pomiarów owalności, srednicy materiału / Messung der Ovalität und des Durchmessers des Materials],MATCH($B61,tab_MinKomp[[Stanowisko / Position ]:[Stanowisko / Position ]],0)))</f>
        <v>n/a</v>
      </c>
      <c r="DK62" s="315" t="str">
        <f>IF(INDEX(tab_MinKomp[Obsługa urządzenia do pomiarów chropowoatości powierzchni materiału],MATCH($B61,tab_MinKomp[[Stanowisko / Position ]:[Stanowisko / Position ]],0))="n/a","n/a",DK61-INDEX(tab_MinKomp[Obsługa urządzenia do pomiarów chropowoatości powierzchni materiału],MATCH($B61,tab_MinKomp[[Stanowisko / Position ]:[Stanowisko / Position ]],0)))</f>
        <v>n/a</v>
      </c>
      <c r="DL62" s="315" t="str">
        <f>IF(INDEX(tab_MinKomp[Wykonywanie pomiarów chropowatości powierzchni materiału / Durchführung von Messungen der Materialoberflächenrauheit],MATCH($B61,tab_MinKomp[[Stanowisko / Position ]:[Stanowisko / Position ]],0))="n/a","n/a",DL61-INDEX(tab_MinKomp[Wykonywanie pomiarów chropowatości powierzchni materiału / Durchführung von Messungen der Materialoberflächenrauheit],MATCH($B61,tab_MinKomp[[Stanowisko / Position ]:[Stanowisko / Position ]],0)))</f>
        <v>n/a</v>
      </c>
      <c r="DM62" s="315" t="str">
        <f>IF(INDEX(tab_MinKomp[Obsługa urządzenia do pomiaru siły radialnej części - postępowanie z trzpieniami. / Funktionsweise des Geräts zur Messung der Radialkraft von Teilen – Handhabungsstifte.],MATCH($B61,tab_MinKomp[[Stanowisko / Position ]:[Stanowisko / Position ]],0))="n/a","n/a",DM61-INDEX(tab_MinKomp[Obsługa urządzenia do pomiaru siły radialnej części - postępowanie z trzpieniami. / Funktionsweise des Geräts zur Messung der Radialkraft von Teilen – Handhabungsstifte.],MATCH($B61,tab_MinKomp[[Stanowisko / Position ]:[Stanowisko / Position ]],0)))</f>
        <v>n/a</v>
      </c>
      <c r="DN62" s="315" t="str">
        <f>IF(INDEX(tab_MinKomp[Wykonywanie pomiarów siły radialnej części / Führen Sie Radialkraftmessungen an Teilen durch],MATCH($B61,tab_MinKomp[[Stanowisko / Position ]:[Stanowisko / Position ]],0))="n/a","n/a",DN61-INDEX(tab_MinKomp[Wykonywanie pomiarów siły radialnej części / Führen Sie Radialkraftmessungen an Teilen durch],MATCH($B61,tab_MinKomp[[Stanowisko / Position ]:[Stanowisko / Position ]],0)))</f>
        <v>n/a</v>
      </c>
      <c r="DO62" s="315" t="str">
        <f>IF(INDEX(tab_MinKomp[Obsługa komory do testów wybuchwych / Betrieb einer Explosionsprüfkammer],MATCH($B61,tab_MinKomp[[Stanowisko / Position ]:[Stanowisko / Position ]],0))="n/a","n/a",DO61-INDEX(tab_MinKomp[Obsługa komory do testów wybuchwych / Betrieb einer Explosionsprüfkammer],MATCH($B61,tab_MinKomp[[Stanowisko / Position ]:[Stanowisko / Position ]],0)))</f>
        <v>n/a</v>
      </c>
      <c r="DP62" s="315" t="str">
        <f>IF(INDEX(tab_MinKomp[Wykonywanie testów wybuchowych części / Durchführung von Explosionstests an Teilen],MATCH($B61,tab_MinKomp[[Stanowisko / Position ]:[Stanowisko / Position ]],0))="n/a","n/a",DP61-INDEX(tab_MinKomp[Wykonywanie testów wybuchowych części / Durchführung von Explosionstests an Teilen],MATCH($B61,tab_MinKomp[[Stanowisko / Position ]:[Stanowisko / Position ]],0)))</f>
        <v>n/a</v>
      </c>
      <c r="DQ62" s="315" t="str">
        <f>IF(INDEX(tab_MinKomp[Obsługa urządzeń do mierzenia siły trzymania i/lub rozciągania / Betrieb von Geräten zur Messung der Halte- und/oder Dehnkraft],MATCH($B61,tab_MinKomp[[Stanowisko / Position ]:[Stanowisko / Position ]],0))="n/a","n/a",DQ61-INDEX(tab_MinKomp[Obsługa urządzeń do mierzenia siły trzymania i/lub rozciągania / Betrieb von Geräten zur Messung der Halte- und/oder Dehnkraft],MATCH($B61,tab_MinKomp[[Stanowisko / Position ]:[Stanowisko / Position ]],0)))</f>
        <v>n/a</v>
      </c>
      <c r="DR62" s="315" t="str">
        <f>IF(INDEX(tab_MinKomp[Wykonywanie testów mierzenia siły trzymania i/lub rozciągania / Durchführung von Tests zur Messung der Halte- und/oder Streckkraft],MATCH($B61,tab_MinKomp[[Stanowisko / Position ]:[Stanowisko / Position ]],0))="n/a","n/a",DR61-INDEX(tab_MinKomp[Wykonywanie testów mierzenia siły trzymania i/lub rozciągania / Durchführung von Tests zur Messung der Halte- und/oder Streckkraft],MATCH($B61,tab_MinKomp[[Stanowisko / Position ]:[Stanowisko / Position ]],0)))</f>
        <v>n/a</v>
      </c>
      <c r="DS62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Luftstrom)],MATCH($B61,tab_MinKomp[[Stanowisko / Position ]:[Stanowisko / Position ]],0))="n/a","n/a",DS61-INDEX(tab_MinKomp[Obsługa multimetru do pomiarów środowiskowych (temperatura, wilgotność, hałas, oświetlenie, przepływ powietrza) / Betrieb eines Multimeters für Umweltmessungen (Temperatur, Luftfeuchtigkeit, Lärm, Beleuchtung, Luftstrom)],MATCH($B61,tab_MinKomp[[Stanowisko / Position ]:[Stanowisko / Position ]],0)))</f>
        <v>n/a</v>
      </c>
      <c r="DT62" s="315" t="str">
        <f>IF(INDEX(tab_MinKomp[Kontrola warunków środowiskowych pracy (temperatura, wilgotność, hałas, oświetlenie, przepływ powietrza) / Kontrolle der Arbeitsumgebungsbedingungen (Temperatur, Luftfeuchtigkeit, Lärm, Beleuchtung, Luftstrom)],MATCH($B61,tab_MinKomp[[Stanowisko / Position ]:[Stanowisko / Position ]],0))="n/a","n/a",DT61-INDEX(tab_MinKomp[Kontrola warunków środowiskowych pracy (temperatura, wilgotność, hałas, oświetlenie, przepływ powietrza) / Kontrolle der Arbeitsumgebungsbedingungen (Temperatur, Luftfeuchtigkeit, Lärm, Beleuchtung, Luftstrom)],MATCH($B61,tab_MinKomp[[Stanowisko / Position ]:[Stanowisko / Position ]],0)))</f>
        <v>n/a</v>
      </c>
      <c r="DU62" s="315" t="str">
        <f>IF(INDEX(tab_MinKomp[MSA i SPC],MATCH($B61,tab_MinKomp[[Stanowisko / Position ]:[Stanowisko / Position ]],0))="n/a","n/a",DU61-INDEX(tab_MinKomp[MSA i SPC],MATCH($B61,tab_MinKomp[[Stanowisko / Position ]:[Stanowisko / Position ]],0)))</f>
        <v>n/a</v>
      </c>
      <c r="DV62" s="315" t="str">
        <f>IF(INDEX(tab_MinKomp[Kontrola wejściowa komponentów/ Eingangskontrolle],MATCH($B61,tab_MinKomp[[Stanowisko / Position ]:[Stanowisko / Position ]],0))="n/a","n/a",DV61-INDEX(tab_MinKomp[Kontrola wejściowa komponentów/ Eingangskontrolle],MATCH($B61,tab_MinKomp[[Stanowisko / Position ]:[Stanowisko / Position ]],0)))</f>
        <v>n/a</v>
      </c>
      <c r="DW62" s="315" t="str">
        <f>IF(INDEX(tab_MinKomp[Kontrola wyjściowa produktu / Ausgangskontrolle],MATCH($B61,tab_MinKomp[[Stanowisko / Position ]:[Stanowisko / Position ]],0))="n/a","n/a",DW61-INDEX(tab_MinKomp[Kontrola wyjściowa produktu / Ausgangskontrolle],MATCH($B61,tab_MinKomp[[Stanowisko / Position ]:[Stanowisko / Position ]],0)))</f>
        <v>n/a</v>
      </c>
      <c r="DX62" s="315" t="str">
        <f>IF(INDEX(tab_MinKomp[Kontrola codzienna produkcji / Tägliche Produktionskontrolle],MATCH($B61,tab_MinKomp[[Stanowisko / Position ]:[Stanowisko / Position ]],0))="n/a","n/a",DX61-INDEX(tab_MinKomp[Kontrola codzienna produkcji / Tägliche Produktionskontrolle],MATCH($B61,tab_MinKomp[[Stanowisko / Position ]:[Stanowisko / Position ]],0)))</f>
        <v>n/a</v>
      </c>
      <c r="DY62" s="315" t="str">
        <f>IF(INDEX(tab_MinKomp[Konserwacja Rep],MATCH($B61,tab_MinKomp[[Stanowisko / Position ]:[Stanowisko / Position ]],0))="n/a","n/a",DY61-INDEX(tab_MinKomp[Konserwacja Rep],MATCH($B61,tab_MinKomp[[Stanowisko / Position ]:[Stanowisko / Position ]],0)))</f>
        <v>n/a</v>
      </c>
      <c r="DZ62" s="315" t="str">
        <f>IF(INDEX(tab_MinKomp[[Konserwacja Engel ]],MATCH($B61,tab_MinKomp[[Stanowisko / Position ]:[Stanowisko / Position ]],0))="n/a","n/a",DZ61-INDEX(tab_MinKomp[[Konserwacja Engel ]],MATCH($B61,tab_MinKomp[[Stanowisko / Position ]:[Stanowisko / Position ]],0)))</f>
        <v>n/a</v>
      </c>
      <c r="EA62" s="315" t="str">
        <f>IF(INDEX(tab_MinKomp[Konserwacja B 50],MATCH($B61,tab_MinKomp[[Stanowisko / Position ]:[Stanowisko / Position ]],0))="n/a","n/a",EA61-INDEX(tab_MinKomp[Konserwacja B 50],MATCH($B61,tab_MinKomp[[Stanowisko / Position ]:[Stanowisko / Position ]],0)))</f>
        <v>n/a</v>
      </c>
      <c r="EB62" s="315" t="str">
        <f>IF(INDEX(tab_MinKomp[[Konserwacja EOL ]],MATCH($B61,tab_MinKomp[[Stanowisko / Position ]:[Stanowisko / Position ]],0))="n/a","n/a",EB61-INDEX(tab_MinKomp[[Konserwacja EOL ]],MATCH($B61,tab_MinKomp[[Stanowisko / Position ]:[Stanowisko / Position ]],0)))</f>
        <v>n/a</v>
      </c>
      <c r="EC62" s="315" t="str">
        <f>IF(INDEX(tab_MinKomp[Konserwacja Branson],MATCH($B61,tab_MinKomp[[Stanowisko / Position ]:[Stanowisko / Position ]],0))="n/a","n/a",EC61-INDEX(tab_MinKomp[Konserwacja Branson],MATCH($B61,tab_MinKomp[[Stanowisko / Position ]:[Stanowisko / Position ]],0)))</f>
        <v>n/a</v>
      </c>
      <c r="ED62" s="315" t="str">
        <f>IF(INDEX(tab_MinKomp[Konserwacja coolery],MATCH($B61,tab_MinKomp[[Stanowisko / Position ]:[Stanowisko / Position ]],0))="n/a","n/a",ED61-INDEX(tab_MinKomp[Konserwacja coolery],MATCH($B61,tab_MinKomp[[Stanowisko / Position ]:[Stanowisko / Position ]],0)))</f>
        <v>n/a</v>
      </c>
      <c r="EE62" s="315" t="str">
        <f>IF(INDEX(tab_MinKomp[Konserwacja piecy],MATCH($B61,tab_MinKomp[[Stanowisko / Position ]:[Stanowisko / Position ]],0))="n/a","n/a",EE61-INDEX(tab_MinKomp[Konserwacja piecy],MATCH($B61,tab_MinKomp[[Stanowisko / Position ]:[Stanowisko / Position ]],0)))</f>
        <v>n/a</v>
      </c>
      <c r="EF62" s="315">
        <f>IF(INDEX(tab_MinKomp[Rysunek techniczny- czytanie],MATCH($B61,tab_MinKomp[[Stanowisko / Position ]:[Stanowisko / Position ]],0))="n/a","n/a",EF61-INDEX(tab_MinKomp[Rysunek techniczny- czytanie],MATCH($B61,tab_MinKomp[[Stanowisko / Position ]:[Stanowisko / Position ]],0)))</f>
        <v>-1</v>
      </c>
      <c r="EG62" s="315">
        <f>IF(INDEX(tab_MinKomp[Elektryka],MATCH($B61,tab_MinKomp[[Stanowisko / Position ]:[Stanowisko / Position ]],0))="n/a","n/a",EG61-INDEX(tab_MinKomp[Elektryka],MATCH($B61,tab_MinKomp[[Stanowisko / Position ]:[Stanowisko / Position ]],0)))</f>
        <v>-1</v>
      </c>
      <c r="EH62" s="315">
        <f>IF(INDEX(tab_MinKomp[Pneumatyka],MATCH($B61,tab_MinKomp[[Stanowisko / Position ]:[Stanowisko / Position ]],0))="n/a","n/a",EH61-INDEX(tab_MinKomp[Pneumatyka],MATCH($B61,tab_MinKomp[[Stanowisko / Position ]:[Stanowisko / Position ]],0)))</f>
        <v>-1</v>
      </c>
      <c r="EI62" s="315">
        <f>IF(INDEX(tab_MinKomp[[Hydraulika ]],MATCH($B61,tab_MinKomp[[Stanowisko / Position ]:[Stanowisko / Position ]],0))="n/a","n/a",EI61-INDEX(tab_MinKomp[[Hydraulika ]],MATCH($B61,tab_MinKomp[[Stanowisko / Position ]:[Stanowisko / Position ]],0)))</f>
        <v>0</v>
      </c>
      <c r="EJ62" s="315">
        <f>IF(INDEX(tab_MinKomp[Podciśnienie],MATCH($B61,tab_MinKomp[[Stanowisko / Position ]:[Stanowisko / Position ]],0))="n/a","n/a",EJ61-INDEX(tab_MinKomp[Podciśnienie],MATCH($B61,tab_MinKomp[[Stanowisko / Position ]:[Stanowisko / Position ]],0)))</f>
        <v>-1</v>
      </c>
      <c r="EK62" s="315">
        <f>IF(INDEX(tab_MinKomp[Usuwanie awarii],MATCH($B61,tab_MinKomp[[Stanowisko / Position ]:[Stanowisko / Position ]],0))="n/a","n/a",EK61-INDEX(tab_MinKomp[Usuwanie awarii],MATCH($B61,tab_MinKomp[[Stanowisko / Position ]:[Stanowisko / Position ]],0)))</f>
        <v>-1</v>
      </c>
      <c r="EL62" s="315">
        <f>IF(INDEX(tab_MinKomp[Obsługa robotów],MATCH($B61,tab_MinKomp[[Stanowisko / Position ]:[Stanowisko / Position ]],0))="n/a","n/a",EL61-INDEX(tab_MinKomp[Obsługa robotów],MATCH($B61,tab_MinKomp[[Stanowisko / Position ]:[Stanowisko / Position ]],0)))</f>
        <v>1</v>
      </c>
      <c r="EM62" s="315">
        <f>IF(INDEX(tab_MinKomp[Obsługa sterowania maszyny],MATCH($B61,tab_MinKomp[[Stanowisko / Position ]:[Stanowisko / Position ]],0))="n/a","n/a",EM61-INDEX(tab_MinKomp[Obsługa sterowania maszyny],MATCH($B61,tab_MinKomp[[Stanowisko / Position ]:[Stanowisko / Position ]],0)))</f>
        <v>0</v>
      </c>
      <c r="EN62" s="315">
        <f>IF(INDEX(tab_MinKomp[Usuwanie przyczyn żródłowych],MATCH($B61,tab_MinKomp[[Stanowisko / Position ]:[Stanowisko / Position ]],0))="n/a","n/a",EN61-INDEX(tab_MinKomp[Usuwanie przyczyn żródłowych],MATCH($B61,tab_MinKomp[[Stanowisko / Position ]:[Stanowisko / Position ]],0)))</f>
        <v>-1</v>
      </c>
      <c r="EO62" s="315">
        <f>IF(INDEX(tab_MinKomp[Cmms stosowanie],MATCH($B61,tab_MinKomp[[Stanowisko / Position ]:[Stanowisko / Position ]],0))="n/a","n/a",EO61-INDEX(tab_MinKomp[Cmms stosowanie],MATCH($B61,tab_MinKomp[[Stanowisko / Position ]:[Stanowisko / Position ]],0)))</f>
        <v>-1</v>
      </c>
      <c r="EP62" s="315">
        <f>IF(INDEX(tab_MinKomp[[Czyszczenie form gumowych ]],MATCH($B61,tab_MinKomp[[Stanowisko / Position ]:[Stanowisko / Position ]],0))="n/a","n/a",EP61-INDEX(tab_MinKomp[[Czyszczenie form gumowych ]],MATCH($B61,tab_MinKomp[[Stanowisko / Position ]:[Stanowisko / Position ]],0)))</f>
        <v>-1</v>
      </c>
      <c r="EQ62" s="315">
        <f>IF(INDEX(tab_MinKomp[Czyszczenie form plastikowych],MATCH($B61,tab_MinKomp[[Stanowisko / Position ]:[Stanowisko / Position ]],0))="n/a","n/a",EQ61-INDEX(tab_MinKomp[Czyszczenie form plastikowych],MATCH($B61,tab_MinKomp[[Stanowisko / Position ]:[Stanowisko / Position ]],0)))</f>
        <v>0</v>
      </c>
      <c r="ER62" s="315">
        <f>IF(INDEX(tab_MinKomp[Wymiana form plastik],MATCH($B61,tab_MinKomp[[Stanowisko / Position ]:[Stanowisko / Position ]],0))="n/a","n/a",ER61-INDEX(tab_MinKomp[Wymiana form plastik],MATCH($B61,tab_MinKomp[[Stanowisko / Position ]:[Stanowisko / Position ]],0)))</f>
        <v>0</v>
      </c>
      <c r="ES62" s="315">
        <f>IF(INDEX(tab_MinKomp[Wymiana form guma],MATCH($B61,tab_MinKomp[[Stanowisko / Position ]:[Stanowisko / Position ]],0))="n/a","n/a",ES61-INDEX(tab_MinKomp[Wymiana form guma],MATCH($B61,tab_MinKomp[[Stanowisko / Position ]:[Stanowisko / Position ]],0)))</f>
        <v>0</v>
      </c>
      <c r="ET62" s="315">
        <f>IF(INDEX(tab_MinKomp[Konserwacja KK],MATCH($B61,tab_MinKomp[[Stanowisko / Position ]:[Stanowisko / Position ]],0))="n/a","n/a",ET61-INDEX(tab_MinKomp[Konserwacja KK],MATCH($B61,tab_MinKomp[[Stanowisko / Position ]:[Stanowisko / Position ]],0)))</f>
        <v>-1</v>
      </c>
      <c r="EU62" s="315">
        <f>IF(INDEX(tab_MinKomp[Konserwacja form guma],MATCH($B61,tab_MinKomp[[Stanowisko / Position ]:[Stanowisko / Position ]],0))="n/a","n/a",EU61-INDEX(tab_MinKomp[Konserwacja form guma],MATCH($B61,tab_MinKomp[[Stanowisko / Position ]:[Stanowisko / Position ]],0)))</f>
        <v>0</v>
      </c>
      <c r="EV62" s="315">
        <f>IF(INDEX(tab_MinKomp[Konserwacja form plastiki],MATCH($B61,tab_MinKomp[[Stanowisko / Position ]:[Stanowisko / Position ]],0))="n/a","n/a",EV61-INDEX(tab_MinKomp[Konserwacja form plastiki],MATCH($B61,tab_MinKomp[[Stanowisko / Position ]:[Stanowisko / Position ]],0)))</f>
        <v>-1</v>
      </c>
      <c r="EW62" s="330">
        <f>IF(INDEX(tab_MinKomp[Konserwacja form plastiki],MATCH($B61,tab_MinKomp[[Stanowisko / Position ]:[Stanowisko / Position ]],0))="n/a","n/a",EW61-INDEX(tab_MinKomp[Konserwacja form plastiki],MATCH($B61,tab_MinKomp[[Stanowisko / Position ]:[Stanowisko / Position ]],0)))</f>
        <v>0</v>
      </c>
      <c r="EX62" s="315">
        <f>IF(INDEX(tab_MinKomp[Konserwacja Gorącego Kanału],MATCH($B61,tab_MinKomp[[Stanowisko / Position ]:[Stanowisko / Position ]],0))="n/a","n/a",EX61-INDEX(tab_MinKomp[Konserwacja Gorącego Kanału],MATCH($B61,tab_MinKomp[[Stanowisko / Position ]:[Stanowisko / Position ]],0)))</f>
        <v>-2</v>
      </c>
      <c r="EY62" s="315">
        <f>IF(INDEX(tab_MinKomp[MS Office (Excel)],MATCH($B61,tab_MinKomp[[Stanowisko / Position ]:[Stanowisko / Position ]],0))="n/a","n/a",EY61-INDEX(tab_MinKomp[MS Office (Excel)],MATCH($B61,tab_MinKomp[[Stanowisko / Position ]:[Stanowisko / Position ]],0)))</f>
        <v>-1</v>
      </c>
      <c r="EZ62" s="315">
        <f>IF(INDEX(tab_MinKomp[MS Office (Word)],MATCH($B61,tab_MinKomp[[Stanowisko / Position ]:[Stanowisko / Position ]],0))="n/a","n/a",EZ61-INDEX(tab_MinKomp[MS Office (Word)],MATCH($B61,tab_MinKomp[[Stanowisko / Position ]:[Stanowisko / Position ]],0)))</f>
        <v>-1</v>
      </c>
      <c r="FA62" s="315">
        <f>IF(INDEX(tab_MinKomp[MS Office (Power Point)],MATCH($B61,tab_MinKomp[[Stanowisko / Position ]:[Stanowisko / Position ]],0))="n/a","n/a",FA61-INDEX(tab_MinKomp[MS Office (Power Point)],MATCH($B61,tab_MinKomp[[Stanowisko / Position ]:[Stanowisko / Position ]],0)))</f>
        <v>-1</v>
      </c>
      <c r="FB62" s="315" t="str">
        <f>IF(INDEX(tab_MinKomp[Język angielski / Englisch],MATCH($B61,tab_MinKomp[[Stanowisko / Position ]:[Stanowisko / Position ]],0))="n/a","n/a",FB61-INDEX(tab_MinKomp[Język angielski / Englisch],MATCH($B61,tab_MinKomp[[Stanowisko / Position ]:[Stanowisko / Position ]],0)))</f>
        <v>n/a</v>
      </c>
      <c r="FC62" s="315" t="str">
        <f>IF(INDEX(tab_MinKomp[Język niemiecki / Deutsch],MATCH($B61,tab_MinKomp[[Stanowisko / Position ]:[Stanowisko / Position ]],0))="n/a","n/a",FC61-INDEX(tab_MinKomp[Język niemiecki / Deutsch],MATCH($B61,tab_MinKomp[[Stanowisko / Position ]:[Stanowisko / Position ]],0)))</f>
        <v>n/a</v>
      </c>
      <c r="FD62" s="315">
        <f>IF(INDEX(tab_MinKomp[Zarządzanie dokumentacją procesową / Process dokumentation management],MATCH($B61,tab_MinKomp[[Stanowisko / Position ]:[Stanowisko / Position ]],0))="n/a","n/a",FD61-INDEX(tab_MinKomp[Zarządzanie dokumentacją procesową / Process dokumentation management],MATCH($B61,tab_MinKomp[[Stanowisko / Position ]:[Stanowisko / Position ]],0)))</f>
        <v>0</v>
      </c>
      <c r="FE62" s="315">
        <f>IF(INDEX(tab_MinKomp[Znajomość procesów z obszaru / Kenntiss der prozesse in dem Bereich],MATCH($B61,tab_MinKomp[[Stanowisko / Position ]:[Stanowisko / Position ]],0))="n/a","n/a",FE61-INDEX(tab_MinKomp[Znajomość procesów z obszaru / Kenntiss der prozesse in dem Bereich],MATCH($B61,tab_MinKomp[[Stanowisko / Position ]:[Stanowisko / Position ]],0)))</f>
        <v>-1</v>
      </c>
      <c r="FF62" s="315">
        <f>IF(INDEX(tab_MinKomp[optymalizacja procesów / Prozessoptymalisierung],MATCH($B61,tab_MinKomp[[Stanowisko / Position ]:[Stanowisko / Position ]],0))="n/a","n/a",FF61-INDEX(tab_MinKomp[optymalizacja procesów / Prozessoptymalisierung],MATCH($B61,tab_MinKomp[[Stanowisko / Position ]:[Stanowisko / Position ]],0)))</f>
        <v>0</v>
      </c>
      <c r="FG62" s="315">
        <f>IF(INDEX(tab_MinKomp[Umiejętności szkoleniowe / Trainingsfähigkeiten],MATCH($B61,tab_MinKomp[[Stanowisko / Position ]:[Stanowisko / Position ]],0))="n/a","n/a",FG61-INDEX(tab_MinKomp[Umiejętności szkoleniowe / Trainingsfähigkeiten],MATCH($B61,tab_MinKomp[[Stanowisko / Position ]:[Stanowisko / Position ]],0)))</f>
        <v>-1</v>
      </c>
      <c r="FH62" s="315">
        <f>IF(INDEX(tab_MinKomp[Analityczne myślenie, podejście / Analitysches Denken, Einstellung],MATCH($B61,tab_MinKomp[[Stanowisko / Position ]:[Stanowisko / Position ]],0))="n/a","n/a",FH61-INDEX(tab_MinKomp[Analityczne myślenie, podejście / Analitysches Denken, Einstellung],MATCH($B61,tab_MinKomp[[Stanowisko / Position ]:[Stanowisko / Position ]],0)))</f>
        <v>-1</v>
      </c>
      <c r="FI62" s="315">
        <f>IF(INDEX(tab_MinKomp[Dokładność, precyzja w dzialaniu / Genauigkeit, Präzision in die Arbeit],MATCH($B61,tab_MinKomp[[Stanowisko / Position ]:[Stanowisko / Position ]],0))="n/a","n/a",FI61-INDEX(tab_MinKomp[Dokładność, precyzja w dzialaniu / Genauigkeit, Präzision in die Arbeit],MATCH($B61,tab_MinKomp[[Stanowisko / Position ]:[Stanowisko / Position ]],0)))</f>
        <v>-1</v>
      </c>
      <c r="FJ62" s="315">
        <f>IF(INDEX(tab_MinKomp[Dyspozycyjność / Verfügbarkeit],MATCH($B61,tab_MinKomp[[Stanowisko / Position ]:[Stanowisko / Position ]],0))="n/a","n/a",FJ61-INDEX(tab_MinKomp[Dyspozycyjność / Verfügbarkeit],MATCH($B61,tab_MinKomp[[Stanowisko / Position ]:[Stanowisko / Position ]],0)))</f>
        <v>-1</v>
      </c>
      <c r="FK62" s="315">
        <f>IF(INDEX(tab_MinKomp[Zaangażowanie / 
Engagement],MATCH($B61,tab_MinKomp[[Stanowisko / Position ]:[Stanowisko / Position ]],0))="n/a","n/a",FK61-INDEX(tab_MinKomp[Zaangażowanie / 
Engagement],MATCH($B61,tab_MinKomp[[Stanowisko / Position ]:[Stanowisko / Position ]],0)))</f>
        <v>-1</v>
      </c>
      <c r="FL62" s="315" t="str">
        <f>IF(INDEX(tab_MinKomp[Planowanie strategiczne / Strategische Planung],MATCH($B61,tab_MinKomp[[Stanowisko / Position ]:[Stanowisko / Position ]],0))="n/a","n/a",FL61-INDEX(tab_MinKomp[Planowanie strategiczne / Strategische Planung],MATCH($B61,tab_MinKomp[[Stanowisko / Position ]:[Stanowisko / Position ]],0)))</f>
        <v>n/a</v>
      </c>
      <c r="FM62" s="315">
        <f>IF(INDEX(tab_MinKomp[Konsekwentne i dynamiczne działanie],MATCH($B61,tab_MinKomp[[Stanowisko / Position ]:[Stanowisko / Position ]],0))="n/a","n/a",FM61-INDEX(tab_MinKomp[Konsekwentne i dynamiczne działanie],MATCH($B61,tab_MinKomp[[Stanowisko / Position ]:[Stanowisko / Position ]],0)))</f>
        <v>-1</v>
      </c>
      <c r="FN62" s="315">
        <f>IF(INDEX(tab_MinKomp[Elastyczność w działaniu],MATCH($B61,tab_MinKomp[[Stanowisko / Position ]:[Stanowisko / Position ]],0))="n/a","n/a",FN61-INDEX(tab_MinKomp[Elastyczność w działaniu],MATCH($B61,tab_MinKomp[[Stanowisko / Position ]:[Stanowisko / Position ]],0)))</f>
        <v>-1</v>
      </c>
      <c r="FO62" s="315">
        <f>IF(INDEX(tab_MinKomp[Komunikatywność],MATCH($B61,tab_MinKomp[[Stanowisko / Position ]:[Stanowisko / Position ]],0))="n/a","n/a",FO61-INDEX(tab_MinKomp[Komunikatywność],MATCH($B61,tab_MinKomp[[Stanowisko / Position ]:[Stanowisko / Position ]],0)))</f>
        <v>-1</v>
      </c>
      <c r="FP62" s="315" t="str">
        <f>IF(INDEX(tab_MinKomp[Motywowanie i budowanie zaangażowania zespołu],MATCH($B61,tab_MinKomp[[Stanowisko / Position ]:[Stanowisko / Position ]],0))="n/a","n/a",FP61-INDEX(tab_MinKomp[Motywowanie i budowanie zaangażowania zespołu],MATCH($B61,tab_MinKomp[[Stanowisko / Position ]:[Stanowisko / Position ]],0)))</f>
        <v>n/a</v>
      </c>
      <c r="FQ62" s="318" t="str">
        <f>IFERROR(IF(INDEX(tab_MinKomp[BRAK / Keine],MATCH($B61,tab_MinKomp[[Stanowisko / Position ]:[Stanowisko / Position ]],0))="n/a","n/a",INDEX(tab_MinKomp[BRAK / Keine],MATCH($B61,tab_MinKomp[[Stanowisko / Position ]:[Stanowisko / Position ]],0))-FQ61),"")</f>
        <v>n/a</v>
      </c>
      <c r="FR62" s="315" t="str">
        <f>IF(INDEX(tab_MinKomp[MINIMUM 1 ROK / min. 1 Jahr],MATCH($B61,tab_MinKomp[[Stanowisko / Position ]:[Stanowisko / Position ]],0))="n/a","n/a",INDEX(tab_MinKomp[MINIMUM 1 ROK / min. 1 Jahr],MATCH($B61,tab_MinKomp[[Stanowisko / Position ]:[Stanowisko / Position ]],0)))</f>
        <v>n/a</v>
      </c>
      <c r="FS62" s="315" t="str">
        <f>IF(INDEX(tab_MinKomp[MINIMUM 2 LATA / min. 2 Jahre],MATCH($B61,tab_MinKomp[[Stanowisko / Position ]:[Stanowisko / Position ]],0))="n/a","n/a",INDEX(tab_MinKomp[MINIMUM 2 LATA / min. 2 Jahre],MATCH($B61,tab_MinKomp[[Stanowisko / Position ]:[Stanowisko / Position ]],0)))</f>
        <v>n/a</v>
      </c>
      <c r="FT62" s="315" t="str">
        <f>IF(INDEX(tab_MinKomp[MINIMUM 3 LATA / min. 3 Jahre],MATCH($B61,tab_MinKomp[[Stanowisko / Position ]:[Stanowisko / Position ]],0))="n/a","n/a",INDEX(tab_MinKomp[MINIMUM 3 LATA / min. 3 Jahre],MATCH($B61,tab_MinKomp[[Stanowisko / Position ]:[Stanowisko / Position ]],0)))</f>
        <v>n/a</v>
      </c>
      <c r="FU62" s="315" t="str">
        <f>IF(INDEX(tab_MinKomp[MINIMUM 4 LATA / min. 4 Jahre],MATCH($B61,tab_MinKomp[[Stanowisko / Position ]:[Stanowisko / Position ]],0))="n/a","n/a",INDEX(tab_MinKomp[MINIMUM 4 LATA / min. 4 Jahre],MATCH($B61,tab_MinKomp[[Stanowisko / Position ]:[Stanowisko / Position ]],0)))</f>
        <v>n/a</v>
      </c>
      <c r="FV62" s="319" t="str">
        <f>IF(INDEX(tab_MinKomp[MINIMUM 5 LAT / min. 5 Jahre],MATCH($B61,tab_MinKomp[[Stanowisko / Position ]:[Stanowisko / Position ]],0))="n/a","n/a",INDEX(tab_MinKomp[MINIMUM 5 LAT / min. 5 Jahre],MATCH($B61,tab_MinKomp[[Stanowisko / Position ]:[Stanowisko / Position ]],0)))</f>
        <v>n/a</v>
      </c>
      <c r="FW62" s="318" t="str">
        <f>IF(INDEX(tab_MinKomp[BRAK / Keine9],MATCH($B61,tab_MinKomp[[Stanowisko / Position ]:[Stanowisko / Position ]],0))="n/a","n/a",INDEX(tab_MinKomp[BRAK / Keine9],MATCH($B61,tab_MinKomp[[Stanowisko / Position ]:[Stanowisko / Position ]],0)))</f>
        <v>n/a</v>
      </c>
      <c r="FX62" s="315" t="str">
        <f>IF(INDEX(tab_MinKomp[ZAWODOWE / Berufsausbildung],MATCH($B61,tab_MinKomp[[Stanowisko / Position ]:[Stanowisko / Position ]],0))="n/a","n/a",INDEX(tab_MinKomp[ZAWODOWE / Berufsausbildung],MATCH($B61,tab_MinKomp[[Stanowisko / Position ]:[Stanowisko / Position ]],0)))</f>
        <v>n/a</v>
      </c>
      <c r="FY62" s="315" t="str">
        <f>IF(INDEX(tab_MinKomp[ŚREDNIE OGÓLNE / Abitur allgemeine],MATCH($B61,tab_MinKomp[[Stanowisko / Position ]:[Stanowisko / Position ]],0))="n/a","n/a",INDEX(tab_MinKomp[ŚREDNIE OGÓLNE / Abitur allgemeine],MATCH($B61,tab_MinKomp[[Stanowisko / Position ]:[Stanowisko / Position ]],0)))</f>
        <v>n/a</v>
      </c>
      <c r="FZ62" s="315" t="str">
        <f>IF(INDEX(tab_MinKomp[ŚREDNIE KIERUNKOWE / berufliches Gymnasium],MATCH($B61,tab_MinKomp[[Stanowisko / Position ]:[Stanowisko / Position ]],0))="n/a","n/a",INDEX(tab_MinKomp[ŚREDNIE KIERUNKOWE / berufliches Gymnasium],MATCH($B61,tab_MinKomp[[Stanowisko / Position ]:[Stanowisko / Position ]],0)))</f>
        <v>n/a</v>
      </c>
      <c r="GA62" s="315" t="str">
        <f>IF(INDEX(tab_MinKomp[WYŻSZE OGÓLNE / Hochschule allgemeine],MATCH($B61,tab_MinKomp[[Stanowisko / Position ]:[Stanowisko / Position ]],0))="n/a","n/a",INDEX(tab_MinKomp[WYŻSZE OGÓLNE / Hochschule allgemeine],MATCH($B61,tab_MinKomp[[Stanowisko / Position ]:[Stanowisko / Position ]],0)))</f>
        <v>n/a</v>
      </c>
      <c r="GB62" s="319" t="str">
        <f>IF(INDEX(tab_MinKomp[WYŻSZE KIERUNKOWE / Hochschule berufliche],MATCH($B61,tab_MinKomp[[Stanowisko / Position ]:[Stanowisko / Position ]],0))="n/a","n/a",INDEX(tab_MinKomp[WYŻSZE KIERUNKOWE / Hochschule berufliche],MATCH($B61,tab_MinKomp[[Stanowisko / Position ]:[Stanowisko / Position ]],0)))</f>
        <v>n/a</v>
      </c>
      <c r="GC62" s="318" t="str">
        <f>IF(INDEX(tab_MinKomp[PIERWSZA POMOC / Erste Hilfe],MATCH($B61,tab_MinKomp[[Stanowisko / Position ]:[Stanowisko / Position ]],0))="n/a","n/a",INDEX(tab_MinKomp[PIERWSZA POMOC / Erste Hilfe],MATCH($B61,tab_MinKomp[[Stanowisko / Position ]:[Stanowisko / Position ]],0)))</f>
        <v>n/a</v>
      </c>
      <c r="GD62" s="315" t="str">
        <f>IF(INDEX(tab_MinKomp[Specjalista BHP / BHP Spezialist],MATCH($B61,tab_MinKomp[[Stanowisko / Position ]:[Stanowisko / Position ]],0))="n/a","n/a",INDEX(tab_MinKomp[Specjalista BHP / BHP Spezialist],MATCH($B61,tab_MinKomp[[Stanowisko / Position ]:[Stanowisko / Position ]],0)))</f>
        <v>n/a</v>
      </c>
      <c r="GE62" s="315" t="str">
        <f>IF(INDEX(tab_MinKomp[Inspektor ochrony PPOŻ / Brandschutzinspektor],MATCH($B61,tab_MinKomp[[Stanowisko / Position ]:[Stanowisko / Position ]],0))="n/a","n/a",INDEX(tab_MinKomp[Inspektor ochrony PPOŻ / Brandschutzinspektor],MATCH($B61,tab_MinKomp[[Stanowisko / Position ]:[Stanowisko / Position ]],0)))</f>
        <v>n/a</v>
      </c>
      <c r="GF62" s="315" t="str">
        <f>IF(INDEX(tab_MinKomp[WÓZKI JEZDNIOWE / Gebelstapler],MATCH($B61,tab_MinKomp[[Stanowisko / Position ]:[Stanowisko / Position ]],0))="n/a","n/a",INDEX(tab_MinKomp[WÓZKI JEZDNIOWE / Gebelstapler],MATCH($B61,tab_MinKomp[[Stanowisko / Position ]:[Stanowisko / Position ]],0)))</f>
        <v>x</v>
      </c>
      <c r="GG62" s="315" t="str">
        <f>IF(INDEX(tab_MinKomp[SEP],MATCH($B61,tab_MinKomp[[Stanowisko / Position ]:[Stanowisko / Position ]],0))="n/a","n/a",INDEX(tab_MinKomp[SEP],MATCH($B61,tab_MinKomp[[Stanowisko / Position ]:[Stanowisko / Position ]],0)))</f>
        <v>x</v>
      </c>
      <c r="GH62" s="315" t="str">
        <f>IF(INDEX(tab_MinKomp[SEP  DOZÓR / SEP Aufsicht],MATCH($B61,tab_MinKomp[[Stanowisko / Position ]:[Stanowisko / Position ]],0))="n/a","n/a",INDEX(tab_MinKomp[SEP  DOZÓR / SEP Aufsicht],MATCH($B61,tab_MinKomp[[Stanowisko / Position ]:[Stanowisko / Position ]],0)))</f>
        <v>n/a</v>
      </c>
      <c r="GI62" s="315" t="str">
        <f>IF(INDEX(tab_MinKomp[PODNOŚNIKI / Hebevorrichtung],MATCH($B61,tab_MinKomp[[Stanowisko / Position ]:[Stanowisko / Position ]],0))="n/a","n/a",INDEX(tab_MinKomp[PODNOŚNIKI / Hebevorrichtung],MATCH($B61,tab_MinKomp[[Stanowisko / Position ]:[Stanowisko / Position ]],0)))</f>
        <v>n/a</v>
      </c>
      <c r="GJ62" s="315" t="str">
        <f>IF(INDEX(tab_MinKomp[SUWNICE / Laufkran],MATCH($B61,tab_MinKomp[[Stanowisko / Position ]:[Stanowisko / Position ]],0))="n/a","n/a",INDEX(tab_MinKomp[SUWNICE / Laufkran],MATCH($B61,tab_MinKomp[[Stanowisko / Position ]:[Stanowisko / Position ]],0)))</f>
        <v>x</v>
      </c>
      <c r="GK62" s="319" t="str">
        <f>IF(INDEX(tab_MinKomp[WYSOKOŚCIOWE / Höhenberechtigungen],MATCH($B61,tab_MinKomp[[Stanowisko / Position ]:[Stanowisko / Position ]],0))="n/a","n/a",INDEX(tab_MinKomp[WYSOKOŚCIOWE / Höhenberechtigungen],MATCH($B61,tab_MinKomp[[Stanowisko / Position ]:[Stanowisko / Position ]],0)))</f>
        <v>n/a</v>
      </c>
      <c r="GL62" s="424">
        <f>SUM(G62:FP62)/(GL61-(SUM(G62:FP62)))</f>
        <v>-0.38202247191011235</v>
      </c>
      <c r="GM62" s="422"/>
    </row>
    <row r="63" spans="1:195" s="133" customFormat="1" ht="28.35" customHeight="1" x14ac:dyDescent="0.25">
      <c r="A63" s="135" t="s">
        <v>188</v>
      </c>
      <c r="B63" s="135" t="s">
        <v>207</v>
      </c>
      <c r="C63" s="135" t="s">
        <v>747</v>
      </c>
      <c r="D63" s="135">
        <v>1273</v>
      </c>
      <c r="E63" s="565" t="s">
        <v>234</v>
      </c>
      <c r="F63" s="339" t="s">
        <v>165</v>
      </c>
      <c r="G63" s="323">
        <v>2</v>
      </c>
      <c r="H63" s="323">
        <v>2</v>
      </c>
      <c r="I63" s="323">
        <v>2</v>
      </c>
      <c r="J63" s="323">
        <v>1</v>
      </c>
      <c r="K63" s="323">
        <v>2</v>
      </c>
      <c r="L63" s="323">
        <v>1</v>
      </c>
      <c r="M63" s="323" t="s">
        <v>176</v>
      </c>
      <c r="N63" s="323" t="s">
        <v>176</v>
      </c>
      <c r="O63" s="323">
        <v>1</v>
      </c>
      <c r="P63" s="323">
        <v>1</v>
      </c>
      <c r="Q63" s="323" t="s">
        <v>176</v>
      </c>
      <c r="R63" s="323" t="s">
        <v>176</v>
      </c>
      <c r="S63" s="323" t="s">
        <v>176</v>
      </c>
      <c r="T63" s="323" t="s">
        <v>176</v>
      </c>
      <c r="U63" s="323" t="s">
        <v>176</v>
      </c>
      <c r="V63" s="323" t="s">
        <v>176</v>
      </c>
      <c r="W63" s="323" t="s">
        <v>176</v>
      </c>
      <c r="X63" s="323" t="s">
        <v>176</v>
      </c>
      <c r="Y63" s="323" t="s">
        <v>176</v>
      </c>
      <c r="Z63" s="323" t="s">
        <v>176</v>
      </c>
      <c r="AA63" s="323" t="s">
        <v>176</v>
      </c>
      <c r="AB63" s="323" t="s">
        <v>176</v>
      </c>
      <c r="AC63" s="308" t="s">
        <v>176</v>
      </c>
      <c r="AD63" s="308" t="s">
        <v>176</v>
      </c>
      <c r="AE63" s="308" t="s">
        <v>176</v>
      </c>
      <c r="AF63" s="308" t="s">
        <v>176</v>
      </c>
      <c r="AG63" s="323" t="s">
        <v>176</v>
      </c>
      <c r="AH63" s="323" t="s">
        <v>176</v>
      </c>
      <c r="AI63" s="323" t="s">
        <v>176</v>
      </c>
      <c r="AJ63" s="323" t="s">
        <v>176</v>
      </c>
      <c r="AK63" s="323" t="s">
        <v>176</v>
      </c>
      <c r="AL63" s="323" t="s">
        <v>176</v>
      </c>
      <c r="AM63" s="323" t="s">
        <v>176</v>
      </c>
      <c r="AN63" s="323" t="s">
        <v>176</v>
      </c>
      <c r="AO63" s="323" t="s">
        <v>176</v>
      </c>
      <c r="AP63" s="323" t="s">
        <v>176</v>
      </c>
      <c r="AQ63" s="323" t="s">
        <v>176</v>
      </c>
      <c r="AR63" s="323" t="s">
        <v>176</v>
      </c>
      <c r="AS63" s="323" t="s">
        <v>176</v>
      </c>
      <c r="AT63" s="323" t="s">
        <v>176</v>
      </c>
      <c r="AU63" s="323" t="s">
        <v>176</v>
      </c>
      <c r="AV63" s="323">
        <v>2</v>
      </c>
      <c r="AW63" s="323">
        <v>1</v>
      </c>
      <c r="AX63" s="323"/>
      <c r="AY63" s="323" t="s">
        <v>176</v>
      </c>
      <c r="AZ63" s="323" t="s">
        <v>176</v>
      </c>
      <c r="BA63" s="323" t="s">
        <v>176</v>
      </c>
      <c r="BB63" s="323" t="s">
        <v>176</v>
      </c>
      <c r="BC63" s="323" t="s">
        <v>176</v>
      </c>
      <c r="BD63" s="323" t="s">
        <v>176</v>
      </c>
      <c r="BE63" s="323" t="s">
        <v>176</v>
      </c>
      <c r="BF63" s="323" t="s">
        <v>176</v>
      </c>
      <c r="BG63" s="323" t="s">
        <v>176</v>
      </c>
      <c r="BH63" s="323" t="s">
        <v>176</v>
      </c>
      <c r="BI63" s="323" t="s">
        <v>176</v>
      </c>
      <c r="BJ63" s="323" t="s">
        <v>176</v>
      </c>
      <c r="BK63" s="323" t="s">
        <v>176</v>
      </c>
      <c r="BL63" s="323" t="s">
        <v>176</v>
      </c>
      <c r="BM63" s="323" t="s">
        <v>176</v>
      </c>
      <c r="BN63" s="323">
        <v>1</v>
      </c>
      <c r="BO63" s="323">
        <v>1</v>
      </c>
      <c r="BP63" s="308" t="s">
        <v>176</v>
      </c>
      <c r="BQ63" s="308" t="s">
        <v>176</v>
      </c>
      <c r="BR63" s="308" t="s">
        <v>176</v>
      </c>
      <c r="BS63" s="308" t="s">
        <v>176</v>
      </c>
      <c r="BT63" s="308"/>
      <c r="BU63" s="308">
        <v>1</v>
      </c>
      <c r="BV63" s="323"/>
      <c r="BW63" s="323" t="s">
        <v>176</v>
      </c>
      <c r="BX63" s="323" t="s">
        <v>176</v>
      </c>
      <c r="BY63" s="323" t="s">
        <v>176</v>
      </c>
      <c r="BZ63" s="323" t="s">
        <v>176</v>
      </c>
      <c r="CA63" s="323" t="s">
        <v>176</v>
      </c>
      <c r="CB63" s="323" t="s">
        <v>176</v>
      </c>
      <c r="CC63" s="323" t="s">
        <v>176</v>
      </c>
      <c r="CD63" s="323" t="s">
        <v>176</v>
      </c>
      <c r="CE63" s="323" t="s">
        <v>176</v>
      </c>
      <c r="CF63" s="323" t="s">
        <v>176</v>
      </c>
      <c r="CG63" s="323" t="s">
        <v>176</v>
      </c>
      <c r="CH63" s="323" t="s">
        <v>176</v>
      </c>
      <c r="CI63" s="308" t="s">
        <v>176</v>
      </c>
      <c r="CJ63" s="323" t="s">
        <v>176</v>
      </c>
      <c r="CK63" s="323" t="s">
        <v>176</v>
      </c>
      <c r="CL63" s="323" t="s">
        <v>176</v>
      </c>
      <c r="CM63" s="323" t="s">
        <v>176</v>
      </c>
      <c r="CN63" s="323">
        <v>2</v>
      </c>
      <c r="CO63" s="323">
        <v>1</v>
      </c>
      <c r="CP63" s="323">
        <v>1</v>
      </c>
      <c r="CQ63" s="323" t="s">
        <v>176</v>
      </c>
      <c r="CR63" s="323" t="s">
        <v>176</v>
      </c>
      <c r="CS63" s="323" t="s">
        <v>176</v>
      </c>
      <c r="CT63" s="323" t="s">
        <v>176</v>
      </c>
      <c r="CU63" s="323"/>
      <c r="CV63" s="323" t="s">
        <v>176</v>
      </c>
      <c r="CW63" s="323" t="s">
        <v>176</v>
      </c>
      <c r="CX63" s="323" t="s">
        <v>176</v>
      </c>
      <c r="CY63" s="323" t="s">
        <v>176</v>
      </c>
      <c r="CZ63" s="323" t="s">
        <v>176</v>
      </c>
      <c r="DA63" s="323" t="s">
        <v>176</v>
      </c>
      <c r="DB63" s="323" t="s">
        <v>176</v>
      </c>
      <c r="DC63" s="323" t="s">
        <v>176</v>
      </c>
      <c r="DD63" s="323" t="s">
        <v>176</v>
      </c>
      <c r="DE63" s="323" t="s">
        <v>176</v>
      </c>
      <c r="DF63" s="323" t="s">
        <v>176</v>
      </c>
      <c r="DG63" s="323" t="s">
        <v>176</v>
      </c>
      <c r="DH63" s="323" t="s">
        <v>176</v>
      </c>
      <c r="DI63" s="323" t="s">
        <v>176</v>
      </c>
      <c r="DJ63" s="323" t="s">
        <v>176</v>
      </c>
      <c r="DK63" s="323" t="s">
        <v>176</v>
      </c>
      <c r="DL63" s="323" t="s">
        <v>176</v>
      </c>
      <c r="DM63" s="323" t="s">
        <v>176</v>
      </c>
      <c r="DN63" s="323" t="s">
        <v>176</v>
      </c>
      <c r="DO63" s="323" t="s">
        <v>176</v>
      </c>
      <c r="DP63" s="323" t="s">
        <v>176</v>
      </c>
      <c r="DQ63" s="323" t="s">
        <v>176</v>
      </c>
      <c r="DR63" s="323" t="s">
        <v>176</v>
      </c>
      <c r="DS63" s="323" t="s">
        <v>176</v>
      </c>
      <c r="DT63" s="323" t="s">
        <v>176</v>
      </c>
      <c r="DU63" s="323" t="s">
        <v>176</v>
      </c>
      <c r="DV63" s="300" t="s">
        <v>176</v>
      </c>
      <c r="DW63" s="300" t="s">
        <v>176</v>
      </c>
      <c r="DX63" s="300" t="s">
        <v>176</v>
      </c>
      <c r="DY63" s="323" t="s">
        <v>176</v>
      </c>
      <c r="DZ63" s="323" t="s">
        <v>176</v>
      </c>
      <c r="EA63" s="323" t="s">
        <v>176</v>
      </c>
      <c r="EB63" s="323" t="s">
        <v>176</v>
      </c>
      <c r="EC63" s="323" t="s">
        <v>176</v>
      </c>
      <c r="ED63" s="323" t="s">
        <v>176</v>
      </c>
      <c r="EE63" s="323" t="s">
        <v>176</v>
      </c>
      <c r="EF63" s="323">
        <v>2</v>
      </c>
      <c r="EG63" s="323">
        <v>2</v>
      </c>
      <c r="EH63" s="323">
        <v>2</v>
      </c>
      <c r="EI63" s="323">
        <v>2</v>
      </c>
      <c r="EJ63" s="323">
        <v>2</v>
      </c>
      <c r="EK63" s="323">
        <v>2</v>
      </c>
      <c r="EL63" s="323">
        <v>1</v>
      </c>
      <c r="EM63" s="323">
        <v>1</v>
      </c>
      <c r="EN63" s="323">
        <v>2</v>
      </c>
      <c r="EO63" s="323">
        <v>2</v>
      </c>
      <c r="EP63" s="323">
        <v>2</v>
      </c>
      <c r="EQ63" s="323">
        <v>2</v>
      </c>
      <c r="ER63" s="323">
        <v>2</v>
      </c>
      <c r="ES63" s="323">
        <v>2</v>
      </c>
      <c r="ET63" s="323">
        <v>2</v>
      </c>
      <c r="EU63" s="323">
        <v>2</v>
      </c>
      <c r="EV63" s="323">
        <v>2</v>
      </c>
      <c r="EW63" s="306">
        <v>2</v>
      </c>
      <c r="EX63" s="323">
        <v>2</v>
      </c>
      <c r="EY63" s="323">
        <v>1</v>
      </c>
      <c r="EZ63" s="323">
        <v>1</v>
      </c>
      <c r="FA63" s="323">
        <v>1</v>
      </c>
      <c r="FB63" s="323" t="s">
        <v>176</v>
      </c>
      <c r="FC63" s="323" t="s">
        <v>176</v>
      </c>
      <c r="FD63" s="323">
        <v>1</v>
      </c>
      <c r="FE63" s="323">
        <v>1</v>
      </c>
      <c r="FF63" s="323">
        <v>1</v>
      </c>
      <c r="FG63" s="323"/>
      <c r="FH63" s="323">
        <v>2</v>
      </c>
      <c r="FI63" s="323">
        <v>2</v>
      </c>
      <c r="FJ63" s="323">
        <v>3</v>
      </c>
      <c r="FK63" s="323">
        <v>2</v>
      </c>
      <c r="FL63" s="323" t="s">
        <v>176</v>
      </c>
      <c r="FM63" s="323">
        <v>2</v>
      </c>
      <c r="FN63" s="323">
        <v>2</v>
      </c>
      <c r="FO63" s="323">
        <v>1</v>
      </c>
      <c r="FP63" s="323" t="s">
        <v>176</v>
      </c>
      <c r="FQ63" s="323" t="s">
        <v>176</v>
      </c>
      <c r="FR63" s="323" t="s">
        <v>176</v>
      </c>
      <c r="FS63" s="323" t="s">
        <v>176</v>
      </c>
      <c r="FT63" s="323" t="s">
        <v>176</v>
      </c>
      <c r="FU63" s="323" t="s">
        <v>176</v>
      </c>
      <c r="FV63" s="323" t="s">
        <v>176</v>
      </c>
      <c r="FW63" s="323" t="s">
        <v>176</v>
      </c>
      <c r="FX63" s="323" t="s">
        <v>176</v>
      </c>
      <c r="FY63" s="323" t="s">
        <v>176</v>
      </c>
      <c r="FZ63" s="323" t="s">
        <v>176</v>
      </c>
      <c r="GA63" s="323" t="s">
        <v>176</v>
      </c>
      <c r="GB63" s="323" t="s">
        <v>176</v>
      </c>
      <c r="GC63" s="323" t="s">
        <v>176</v>
      </c>
      <c r="GD63" s="323" t="s">
        <v>176</v>
      </c>
      <c r="GE63" s="323" t="s">
        <v>176</v>
      </c>
      <c r="GF63" s="323"/>
      <c r="GG63" s="323" t="s">
        <v>387</v>
      </c>
      <c r="GH63" s="323" t="s">
        <v>176</v>
      </c>
      <c r="GI63" s="323" t="s">
        <v>176</v>
      </c>
      <c r="GJ63" s="323" t="s">
        <v>387</v>
      </c>
      <c r="GK63" s="323" t="s">
        <v>176</v>
      </c>
      <c r="GL63" s="390">
        <f>SUM(G63:FP63)</f>
        <v>78</v>
      </c>
      <c r="GM63" s="132"/>
    </row>
    <row r="64" spans="1:195" s="133" customFormat="1" ht="28.35" customHeight="1" thickBot="1" x14ac:dyDescent="0.3">
      <c r="A64" s="138" t="str">
        <f>A63</f>
        <v>Serwis form-Tooling</v>
      </c>
      <c r="B64" s="138" t="str">
        <f>B63</f>
        <v>Konserwator form</v>
      </c>
      <c r="C64" s="138" t="str">
        <f>C63</f>
        <v>KC</v>
      </c>
      <c r="D64" s="138">
        <f>D63</f>
        <v>1273</v>
      </c>
      <c r="E64" s="566" t="s">
        <v>234</v>
      </c>
      <c r="F64" s="312" t="s">
        <v>166</v>
      </c>
      <c r="G64" s="330">
        <f>IF(INDEX(tab_MinKomp[Przepisy BHP / BHP Vorschriften],MATCH($B63,tab_MinKomp[[Stanowisko / Position ]:[Stanowisko / Position ]],0))="n/a","n/a",G63-INDEX(tab_MinKomp[Przepisy BHP / BHP Vorschriften],MATCH($B63,tab_MinKomp[[Stanowisko / Position ]:[Stanowisko / Position ]],0)))</f>
        <v>0</v>
      </c>
      <c r="H64" s="330">
        <f>IF(INDEX(tab_MinKomp[Przepisy PPOŻ / Brandschutzbestimmungen],MATCH($B63,tab_MinKomp[[Stanowisko / Position ]:[Stanowisko / Position ]],0))="n/a","n/a",H63-INDEX(tab_MinKomp[Przepisy PPOŻ / Brandschutzbestimmungen],MATCH($B63,tab_MinKomp[[Stanowisko / Position ]:[Stanowisko / Position ]],0)))</f>
        <v>0</v>
      </c>
      <c r="I64" s="330">
        <f>IF(INDEX(tab_MinKomp[Ryzyko zawodowe na stanowiskach pracyv/ Berufliche Risiken an Arbeitsstellen],MATCH($B63,tab_MinKomp[[Stanowisko / Position ]:[Stanowisko / Position ]],0))="n/a","n/a",I63-INDEX(tab_MinKomp[Ryzyko zawodowe na stanowiskach pracyv/ Berufliche Risiken an Arbeitsstellen],MATCH($B63,tab_MinKomp[[Stanowisko / Position ]:[Stanowisko / Position ]],0)))</f>
        <v>0</v>
      </c>
      <c r="J64" s="314">
        <f>IF(INDEX(tab_MinKomp[Gospodarka substancjami niebezpiecznymi / Gefahrstoffmanagement],MATCH($B63,tab_MinKomp[[Stanowisko / Position ]:[Stanowisko / Position ]],0))="n/a","n/a",J63-INDEX(tab_MinKomp[Gospodarka substancjami niebezpiecznymi / Gefahrstoffmanagement],MATCH($B63,tab_MinKomp[[Stanowisko / Position ]:[Stanowisko / Position ]],0)))</f>
        <v>-1</v>
      </c>
      <c r="K64" s="314">
        <f>IF(INDEX(tab_MinKomp[Gospodarka odpadami / Abfallwirtschaft],MATCH($B63,tab_MinKomp[[Stanowisko / Position ]:[Stanowisko / Position ]],0))="n/a","n/a",K63-INDEX(tab_MinKomp[Gospodarka odpadami / Abfallwirtschaft],MATCH($B63,tab_MinKomp[[Stanowisko / Position ]:[Stanowisko / Position ]],0)))</f>
        <v>0</v>
      </c>
      <c r="L64" s="315">
        <f>IF(INDEX(tab_MinKomp[Przepisy kodeksu pracy / Bestimmungen des Arbeitsgesetzes],MATCH($B63,tab_MinKomp[[Stanowisko / Position ]:[Stanowisko / Position ]],0))="n/a","n/a",L63-INDEX(tab_MinKomp[Przepisy kodeksu pracy / Bestimmungen des Arbeitsgesetzes],MATCH($B63,tab_MinKomp[[Stanowisko / Position ]:[Stanowisko / Position ]],0)))</f>
        <v>0</v>
      </c>
      <c r="M64" s="316" t="str">
        <f>IF(INDEX(tab_MinKomp[Przepisy o ub.społ. ZUS  / Sozialversicherungsvorschriften],MATCH($B63,tab_MinKomp[[Stanowisko / Position ]:[Stanowisko / Position ]],0))="n/a","n/a",M63-INDEX(tab_MinKomp[Przepisy o ub.społ. ZUS  / Sozialversicherungsvorschriften],MATCH($B63,tab_MinKomp[[Stanowisko / Position ]:[Stanowisko / Position ]],0)))</f>
        <v>n/a</v>
      </c>
      <c r="N64" s="315" t="str">
        <f>IF(INDEX(tab_MinKomp[PRZEPISY O PDOF /persönlich Einkommensteuergesetz ],MATCH($B63,tab_MinKomp[[Stanowisko / Position ]:[Stanowisko / Position ]],0))="n/a","n/a",N63-INDEX(tab_MinKomp[PRZEPISY O PDOF /persönlich Einkommensteuergesetz ],MATCH($B63,tab_MinKomp[[Stanowisko / Position ]:[Stanowisko / Position ]],0)))</f>
        <v>n/a</v>
      </c>
      <c r="O64" s="315">
        <f>IF(INDEX(tab_MinKomp[Regulamin pracy / Arbeitsordnung],MATCH($B63,tab_MinKomp[[Stanowisko / Position ]:[Stanowisko / Position ]],0))="n/a","n/a",O63-INDEX(tab_MinKomp[Regulamin pracy / Arbeitsordnung],MATCH($B63,tab_MinKomp[[Stanowisko / Position ]:[Stanowisko / Position ]],0)))</f>
        <v>0</v>
      </c>
      <c r="P64" s="315">
        <f>IF(INDEX(tab_MinKomp[Regulamin wynagradzania / Vergütungsordnung],MATCH($B63,tab_MinKomp[[Stanowisko / Position ]:[Stanowisko / Position ]],0))="n/a","n/a",P63-INDEX(tab_MinKomp[Regulamin wynagradzania / Vergütungsordnung],MATCH($B63,tab_MinKomp[[Stanowisko / Position ]:[Stanowisko / Position ]],0)))</f>
        <v>0</v>
      </c>
      <c r="Q64" s="315" t="str">
        <f>IF(INDEX(tab_MinKomp[System R2PŁATNIK PRO: Płace / Lohnabrechnung],MATCH($B63,tab_MinKomp[[Stanowisko / Position ]:[Stanowisko / Position ]],0))="n/a","n/a",Q63-INDEX(tab_MinKomp[System R2PŁATNIK PRO: Płace / Lohnabrechnung],MATCH($B63,tab_MinKomp[[Stanowisko / Position ]:[Stanowisko / Position ]],0)))</f>
        <v>n/a</v>
      </c>
      <c r="R64" s="315" t="str">
        <f>IF(INDEX(tab_MinKomp[SystemR2PŁATNIK PRO: KADRY / Personaldaten],MATCH($B63,tab_MinKomp[[Stanowisko / Position ]:[Stanowisko / Position ]],0))="n/a","n/a",R63-INDEX(tab_MinKomp[SystemR2PŁATNIK PRO: KADRY / Personaldaten],MATCH($B63,tab_MinKomp[[Stanowisko / Position ]:[Stanowisko / Position ]],0)))</f>
        <v>n/a</v>
      </c>
      <c r="S64" s="315" t="str">
        <f>IF(INDEX(tab_MinKomp[SYSTEM R2PŁATNIK PRO: zarządzanie pracownikami / Arbeitsverwaltung],MATCH($B63,tab_MinKomp[[Stanowisko / Position ]:[Stanowisko / Position ]],0))="n/a","n/a",S63-INDEX(tab_MinKomp[SYSTEM R2PŁATNIK PRO: zarządzanie pracownikami / Arbeitsverwaltung],MATCH($B63,tab_MinKomp[[Stanowisko / Position ]:[Stanowisko / Position ]],0)))</f>
        <v>n/a</v>
      </c>
      <c r="T64" s="315" t="str">
        <f>IF(INDEX(tab_MinKomp[Doradztwo, wsparcie personalne / Personalberatung und Unterstützung],MATCH($B63,tab_MinKomp[[Stanowisko / Position ]:[Stanowisko / Position ]],0))="n/a","n/a",T63-INDEX(tab_MinKomp[Doradztwo, wsparcie personalne / Personalberatung und Unterstützung],MATCH($B63,tab_MinKomp[[Stanowisko / Position ]:[Stanowisko / Position ]],0)))</f>
        <v>n/a</v>
      </c>
      <c r="U64" s="315" t="str">
        <f>IF(INDEX(tab_MinKomp[Przepisy o podatku VAT / MwSt.- Gesetz],MATCH($B63,tab_MinKomp[[Stanowisko / Position ]:[Stanowisko / Position ]],0))="n/a","n/a",U63-INDEX(tab_MinKomp[Przepisy o podatku VAT / MwSt.- Gesetz],MATCH($B63,tab_MinKomp[[Stanowisko / Position ]:[Stanowisko / Position ]],0)))</f>
        <v>n/a</v>
      </c>
      <c r="V64" s="315" t="str">
        <f>IF(INDEX(tab_MinKomp[PrzepisyPDOP / geschäftlich Einkommensteuergesetz],MATCH($B63,tab_MinKomp[[Stanowisko / Position ]:[Stanowisko / Position ]],0))="n/a","n/a",V63-INDEX(tab_MinKomp[PrzepisyPDOP / geschäftlich Einkommensteuergesetz],MATCH($B63,tab_MinKomp[[Stanowisko / Position ]:[Stanowisko / Position ]],0)))</f>
        <v>n/a</v>
      </c>
      <c r="W64" s="315" t="str">
        <f>IF(INDEX(tab_MinKomp[System BAAN / FINANSE (FIBU)],MATCH($B63,tab_MinKomp[[Stanowisko / Position ]:[Stanowisko / Position ]],0))="n/a","n/a",W63-INDEX(tab_MinKomp[System BAAN / FINANSE (FIBU)],MATCH($B63,tab_MinKomp[[Stanowisko / Position ]:[Stanowisko / Position ]],0)))</f>
        <v>n/a</v>
      </c>
      <c r="X64" s="315" t="str">
        <f>IF(INDEX(tab_MinKomp[Systemy pomocnicze / Hilfssysteme(STOCKPROGRAM, KALK2000 etc.)],MATCH($B63,tab_MinKomp[[Stanowisko / Position ]:[Stanowisko / Position ]],0))="n/a","n/a",X63-INDEX(tab_MinKomp[Systemy pomocnicze / Hilfssysteme(STOCKPROGRAM, KALK2000 etc.)],MATCH($B63,tab_MinKomp[[Stanowisko / Position ]:[Stanowisko / Position ]],0)))</f>
        <v>n/a</v>
      </c>
      <c r="Y64" s="315" t="str">
        <f>IF(INDEX(tab_MinKomp[Polityka rachunkowości / Buchführungspolitik],MATCH($B63,tab_MinKomp[[Stanowisko / Position ]:[Stanowisko / Position ]],0))="n/a","n/a",Y63-INDEX(tab_MinKomp[Polityka rachunkowości / Buchführungspolitik],MATCH($B63,tab_MinKomp[[Stanowisko / Position ]:[Stanowisko / Position ]],0)))</f>
        <v>n/a</v>
      </c>
      <c r="Z64" s="315" t="str">
        <f>IF(INDEX(tab_MinKomp[Ustawa o rachunkowości / Rechnungslegungsgesetz],MATCH($B63,tab_MinKomp[[Stanowisko / Position ]:[Stanowisko / Position ]],0))="n/a","n/a",Z63-INDEX(tab_MinKomp[Ustawa o rachunkowości / Rechnungslegungsgesetz],MATCH($B63,tab_MinKomp[[Stanowisko / Position ]:[Stanowisko / Position ]],0)))</f>
        <v>n/a</v>
      </c>
      <c r="AA64" s="315" t="str">
        <f>IF(INDEX(tab_MinKomp[WORKFLOW - TS-100],MATCH($B63,tab_MinKomp[[Stanowisko / Position ]:[Stanowisko / Position ]],0))="n/a","n/a",AA63-INDEX(tab_MinKomp[WORKFLOW - TS-100],MATCH($B63,tab_MinKomp[[Stanowisko / Position ]:[Stanowisko / Position ]],0)))</f>
        <v>n/a</v>
      </c>
      <c r="AB64" s="315" t="str">
        <f>IF(INDEX(tab_MinKomp[WORKFLOW - SFMS],MATCH($B63,tab_MinKomp[[Stanowisko / Position ]:[Stanowisko / Position ]],0))="n/a","n/a",AB63-INDEX(tab_MinKomp[WORKFLOW - SFMS],MATCH($B63,tab_MinKomp[[Stanowisko / Position ]:[Stanowisko / Position ]],0)))</f>
        <v>n/a</v>
      </c>
      <c r="AC64" s="315" t="str">
        <f>IF(INDEX(tab_MinKomp[System ISO 9001:2015],MATCH($B63,tab_MinKomp[[Stanowisko / Position ]:[Stanowisko / Position ]],0))="n/a","n/a",AC63-INDEX(tab_MinKomp[System ISO 9001:2015],MATCH($B63,tab_MinKomp[[Stanowisko / Position ]:[Stanowisko / Position ]],0)))</f>
        <v>n/a</v>
      </c>
      <c r="AD64" s="315" t="str">
        <f>IF(INDEX(tab_MinKomp[System IATF 16949:2016],MATCH($B63,tab_MinKomp[[Stanowisko / Position ]:[Stanowisko / Position ]],0))="n/a","n/a",AD63-INDEX(tab_MinKomp[System IATF 16949:2016],MATCH($B63,tab_MinKomp[[Stanowisko / Position ]:[Stanowisko / Position ]],0)))</f>
        <v>n/a</v>
      </c>
      <c r="AE64" s="315" t="str">
        <f>IF(INDEX(tab_MinKomp[System ISO 14001:2015],MATCH($B63,tab_MinKomp[[Stanowisko / Position ]:[Stanowisko / Position ]],0))="n/a","n/a",AE63-INDEX(tab_MinKomp[System ISO 14001:2015],MATCH($B63,tab_MinKomp[[Stanowisko / Position ]:[Stanowisko / Position ]],0)))</f>
        <v>n/a</v>
      </c>
      <c r="AF64" s="315" t="str">
        <f>IF(INDEX(tab_MinKomp[System PN-N 18001:2004 / ISO 45001:2018],MATCH($B63,tab_MinKomp[[Stanowisko / Position ]:[Stanowisko / Position ]],0))="n/a","n/a",AF63-INDEX(tab_MinKomp[System PN-N 18001:2004 / ISO 45001:2018],MATCH($B63,tab_MinKomp[[Stanowisko / Position ]:[Stanowisko / Position ]],0)))</f>
        <v>n/a</v>
      </c>
      <c r="AG64" s="315" t="str">
        <f>IF(INDEX(tab_MinKomp[Wymagania VDA 6.3 Process / Forderungen],MATCH($B63,tab_MinKomp[[Stanowisko / Position ]:[Stanowisko / Position ]],0))="n/a","n/a",AG63-INDEX(tab_MinKomp[Wymagania VDA 6.3 Process / Forderungen],MATCH($B63,tab_MinKomp[[Stanowisko / Position ]:[Stanowisko / Position ]],0)))</f>
        <v>n/a</v>
      </c>
      <c r="AH64" s="315" t="str">
        <f>IF(INDEX(tab_MinKomp[Wymagania VDA 6.5 Product / Forderungen],MATCH($B63,tab_MinKomp[[Stanowisko / Position ]:[Stanowisko / Position ]],0))="n/a","n/a",AH63-INDEX(tab_MinKomp[Wymagania VDA 6.5 Product / Forderungen],MATCH($B63,tab_MinKomp[[Stanowisko / Position ]:[Stanowisko / Position ]],0)))</f>
        <v>n/a</v>
      </c>
      <c r="AI64" s="315" t="str">
        <f>IF(INDEX(tab_MinKomp[PSCR (VW Product Safety &amp; Conformity Representative)],MATCH($B63,tab_MinKomp[[Stanowisko / Position ]:[Stanowisko / Position ]],0))="n/a","n/a",AI63-INDEX(tab_MinKomp[PSCR (VW Product Safety &amp; Conformity Representative)],MATCH($B63,tab_MinKomp[[Stanowisko / Position ]:[Stanowisko / Position ]],0)))</f>
        <v>n/a</v>
      </c>
      <c r="AJ64" s="315" t="str">
        <f>IF(INDEX(tab_MinKomp[Auditor systemu ISO 17025:2018],MATCH($B63,tab_MinKomp[[Stanowisko / Position ]:[Stanowisko / Position ]],0))="n/a","n/a",AJ63-INDEX(tab_MinKomp[Auditor systemu ISO 17025:2018],MATCH($B63,tab_MinKomp[[Stanowisko / Position ]:[Stanowisko / Position ]],0)))</f>
        <v>n/a</v>
      </c>
      <c r="AK64" s="315" t="str">
        <f>IF(INDEX(tab_MinKomp[Pełnomocnik systemu / Systemvertreter],MATCH($B63,tab_MinKomp[[Stanowisko / Position ]:[Stanowisko / Position ]],0))="n/a","n/a",AK63-INDEX(tab_MinKomp[Pełnomocnik systemu / Systemvertreter],MATCH($B63,tab_MinKomp[[Stanowisko / Position ]:[Stanowisko / Position ]],0)))</f>
        <v>n/a</v>
      </c>
      <c r="AL64" s="315" t="str">
        <f>IF(INDEX(tab_MinKomp[Polityka Etyczna - Compliance],MATCH($B63,tab_MinKomp[[Stanowisko / Position ]:[Stanowisko / Position ]],0))="n/a","n/a",AL63-INDEX(tab_MinKomp[Polityka Etyczna - Compliance],MATCH($B63,tab_MinKomp[[Stanowisko / Position ]:[Stanowisko / Position ]],0)))</f>
        <v>n/a</v>
      </c>
      <c r="AM64" s="315" t="str">
        <f>IF(INDEX(tab_MinKomp[WDRAŻANIE NOWYCH PROJEKTÓW/ PROCEDURA CTM],MATCH($B63,tab_MinKomp[[Stanowisko / Position ]:[Stanowisko / Position ]],0))="n/a","n/a",AM63-INDEX(tab_MinKomp[WDRAŻANIE NOWYCH PROJEKTÓW/ PROCEDURA CTM],MATCH($B63,tab_MinKomp[[Stanowisko / Position ]:[Stanowisko / Position ]],0)))</f>
        <v>n/a</v>
      </c>
      <c r="AN64" s="315" t="str">
        <f>IF(INDEX(tab_MinKomp[KAMIENIE MILOWE MSL/PIFF],MATCH($B63,tab_MinKomp[[Stanowisko / Position ]:[Stanowisko / Position ]],0))="n/a","n/a",AN63-INDEX(tab_MinKomp[KAMIENIE MILOWE MSL/PIFF],MATCH($B63,tab_MinKomp[[Stanowisko / Position ]:[Stanowisko / Position ]],0)))</f>
        <v>n/a</v>
      </c>
      <c r="AO64" s="315" t="str">
        <f>IF(INDEX(tab_MinKomp[CP],MATCH($B63,tab_MinKomp[[Stanowisko / Position ]:[Stanowisko / Position ]],0))="n/a","n/a",AO63-INDEX(tab_MinKomp[CP],MATCH($B63,tab_MinKomp[[Stanowisko / Position ]:[Stanowisko / Position ]],0)))</f>
        <v>n/a</v>
      </c>
      <c r="AP64" s="315" t="str">
        <f>IF(INDEX(tab_MinKomp[FMEA],MATCH($B63,tab_MinKomp[[Stanowisko / Position ]:[Stanowisko / Position ]],0))="n/a","n/a",AP63-INDEX(tab_MinKomp[FMEA],MATCH($B63,tab_MinKomp[[Stanowisko / Position ]:[Stanowisko / Position ]],0)))</f>
        <v>n/a</v>
      </c>
      <c r="AQ64" s="315" t="str">
        <f>IF(INDEX(tab_MinKomp[FLOW CHART],MATCH($B63,tab_MinKomp[[Stanowisko / Position ]:[Stanowisko / Position ]],0))="n/a","n/a",AQ63-INDEX(tab_MinKomp[FLOW CHART],MATCH($B63,tab_MinKomp[[Stanowisko / Position ]:[Stanowisko / Position ]],0)))</f>
        <v>n/a</v>
      </c>
      <c r="AR64" s="315" t="str">
        <f>IF(INDEX(tab_MinKomp[APQP],MATCH($B63,tab_MinKomp[[Stanowisko / Position ]:[Stanowisko / Position ]],0))="n/a","n/a",AR63-INDEX(tab_MinKomp[APQP],MATCH($B63,tab_MinKomp[[Stanowisko / Position ]:[Stanowisko / Position ]],0)))</f>
        <v>n/a</v>
      </c>
      <c r="AS64" s="315" t="str">
        <f>IF(INDEX(tab_MinKomp[MSA],MATCH($B63,tab_MinKomp[[Stanowisko / Position ]:[Stanowisko / Position ]],0))="n/a","n/a",AS63-INDEX(tab_MinKomp[MSA],MATCH($B63,tab_MinKomp[[Stanowisko / Position ]:[Stanowisko / Position ]],0)))</f>
        <v>n/a</v>
      </c>
      <c r="AT64" s="315" t="str">
        <f>IF(INDEX(tab_MinKomp[SPC],MATCH($B63,tab_MinKomp[[Stanowisko / Position ]:[Stanowisko / Position ]],0))="n/a","n/a",AT63-INDEX(tab_MinKomp[SPC],MATCH($B63,tab_MinKomp[[Stanowisko / Position ]:[Stanowisko / Position ]],0)))</f>
        <v>n/a</v>
      </c>
      <c r="AU64" s="315" t="str">
        <f>IF(INDEX(tab_MinKomp[CSR (SPECYFICZNE WYMAGANIA KLIENTA)],MATCH($B63,tab_MinKomp[[Stanowisko / Position ]:[Stanowisko / Position ]],0))="n/a","n/a",AU63-INDEX(tab_MinKomp[CSR (SPECYFICZNE WYMAGANIA KLIENTA)],MATCH($B63,tab_MinKomp[[Stanowisko / Position ]:[Stanowisko / Position ]],0)))</f>
        <v>n/a</v>
      </c>
      <c r="AV64" s="315">
        <f>IF(INDEX(tab_MinKomp[5S],MATCH($B63,tab_MinKomp[[Stanowisko / Position ]:[Stanowisko / Position ]],0))="n/a","n/a",AV63-INDEX(tab_MinKomp[5S],MATCH($B63,tab_MinKomp[[Stanowisko / Position ]:[Stanowisko / Position ]],0)))</f>
        <v>0</v>
      </c>
      <c r="AW64" s="315">
        <f>IF(INDEX(tab_MinKomp[LEAN MANAGEMENT],MATCH($B63,tab_MinKomp[[Stanowisko / Position ]:[Stanowisko / Position ]],0))="n/a","n/a",AW63-INDEX(tab_MinKomp[LEAN MANAGEMENT],MATCH($B63,tab_MinKomp[[Stanowisko / Position ]:[Stanowisko / Position ]],0)))</f>
        <v>0</v>
      </c>
      <c r="AX64" s="315">
        <f>IF(INDEX(tab_MinKomp[5R],MATCH($B63,tab_MinKomp[[Stanowisko / Position ]:[Stanowisko / Position ]],0))="n/a","n/a",AX63-INDEX(tab_MinKomp[5R],MATCH($B63,tab_MinKomp[[Stanowisko / Position ]:[Stanowisko / Position ]],0)))</f>
        <v>-1</v>
      </c>
      <c r="AY64" s="315" t="str">
        <f>IF(INDEX(tab_MinKomp[Six Sigma],MATCH($B63,tab_MinKomp[[Stanowisko / Position ]:[Stanowisko / Position ]],0))="n/a","n/a",AY63-INDEX(tab_MinKomp[Six Sigma],MATCH($B63,tab_MinKomp[[Stanowisko / Position ]:[Stanowisko / Position ]],0)))</f>
        <v>n/a</v>
      </c>
      <c r="AZ64" s="315" t="str">
        <f>IF(INDEX(tab_MinKomp[System BAAN / Distribution &amp; Supply Chain],MATCH($B63,tab_MinKomp[[Stanowisko / Position ]:[Stanowisko / Position ]],0))="n/a","n/a",AZ63-INDEX(tab_MinKomp[System BAAN / Distribution &amp; Supply Chain],MATCH($B63,tab_MinKomp[[Stanowisko / Position ]:[Stanowisko / Position ]],0)))</f>
        <v>n/a</v>
      </c>
      <c r="BA64" s="315" t="str">
        <f>IF(INDEX(tab_MinKomp[Gospodarka magazynowa / Lagerverwaltung],MATCH($B63,tab_MinKomp[[Stanowisko / Position ]:[Stanowisko / Position ]],0))="n/a","n/a",BA63-INDEX(tab_MinKomp[Gospodarka magazynowa / Lagerverwaltung],MATCH($B63,tab_MinKomp[[Stanowisko / Position ]:[Stanowisko / Position ]],0)))</f>
        <v>n/a</v>
      </c>
      <c r="BB64" s="315" t="str">
        <f>IF(INDEX(tab_MinKomp[Inwentaryzacja - organizacja i przebieg / Inventurprozess],MATCH($B63,tab_MinKomp[[Stanowisko / Position ]:[Stanowisko / Position ]],0))="n/a","n/a",BB63-INDEX(tab_MinKomp[Inwentaryzacja - organizacja i przebieg / Inventurprozess],MATCH($B63,tab_MinKomp[[Stanowisko / Position ]:[Stanowisko / Position ]],0)))</f>
        <v>n/a</v>
      </c>
      <c r="BC64" s="315" t="str">
        <f>IF(INDEX(tab_MinKomp[Organizacja dostaw / Versorgungsorganisation],MATCH($B63,tab_MinKomp[[Stanowisko / Position ]:[Stanowisko / Position ]],0))="n/a","n/a",BC63-INDEX(tab_MinKomp[Organizacja dostaw / Versorgungsorganisation],MATCH($B63,tab_MinKomp[[Stanowisko / Position ]:[Stanowisko / Position ]],0)))</f>
        <v>n/a</v>
      </c>
      <c r="BD64" s="315" t="str">
        <f>IF(INDEX(tab_MinKomp[Organizacja wysyłek / Organisation von Lieferungen],MATCH($B63,tab_MinKomp[[Stanowisko / Position ]:[Stanowisko / Position ]],0))="n/a","n/a",BD63-INDEX(tab_MinKomp[Organizacja wysyłek / Organisation von Lieferungen],MATCH($B63,tab_MinKomp[[Stanowisko / Position ]:[Stanowisko / Position ]],0)))</f>
        <v>n/a</v>
      </c>
      <c r="BE64" s="315" t="str">
        <f>IF(INDEX(tab_MinKomp[Analiza magazynowa - Program Polen.mdb / Inventuranalyse],MATCH($B63,tab_MinKomp[[Stanowisko / Position ]:[Stanowisko / Position ]],0))="n/a","n/a",BE63-INDEX(tab_MinKomp[Analiza magazynowa - Program Polen.mdb / Inventuranalyse],MATCH($B63,tab_MinKomp[[Stanowisko / Position ]:[Stanowisko / Position ]],0)))</f>
        <v>n/a</v>
      </c>
      <c r="BF64" s="315" t="str">
        <f>IF(INDEX(tab_MinKomp[MMOG (Materials Management Operations Guidelines)],MATCH($B63,tab_MinKomp[[Stanowisko / Position ]:[Stanowisko / Position ]],0))="n/a","n/a",BF63-INDEX(tab_MinKomp[MMOG (Materials Management Operations Guidelines)],MATCH($B63,tab_MinKomp[[Stanowisko / Position ]:[Stanowisko / Position ]],0)))</f>
        <v>n/a</v>
      </c>
      <c r="BG64" s="315" t="str">
        <f>IF(INDEX(tab_MinKomp[DETC],MATCH($B63,tab_MinKomp[[Stanowisko / Position ]:[Stanowisko / Position ]],0))="n/a","n/a",BG63-INDEX(tab_MinKomp[DETC],MATCH($B63,tab_MinKomp[[Stanowisko / Position ]:[Stanowisko / Position ]],0)))</f>
        <v>n/a</v>
      </c>
      <c r="BH64" s="315" t="str">
        <f>IF(INDEX(tab_MinKomp[GPP],MATCH($B63,tab_MinKomp[[Stanowisko / Position ]:[Stanowisko / Position ]],0))="n/a","n/a",BH63-INDEX(tab_MinKomp[GPP],MATCH($B63,tab_MinKomp[[Stanowisko / Position ]:[Stanowisko / Position ]],0)))</f>
        <v>n/a</v>
      </c>
      <c r="BI64" s="315" t="str">
        <f>IF(INDEX(tab_MinKomp[AIAG (Automotive Industry Action Group)],MATCH($B63,tab_MinKomp[[Stanowisko / Position ]:[Stanowisko / Position ]],0))="n/a","n/a",BI63-INDEX(tab_MinKomp[AIAG (Automotive Industry Action Group)],MATCH($B63,tab_MinKomp[[Stanowisko / Position ]:[Stanowisko / Position ]],0)))</f>
        <v>n/a</v>
      </c>
      <c r="BJ64" s="315" t="str">
        <f>IF(INDEX(tab_MinKomp[Super-G disputes],MATCH($B63,tab_MinKomp[[Stanowisko / Position ]:[Stanowisko / Position ]],0))="n/a","n/a",BJ63-INDEX(tab_MinKomp[Super-G disputes],MATCH($B63,tab_MinKomp[[Stanowisko / Position ]:[Stanowisko / Position ]],0)))</f>
        <v>n/a</v>
      </c>
      <c r="BK64" s="315" t="str">
        <f>IF(INDEX(tab_MinKomp[CMMS3/eDDL (Direct Data Link)],MATCH($B63,tab_MinKomp[[Stanowisko / Position ]:[Stanowisko / Position ]],0))="n/a","n/a",BK63-INDEX(tab_MinKomp[CMMS3/eDDL (Direct Data Link)],MATCH($B63,tab_MinKomp[[Stanowisko / Position ]:[Stanowisko / Position ]],0)))</f>
        <v>n/a</v>
      </c>
      <c r="BL64" s="315" t="str">
        <f>IF(INDEX(tab_MinKomp[MP&amp;L (Material Planning and Logistics)],MATCH($B63,tab_MinKomp[[Stanowisko / Position ]:[Stanowisko / Position ]],0))="n/a","n/a",BL63-INDEX(tab_MinKomp[MP&amp;L (Material Planning and Logistics)],MATCH($B63,tab_MinKomp[[Stanowisko / Position ]:[Stanowisko / Position ]],0)))</f>
        <v>n/a</v>
      </c>
      <c r="BM64" s="315" t="str">
        <f>IF(INDEX(tab_MinKomp[Planowanie produkcji / Produktionsplanung],MATCH($B63,tab_MinKomp[[Stanowisko / Position ]:[Stanowisko / Position ]],0))="n/a","n/a",BM63-INDEX(tab_MinKomp[Planowanie produkcji / Produktionsplanung],MATCH($B63,tab_MinKomp[[Stanowisko / Position ]:[Stanowisko / Position ]],0)))</f>
        <v>n/a</v>
      </c>
      <c r="BN64" s="315">
        <f>IF(INDEX(tab_MinKomp[Obsługa maszyn Engel / Engel Maschinenbedienung],MATCH($B63,tab_MinKomp[[Stanowisko / Position ]:[Stanowisko / Position ]],0))="n/a","n/a",BN63-INDEX(tab_MinKomp[Obsługa maszyn Engel / Engel Maschinenbedienung],MATCH($B63,tab_MinKomp[[Stanowisko / Position ]:[Stanowisko / Position ]],0)))</f>
        <v>-1</v>
      </c>
      <c r="BO64" s="315">
        <f>IF(INDEX(tab_MinKomp[Obsługa maszyn Novapax / Novapax Maschinenbedienung],MATCH($B63,tab_MinKomp[[Stanowisko / Position ]:[Stanowisko / Position ]],0))="n/a","n/a",BO63-INDEX(tab_MinKomp[Obsługa maszyn Novapax / Novapax Maschinenbedienung],MATCH($B63,tab_MinKomp[[Stanowisko / Position ]:[Stanowisko / Position ]],0)))</f>
        <v>-1</v>
      </c>
      <c r="BP64" s="315" t="str">
        <f>IF(INDEX(tab_MinKomp[Obsługa maszyn KVT / KVT Maschinenbedienung],MATCH($B63,tab_MinKomp[[Stanowisko / Position ]:[Stanowisko / Position ]],0))="n/a","n/a",BP63-INDEX(tab_MinKomp[Obsługa maszyn KVT / KVT Maschinenbedienung],MATCH($B63,tab_MinKomp[[Stanowisko / Position ]:[Stanowisko / Position ]],0)))</f>
        <v>n/a</v>
      </c>
      <c r="BQ64" s="315" t="str">
        <f>IF(INDEX(tab_MinKomp[Obsługa maszyn ASL / ASL Maschinenbedienung],MATCH($B63,tab_MinKomp[[Stanowisko / Position ]:[Stanowisko / Position ]],0))="n/a","n/a",BQ63-INDEX(tab_MinKomp[Obsługa maszyn ASL / ASL Maschinenbedienung],MATCH($B63,tab_MinKomp[[Stanowisko / Position ]:[Stanowisko / Position ]],0)))</f>
        <v>n/a</v>
      </c>
      <c r="BR64" s="315" t="str">
        <f>IF(INDEX(tab_MinKomp[Obsługa maszyn Branson / Branson Maschinenbedienung],MATCH($B63,tab_MinKomp[[Stanowisko / Position ]:[Stanowisko / Position ]],0))="n/a","n/a",BR63-INDEX(tab_MinKomp[Obsługa maszyn Branson / Branson Maschinenbedienung],MATCH($B63,tab_MinKomp[[Stanowisko / Position ]:[Stanowisko / Position ]],0)))</f>
        <v>n/a</v>
      </c>
      <c r="BS64" s="315" t="str">
        <f>IF(INDEX(tab_MinKomp[Obsługa maszyn Kamtec / Kamtec Maschinenbedienung],MATCH($B63,tab_MinKomp[[Stanowisko / Position ]:[Stanowisko / Position ]],0))="n/a","n/a",BS63-INDEX(tab_MinKomp[Obsługa maszyn Kamtec / Kamtec Maschinenbedienung],MATCH($B63,tab_MinKomp[[Stanowisko / Position ]:[Stanowisko / Position ]],0)))</f>
        <v>n/a</v>
      </c>
      <c r="BT64" s="315">
        <f>IF(INDEX(tab_MinKomp[Obsługa maszyn Piovan / Piovan Maschinenbedienung],MATCH($B63,tab_MinKomp[[Stanowisko / Position ]:[Stanowisko / Position ]],0))="n/a","n/a",BT63-INDEX(tab_MinKomp[Obsługa maszyn Piovan / Piovan Maschinenbedienung],MATCH($B63,tab_MinKomp[[Stanowisko / Position ]:[Stanowisko / Position ]],0)))</f>
        <v>-1</v>
      </c>
      <c r="BU64" s="315">
        <f>IF(INDEX(tab_MinKomp[Obsługa maszyn REP / REP Maschinenbedienung],MATCH($B63,tab_MinKomp[[Stanowisko / Position ]:[Stanowisko / Position ]],0))="n/a","n/a",BU63-INDEX(tab_MinKomp[Obsługa maszyn REP / REP Maschinenbedienung],MATCH($B63,tab_MinKomp[[Stanowisko / Position ]:[Stanowisko / Position ]],0)))</f>
        <v>-1</v>
      </c>
      <c r="BV64" s="315">
        <f>IF(INDEX(tab_MinKomp[Eliminacja awarii / Beseitigung von Ausfällen],MATCH($B63,tab_MinKomp[[Stanowisko / Position ]:[Stanowisko / Position ]],0))="n/a","n/a",BV63-INDEX(tab_MinKomp[Eliminacja awarii / Beseitigung von Ausfällen],MATCH($B63,tab_MinKomp[[Stanowisko / Position ]:[Stanowisko / Position ]],0)))</f>
        <v>-2</v>
      </c>
      <c r="BW64" s="315" t="str">
        <f>IF(INDEX(tab_MinKomp[Informatyka ogólna (techniczne i systemowe) / Allgemeine IT (Technik und System)],MATCH($B63,tab_MinKomp[[Stanowisko / Position ]:[Stanowisko / Position ]],0))="n/a","n/a",BW63-INDEX(tab_MinKomp[Informatyka ogólna (techniczne i systemowe) / Allgemeine IT (Technik und System)],MATCH($B63,tab_MinKomp[[Stanowisko / Position ]:[Stanowisko / Position ]],0)))</f>
        <v>n/a</v>
      </c>
      <c r="BX64" s="315" t="str">
        <f>IF(INDEX(tab_MinKomp[Sieci komputerowe / Computernetzwerke],MATCH($B63,tab_MinKomp[[Stanowisko / Position ]:[Stanowisko / Position ]],0))="n/a","n/a",BX63-INDEX(tab_MinKomp[Sieci komputerowe / Computernetzwerke],MATCH($B63,tab_MinKomp[[Stanowisko / Position ]:[Stanowisko / Position ]],0)))</f>
        <v>n/a</v>
      </c>
      <c r="BY64" s="315" t="str">
        <f>IF(INDEX(tab_MinKomp[Hardware (komputery PC, drukarki biurowe i etykietowe, telefonia stacjonarna i mobilna) (PC, Drucker, Telefpne, Handys)],MATCH($B63,tab_MinKomp[[Stanowisko / Position ]:[Stanowisko / Position ]],0))="n/a","n/a",BY63-INDEX(tab_MinKomp[Hardware (komputery PC, drukarki biurowe i etykietowe, telefonia stacjonarna i mobilna) (PC, Drucker, Telefpne, Handys)],MATCH($B63,tab_MinKomp[[Stanowisko / Position ]:[Stanowisko / Position ]],0)))</f>
        <v>n/a</v>
      </c>
      <c r="BZ64" s="315" t="str">
        <f>IF(INDEX(tab_MinKomp[Software &amp; Systems (MS Office, MS Remote Desktop)],MATCH($B63,tab_MinKomp[[Stanowisko / Position ]:[Stanowisko / Position ]],0))="n/a","n/a",BZ63-INDEX(tab_MinKomp[Software &amp; Systems (MS Office, MS Remote Desktop)],MATCH($B63,tab_MinKomp[[Stanowisko / Position ]:[Stanowisko / Position ]],0)))</f>
        <v>n/a</v>
      </c>
      <c r="CA64" s="315" t="str">
        <f>IF(INDEX(tab_MinKomp[Programowanie obiektowe (PHP) / Objektprogrammierung],MATCH($B63,tab_MinKomp[[Stanowisko / Position ]:[Stanowisko / Position ]],0))="n/a","n/a",CA63-INDEX(tab_MinKomp[Programowanie obiektowe (PHP) / Objektprogrammierung],MATCH($B63,tab_MinKomp[[Stanowisko / Position ]:[Stanowisko / Position ]],0)))</f>
        <v>n/a</v>
      </c>
      <c r="CB64" s="315" t="str">
        <f>IF(INDEX(tab_MinKomp[Scrum],MATCH($B63,tab_MinKomp[[Stanowisko / Position ]:[Stanowisko / Position ]],0))="n/a","n/a",CB63-INDEX(tab_MinKomp[Scrum],MATCH($B63,tab_MinKomp[[Stanowisko / Position ]:[Stanowisko / Position ]],0)))</f>
        <v>n/a</v>
      </c>
      <c r="CC64" s="315" t="str">
        <f>IF(INDEX(tab_MinKomp[SQL (MySQL)],MATCH($B63,tab_MinKomp[[Stanowisko / Position ]:[Stanowisko / Position ]],0))="n/a","n/a",CC63-INDEX(tab_MinKomp[SQL (MySQL)],MATCH($B63,tab_MinKomp[[Stanowisko / Position ]:[Stanowisko / Position ]],0)))</f>
        <v>n/a</v>
      </c>
      <c r="CD64" s="315" t="str">
        <f>IF(INDEX(tab_MinKomp[Javascript],MATCH($B63,tab_MinKomp[[Stanowisko / Position ]:[Stanowisko / Position ]],0))="n/a","n/a",CD63-INDEX(tab_MinKomp[Javascript],MATCH($B63,tab_MinKomp[[Stanowisko / Position ]:[Stanowisko / Position ]],0)))</f>
        <v>n/a</v>
      </c>
      <c r="CE64" s="315" t="str">
        <f>IF(INDEX(tab_MinKomp[Joomla],MATCH($B63,tab_MinKomp[[Stanowisko / Position ]:[Stanowisko / Position ]],0))="n/a","n/a",CE63-INDEX(tab_MinKomp[Joomla],MATCH($B63,tab_MinKomp[[Stanowisko / Position ]:[Stanowisko / Position ]],0)))</f>
        <v>n/a</v>
      </c>
      <c r="CF64" s="315" t="str">
        <f>IF(INDEX(tab_MinKomp[Bash],MATCH($B63,tab_MinKomp[[Stanowisko / Position ]:[Stanowisko / Position ]],0))="n/a","n/a",CF63-INDEX(tab_MinKomp[Bash],MATCH($B63,tab_MinKomp[[Stanowisko / Position ]:[Stanowisko / Position ]],0)))</f>
        <v>n/a</v>
      </c>
      <c r="CG64" s="315" t="str">
        <f>IF(INDEX(tab_MinKomp[Systemy MES (HYDRA / SFMS)],MATCH($B63,tab_MinKomp[[Stanowisko / Position ]:[Stanowisko / Position ]],0))="n/a","n/a",CG63-INDEX(tab_MinKomp[Systemy MES (HYDRA / SFMS)],MATCH($B63,tab_MinKomp[[Stanowisko / Position ]:[Stanowisko / Position ]],0)))</f>
        <v>n/a</v>
      </c>
      <c r="CH64" s="315" t="str">
        <f>IF(INDEX(tab_MinKomp[HTML / CSS],MATCH($B63,tab_MinKomp[[Stanowisko / Position ]:[Stanowisko / Position ]],0))="n/a","n/a",CH63-INDEX(tab_MinKomp[HTML / CSS],MATCH($B63,tab_MinKomp[[Stanowisko / Position ]:[Stanowisko / Position ]],0)))</f>
        <v>n/a</v>
      </c>
      <c r="CI64" s="315" t="str">
        <f>IF(INDEX(tab_MinKomp[SYSTEM PR],MATCH($B63,tab_MinKomp[[Stanowisko / Position ]:[Stanowisko / Position ]],0))="n/a","n/a",CI63-INDEX(tab_MinKomp[SYSTEM PR],MATCH($B63,tab_MinKomp[[Stanowisko / Position ]:[Stanowisko / Position ]],0)))</f>
        <v>n/a</v>
      </c>
      <c r="CJ64" s="315" t="str">
        <f>IF(INDEX(tab_MinKomp[System Einkauf XP / EBA],MATCH($B63,tab_MinKomp[[Stanowisko / Position ]:[Stanowisko / Position ]],0))="n/a","n/a",CJ63-INDEX(tab_MinKomp[System Einkauf XP / EBA],MATCH($B63,tab_MinKomp[[Stanowisko / Position ]:[Stanowisko / Position ]],0)))</f>
        <v>n/a</v>
      </c>
      <c r="CK64" s="315" t="str">
        <f>IF(INDEX(tab_MinKomp[Techniki negocjacyjne / Verhandlungstechniken],MATCH($B63,tab_MinKomp[[Stanowisko / Position ]:[Stanowisko / Position ]],0))="n/a","n/a",CK63-INDEX(tab_MinKomp[Techniki negocjacyjne / Verhandlungstechniken],MATCH($B63,tab_MinKomp[[Stanowisko / Position ]:[Stanowisko / Position ]],0)))</f>
        <v>n/a</v>
      </c>
      <c r="CL64" s="315" t="str">
        <f>IF(INDEX(tab_MinKomp[Znajomość rynku branżowego / Kenntnis des Industrie Marktes],MATCH($B63,tab_MinKomp[[Stanowisko / Position ]:[Stanowisko / Position ]],0))="n/a","n/a",CL63-INDEX(tab_MinKomp[Znajomość rynku branżowego / Kenntnis des Industrie Marktes],MATCH($B63,tab_MinKomp[[Stanowisko / Position ]:[Stanowisko / Position ]],0)))</f>
        <v>n/a</v>
      </c>
      <c r="CM64" s="315" t="str">
        <f>IF(INDEX(tab_MinKomp[RAPORTY 8D / 8D Berichten],MATCH($B63,tab_MinKomp[[Stanowisko / Position ]:[Stanowisko / Position ]],0))="n/a","n/a",CM63-INDEX(tab_MinKomp[RAPORTY 8D / 8D Berichten],MATCH($B63,tab_MinKomp[[Stanowisko / Position ]:[Stanowisko / Position ]],0)))</f>
        <v>n/a</v>
      </c>
      <c r="CN64" s="315">
        <f>IF(INDEX(tab_MinKomp[NARZĘDZIA JAKOŚCIOWE (5WHY, Ishikawa, etc) / QS-Werkzeuge],MATCH($B63,tab_MinKomp[[Stanowisko / Position ]:[Stanowisko / Position ]],0))="n/a","n/a",CN63-INDEX(tab_MinKomp[NARZĘDZIA JAKOŚCIOWE (5WHY, Ishikawa, etc) / QS-Werkzeuge],MATCH($B63,tab_MinKomp[[Stanowisko / Position ]:[Stanowisko / Position ]],0)))</f>
        <v>1</v>
      </c>
      <c r="CO64" s="315">
        <f>IF(INDEX(tab_MinKomp[PDCA],MATCH($B63,tab_MinKomp[[Stanowisko / Position ]:[Stanowisko / Position ]],0))="n/a","n/a",CO63-INDEX(tab_MinKomp[PDCA],MATCH($B63,tab_MinKomp[[Stanowisko / Position ]:[Stanowisko / Position ]],0)))</f>
        <v>0</v>
      </c>
      <c r="CP64" s="315">
        <f>IF(INDEX(tab_MinKomp[Pareto],MATCH($B63,tab_MinKomp[[Stanowisko / Position ]:[Stanowisko / Position ]],0))="n/a","n/a",CP63-INDEX(tab_MinKomp[Pareto],MATCH($B63,tab_MinKomp[[Stanowisko / Position ]:[Stanowisko / Position ]],0)))</f>
        <v>0</v>
      </c>
      <c r="CQ64" s="315" t="str">
        <f>IF(INDEX(tab_MinKomp[PPAP/PSW],MATCH($B63,tab_MinKomp[[Stanowisko / Position ]:[Stanowisko / Position ]],0))="n/a","n/a",CQ63-INDEX(tab_MinKomp[PPAP/PSW],MATCH($B63,tab_MinKomp[[Stanowisko / Position ]:[Stanowisko / Position ]],0)))</f>
        <v>n/a</v>
      </c>
      <c r="CR64" s="315" t="str">
        <f>IF(INDEX(tab_MinKomp[SUPPLIER MANAGEMENT],MATCH($B63,tab_MinKomp[[Stanowisko / Position ]:[Stanowisko / Position ]],0))="n/a","n/a",CR63-INDEX(tab_MinKomp[SUPPLIER MANAGEMENT],MATCH($B63,tab_MinKomp[[Stanowisko / Position ]:[Stanowisko / Position ]],0)))</f>
        <v>n/a</v>
      </c>
      <c r="CS64" s="315" t="str">
        <f>IF(INDEX(tab_MinKomp[OBSŁUGA PORTALI KLIENTA / Kundenportale],MATCH($B63,tab_MinKomp[[Stanowisko / Position ]:[Stanowisko / Position ]],0))="n/a","n/a",CS63-INDEX(tab_MinKomp[OBSŁUGA PORTALI KLIENTA / Kundenportale],MATCH($B63,tab_MinKomp[[Stanowisko / Position ]:[Stanowisko / Position ]],0)))</f>
        <v>n/a</v>
      </c>
      <c r="CT64" s="315" t="str">
        <f>IF(INDEX(tab_MinKomp[Obsługa systemu BABTECQ / BABTECQ System],MATCH($B63,tab_MinKomp[[Stanowisko / Position ]:[Stanowisko / Position ]],0))="n/a","n/a",CT63-INDEX(tab_MinKomp[Obsługa systemu BABTECQ / BABTECQ System],MATCH($B63,tab_MinKomp[[Stanowisko / Position ]:[Stanowisko / Position ]],0)))</f>
        <v>n/a</v>
      </c>
      <c r="CU64" s="315">
        <f>IF(INDEX(tab_MinKomp[Rysunek techniczny / technische Zeichnung],MATCH($B63,tab_MinKomp[[Stanowisko / Position ]:[Stanowisko / Position ]],0))="n/a","n/a",CU63-INDEX(tab_MinKomp[Rysunek techniczny / technische Zeichnung],MATCH($B63,tab_MinKomp[[Stanowisko / Position ]:[Stanowisko / Position ]],0)))</f>
        <v>-2</v>
      </c>
      <c r="CV64" s="315" t="str">
        <f>IF(INDEX(tab_MinKomp[Kalibracja / Kalibrierung],MATCH($B63,tab_MinKomp[[Stanowisko / Position ]:[Stanowisko / Position ]],0))="n/a","n/a",CV63-INDEX(tab_MinKomp[Kalibracja / Kalibrierung],MATCH($B63,tab_MinKomp[[Stanowisko / Position ]:[Stanowisko / Position ]],0)))</f>
        <v>n/a</v>
      </c>
      <c r="CW64" s="315" t="str">
        <f>IF(INDEX(tab_MinKomp[Rekwalifikacja / Requalifizierung],MATCH($B63,tab_MinKomp[[Stanowisko / Position ]:[Stanowisko / Position ]],0))="n/a","n/a",CW63-INDEX(tab_MinKomp[Rekwalifikacja / Requalifizierung],MATCH($B63,tab_MinKomp[[Stanowisko / Position ]:[Stanowisko / Position ]],0)))</f>
        <v>n/a</v>
      </c>
      <c r="CX64" s="315" t="str">
        <f>IF(INDEX(tab_MinKomp[Obsługa mikroskopu optycznego / Bedienung eines optischen Mikroskops],MATCH($B63,tab_MinKomp[[Stanowisko / Position ]:[Stanowisko / Position ]],0))="n/a","n/a",CX63-INDEX(tab_MinKomp[Obsługa mikroskopu optycznego / Bedienung eines optischen Mikroskops],MATCH($B63,tab_MinKomp[[Stanowisko / Position ]:[Stanowisko / Position ]],0)))</f>
        <v>n/a</v>
      </c>
      <c r="CY64" s="315" t="str">
        <f>IF(INDEX(tab_MinKomp[Wykonywanie pomiarów optycznych - ocena wizualna / Optische Messungen durchführen – visuelle Beurteilung],MATCH($B63,tab_MinKomp[[Stanowisko / Position ]:[Stanowisko / Position ]],0))="n/a","n/a",CY63-INDEX(tab_MinKomp[Wykonywanie pomiarów optycznych - ocena wizualna / Optische Messungen durchführen – visuelle Beurteilung],MATCH($B63,tab_MinKomp[[Stanowisko / Position ]:[Stanowisko / Position ]],0)))</f>
        <v>n/a</v>
      </c>
      <c r="CZ64" s="315" t="str">
        <f>IF(INDEX(tab_MinKomp[Obsługa Rheometra / Rheometra-Unterstützung],MATCH($B63,tab_MinKomp[[Stanowisko / Position ]:[Stanowisko / Position ]],0))="n/a","n/a",CZ63-INDEX(tab_MinKomp[Obsługa Rheometra / Rheometra-Unterstützung],MATCH($B63,tab_MinKomp[[Stanowisko / Position ]:[Stanowisko / Position ]],0)))</f>
        <v>n/a</v>
      </c>
      <c r="DA64" s="315" t="str">
        <f>IF(INDEX(tab_MinKomp[Testy właściwości Rheometra mieszanki gumy],MATCH($B63,tab_MinKomp[[Stanowisko / Position ]:[Stanowisko / Position ]],0))="n/a","n/a",DA63-INDEX(tab_MinKomp[Testy właściwości Rheometra mieszanki gumy],MATCH($B63,tab_MinKomp[[Stanowisko / Position ]:[Stanowisko / Position ]],0)))</f>
        <v>n/a</v>
      </c>
      <c r="DB64" s="315" t="str">
        <f>IF(INDEX(tab_MinKomp[CMM - Contura Zeiss],MATCH($B63,tab_MinKomp[[Stanowisko / Position ]:[Stanowisko / Position ]],0))="n/a","n/a",DB63-INDEX(tab_MinKomp[CMM - Contura Zeiss],MATCH($B63,tab_MinKomp[[Stanowisko / Position ]:[Stanowisko / Position ]],0)))</f>
        <v>n/a</v>
      </c>
      <c r="DC64" s="315" t="str">
        <f>IF(INDEX(tab_MinKomp[Wykonywanie precyzyjnych pomiarów metrycznych, pomiary 3D],MATCH($B63,tab_MinKomp[[Stanowisko / Position ]:[Stanowisko / Position ]],0))="n/a","n/a",DC63-INDEX(tab_MinKomp[Wykonywanie precyzyjnych pomiarów metrycznych, pomiary 3D],MATCH($B63,tab_MinKomp[[Stanowisko / Position ]:[Stanowisko / Position ]],0)))</f>
        <v>n/a</v>
      </c>
      <c r="DD64" s="315" t="str">
        <f>IF(INDEX(tab_MinKomp[Pisanie programów / Programme schreiben],MATCH($B63,tab_MinKomp[[Stanowisko / Position ]:[Stanowisko / Position ]],0))="n/a","n/a",DD63-INDEX(tab_MinKomp[Pisanie programów / Programme schreiben],MATCH($B63,tab_MinKomp[[Stanowisko / Position ]:[Stanowisko / Position ]],0)))</f>
        <v>n/a</v>
      </c>
      <c r="DE64" s="315" t="str">
        <f>IF(INDEX(tab_MinKomp[Obsługa wyposażenia do testów czystości (myjka + analizator) / Betrieb von Sauberkeitsprüfgeräten (Waschmaschine + Analysegerät)],MATCH($B63,tab_MinKomp[[Stanowisko / Position ]:[Stanowisko / Position ]],0))="n/a","n/a",DE63-INDEX(tab_MinKomp[Obsługa wyposażenia do testów czystości (myjka + analizator) / Betrieb von Sauberkeitsprüfgeräten (Waschmaschine + Analysegerät)],MATCH($B63,tab_MinKomp[[Stanowisko / Position ]:[Stanowisko / Position ]],0)))</f>
        <v>n/a</v>
      </c>
      <c r="DF64" s="315" t="str">
        <f>IF(INDEX(tab_MinKomp[Testy czystości / Reinheitstests],MATCH($B63,tab_MinKomp[[Stanowisko / Position ]:[Stanowisko / Position ]],0))="n/a","n/a",DF63-INDEX(tab_MinKomp[Testy czystości / Reinheitstests],MATCH($B63,tab_MinKomp[[Stanowisko / Position ]:[Stanowisko / Position ]],0)))</f>
        <v>n/a</v>
      </c>
      <c r="DG64" s="315" t="str">
        <f>IF(INDEX(tab_MinKomp[Obsługa wysokościomierza / Unterstützung für Höhenmesser],MATCH($B63,tab_MinKomp[[Stanowisko / Position ]:[Stanowisko / Position ]],0))="n/a","n/a",DG63-INDEX(tab_MinKomp[Obsługa wysokościomierza / Unterstützung für Höhenmesser],MATCH($B63,tab_MinKomp[[Stanowisko / Position ]:[Stanowisko / Position ]],0)))</f>
        <v>n/a</v>
      </c>
      <c r="DH64" s="315" t="str">
        <f>IF(INDEX(tab_MinKomp[Pomiary wysokości materiału / Materialhöhenmessungen],MATCH($B63,tab_MinKomp[[Stanowisko / Position ]:[Stanowisko / Position ]],0))="n/a","n/a",DH63-INDEX(tab_MinKomp[Pomiary wysokości materiału / Materialhöhenmessungen],MATCH($B63,tab_MinKomp[[Stanowisko / Position ]:[Stanowisko / Position ]],0)))</f>
        <v>n/a</v>
      </c>
      <c r="DI64" s="315" t="str">
        <f>IF(INDEX(tab_MinKomp[Obsługa okrągłościomierza / Unterstützung für Rundheitsmessgeräte],MATCH($B63,tab_MinKomp[[Stanowisko / Position ]:[Stanowisko / Position ]],0))="n/a","n/a",DI63-INDEX(tab_MinKomp[Obsługa okrągłościomierza / Unterstützung für Rundheitsmessgeräte],MATCH($B63,tab_MinKomp[[Stanowisko / Position ]:[Stanowisko / Position ]],0)))</f>
        <v>n/a</v>
      </c>
      <c r="DJ64" s="315" t="str">
        <f>IF(INDEX(tab_MinKomp[Wykonywania pomiarów owalności, srednicy materiału / Messung der Ovalität und des Durchmessers des Materials],MATCH($B63,tab_MinKomp[[Stanowisko / Position ]:[Stanowisko / Position ]],0))="n/a","n/a",DJ63-INDEX(tab_MinKomp[Wykonywania pomiarów owalności, srednicy materiału / Messung der Ovalität und des Durchmessers des Materials],MATCH($B63,tab_MinKomp[[Stanowisko / Position ]:[Stanowisko / Position ]],0)))</f>
        <v>n/a</v>
      </c>
      <c r="DK64" s="315" t="str">
        <f>IF(INDEX(tab_MinKomp[Obsługa urządzenia do pomiarów chropowoatości powierzchni materiału],MATCH($B63,tab_MinKomp[[Stanowisko / Position ]:[Stanowisko / Position ]],0))="n/a","n/a",DK63-INDEX(tab_MinKomp[Obsługa urządzenia do pomiarów chropowoatości powierzchni materiału],MATCH($B63,tab_MinKomp[[Stanowisko / Position ]:[Stanowisko / Position ]],0)))</f>
        <v>n/a</v>
      </c>
      <c r="DL64" s="315" t="str">
        <f>IF(INDEX(tab_MinKomp[Wykonywanie pomiarów chropowatości powierzchni materiału / Durchführung von Messungen der Materialoberflächenrauheit],MATCH($B63,tab_MinKomp[[Stanowisko / Position ]:[Stanowisko / Position ]],0))="n/a","n/a",DL63-INDEX(tab_MinKomp[Wykonywanie pomiarów chropowatości powierzchni materiału / Durchführung von Messungen der Materialoberflächenrauheit],MATCH($B63,tab_MinKomp[[Stanowisko / Position ]:[Stanowisko / Position ]],0)))</f>
        <v>n/a</v>
      </c>
      <c r="DM64" s="315" t="str">
        <f>IF(INDEX(tab_MinKomp[Obsługa urządzenia do pomiaru siły radialnej części - postępowanie z trzpieniami. / Funktionsweise des Geräts zur Messung der Radialkraft von Teilen – Handhabungsstifte.],MATCH($B63,tab_MinKomp[[Stanowisko / Position ]:[Stanowisko / Position ]],0))="n/a","n/a",DM63-INDEX(tab_MinKomp[Obsługa urządzenia do pomiaru siły radialnej części - postępowanie z trzpieniami. / Funktionsweise des Geräts zur Messung der Radialkraft von Teilen – Handhabungsstifte.],MATCH($B63,tab_MinKomp[[Stanowisko / Position ]:[Stanowisko / Position ]],0)))</f>
        <v>n/a</v>
      </c>
      <c r="DN64" s="315" t="str">
        <f>IF(INDEX(tab_MinKomp[Wykonywanie pomiarów siły radialnej części / Führen Sie Radialkraftmessungen an Teilen durch],MATCH($B63,tab_MinKomp[[Stanowisko / Position ]:[Stanowisko / Position ]],0))="n/a","n/a",DN63-INDEX(tab_MinKomp[Wykonywanie pomiarów siły radialnej części / Führen Sie Radialkraftmessungen an Teilen durch],MATCH($B63,tab_MinKomp[[Stanowisko / Position ]:[Stanowisko / Position ]],0)))</f>
        <v>n/a</v>
      </c>
      <c r="DO64" s="315" t="str">
        <f>IF(INDEX(tab_MinKomp[Obsługa komory do testów wybuchwych / Betrieb einer Explosionsprüfkammer],MATCH($B63,tab_MinKomp[[Stanowisko / Position ]:[Stanowisko / Position ]],0))="n/a","n/a",DO63-INDEX(tab_MinKomp[Obsługa komory do testów wybuchwych / Betrieb einer Explosionsprüfkammer],MATCH($B63,tab_MinKomp[[Stanowisko / Position ]:[Stanowisko / Position ]],0)))</f>
        <v>n/a</v>
      </c>
      <c r="DP64" s="315" t="str">
        <f>IF(INDEX(tab_MinKomp[Wykonywanie testów wybuchowych części / Durchführung von Explosionstests an Teilen],MATCH($B63,tab_MinKomp[[Stanowisko / Position ]:[Stanowisko / Position ]],0))="n/a","n/a",DP63-INDEX(tab_MinKomp[Wykonywanie testów wybuchowych części / Durchführung von Explosionstests an Teilen],MATCH($B63,tab_MinKomp[[Stanowisko / Position ]:[Stanowisko / Position ]],0)))</f>
        <v>n/a</v>
      </c>
      <c r="DQ64" s="315" t="str">
        <f>IF(INDEX(tab_MinKomp[Obsługa urządzeń do mierzenia siły trzymania i/lub rozciągania / Betrieb von Geräten zur Messung der Halte- und/oder Dehnkraft],MATCH($B63,tab_MinKomp[[Stanowisko / Position ]:[Stanowisko / Position ]],0))="n/a","n/a",DQ63-INDEX(tab_MinKomp[Obsługa urządzeń do mierzenia siły trzymania i/lub rozciągania / Betrieb von Geräten zur Messung der Halte- und/oder Dehnkraft],MATCH($B63,tab_MinKomp[[Stanowisko / Position ]:[Stanowisko / Position ]],0)))</f>
        <v>n/a</v>
      </c>
      <c r="DR64" s="315" t="str">
        <f>IF(INDEX(tab_MinKomp[Wykonywanie testów mierzenia siły trzymania i/lub rozciągania / Durchführung von Tests zur Messung der Halte- und/oder Streckkraft],MATCH($B63,tab_MinKomp[[Stanowisko / Position ]:[Stanowisko / Position ]],0))="n/a","n/a",DR63-INDEX(tab_MinKomp[Wykonywanie testów mierzenia siły trzymania i/lub rozciągania / Durchführung von Tests zur Messung der Halte- und/oder Streckkraft],MATCH($B63,tab_MinKomp[[Stanowisko / Position ]:[Stanowisko / Position ]],0)))</f>
        <v>n/a</v>
      </c>
      <c r="DS64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Luftstrom)],MATCH($B63,tab_MinKomp[[Stanowisko / Position ]:[Stanowisko / Position ]],0))="n/a","n/a",DS63-INDEX(tab_MinKomp[Obsługa multimetru do pomiarów środowiskowych (temperatura, wilgotność, hałas, oświetlenie, przepływ powietrza) / Betrieb eines Multimeters für Umweltmessungen (Temperatur, Luftfeuchtigkeit, Lärm, Beleuchtung, Luftstrom)],MATCH($B63,tab_MinKomp[[Stanowisko / Position ]:[Stanowisko / Position ]],0)))</f>
        <v>n/a</v>
      </c>
      <c r="DT64" s="315" t="str">
        <f>IF(INDEX(tab_MinKomp[Kontrola warunków środowiskowych pracy (temperatura, wilgotność, hałas, oświetlenie, przepływ powietrza) / Kontrolle der Arbeitsumgebungsbedingungen (Temperatur, Luftfeuchtigkeit, Lärm, Beleuchtung, Luftstrom)],MATCH($B63,tab_MinKomp[[Stanowisko / Position ]:[Stanowisko / Position ]],0))="n/a","n/a",DT63-INDEX(tab_MinKomp[Kontrola warunków środowiskowych pracy (temperatura, wilgotność, hałas, oświetlenie, przepływ powietrza) / Kontrolle der Arbeitsumgebungsbedingungen (Temperatur, Luftfeuchtigkeit, Lärm, Beleuchtung, Luftstrom)],MATCH($B63,tab_MinKomp[[Stanowisko / Position ]:[Stanowisko / Position ]],0)))</f>
        <v>n/a</v>
      </c>
      <c r="DU64" s="315" t="str">
        <f>IF(INDEX(tab_MinKomp[MSA i SPC],MATCH($B63,tab_MinKomp[[Stanowisko / Position ]:[Stanowisko / Position ]],0))="n/a","n/a",DU63-INDEX(tab_MinKomp[MSA i SPC],MATCH($B63,tab_MinKomp[[Stanowisko / Position ]:[Stanowisko / Position ]],0)))</f>
        <v>n/a</v>
      </c>
      <c r="DV64" s="315" t="str">
        <f>IF(INDEX(tab_MinKomp[Kontrola wejściowa komponentów/ Eingangskontrolle],MATCH($B63,tab_MinKomp[[Stanowisko / Position ]:[Stanowisko / Position ]],0))="n/a","n/a",DV63-INDEX(tab_MinKomp[Kontrola wejściowa komponentów/ Eingangskontrolle],MATCH($B63,tab_MinKomp[[Stanowisko / Position ]:[Stanowisko / Position ]],0)))</f>
        <v>n/a</v>
      </c>
      <c r="DW64" s="315" t="str">
        <f>IF(INDEX(tab_MinKomp[Kontrola wyjściowa produktu / Ausgangskontrolle],MATCH($B63,tab_MinKomp[[Stanowisko / Position ]:[Stanowisko / Position ]],0))="n/a","n/a",DW63-INDEX(tab_MinKomp[Kontrola wyjściowa produktu / Ausgangskontrolle],MATCH($B63,tab_MinKomp[[Stanowisko / Position ]:[Stanowisko / Position ]],0)))</f>
        <v>n/a</v>
      </c>
      <c r="DX64" s="315" t="str">
        <f>IF(INDEX(tab_MinKomp[Kontrola codzienna produkcji / Tägliche Produktionskontrolle],MATCH($B63,tab_MinKomp[[Stanowisko / Position ]:[Stanowisko / Position ]],0))="n/a","n/a",DX63-INDEX(tab_MinKomp[Kontrola codzienna produkcji / Tägliche Produktionskontrolle],MATCH($B63,tab_MinKomp[[Stanowisko / Position ]:[Stanowisko / Position ]],0)))</f>
        <v>n/a</v>
      </c>
      <c r="DY64" s="315" t="str">
        <f>IF(INDEX(tab_MinKomp[Konserwacja Rep],MATCH($B63,tab_MinKomp[[Stanowisko / Position ]:[Stanowisko / Position ]],0))="n/a","n/a",DY63-INDEX(tab_MinKomp[Konserwacja Rep],MATCH($B63,tab_MinKomp[[Stanowisko / Position ]:[Stanowisko / Position ]],0)))</f>
        <v>n/a</v>
      </c>
      <c r="DZ64" s="315" t="str">
        <f>IF(INDEX(tab_MinKomp[[Konserwacja Engel ]],MATCH($B63,tab_MinKomp[[Stanowisko / Position ]:[Stanowisko / Position ]],0))="n/a","n/a",DZ63-INDEX(tab_MinKomp[[Konserwacja Engel ]],MATCH($B63,tab_MinKomp[[Stanowisko / Position ]:[Stanowisko / Position ]],0)))</f>
        <v>n/a</v>
      </c>
      <c r="EA64" s="315" t="str">
        <f>IF(INDEX(tab_MinKomp[Konserwacja B 50],MATCH($B63,tab_MinKomp[[Stanowisko / Position ]:[Stanowisko / Position ]],0))="n/a","n/a",EA63-INDEX(tab_MinKomp[Konserwacja B 50],MATCH($B63,tab_MinKomp[[Stanowisko / Position ]:[Stanowisko / Position ]],0)))</f>
        <v>n/a</v>
      </c>
      <c r="EB64" s="315" t="str">
        <f>IF(INDEX(tab_MinKomp[[Konserwacja EOL ]],MATCH($B63,tab_MinKomp[[Stanowisko / Position ]:[Stanowisko / Position ]],0))="n/a","n/a",EB63-INDEX(tab_MinKomp[[Konserwacja EOL ]],MATCH($B63,tab_MinKomp[[Stanowisko / Position ]:[Stanowisko / Position ]],0)))</f>
        <v>n/a</v>
      </c>
      <c r="EC64" s="315" t="str">
        <f>IF(INDEX(tab_MinKomp[Konserwacja Branson],MATCH($B63,tab_MinKomp[[Stanowisko / Position ]:[Stanowisko / Position ]],0))="n/a","n/a",EC63-INDEX(tab_MinKomp[Konserwacja Branson],MATCH($B63,tab_MinKomp[[Stanowisko / Position ]:[Stanowisko / Position ]],0)))</f>
        <v>n/a</v>
      </c>
      <c r="ED64" s="315" t="str">
        <f>IF(INDEX(tab_MinKomp[Konserwacja coolery],MATCH($B63,tab_MinKomp[[Stanowisko / Position ]:[Stanowisko / Position ]],0))="n/a","n/a",ED63-INDEX(tab_MinKomp[Konserwacja coolery],MATCH($B63,tab_MinKomp[[Stanowisko / Position ]:[Stanowisko / Position ]],0)))</f>
        <v>n/a</v>
      </c>
      <c r="EE64" s="315" t="str">
        <f>IF(INDEX(tab_MinKomp[Konserwacja piecy],MATCH($B63,tab_MinKomp[[Stanowisko / Position ]:[Stanowisko / Position ]],0))="n/a","n/a",EE63-INDEX(tab_MinKomp[Konserwacja piecy],MATCH($B63,tab_MinKomp[[Stanowisko / Position ]:[Stanowisko / Position ]],0)))</f>
        <v>n/a</v>
      </c>
      <c r="EF64" s="315">
        <f>IF(INDEX(tab_MinKomp[Rysunek techniczny- czytanie],MATCH($B63,tab_MinKomp[[Stanowisko / Position ]:[Stanowisko / Position ]],0))="n/a","n/a",EF63-INDEX(tab_MinKomp[Rysunek techniczny- czytanie],MATCH($B63,tab_MinKomp[[Stanowisko / Position ]:[Stanowisko / Position ]],0)))</f>
        <v>0</v>
      </c>
      <c r="EG64" s="315">
        <f>IF(INDEX(tab_MinKomp[Elektryka],MATCH($B63,tab_MinKomp[[Stanowisko / Position ]:[Stanowisko / Position ]],0))="n/a","n/a",EG63-INDEX(tab_MinKomp[Elektryka],MATCH($B63,tab_MinKomp[[Stanowisko / Position ]:[Stanowisko / Position ]],0)))</f>
        <v>0</v>
      </c>
      <c r="EH64" s="315">
        <f>IF(INDEX(tab_MinKomp[Pneumatyka],MATCH($B63,tab_MinKomp[[Stanowisko / Position ]:[Stanowisko / Position ]],0))="n/a","n/a",EH63-INDEX(tab_MinKomp[Pneumatyka],MATCH($B63,tab_MinKomp[[Stanowisko / Position ]:[Stanowisko / Position ]],0)))</f>
        <v>0</v>
      </c>
      <c r="EI64" s="315">
        <f>IF(INDEX(tab_MinKomp[[Hydraulika ]],MATCH($B63,tab_MinKomp[[Stanowisko / Position ]:[Stanowisko / Position ]],0))="n/a","n/a",EI63-INDEX(tab_MinKomp[[Hydraulika ]],MATCH($B63,tab_MinKomp[[Stanowisko / Position ]:[Stanowisko / Position ]],0)))</f>
        <v>0</v>
      </c>
      <c r="EJ64" s="315">
        <f>IF(INDEX(tab_MinKomp[Podciśnienie],MATCH($B63,tab_MinKomp[[Stanowisko / Position ]:[Stanowisko / Position ]],0))="n/a","n/a",EJ63-INDEX(tab_MinKomp[Podciśnienie],MATCH($B63,tab_MinKomp[[Stanowisko / Position ]:[Stanowisko / Position ]],0)))</f>
        <v>0</v>
      </c>
      <c r="EK64" s="315">
        <f>IF(INDEX(tab_MinKomp[Usuwanie awarii],MATCH($B63,tab_MinKomp[[Stanowisko / Position ]:[Stanowisko / Position ]],0))="n/a","n/a",EK63-INDEX(tab_MinKomp[Usuwanie awarii],MATCH($B63,tab_MinKomp[[Stanowisko / Position ]:[Stanowisko / Position ]],0)))</f>
        <v>0</v>
      </c>
      <c r="EL64" s="315">
        <f>IF(INDEX(tab_MinKomp[Obsługa robotów],MATCH($B63,tab_MinKomp[[Stanowisko / Position ]:[Stanowisko / Position ]],0))="n/a","n/a",EL63-INDEX(tab_MinKomp[Obsługa robotów],MATCH($B63,tab_MinKomp[[Stanowisko / Position ]:[Stanowisko / Position ]],0)))</f>
        <v>0</v>
      </c>
      <c r="EM64" s="315">
        <f>IF(INDEX(tab_MinKomp[Obsługa sterowania maszyny],MATCH($B63,tab_MinKomp[[Stanowisko / Position ]:[Stanowisko / Position ]],0))="n/a","n/a",EM63-INDEX(tab_MinKomp[Obsługa sterowania maszyny],MATCH($B63,tab_MinKomp[[Stanowisko / Position ]:[Stanowisko / Position ]],0)))</f>
        <v>0</v>
      </c>
      <c r="EN64" s="315">
        <f>IF(INDEX(tab_MinKomp[Usuwanie przyczyn żródłowych],MATCH($B63,tab_MinKomp[[Stanowisko / Position ]:[Stanowisko / Position ]],0))="n/a","n/a",EN63-INDEX(tab_MinKomp[Usuwanie przyczyn żródłowych],MATCH($B63,tab_MinKomp[[Stanowisko / Position ]:[Stanowisko / Position ]],0)))</f>
        <v>0</v>
      </c>
      <c r="EO64" s="315">
        <f>IF(INDEX(tab_MinKomp[Cmms stosowanie],MATCH($B63,tab_MinKomp[[Stanowisko / Position ]:[Stanowisko / Position ]],0))="n/a","n/a",EO63-INDEX(tab_MinKomp[Cmms stosowanie],MATCH($B63,tab_MinKomp[[Stanowisko / Position ]:[Stanowisko / Position ]],0)))</f>
        <v>0</v>
      </c>
      <c r="EP64" s="315">
        <f>IF(INDEX(tab_MinKomp[[Czyszczenie form gumowych ]],MATCH($B63,tab_MinKomp[[Stanowisko / Position ]:[Stanowisko / Position ]],0))="n/a","n/a",EP63-INDEX(tab_MinKomp[[Czyszczenie form gumowych ]],MATCH($B63,tab_MinKomp[[Stanowisko / Position ]:[Stanowisko / Position ]],0)))</f>
        <v>0</v>
      </c>
      <c r="EQ64" s="315">
        <f>IF(INDEX(tab_MinKomp[Czyszczenie form plastikowych],MATCH($B63,tab_MinKomp[[Stanowisko / Position ]:[Stanowisko / Position ]],0))="n/a","n/a",EQ63-INDEX(tab_MinKomp[Czyszczenie form plastikowych],MATCH($B63,tab_MinKomp[[Stanowisko / Position ]:[Stanowisko / Position ]],0)))</f>
        <v>0</v>
      </c>
      <c r="ER64" s="315">
        <f>IF(INDEX(tab_MinKomp[Wymiana form plastik],MATCH($B63,tab_MinKomp[[Stanowisko / Position ]:[Stanowisko / Position ]],0))="n/a","n/a",ER63-INDEX(tab_MinKomp[Wymiana form plastik],MATCH($B63,tab_MinKomp[[Stanowisko / Position ]:[Stanowisko / Position ]],0)))</f>
        <v>0</v>
      </c>
      <c r="ES64" s="315">
        <f>IF(INDEX(tab_MinKomp[Wymiana form guma],MATCH($B63,tab_MinKomp[[Stanowisko / Position ]:[Stanowisko / Position ]],0))="n/a","n/a",ES63-INDEX(tab_MinKomp[Wymiana form guma],MATCH($B63,tab_MinKomp[[Stanowisko / Position ]:[Stanowisko / Position ]],0)))</f>
        <v>0</v>
      </c>
      <c r="ET64" s="315">
        <f>IF(INDEX(tab_MinKomp[Konserwacja KK],MATCH($B63,tab_MinKomp[[Stanowisko / Position ]:[Stanowisko / Position ]],0))="n/a","n/a",ET63-INDEX(tab_MinKomp[Konserwacja KK],MATCH($B63,tab_MinKomp[[Stanowisko / Position ]:[Stanowisko / Position ]],0)))</f>
        <v>0</v>
      </c>
      <c r="EU64" s="315">
        <f>IF(INDEX(tab_MinKomp[Konserwacja form guma],MATCH($B63,tab_MinKomp[[Stanowisko / Position ]:[Stanowisko / Position ]],0))="n/a","n/a",EU63-INDEX(tab_MinKomp[Konserwacja form guma],MATCH($B63,tab_MinKomp[[Stanowisko / Position ]:[Stanowisko / Position ]],0)))</f>
        <v>0</v>
      </c>
      <c r="EV64" s="315">
        <f>IF(INDEX(tab_MinKomp[Konserwacja form plastiki],MATCH($B63,tab_MinKomp[[Stanowisko / Position ]:[Stanowisko / Position ]],0))="n/a","n/a",EV63-INDEX(tab_MinKomp[Konserwacja form plastiki],MATCH($B63,tab_MinKomp[[Stanowisko / Position ]:[Stanowisko / Position ]],0)))</f>
        <v>0</v>
      </c>
      <c r="EW64" s="330">
        <f>IF(INDEX(tab_MinKomp[Konserwacja form plastiki],MATCH($B63,tab_MinKomp[[Stanowisko / Position ]:[Stanowisko / Position ]],0))="n/a","n/a",EW63-INDEX(tab_MinKomp[Konserwacja form plastiki],MATCH($B63,tab_MinKomp[[Stanowisko / Position ]:[Stanowisko / Position ]],0)))</f>
        <v>0</v>
      </c>
      <c r="EX64" s="315">
        <f>IF(INDEX(tab_MinKomp[Konserwacja Gorącego Kanału],MATCH($B63,tab_MinKomp[[Stanowisko / Position ]:[Stanowisko / Position ]],0))="n/a","n/a",EX63-INDEX(tab_MinKomp[Konserwacja Gorącego Kanału],MATCH($B63,tab_MinKomp[[Stanowisko / Position ]:[Stanowisko / Position ]],0)))</f>
        <v>0</v>
      </c>
      <c r="EY64" s="315">
        <f>IF(INDEX(tab_MinKomp[MS Office (Excel)],MATCH($B63,tab_MinKomp[[Stanowisko / Position ]:[Stanowisko / Position ]],0))="n/a","n/a",EY63-INDEX(tab_MinKomp[MS Office (Excel)],MATCH($B63,tab_MinKomp[[Stanowisko / Position ]:[Stanowisko / Position ]],0)))</f>
        <v>0</v>
      </c>
      <c r="EZ64" s="315">
        <f>IF(INDEX(tab_MinKomp[MS Office (Word)],MATCH($B63,tab_MinKomp[[Stanowisko / Position ]:[Stanowisko / Position ]],0))="n/a","n/a",EZ63-INDEX(tab_MinKomp[MS Office (Word)],MATCH($B63,tab_MinKomp[[Stanowisko / Position ]:[Stanowisko / Position ]],0)))</f>
        <v>0</v>
      </c>
      <c r="FA64" s="315">
        <f>IF(INDEX(tab_MinKomp[MS Office (Power Point)],MATCH($B63,tab_MinKomp[[Stanowisko / Position ]:[Stanowisko / Position ]],0))="n/a","n/a",FA63-INDEX(tab_MinKomp[MS Office (Power Point)],MATCH($B63,tab_MinKomp[[Stanowisko / Position ]:[Stanowisko / Position ]],0)))</f>
        <v>0</v>
      </c>
      <c r="FB64" s="315" t="str">
        <f>IF(INDEX(tab_MinKomp[Język angielski / Englisch],MATCH($B63,tab_MinKomp[[Stanowisko / Position ]:[Stanowisko / Position ]],0))="n/a","n/a",FB63-INDEX(tab_MinKomp[Język angielski / Englisch],MATCH($B63,tab_MinKomp[[Stanowisko / Position ]:[Stanowisko / Position ]],0)))</f>
        <v>n/a</v>
      </c>
      <c r="FC64" s="315" t="str">
        <f>IF(INDEX(tab_MinKomp[Język niemiecki / Deutsch],MATCH($B63,tab_MinKomp[[Stanowisko / Position ]:[Stanowisko / Position ]],0))="n/a","n/a",FC63-INDEX(tab_MinKomp[Język niemiecki / Deutsch],MATCH($B63,tab_MinKomp[[Stanowisko / Position ]:[Stanowisko / Position ]],0)))</f>
        <v>n/a</v>
      </c>
      <c r="FD64" s="315">
        <f>IF(INDEX(tab_MinKomp[Zarządzanie dokumentacją procesową / Process dokumentation management],MATCH($B63,tab_MinKomp[[Stanowisko / Position ]:[Stanowisko / Position ]],0))="n/a","n/a",FD63-INDEX(tab_MinKomp[Zarządzanie dokumentacją procesową / Process dokumentation management],MATCH($B63,tab_MinKomp[[Stanowisko / Position ]:[Stanowisko / Position ]],0)))</f>
        <v>0</v>
      </c>
      <c r="FE64" s="315">
        <f>IF(INDEX(tab_MinKomp[Znajomość procesów z obszaru / Kenntiss der prozesse in dem Bereich],MATCH($B63,tab_MinKomp[[Stanowisko / Position ]:[Stanowisko / Position ]],0))="n/a","n/a",FE63-INDEX(tab_MinKomp[Znajomość procesów z obszaru / Kenntiss der prozesse in dem Bereich],MATCH($B63,tab_MinKomp[[Stanowisko / Position ]:[Stanowisko / Position ]],0)))</f>
        <v>-1</v>
      </c>
      <c r="FF64" s="315">
        <f>IF(INDEX(tab_MinKomp[optymalizacja procesów / Prozessoptymalisierung],MATCH($B63,tab_MinKomp[[Stanowisko / Position ]:[Stanowisko / Position ]],0))="n/a","n/a",FF63-INDEX(tab_MinKomp[optymalizacja procesów / Prozessoptymalisierung],MATCH($B63,tab_MinKomp[[Stanowisko / Position ]:[Stanowisko / Position ]],0)))</f>
        <v>0</v>
      </c>
      <c r="FG64" s="315">
        <f>IF(INDEX(tab_MinKomp[Umiejętności szkoleniowe / Trainingsfähigkeiten],MATCH($B63,tab_MinKomp[[Stanowisko / Position ]:[Stanowisko / Position ]],0))="n/a","n/a",FG63-INDEX(tab_MinKomp[Umiejętności szkoleniowe / Trainingsfähigkeiten],MATCH($B63,tab_MinKomp[[Stanowisko / Position ]:[Stanowisko / Position ]],0)))</f>
        <v>-1</v>
      </c>
      <c r="FH64" s="315">
        <f>IF(INDEX(tab_MinKomp[Analityczne myślenie, podejście / Analitysches Denken, Einstellung],MATCH($B63,tab_MinKomp[[Stanowisko / Position ]:[Stanowisko / Position ]],0))="n/a","n/a",FH63-INDEX(tab_MinKomp[Analityczne myślenie, podejście / Analitysches Denken, Einstellung],MATCH($B63,tab_MinKomp[[Stanowisko / Position ]:[Stanowisko / Position ]],0)))</f>
        <v>0</v>
      </c>
      <c r="FI64" s="315">
        <f>IF(INDEX(tab_MinKomp[Dokładność, precyzja w dzialaniu / Genauigkeit, Präzision in die Arbeit],MATCH($B63,tab_MinKomp[[Stanowisko / Position ]:[Stanowisko / Position ]],0))="n/a","n/a",FI63-INDEX(tab_MinKomp[Dokładność, precyzja w dzialaniu / Genauigkeit, Präzision in die Arbeit],MATCH($B63,tab_MinKomp[[Stanowisko / Position ]:[Stanowisko / Position ]],0)))</f>
        <v>0</v>
      </c>
      <c r="FJ64" s="315">
        <f>IF(INDEX(tab_MinKomp[Dyspozycyjność / Verfügbarkeit],MATCH($B63,tab_MinKomp[[Stanowisko / Position ]:[Stanowisko / Position ]],0))="n/a","n/a",FJ63-INDEX(tab_MinKomp[Dyspozycyjność / Verfügbarkeit],MATCH($B63,tab_MinKomp[[Stanowisko / Position ]:[Stanowisko / Position ]],0)))</f>
        <v>1</v>
      </c>
      <c r="FK64" s="315">
        <f>IF(INDEX(tab_MinKomp[Zaangażowanie / 
Engagement],MATCH($B63,tab_MinKomp[[Stanowisko / Position ]:[Stanowisko / Position ]],0))="n/a","n/a",FK63-INDEX(tab_MinKomp[Zaangażowanie / 
Engagement],MATCH($B63,tab_MinKomp[[Stanowisko / Position ]:[Stanowisko / Position ]],0)))</f>
        <v>0</v>
      </c>
      <c r="FL64" s="315" t="str">
        <f>IF(INDEX(tab_MinKomp[Planowanie strategiczne / Strategische Planung],MATCH($B63,tab_MinKomp[[Stanowisko / Position ]:[Stanowisko / Position ]],0))="n/a","n/a",FL63-INDEX(tab_MinKomp[Planowanie strategiczne / Strategische Planung],MATCH($B63,tab_MinKomp[[Stanowisko / Position ]:[Stanowisko / Position ]],0)))</f>
        <v>n/a</v>
      </c>
      <c r="FM64" s="315">
        <f>IF(INDEX(tab_MinKomp[Konsekwentne i dynamiczne działanie],MATCH($B63,tab_MinKomp[[Stanowisko / Position ]:[Stanowisko / Position ]],0))="n/a","n/a",FM63-INDEX(tab_MinKomp[Konsekwentne i dynamiczne działanie],MATCH($B63,tab_MinKomp[[Stanowisko / Position ]:[Stanowisko / Position ]],0)))</f>
        <v>0</v>
      </c>
      <c r="FN64" s="315">
        <f>IF(INDEX(tab_MinKomp[Elastyczność w działaniu],MATCH($B63,tab_MinKomp[[Stanowisko / Position ]:[Stanowisko / Position ]],0))="n/a","n/a",FN63-INDEX(tab_MinKomp[Elastyczność w działaniu],MATCH($B63,tab_MinKomp[[Stanowisko / Position ]:[Stanowisko / Position ]],0)))</f>
        <v>0</v>
      </c>
      <c r="FO64" s="315">
        <f>IF(INDEX(tab_MinKomp[Komunikatywność],MATCH($B63,tab_MinKomp[[Stanowisko / Position ]:[Stanowisko / Position ]],0))="n/a","n/a",FO63-INDEX(tab_MinKomp[Komunikatywność],MATCH($B63,tab_MinKomp[[Stanowisko / Position ]:[Stanowisko / Position ]],0)))</f>
        <v>-1</v>
      </c>
      <c r="FP64" s="315" t="str">
        <f>IF(INDEX(tab_MinKomp[Motywowanie i budowanie zaangażowania zespołu],MATCH($B63,tab_MinKomp[[Stanowisko / Position ]:[Stanowisko / Position ]],0))="n/a","n/a",FP63-INDEX(tab_MinKomp[Motywowanie i budowanie zaangażowania zespołu],MATCH($B63,tab_MinKomp[[Stanowisko / Position ]:[Stanowisko / Position ]],0)))</f>
        <v>n/a</v>
      </c>
      <c r="FQ64" s="318" t="str">
        <f>IFERROR(IF(INDEX(tab_MinKomp[BRAK / Keine],MATCH($B63,tab_MinKomp[[Stanowisko / Position ]:[Stanowisko / Position ]],0))="n/a","n/a",INDEX(tab_MinKomp[BRAK / Keine],MATCH($B63,tab_MinKomp[[Stanowisko / Position ]:[Stanowisko / Position ]],0))-FQ63),"")</f>
        <v>n/a</v>
      </c>
      <c r="FR64" s="315" t="str">
        <f>IF(INDEX(tab_MinKomp[MINIMUM 1 ROK / min. 1 Jahr],MATCH($B63,tab_MinKomp[[Stanowisko / Position ]:[Stanowisko / Position ]],0))="n/a","n/a",INDEX(tab_MinKomp[MINIMUM 1 ROK / min. 1 Jahr],MATCH($B63,tab_MinKomp[[Stanowisko / Position ]:[Stanowisko / Position ]],0)))</f>
        <v>n/a</v>
      </c>
      <c r="FS64" s="315" t="str">
        <f>IF(INDEX(tab_MinKomp[MINIMUM 2 LATA / min. 2 Jahre],MATCH($B63,tab_MinKomp[[Stanowisko / Position ]:[Stanowisko / Position ]],0))="n/a","n/a",INDEX(tab_MinKomp[MINIMUM 2 LATA / min. 2 Jahre],MATCH($B63,tab_MinKomp[[Stanowisko / Position ]:[Stanowisko / Position ]],0)))</f>
        <v>n/a</v>
      </c>
      <c r="FT64" s="315" t="str">
        <f>IF(INDEX(tab_MinKomp[MINIMUM 3 LATA / min. 3 Jahre],MATCH($B63,tab_MinKomp[[Stanowisko / Position ]:[Stanowisko / Position ]],0))="n/a","n/a",INDEX(tab_MinKomp[MINIMUM 3 LATA / min. 3 Jahre],MATCH($B63,tab_MinKomp[[Stanowisko / Position ]:[Stanowisko / Position ]],0)))</f>
        <v>n/a</v>
      </c>
      <c r="FU64" s="315" t="str">
        <f>IF(INDEX(tab_MinKomp[MINIMUM 4 LATA / min. 4 Jahre],MATCH($B63,tab_MinKomp[[Stanowisko / Position ]:[Stanowisko / Position ]],0))="n/a","n/a",INDEX(tab_MinKomp[MINIMUM 4 LATA / min. 4 Jahre],MATCH($B63,tab_MinKomp[[Stanowisko / Position ]:[Stanowisko / Position ]],0)))</f>
        <v>n/a</v>
      </c>
      <c r="FV64" s="319" t="str">
        <f>IF(INDEX(tab_MinKomp[MINIMUM 5 LAT / min. 5 Jahre],MATCH($B63,tab_MinKomp[[Stanowisko / Position ]:[Stanowisko / Position ]],0))="n/a","n/a",INDEX(tab_MinKomp[MINIMUM 5 LAT / min. 5 Jahre],MATCH($B63,tab_MinKomp[[Stanowisko / Position ]:[Stanowisko / Position ]],0)))</f>
        <v>n/a</v>
      </c>
      <c r="FW64" s="318" t="str">
        <f>IF(INDEX(tab_MinKomp[BRAK / Keine9],MATCH($B63,tab_MinKomp[[Stanowisko / Position ]:[Stanowisko / Position ]],0))="n/a","n/a",INDEX(tab_MinKomp[BRAK / Keine9],MATCH($B63,tab_MinKomp[[Stanowisko / Position ]:[Stanowisko / Position ]],0)))</f>
        <v>n/a</v>
      </c>
      <c r="FX64" s="315" t="str">
        <f>IF(INDEX(tab_MinKomp[ZAWODOWE / Berufsausbildung],MATCH($B63,tab_MinKomp[[Stanowisko / Position ]:[Stanowisko / Position ]],0))="n/a","n/a",INDEX(tab_MinKomp[ZAWODOWE / Berufsausbildung],MATCH($B63,tab_MinKomp[[Stanowisko / Position ]:[Stanowisko / Position ]],0)))</f>
        <v>n/a</v>
      </c>
      <c r="FY64" s="315" t="str">
        <f>IF(INDEX(tab_MinKomp[ŚREDNIE OGÓLNE / Abitur allgemeine],MATCH($B63,tab_MinKomp[[Stanowisko / Position ]:[Stanowisko / Position ]],0))="n/a","n/a",INDEX(tab_MinKomp[ŚREDNIE OGÓLNE / Abitur allgemeine],MATCH($B63,tab_MinKomp[[Stanowisko / Position ]:[Stanowisko / Position ]],0)))</f>
        <v>n/a</v>
      </c>
      <c r="FZ64" s="315" t="str">
        <f>IF(INDEX(tab_MinKomp[ŚREDNIE KIERUNKOWE / berufliches Gymnasium],MATCH($B63,tab_MinKomp[[Stanowisko / Position ]:[Stanowisko / Position ]],0))="n/a","n/a",INDEX(tab_MinKomp[ŚREDNIE KIERUNKOWE / berufliches Gymnasium],MATCH($B63,tab_MinKomp[[Stanowisko / Position ]:[Stanowisko / Position ]],0)))</f>
        <v>n/a</v>
      </c>
      <c r="GA64" s="315" t="str">
        <f>IF(INDEX(tab_MinKomp[WYŻSZE OGÓLNE / Hochschule allgemeine],MATCH($B63,tab_MinKomp[[Stanowisko / Position ]:[Stanowisko / Position ]],0))="n/a","n/a",INDEX(tab_MinKomp[WYŻSZE OGÓLNE / Hochschule allgemeine],MATCH($B63,tab_MinKomp[[Stanowisko / Position ]:[Stanowisko / Position ]],0)))</f>
        <v>n/a</v>
      </c>
      <c r="GB64" s="319" t="str">
        <f>IF(INDEX(tab_MinKomp[WYŻSZE KIERUNKOWE / Hochschule berufliche],MATCH($B63,tab_MinKomp[[Stanowisko / Position ]:[Stanowisko / Position ]],0))="n/a","n/a",INDEX(tab_MinKomp[WYŻSZE KIERUNKOWE / Hochschule berufliche],MATCH($B63,tab_MinKomp[[Stanowisko / Position ]:[Stanowisko / Position ]],0)))</f>
        <v>n/a</v>
      </c>
      <c r="GC64" s="318" t="str">
        <f>IF(INDEX(tab_MinKomp[PIERWSZA POMOC / Erste Hilfe],MATCH($B63,tab_MinKomp[[Stanowisko / Position ]:[Stanowisko / Position ]],0))="n/a","n/a",INDEX(tab_MinKomp[PIERWSZA POMOC / Erste Hilfe],MATCH($B63,tab_MinKomp[[Stanowisko / Position ]:[Stanowisko / Position ]],0)))</f>
        <v>n/a</v>
      </c>
      <c r="GD64" s="315" t="str">
        <f>IF(INDEX(tab_MinKomp[Specjalista BHP / BHP Spezialist],MATCH($B63,tab_MinKomp[[Stanowisko / Position ]:[Stanowisko / Position ]],0))="n/a","n/a",INDEX(tab_MinKomp[Specjalista BHP / BHP Spezialist],MATCH($B63,tab_MinKomp[[Stanowisko / Position ]:[Stanowisko / Position ]],0)))</f>
        <v>n/a</v>
      </c>
      <c r="GE64" s="315" t="str">
        <f>IF(INDEX(tab_MinKomp[Inspektor ochrony PPOŻ / Brandschutzinspektor],MATCH($B63,tab_MinKomp[[Stanowisko / Position ]:[Stanowisko / Position ]],0))="n/a","n/a",INDEX(tab_MinKomp[Inspektor ochrony PPOŻ / Brandschutzinspektor],MATCH($B63,tab_MinKomp[[Stanowisko / Position ]:[Stanowisko / Position ]],0)))</f>
        <v>n/a</v>
      </c>
      <c r="GF64" s="315" t="str">
        <f>IF(INDEX(tab_MinKomp[WÓZKI JEZDNIOWE / Gebelstapler],MATCH($B63,tab_MinKomp[[Stanowisko / Position ]:[Stanowisko / Position ]],0))="n/a","n/a",INDEX(tab_MinKomp[WÓZKI JEZDNIOWE / Gebelstapler],MATCH($B63,tab_MinKomp[[Stanowisko / Position ]:[Stanowisko / Position ]],0)))</f>
        <v>x</v>
      </c>
      <c r="GG64" s="315" t="str">
        <f>IF(INDEX(tab_MinKomp[SEP],MATCH($B63,tab_MinKomp[[Stanowisko / Position ]:[Stanowisko / Position ]],0))="n/a","n/a",INDEX(tab_MinKomp[SEP],MATCH($B63,tab_MinKomp[[Stanowisko / Position ]:[Stanowisko / Position ]],0)))</f>
        <v>x</v>
      </c>
      <c r="GH64" s="315" t="str">
        <f>IF(INDEX(tab_MinKomp[SEP  DOZÓR / SEP Aufsicht],MATCH($B63,tab_MinKomp[[Stanowisko / Position ]:[Stanowisko / Position ]],0))="n/a","n/a",INDEX(tab_MinKomp[SEP  DOZÓR / SEP Aufsicht],MATCH($B63,tab_MinKomp[[Stanowisko / Position ]:[Stanowisko / Position ]],0)))</f>
        <v>n/a</v>
      </c>
      <c r="GI64" s="315" t="str">
        <f>IF(INDEX(tab_MinKomp[PODNOŚNIKI / Hebevorrichtung],MATCH($B63,tab_MinKomp[[Stanowisko / Position ]:[Stanowisko / Position ]],0))="n/a","n/a",INDEX(tab_MinKomp[PODNOŚNIKI / Hebevorrichtung],MATCH($B63,tab_MinKomp[[Stanowisko / Position ]:[Stanowisko / Position ]],0)))</f>
        <v>n/a</v>
      </c>
      <c r="GJ64" s="315" t="str">
        <f>IF(INDEX(tab_MinKomp[SUWNICE / Laufkran],MATCH($B63,tab_MinKomp[[Stanowisko / Position ]:[Stanowisko / Position ]],0))="n/a","n/a",INDEX(tab_MinKomp[SUWNICE / Laufkran],MATCH($B63,tab_MinKomp[[Stanowisko / Position ]:[Stanowisko / Position ]],0)))</f>
        <v>x</v>
      </c>
      <c r="GK64" s="319" t="str">
        <f>IF(INDEX(tab_MinKomp[WYSOKOŚCIOWE / Höhenberechtigungen],MATCH($B63,tab_MinKomp[[Stanowisko / Position ]:[Stanowisko / Position ]],0))="n/a","n/a",INDEX(tab_MinKomp[WYSOKOŚCIOWE / Höhenberechtigungen],MATCH($B63,tab_MinKomp[[Stanowisko / Position ]:[Stanowisko / Position ]],0)))</f>
        <v>n/a</v>
      </c>
      <c r="GL64" s="320">
        <f>SUM(G64:FP64)/(GL63-(SUM(G64:FP64)))</f>
        <v>-0.12359550561797752</v>
      </c>
      <c r="GM64" s="132"/>
    </row>
    <row r="65" spans="1:195" s="133" customFormat="1" ht="28.35" customHeight="1" x14ac:dyDescent="0.25">
      <c r="A65" s="135" t="s">
        <v>188</v>
      </c>
      <c r="B65" s="135" t="s">
        <v>197</v>
      </c>
      <c r="C65" s="138" t="str">
        <f t="shared" ref="C65:C66" si="3">C64</f>
        <v>KC</v>
      </c>
      <c r="D65" s="135">
        <v>135</v>
      </c>
      <c r="E65" s="565" t="s">
        <v>249</v>
      </c>
      <c r="F65" s="307" t="s">
        <v>165</v>
      </c>
      <c r="G65" s="308">
        <v>2</v>
      </c>
      <c r="H65" s="308">
        <v>2</v>
      </c>
      <c r="I65" s="308">
        <v>2</v>
      </c>
      <c r="J65" s="308">
        <v>2</v>
      </c>
      <c r="K65" s="308">
        <v>2</v>
      </c>
      <c r="L65" s="308">
        <v>1</v>
      </c>
      <c r="M65" s="308" t="s">
        <v>176</v>
      </c>
      <c r="N65" s="308" t="s">
        <v>176</v>
      </c>
      <c r="O65" s="308">
        <v>2</v>
      </c>
      <c r="P65" s="308">
        <v>1</v>
      </c>
      <c r="Q65" s="308" t="s">
        <v>176</v>
      </c>
      <c r="R65" s="308" t="s">
        <v>176</v>
      </c>
      <c r="S65" s="308" t="s">
        <v>176</v>
      </c>
      <c r="T65" s="308">
        <v>1</v>
      </c>
      <c r="U65" s="308" t="s">
        <v>176</v>
      </c>
      <c r="V65" s="308" t="s">
        <v>176</v>
      </c>
      <c r="W65" s="308" t="s">
        <v>176</v>
      </c>
      <c r="X65" s="308" t="s">
        <v>176</v>
      </c>
      <c r="Y65" s="308" t="s">
        <v>176</v>
      </c>
      <c r="Z65" s="308" t="s">
        <v>176</v>
      </c>
      <c r="AA65" s="308" t="s">
        <v>176</v>
      </c>
      <c r="AB65" s="308">
        <v>2</v>
      </c>
      <c r="AC65" s="308"/>
      <c r="AD65" s="308">
        <v>1</v>
      </c>
      <c r="AE65" s="308"/>
      <c r="AF65" s="308"/>
      <c r="AG65" s="308" t="s">
        <v>176</v>
      </c>
      <c r="AH65" s="308" t="s">
        <v>176</v>
      </c>
      <c r="AI65" s="308" t="s">
        <v>176</v>
      </c>
      <c r="AJ65" s="308" t="s">
        <v>176</v>
      </c>
      <c r="AK65" s="308" t="s">
        <v>176</v>
      </c>
      <c r="AL65" s="308">
        <v>1</v>
      </c>
      <c r="AM65" s="308"/>
      <c r="AN65" s="308" t="s">
        <v>176</v>
      </c>
      <c r="AO65" s="308" t="s">
        <v>176</v>
      </c>
      <c r="AP65" s="308" t="s">
        <v>176</v>
      </c>
      <c r="AQ65" s="308" t="s">
        <v>176</v>
      </c>
      <c r="AR65" s="308" t="s">
        <v>176</v>
      </c>
      <c r="AS65" s="308" t="s">
        <v>176</v>
      </c>
      <c r="AT65" s="308" t="s">
        <v>176</v>
      </c>
      <c r="AU65" s="308" t="s">
        <v>176</v>
      </c>
      <c r="AV65" s="308">
        <v>2</v>
      </c>
      <c r="AW65" s="308">
        <v>1</v>
      </c>
      <c r="AX65" s="308">
        <v>1</v>
      </c>
      <c r="AY65" s="308" t="s">
        <v>176</v>
      </c>
      <c r="AZ65" s="308" t="s">
        <v>176</v>
      </c>
      <c r="BA65" s="308" t="s">
        <v>176</v>
      </c>
      <c r="BB65" s="308"/>
      <c r="BC65" s="308" t="s">
        <v>176</v>
      </c>
      <c r="BD65" s="308" t="s">
        <v>176</v>
      </c>
      <c r="BE65" s="308" t="s">
        <v>176</v>
      </c>
      <c r="BF65" s="308" t="s">
        <v>176</v>
      </c>
      <c r="BG65" s="308" t="s">
        <v>176</v>
      </c>
      <c r="BH65" s="308" t="s">
        <v>176</v>
      </c>
      <c r="BI65" s="308" t="s">
        <v>176</v>
      </c>
      <c r="BJ65" s="308" t="s">
        <v>176</v>
      </c>
      <c r="BK65" s="308" t="s">
        <v>176</v>
      </c>
      <c r="BL65" s="308" t="s">
        <v>176</v>
      </c>
      <c r="BM65" s="308"/>
      <c r="BN65" s="308">
        <v>1</v>
      </c>
      <c r="BO65" s="308">
        <v>1</v>
      </c>
      <c r="BP65" s="308" t="s">
        <v>176</v>
      </c>
      <c r="BQ65" s="308" t="s">
        <v>176</v>
      </c>
      <c r="BR65" s="308" t="s">
        <v>176</v>
      </c>
      <c r="BS65" s="308" t="s">
        <v>176</v>
      </c>
      <c r="BT65" s="308"/>
      <c r="BU65" s="308">
        <v>1</v>
      </c>
      <c r="BV65" s="308">
        <v>2</v>
      </c>
      <c r="BW65" s="308" t="s">
        <v>176</v>
      </c>
      <c r="BX65" s="308" t="s">
        <v>176</v>
      </c>
      <c r="BY65" s="308" t="s">
        <v>176</v>
      </c>
      <c r="BZ65" s="308" t="s">
        <v>176</v>
      </c>
      <c r="CA65" s="308" t="s">
        <v>176</v>
      </c>
      <c r="CB65" s="308" t="s">
        <v>176</v>
      </c>
      <c r="CC65" s="308" t="s">
        <v>176</v>
      </c>
      <c r="CD65" s="308" t="s">
        <v>176</v>
      </c>
      <c r="CE65" s="308" t="s">
        <v>176</v>
      </c>
      <c r="CF65" s="308" t="s">
        <v>176</v>
      </c>
      <c r="CG65" s="308" t="s">
        <v>176</v>
      </c>
      <c r="CH65" s="308" t="s">
        <v>176</v>
      </c>
      <c r="CI65" s="308"/>
      <c r="CJ65" s="308"/>
      <c r="CK65" s="308" t="s">
        <v>176</v>
      </c>
      <c r="CL65" s="308" t="s">
        <v>176</v>
      </c>
      <c r="CM65" s="308" t="s">
        <v>176</v>
      </c>
      <c r="CN65" s="308">
        <v>1</v>
      </c>
      <c r="CO65" s="308">
        <v>1</v>
      </c>
      <c r="CP65" s="308">
        <v>1</v>
      </c>
      <c r="CQ65" s="308" t="s">
        <v>176</v>
      </c>
      <c r="CR65" s="308" t="s">
        <v>176</v>
      </c>
      <c r="CS65" s="308" t="s">
        <v>176</v>
      </c>
      <c r="CT65" s="308" t="s">
        <v>176</v>
      </c>
      <c r="CU65" s="308">
        <v>3</v>
      </c>
      <c r="CV65" s="308" t="s">
        <v>176</v>
      </c>
      <c r="CW65" s="308" t="s">
        <v>176</v>
      </c>
      <c r="CX65" s="308" t="s">
        <v>176</v>
      </c>
      <c r="CY65" s="308" t="s">
        <v>176</v>
      </c>
      <c r="CZ65" s="308" t="s">
        <v>176</v>
      </c>
      <c r="DA65" s="308" t="s">
        <v>176</v>
      </c>
      <c r="DB65" s="308" t="s">
        <v>176</v>
      </c>
      <c r="DC65" s="308" t="s">
        <v>176</v>
      </c>
      <c r="DD65" s="308" t="s">
        <v>176</v>
      </c>
      <c r="DE65" s="308" t="s">
        <v>176</v>
      </c>
      <c r="DF65" s="308" t="s">
        <v>176</v>
      </c>
      <c r="DG65" s="308" t="s">
        <v>176</v>
      </c>
      <c r="DH65" s="308" t="s">
        <v>176</v>
      </c>
      <c r="DI65" s="308" t="s">
        <v>176</v>
      </c>
      <c r="DJ65" s="308" t="s">
        <v>176</v>
      </c>
      <c r="DK65" s="308" t="s">
        <v>176</v>
      </c>
      <c r="DL65" s="308" t="s">
        <v>176</v>
      </c>
      <c r="DM65" s="308" t="s">
        <v>176</v>
      </c>
      <c r="DN65" s="308" t="s">
        <v>176</v>
      </c>
      <c r="DO65" s="308" t="s">
        <v>176</v>
      </c>
      <c r="DP65" s="308" t="s">
        <v>176</v>
      </c>
      <c r="DQ65" s="308" t="s">
        <v>176</v>
      </c>
      <c r="DR65" s="308" t="s">
        <v>176</v>
      </c>
      <c r="DS65" s="308" t="s">
        <v>176</v>
      </c>
      <c r="DT65" s="308" t="s">
        <v>176</v>
      </c>
      <c r="DU65" s="308" t="s">
        <v>176</v>
      </c>
      <c r="DV65" s="308" t="s">
        <v>176</v>
      </c>
      <c r="DW65" s="308" t="s">
        <v>176</v>
      </c>
      <c r="DX65" s="308" t="s">
        <v>176</v>
      </c>
      <c r="DY65" s="308" t="s">
        <v>176</v>
      </c>
      <c r="DZ65" s="308" t="s">
        <v>176</v>
      </c>
      <c r="EA65" s="308" t="s">
        <v>176</v>
      </c>
      <c r="EB65" s="308" t="s">
        <v>176</v>
      </c>
      <c r="EC65" s="308" t="s">
        <v>176</v>
      </c>
      <c r="ED65" s="308" t="s">
        <v>176</v>
      </c>
      <c r="EE65" s="308" t="s">
        <v>176</v>
      </c>
      <c r="EF65" s="308">
        <v>3</v>
      </c>
      <c r="EG65" s="308">
        <v>2</v>
      </c>
      <c r="EH65" s="308">
        <v>2</v>
      </c>
      <c r="EI65" s="308">
        <v>2</v>
      </c>
      <c r="EJ65" s="308">
        <v>2</v>
      </c>
      <c r="EK65" s="308">
        <v>3</v>
      </c>
      <c r="EL65" s="308">
        <v>2</v>
      </c>
      <c r="EM65" s="308">
        <v>2</v>
      </c>
      <c r="EN65" s="308">
        <v>2</v>
      </c>
      <c r="EO65" s="308">
        <v>2</v>
      </c>
      <c r="EP65" s="308">
        <v>3</v>
      </c>
      <c r="EQ65" s="308">
        <v>3</v>
      </c>
      <c r="ER65" s="308">
        <v>3</v>
      </c>
      <c r="ES65" s="308">
        <v>3</v>
      </c>
      <c r="ET65" s="308">
        <v>3</v>
      </c>
      <c r="EU65" s="308">
        <v>3</v>
      </c>
      <c r="EV65" s="308">
        <v>3</v>
      </c>
      <c r="EW65" s="306">
        <v>2</v>
      </c>
      <c r="EX65" s="308">
        <v>3</v>
      </c>
      <c r="EY65" s="308">
        <v>2</v>
      </c>
      <c r="EZ65" s="308">
        <v>2</v>
      </c>
      <c r="FA65" s="308">
        <v>2</v>
      </c>
      <c r="FB65" s="308">
        <v>1</v>
      </c>
      <c r="FC65" s="308" t="s">
        <v>176</v>
      </c>
      <c r="FD65" s="308">
        <v>2</v>
      </c>
      <c r="FE65" s="308">
        <v>2</v>
      </c>
      <c r="FF65" s="308">
        <v>2</v>
      </c>
      <c r="FG65" s="308">
        <v>2</v>
      </c>
      <c r="FH65" s="308">
        <v>2</v>
      </c>
      <c r="FI65" s="308">
        <v>2</v>
      </c>
      <c r="FJ65" s="308">
        <v>3</v>
      </c>
      <c r="FK65" s="308">
        <v>3</v>
      </c>
      <c r="FL65" s="308">
        <v>2</v>
      </c>
      <c r="FM65" s="308">
        <v>2</v>
      </c>
      <c r="FN65" s="308">
        <v>3</v>
      </c>
      <c r="FO65" s="308">
        <v>2</v>
      </c>
      <c r="FP65" s="308">
        <v>2</v>
      </c>
      <c r="FQ65" s="308" t="s">
        <v>176</v>
      </c>
      <c r="FR65" s="308"/>
      <c r="FS65" s="308" t="s">
        <v>176</v>
      </c>
      <c r="FT65" s="308" t="s">
        <v>176</v>
      </c>
      <c r="FU65" s="308" t="s">
        <v>176</v>
      </c>
      <c r="FV65" s="308" t="s">
        <v>176</v>
      </c>
      <c r="FW65" s="308" t="s">
        <v>176</v>
      </c>
      <c r="FX65" s="308" t="s">
        <v>176</v>
      </c>
      <c r="FY65" s="308" t="s">
        <v>176</v>
      </c>
      <c r="FZ65" s="308" t="s">
        <v>176</v>
      </c>
      <c r="GA65" s="308" t="s">
        <v>176</v>
      </c>
      <c r="GB65" s="308" t="s">
        <v>176</v>
      </c>
      <c r="GC65" s="308" t="s">
        <v>176</v>
      </c>
      <c r="GD65" s="308" t="s">
        <v>176</v>
      </c>
      <c r="GE65" s="308" t="s">
        <v>176</v>
      </c>
      <c r="GF65" s="308"/>
      <c r="GG65" s="308"/>
      <c r="GH65" s="308" t="s">
        <v>176</v>
      </c>
      <c r="GI65" s="308" t="s">
        <v>176</v>
      </c>
      <c r="GJ65" s="308"/>
      <c r="GK65" s="308" t="s">
        <v>176</v>
      </c>
      <c r="GL65" s="329">
        <f>SUM(G65:FP65)</f>
        <v>118</v>
      </c>
      <c r="GM65" s="132"/>
    </row>
    <row r="66" spans="1:195" s="133" customFormat="1" ht="28.35" customHeight="1" thickBot="1" x14ac:dyDescent="0.3">
      <c r="A66" s="138" t="str">
        <f>A65</f>
        <v>Serwis form-Tooling</v>
      </c>
      <c r="B66" s="138" t="str">
        <f>B65</f>
        <v>Teamleader Serwisu Form</v>
      </c>
      <c r="C66" s="138" t="str">
        <f t="shared" si="3"/>
        <v>KC</v>
      </c>
      <c r="D66" s="138">
        <f>D65</f>
        <v>135</v>
      </c>
      <c r="E66" s="567" t="str">
        <f>E65</f>
        <v>Tobolski Rafał</v>
      </c>
      <c r="F66" s="331" t="s">
        <v>166</v>
      </c>
      <c r="G66" s="330">
        <f>IF(INDEX(tab_MinKomp[Przepisy BHP / BHP Vorschriften],MATCH($B65,tab_MinKomp[[Stanowisko / Position ]:[Stanowisko / Position ]],0))="n/a","n/a",G65-INDEX(tab_MinKomp[Przepisy BHP / BHP Vorschriften],MATCH($B65,tab_MinKomp[[Stanowisko / Position ]:[Stanowisko / Position ]],0)))</f>
        <v>0</v>
      </c>
      <c r="H66" s="330">
        <f>IF(INDEX(tab_MinKomp[Przepisy PPOŻ / Brandschutzbestimmungen],MATCH($B65,tab_MinKomp[[Stanowisko / Position ]:[Stanowisko / Position ]],0))="n/a","n/a",H65-INDEX(tab_MinKomp[Przepisy PPOŻ / Brandschutzbestimmungen],MATCH($B65,tab_MinKomp[[Stanowisko / Position ]:[Stanowisko / Position ]],0)))</f>
        <v>0</v>
      </c>
      <c r="I66" s="330">
        <f>IF(INDEX(tab_MinKomp[Ryzyko zawodowe na stanowiskach pracyv/ Berufliche Risiken an Arbeitsstellen],MATCH($B65,tab_MinKomp[[Stanowisko / Position ]:[Stanowisko / Position ]],0))="n/a","n/a",I65-INDEX(tab_MinKomp[Ryzyko zawodowe na stanowiskach pracyv/ Berufliche Risiken an Arbeitsstellen],MATCH($B65,tab_MinKomp[[Stanowisko / Position ]:[Stanowisko / Position ]],0)))</f>
        <v>0</v>
      </c>
      <c r="J66" s="330">
        <f>IF(INDEX(tab_MinKomp[Gospodarka substancjami niebezpiecznymi / Gefahrstoffmanagement],MATCH($B65,tab_MinKomp[[Stanowisko / Position ]:[Stanowisko / Position ]],0))="n/a","n/a",J65-INDEX(tab_MinKomp[Gospodarka substancjami niebezpiecznymi / Gefahrstoffmanagement],MATCH($B65,tab_MinKomp[[Stanowisko / Position ]:[Stanowisko / Position ]],0)))</f>
        <v>0</v>
      </c>
      <c r="K66" s="330">
        <f>IF(INDEX(tab_MinKomp[Gospodarka odpadami / Abfallwirtschaft],MATCH($B65,tab_MinKomp[[Stanowisko / Position ]:[Stanowisko / Position ]],0))="n/a","n/a",K65-INDEX(tab_MinKomp[Gospodarka odpadami / Abfallwirtschaft],MATCH($B65,tab_MinKomp[[Stanowisko / Position ]:[Stanowisko / Position ]],0)))</f>
        <v>0</v>
      </c>
      <c r="L66" s="330">
        <f>IF(INDEX(tab_MinKomp[Przepisy kodeksu pracy / Bestimmungen des Arbeitsgesetzes],MATCH($B65,tab_MinKomp[[Stanowisko / Position ]:[Stanowisko / Position ]],0))="n/a","n/a",L65-INDEX(tab_MinKomp[Przepisy kodeksu pracy / Bestimmungen des Arbeitsgesetzes],MATCH($B65,tab_MinKomp[[Stanowisko / Position ]:[Stanowisko / Position ]],0)))</f>
        <v>0</v>
      </c>
      <c r="M66" s="330" t="str">
        <f>IF(INDEX(tab_MinKomp[Przepisy o ub.społ. ZUS  / Sozialversicherungsvorschriften],MATCH($B65,tab_MinKomp[[Stanowisko / Position ]:[Stanowisko / Position ]],0))="n/a","n/a",M65-INDEX(tab_MinKomp[Przepisy o ub.społ. ZUS  / Sozialversicherungsvorschriften],MATCH($B65,tab_MinKomp[[Stanowisko / Position ]:[Stanowisko / Position ]],0)))</f>
        <v>n/a</v>
      </c>
      <c r="N66" s="330" t="str">
        <f>IF(INDEX(tab_MinKomp[PRZEPISY O PDOF /persönlich Einkommensteuergesetz ],MATCH($B65,tab_MinKomp[[Stanowisko / Position ]:[Stanowisko / Position ]],0))="n/a","n/a",N65-INDEX(tab_MinKomp[PRZEPISY O PDOF /persönlich Einkommensteuergesetz ],MATCH($B65,tab_MinKomp[[Stanowisko / Position ]:[Stanowisko / Position ]],0)))</f>
        <v>n/a</v>
      </c>
      <c r="O66" s="330">
        <f>IF(INDEX(tab_MinKomp[Regulamin pracy / Arbeitsordnung],MATCH($B65,tab_MinKomp[[Stanowisko / Position ]:[Stanowisko / Position ]],0))="n/a","n/a",O65-INDEX(tab_MinKomp[Regulamin pracy / Arbeitsordnung],MATCH($B65,tab_MinKomp[[Stanowisko / Position ]:[Stanowisko / Position ]],0)))</f>
        <v>0</v>
      </c>
      <c r="P66" s="330">
        <f>IF(INDEX(tab_MinKomp[Regulamin wynagradzania / Vergütungsordnung],MATCH($B65,tab_MinKomp[[Stanowisko / Position ]:[Stanowisko / Position ]],0))="n/a","n/a",P65-INDEX(tab_MinKomp[Regulamin wynagradzania / Vergütungsordnung],MATCH($B65,tab_MinKomp[[Stanowisko / Position ]:[Stanowisko / Position ]],0)))</f>
        <v>0</v>
      </c>
      <c r="Q66" s="330" t="str">
        <f>IF(INDEX(tab_MinKomp[System R2PŁATNIK PRO: Płace / Lohnabrechnung],MATCH($B65,tab_MinKomp[[Stanowisko / Position ]:[Stanowisko / Position ]],0))="n/a","n/a",Q65-INDEX(tab_MinKomp[System R2PŁATNIK PRO: Płace / Lohnabrechnung],MATCH($B65,tab_MinKomp[[Stanowisko / Position ]:[Stanowisko / Position ]],0)))</f>
        <v>n/a</v>
      </c>
      <c r="R66" s="330" t="str">
        <f>IF(INDEX(tab_MinKomp[SystemR2PŁATNIK PRO: KADRY / Personaldaten],MATCH($B65,tab_MinKomp[[Stanowisko / Position ]:[Stanowisko / Position ]],0))="n/a","n/a",R65-INDEX(tab_MinKomp[SystemR2PŁATNIK PRO: KADRY / Personaldaten],MATCH($B65,tab_MinKomp[[Stanowisko / Position ]:[Stanowisko / Position ]],0)))</f>
        <v>n/a</v>
      </c>
      <c r="S66" s="330" t="str">
        <f>IF(INDEX(tab_MinKomp[SYSTEM R2PŁATNIK PRO: zarządzanie pracownikami / Arbeitsverwaltung],MATCH($B65,tab_MinKomp[[Stanowisko / Position ]:[Stanowisko / Position ]],0))="n/a","n/a",S65-INDEX(tab_MinKomp[SYSTEM R2PŁATNIK PRO: zarządzanie pracownikami / Arbeitsverwaltung],MATCH($B65,tab_MinKomp[[Stanowisko / Position ]:[Stanowisko / Position ]],0)))</f>
        <v>n/a</v>
      </c>
      <c r="T66" s="330">
        <f>IF(INDEX(tab_MinKomp[Doradztwo, wsparcie personalne / Personalberatung und Unterstützung],MATCH($B65,tab_MinKomp[[Stanowisko / Position ]:[Stanowisko / Position ]],0))="n/a","n/a",T65-INDEX(tab_MinKomp[Doradztwo, wsparcie personalne / Personalberatung und Unterstützung],MATCH($B65,tab_MinKomp[[Stanowisko / Position ]:[Stanowisko / Position ]],0)))</f>
        <v>0</v>
      </c>
      <c r="U66" s="330" t="str">
        <f>IF(INDEX(tab_MinKomp[Przepisy o podatku VAT / MwSt.- Gesetz],MATCH($B65,tab_MinKomp[[Stanowisko / Position ]:[Stanowisko / Position ]],0))="n/a","n/a",U65-INDEX(tab_MinKomp[Przepisy o podatku VAT / MwSt.- Gesetz],MATCH($B65,tab_MinKomp[[Stanowisko / Position ]:[Stanowisko / Position ]],0)))</f>
        <v>n/a</v>
      </c>
      <c r="V66" s="330" t="str">
        <f>IF(INDEX(tab_MinKomp[PrzepisyPDOP / geschäftlich Einkommensteuergesetz],MATCH($B65,tab_MinKomp[[Stanowisko / Position ]:[Stanowisko / Position ]],0))="n/a","n/a",V65-INDEX(tab_MinKomp[PrzepisyPDOP / geschäftlich Einkommensteuergesetz],MATCH($B65,tab_MinKomp[[Stanowisko / Position ]:[Stanowisko / Position ]],0)))</f>
        <v>n/a</v>
      </c>
      <c r="W66" s="330" t="str">
        <f>IF(INDEX(tab_MinKomp[System BAAN / FINANSE (FIBU)],MATCH($B65,tab_MinKomp[[Stanowisko / Position ]:[Stanowisko / Position ]],0))="n/a","n/a",W65-INDEX(tab_MinKomp[System BAAN / FINANSE (FIBU)],MATCH($B65,tab_MinKomp[[Stanowisko / Position ]:[Stanowisko / Position ]],0)))</f>
        <v>n/a</v>
      </c>
      <c r="X66" s="330" t="str">
        <f>IF(INDEX(tab_MinKomp[Systemy pomocnicze / Hilfssysteme(STOCKPROGRAM, KALK2000 etc.)],MATCH($B65,tab_MinKomp[[Stanowisko / Position ]:[Stanowisko / Position ]],0))="n/a","n/a",X65-INDEX(tab_MinKomp[Systemy pomocnicze / Hilfssysteme(STOCKPROGRAM, KALK2000 etc.)],MATCH($B65,tab_MinKomp[[Stanowisko / Position ]:[Stanowisko / Position ]],0)))</f>
        <v>n/a</v>
      </c>
      <c r="Y66" s="330" t="str">
        <f>IF(INDEX(tab_MinKomp[Polityka rachunkowości / Buchführungspolitik],MATCH($B65,tab_MinKomp[[Stanowisko / Position ]:[Stanowisko / Position ]],0))="n/a","n/a",Y65-INDEX(tab_MinKomp[Polityka rachunkowości / Buchführungspolitik],MATCH($B65,tab_MinKomp[[Stanowisko / Position ]:[Stanowisko / Position ]],0)))</f>
        <v>n/a</v>
      </c>
      <c r="Z66" s="330" t="str">
        <f>IF(INDEX(tab_MinKomp[Ustawa o rachunkowości / Rechnungslegungsgesetz],MATCH($B65,tab_MinKomp[[Stanowisko / Position ]:[Stanowisko / Position ]],0))="n/a","n/a",Z65-INDEX(tab_MinKomp[Ustawa o rachunkowości / Rechnungslegungsgesetz],MATCH($B65,tab_MinKomp[[Stanowisko / Position ]:[Stanowisko / Position ]],0)))</f>
        <v>n/a</v>
      </c>
      <c r="AA66" s="330" t="str">
        <f>IF(INDEX(tab_MinKomp[WORKFLOW - TS-100],MATCH($B65,tab_MinKomp[[Stanowisko / Position ]:[Stanowisko / Position ]],0))="n/a","n/a",AA65-INDEX(tab_MinKomp[WORKFLOW - TS-100],MATCH($B65,tab_MinKomp[[Stanowisko / Position ]:[Stanowisko / Position ]],0)))</f>
        <v>n/a</v>
      </c>
      <c r="AB66" s="330">
        <f>IF(INDEX(tab_MinKomp[WORKFLOW - SFMS],MATCH($B65,tab_MinKomp[[Stanowisko / Position ]:[Stanowisko / Position ]],0))="n/a","n/a",AB65-INDEX(tab_MinKomp[WORKFLOW - SFMS],MATCH($B65,tab_MinKomp[[Stanowisko / Position ]:[Stanowisko / Position ]],0)))</f>
        <v>0</v>
      </c>
      <c r="AC66" s="330">
        <f>IF(INDEX(tab_MinKomp[System ISO 9001:2015],MATCH($B65,tab_MinKomp[[Stanowisko / Position ]:[Stanowisko / Position ]],0))="n/a","n/a",AC65-INDEX(tab_MinKomp[System ISO 9001:2015],MATCH($B65,tab_MinKomp[[Stanowisko / Position ]:[Stanowisko / Position ]],0)))</f>
        <v>-1</v>
      </c>
      <c r="AD66" s="330">
        <f>IF(INDEX(tab_MinKomp[System IATF 16949:2016],MATCH($B65,tab_MinKomp[[Stanowisko / Position ]:[Stanowisko / Position ]],0))="n/a","n/a",AD65-INDEX(tab_MinKomp[System IATF 16949:2016],MATCH($B65,tab_MinKomp[[Stanowisko / Position ]:[Stanowisko / Position ]],0)))</f>
        <v>0</v>
      </c>
      <c r="AE66" s="330">
        <f>IF(INDEX(tab_MinKomp[System ISO 14001:2015],MATCH($B65,tab_MinKomp[[Stanowisko / Position ]:[Stanowisko / Position ]],0))="n/a","n/a",AE65-INDEX(tab_MinKomp[System ISO 14001:2015],MATCH($B65,tab_MinKomp[[Stanowisko / Position ]:[Stanowisko / Position ]],0)))</f>
        <v>-1</v>
      </c>
      <c r="AF66" s="330">
        <f>IF(INDEX(tab_MinKomp[System PN-N 18001:2004 / ISO 45001:2018],MATCH($B65,tab_MinKomp[[Stanowisko / Position ]:[Stanowisko / Position ]],0))="n/a","n/a",AF65-INDEX(tab_MinKomp[System PN-N 18001:2004 / ISO 45001:2018],MATCH($B65,tab_MinKomp[[Stanowisko / Position ]:[Stanowisko / Position ]],0)))</f>
        <v>-1</v>
      </c>
      <c r="AG66" s="330" t="str">
        <f>IF(INDEX(tab_MinKomp[Wymagania VDA 6.3 Process / Forderungen],MATCH($B65,tab_MinKomp[[Stanowisko / Position ]:[Stanowisko / Position ]],0))="n/a","n/a",AG65-INDEX(tab_MinKomp[Wymagania VDA 6.3 Process / Forderungen],MATCH($B65,tab_MinKomp[[Stanowisko / Position ]:[Stanowisko / Position ]],0)))</f>
        <v>n/a</v>
      </c>
      <c r="AH66" s="330" t="str">
        <f>IF(INDEX(tab_MinKomp[Wymagania VDA 6.5 Product / Forderungen],MATCH($B65,tab_MinKomp[[Stanowisko / Position ]:[Stanowisko / Position ]],0))="n/a","n/a",AH65-INDEX(tab_MinKomp[Wymagania VDA 6.5 Product / Forderungen],MATCH($B65,tab_MinKomp[[Stanowisko / Position ]:[Stanowisko / Position ]],0)))</f>
        <v>n/a</v>
      </c>
      <c r="AI66" s="330" t="str">
        <f>IF(INDEX(tab_MinKomp[PSCR (VW Product Safety &amp; Conformity Representative)],MATCH($B65,tab_MinKomp[[Stanowisko / Position ]:[Stanowisko / Position ]],0))="n/a","n/a",AI65-INDEX(tab_MinKomp[PSCR (VW Product Safety &amp; Conformity Representative)],MATCH($B65,tab_MinKomp[[Stanowisko / Position ]:[Stanowisko / Position ]],0)))</f>
        <v>n/a</v>
      </c>
      <c r="AJ66" s="330" t="str">
        <f>IF(INDEX(tab_MinKomp[Auditor systemu ISO 17025:2018],MATCH($B65,tab_MinKomp[[Stanowisko / Position ]:[Stanowisko / Position ]],0))="n/a","n/a",AJ65-INDEX(tab_MinKomp[Auditor systemu ISO 17025:2018],MATCH($B65,tab_MinKomp[[Stanowisko / Position ]:[Stanowisko / Position ]],0)))</f>
        <v>n/a</v>
      </c>
      <c r="AK66" s="330" t="str">
        <f>IF(INDEX(tab_MinKomp[Pełnomocnik systemu / Systemvertreter],MATCH($B65,tab_MinKomp[[Stanowisko / Position ]:[Stanowisko / Position ]],0))="n/a","n/a",AK65-INDEX(tab_MinKomp[Pełnomocnik systemu / Systemvertreter],MATCH($B65,tab_MinKomp[[Stanowisko / Position ]:[Stanowisko / Position ]],0)))</f>
        <v>n/a</v>
      </c>
      <c r="AL66" s="330">
        <f>IF(INDEX(tab_MinKomp[Polityka Etyczna - Compliance],MATCH($B65,tab_MinKomp[[Stanowisko / Position ]:[Stanowisko / Position ]],0))="n/a","n/a",AL65-INDEX(tab_MinKomp[Polityka Etyczna - Compliance],MATCH($B65,tab_MinKomp[[Stanowisko / Position ]:[Stanowisko / Position ]],0)))</f>
        <v>-1</v>
      </c>
      <c r="AM66" s="330">
        <f>IF(INDEX(tab_MinKomp[WDRAŻANIE NOWYCH PROJEKTÓW/ PROCEDURA CTM],MATCH($B65,tab_MinKomp[[Stanowisko / Position ]:[Stanowisko / Position ]],0))="n/a","n/a",AM65-INDEX(tab_MinKomp[WDRAŻANIE NOWYCH PROJEKTÓW/ PROCEDURA CTM],MATCH($B65,tab_MinKomp[[Stanowisko / Position ]:[Stanowisko / Position ]],0)))</f>
        <v>-1</v>
      </c>
      <c r="AN66" s="330" t="str">
        <f>IF(INDEX(tab_MinKomp[KAMIENIE MILOWE MSL/PIFF],MATCH($B65,tab_MinKomp[[Stanowisko / Position ]:[Stanowisko / Position ]],0))="n/a","n/a",AN65-INDEX(tab_MinKomp[KAMIENIE MILOWE MSL/PIFF],MATCH($B65,tab_MinKomp[[Stanowisko / Position ]:[Stanowisko / Position ]],0)))</f>
        <v>n/a</v>
      </c>
      <c r="AO66" s="330" t="str">
        <f>IF(INDEX(tab_MinKomp[CP],MATCH($B65,tab_MinKomp[[Stanowisko / Position ]:[Stanowisko / Position ]],0))="n/a","n/a",AO65-INDEX(tab_MinKomp[CP],MATCH($B65,tab_MinKomp[[Stanowisko / Position ]:[Stanowisko / Position ]],0)))</f>
        <v>n/a</v>
      </c>
      <c r="AP66" s="330" t="str">
        <f>IF(INDEX(tab_MinKomp[FMEA],MATCH($B65,tab_MinKomp[[Stanowisko / Position ]:[Stanowisko / Position ]],0))="n/a","n/a",AP65-INDEX(tab_MinKomp[FMEA],MATCH($B65,tab_MinKomp[[Stanowisko / Position ]:[Stanowisko / Position ]],0)))</f>
        <v>n/a</v>
      </c>
      <c r="AQ66" s="330" t="str">
        <f>IF(INDEX(tab_MinKomp[FLOW CHART],MATCH($B65,tab_MinKomp[[Stanowisko / Position ]:[Stanowisko / Position ]],0))="n/a","n/a",AQ65-INDEX(tab_MinKomp[FLOW CHART],MATCH($B65,tab_MinKomp[[Stanowisko / Position ]:[Stanowisko / Position ]],0)))</f>
        <v>n/a</v>
      </c>
      <c r="AR66" s="330" t="str">
        <f>IF(INDEX(tab_MinKomp[APQP],MATCH($B65,tab_MinKomp[[Stanowisko / Position ]:[Stanowisko / Position ]],0))="n/a","n/a",AR65-INDEX(tab_MinKomp[APQP],MATCH($B65,tab_MinKomp[[Stanowisko / Position ]:[Stanowisko / Position ]],0)))</f>
        <v>n/a</v>
      </c>
      <c r="AS66" s="330" t="str">
        <f>IF(INDEX(tab_MinKomp[MSA],MATCH($B65,tab_MinKomp[[Stanowisko / Position ]:[Stanowisko / Position ]],0))="n/a","n/a",AS65-INDEX(tab_MinKomp[MSA],MATCH($B65,tab_MinKomp[[Stanowisko / Position ]:[Stanowisko / Position ]],0)))</f>
        <v>n/a</v>
      </c>
      <c r="AT66" s="330" t="str">
        <f>IF(INDEX(tab_MinKomp[SPC],MATCH($B65,tab_MinKomp[[Stanowisko / Position ]:[Stanowisko / Position ]],0))="n/a","n/a",AT65-INDEX(tab_MinKomp[SPC],MATCH($B65,tab_MinKomp[[Stanowisko / Position ]:[Stanowisko / Position ]],0)))</f>
        <v>n/a</v>
      </c>
      <c r="AU66" s="330" t="str">
        <f>IF(INDEX(tab_MinKomp[CSR (SPECYFICZNE WYMAGANIA KLIENTA)],MATCH($B65,tab_MinKomp[[Stanowisko / Position ]:[Stanowisko / Position ]],0))="n/a","n/a",AU65-INDEX(tab_MinKomp[CSR (SPECYFICZNE WYMAGANIA KLIENTA)],MATCH($B65,tab_MinKomp[[Stanowisko / Position ]:[Stanowisko / Position ]],0)))</f>
        <v>n/a</v>
      </c>
      <c r="AV66" s="330">
        <f>IF(INDEX(tab_MinKomp[5S],MATCH($B65,tab_MinKomp[[Stanowisko / Position ]:[Stanowisko / Position ]],0))="n/a","n/a",AV65-INDEX(tab_MinKomp[5S],MATCH($B65,tab_MinKomp[[Stanowisko / Position ]:[Stanowisko / Position ]],0)))</f>
        <v>0</v>
      </c>
      <c r="AW66" s="330">
        <f>IF(INDEX(tab_MinKomp[LEAN MANAGEMENT],MATCH($B65,tab_MinKomp[[Stanowisko / Position ]:[Stanowisko / Position ]],0))="n/a","n/a",AW65-INDEX(tab_MinKomp[LEAN MANAGEMENT],MATCH($B65,tab_MinKomp[[Stanowisko / Position ]:[Stanowisko / Position ]],0)))</f>
        <v>0</v>
      </c>
      <c r="AX66" s="330">
        <f>IF(INDEX(tab_MinKomp[5R],MATCH($B65,tab_MinKomp[[Stanowisko / Position ]:[Stanowisko / Position ]],0))="n/a","n/a",AX65-INDEX(tab_MinKomp[5R],MATCH($B65,tab_MinKomp[[Stanowisko / Position ]:[Stanowisko / Position ]],0)))</f>
        <v>0</v>
      </c>
      <c r="AY66" s="330" t="str">
        <f>IF(INDEX(tab_MinKomp[Six Sigma],MATCH($B65,tab_MinKomp[[Stanowisko / Position ]:[Stanowisko / Position ]],0))="n/a","n/a",AY65-INDEX(tab_MinKomp[Six Sigma],MATCH($B65,tab_MinKomp[[Stanowisko / Position ]:[Stanowisko / Position ]],0)))</f>
        <v>n/a</v>
      </c>
      <c r="AZ66" s="330" t="str">
        <f>IF(INDEX(tab_MinKomp[System BAAN / Distribution &amp; Supply Chain],MATCH($B65,tab_MinKomp[[Stanowisko / Position ]:[Stanowisko / Position ]],0))="n/a","n/a",AZ65-INDEX(tab_MinKomp[System BAAN / Distribution &amp; Supply Chain],MATCH($B65,tab_MinKomp[[Stanowisko / Position ]:[Stanowisko / Position ]],0)))</f>
        <v>n/a</v>
      </c>
      <c r="BA66" s="330" t="str">
        <f>IF(INDEX(tab_MinKomp[Gospodarka magazynowa / Lagerverwaltung],MATCH($B65,tab_MinKomp[[Stanowisko / Position ]:[Stanowisko / Position ]],0))="n/a","n/a",BA65-INDEX(tab_MinKomp[Gospodarka magazynowa / Lagerverwaltung],MATCH($B65,tab_MinKomp[[Stanowisko / Position ]:[Stanowisko / Position ]],0)))</f>
        <v>n/a</v>
      </c>
      <c r="BB66" s="330">
        <f>IF(INDEX(tab_MinKomp[Inwentaryzacja - organizacja i przebieg / Inventurprozess],MATCH($B65,tab_MinKomp[[Stanowisko / Position ]:[Stanowisko / Position ]],0))="n/a","n/a",BB65-INDEX(tab_MinKomp[Inwentaryzacja - organizacja i przebieg / Inventurprozess],MATCH($B65,tab_MinKomp[[Stanowisko / Position ]:[Stanowisko / Position ]],0)))</f>
        <v>-1</v>
      </c>
      <c r="BC66" s="330" t="str">
        <f>IF(INDEX(tab_MinKomp[Organizacja dostaw / Versorgungsorganisation],MATCH($B65,tab_MinKomp[[Stanowisko / Position ]:[Stanowisko / Position ]],0))="n/a","n/a",BC65-INDEX(tab_MinKomp[Organizacja dostaw / Versorgungsorganisation],MATCH($B65,tab_MinKomp[[Stanowisko / Position ]:[Stanowisko / Position ]],0)))</f>
        <v>n/a</v>
      </c>
      <c r="BD66" s="330" t="str">
        <f>IF(INDEX(tab_MinKomp[Organizacja wysyłek / Organisation von Lieferungen],MATCH($B65,tab_MinKomp[[Stanowisko / Position ]:[Stanowisko / Position ]],0))="n/a","n/a",BD65-INDEX(tab_MinKomp[Organizacja wysyłek / Organisation von Lieferungen],MATCH($B65,tab_MinKomp[[Stanowisko / Position ]:[Stanowisko / Position ]],0)))</f>
        <v>n/a</v>
      </c>
      <c r="BE66" s="330" t="str">
        <f>IF(INDEX(tab_MinKomp[Analiza magazynowa - Program Polen.mdb / Inventuranalyse],MATCH($B65,tab_MinKomp[[Stanowisko / Position ]:[Stanowisko / Position ]],0))="n/a","n/a",BE65-INDEX(tab_MinKomp[Analiza magazynowa - Program Polen.mdb / Inventuranalyse],MATCH($B65,tab_MinKomp[[Stanowisko / Position ]:[Stanowisko / Position ]],0)))</f>
        <v>n/a</v>
      </c>
      <c r="BF66" s="330" t="str">
        <f>IF(INDEX(tab_MinKomp[MMOG (Materials Management Operations Guidelines)],MATCH($B65,tab_MinKomp[[Stanowisko / Position ]:[Stanowisko / Position ]],0))="n/a","n/a",BF65-INDEX(tab_MinKomp[MMOG (Materials Management Operations Guidelines)],MATCH($B65,tab_MinKomp[[Stanowisko / Position ]:[Stanowisko / Position ]],0)))</f>
        <v>n/a</v>
      </c>
      <c r="BG66" s="330" t="str">
        <f>IF(INDEX(tab_MinKomp[DETC],MATCH($B65,tab_MinKomp[[Stanowisko / Position ]:[Stanowisko / Position ]],0))="n/a","n/a",BG65-INDEX(tab_MinKomp[DETC],MATCH($B65,tab_MinKomp[[Stanowisko / Position ]:[Stanowisko / Position ]],0)))</f>
        <v>n/a</v>
      </c>
      <c r="BH66" s="330" t="str">
        <f>IF(INDEX(tab_MinKomp[GPP],MATCH($B65,tab_MinKomp[[Stanowisko / Position ]:[Stanowisko / Position ]],0))="n/a","n/a",BH65-INDEX(tab_MinKomp[GPP],MATCH($B65,tab_MinKomp[[Stanowisko / Position ]:[Stanowisko / Position ]],0)))</f>
        <v>n/a</v>
      </c>
      <c r="BI66" s="330" t="str">
        <f>IF(INDEX(tab_MinKomp[AIAG (Automotive Industry Action Group)],MATCH($B65,tab_MinKomp[[Stanowisko / Position ]:[Stanowisko / Position ]],0))="n/a","n/a",BI65-INDEX(tab_MinKomp[AIAG (Automotive Industry Action Group)],MATCH($B65,tab_MinKomp[[Stanowisko / Position ]:[Stanowisko / Position ]],0)))</f>
        <v>n/a</v>
      </c>
      <c r="BJ66" s="330" t="str">
        <f>IF(INDEX(tab_MinKomp[Super-G disputes],MATCH($B65,tab_MinKomp[[Stanowisko / Position ]:[Stanowisko / Position ]],0))="n/a","n/a",BJ65-INDEX(tab_MinKomp[Super-G disputes],MATCH($B65,tab_MinKomp[[Stanowisko / Position ]:[Stanowisko / Position ]],0)))</f>
        <v>n/a</v>
      </c>
      <c r="BK66" s="330" t="str">
        <f>IF(INDEX(tab_MinKomp[CMMS3/eDDL (Direct Data Link)],MATCH($B65,tab_MinKomp[[Stanowisko / Position ]:[Stanowisko / Position ]],0))="n/a","n/a",BK65-INDEX(tab_MinKomp[CMMS3/eDDL (Direct Data Link)],MATCH($B65,tab_MinKomp[[Stanowisko / Position ]:[Stanowisko / Position ]],0)))</f>
        <v>n/a</v>
      </c>
      <c r="BL66" s="330" t="str">
        <f>IF(INDEX(tab_MinKomp[MP&amp;L (Material Planning and Logistics)],MATCH($B65,tab_MinKomp[[Stanowisko / Position ]:[Stanowisko / Position ]],0))="n/a","n/a",BL65-INDEX(tab_MinKomp[MP&amp;L (Material Planning and Logistics)],MATCH($B65,tab_MinKomp[[Stanowisko / Position ]:[Stanowisko / Position ]],0)))</f>
        <v>n/a</v>
      </c>
      <c r="BM66" s="330">
        <f>IF(INDEX(tab_MinKomp[Planowanie produkcji / Produktionsplanung],MATCH($B65,tab_MinKomp[[Stanowisko / Position ]:[Stanowisko / Position ]],0))="n/a","n/a",BM65-INDEX(tab_MinKomp[Planowanie produkcji / Produktionsplanung],MATCH($B65,tab_MinKomp[[Stanowisko / Position ]:[Stanowisko / Position ]],0)))</f>
        <v>-1</v>
      </c>
      <c r="BN66" s="330">
        <f>IF(INDEX(tab_MinKomp[Obsługa maszyn Engel / Engel Maschinenbedienung],MATCH($B65,tab_MinKomp[[Stanowisko / Position ]:[Stanowisko / Position ]],0))="n/a","n/a",BN65-INDEX(tab_MinKomp[Obsługa maszyn Engel / Engel Maschinenbedienung],MATCH($B65,tab_MinKomp[[Stanowisko / Position ]:[Stanowisko / Position ]],0)))</f>
        <v>-1</v>
      </c>
      <c r="BO66" s="330">
        <f>IF(INDEX(tab_MinKomp[Obsługa maszyn Novapax / Novapax Maschinenbedienung],MATCH($B65,tab_MinKomp[[Stanowisko / Position ]:[Stanowisko / Position ]],0))="n/a","n/a",BO65-INDEX(tab_MinKomp[Obsługa maszyn Novapax / Novapax Maschinenbedienung],MATCH($B65,tab_MinKomp[[Stanowisko / Position ]:[Stanowisko / Position ]],0)))</f>
        <v>-1</v>
      </c>
      <c r="BP66" s="330" t="str">
        <f>IF(INDEX(tab_MinKomp[Obsługa maszyn KVT / KVT Maschinenbedienung],MATCH($B65,tab_MinKomp[[Stanowisko / Position ]:[Stanowisko / Position ]],0))="n/a","n/a",BP65-INDEX(tab_MinKomp[Obsługa maszyn KVT / KVT Maschinenbedienung],MATCH($B65,tab_MinKomp[[Stanowisko / Position ]:[Stanowisko / Position ]],0)))</f>
        <v>n/a</v>
      </c>
      <c r="BQ66" s="330" t="str">
        <f>IF(INDEX(tab_MinKomp[Obsługa maszyn ASL / ASL Maschinenbedienung],MATCH($B65,tab_MinKomp[[Stanowisko / Position ]:[Stanowisko / Position ]],0))="n/a","n/a",BQ65-INDEX(tab_MinKomp[Obsługa maszyn ASL / ASL Maschinenbedienung],MATCH($B65,tab_MinKomp[[Stanowisko / Position ]:[Stanowisko / Position ]],0)))</f>
        <v>n/a</v>
      </c>
      <c r="BR66" s="330" t="str">
        <f>IF(INDEX(tab_MinKomp[Obsługa maszyn Branson / Branson Maschinenbedienung],MATCH($B65,tab_MinKomp[[Stanowisko / Position ]:[Stanowisko / Position ]],0))="n/a","n/a",BR65-INDEX(tab_MinKomp[Obsługa maszyn Branson / Branson Maschinenbedienung],MATCH($B65,tab_MinKomp[[Stanowisko / Position ]:[Stanowisko / Position ]],0)))</f>
        <v>n/a</v>
      </c>
      <c r="BS66" s="330" t="str">
        <f>IF(INDEX(tab_MinKomp[Obsługa maszyn Kamtec / Kamtec Maschinenbedienung],MATCH($B65,tab_MinKomp[[Stanowisko / Position ]:[Stanowisko / Position ]],0))="n/a","n/a",BS65-INDEX(tab_MinKomp[Obsługa maszyn Kamtec / Kamtec Maschinenbedienung],MATCH($B65,tab_MinKomp[[Stanowisko / Position ]:[Stanowisko / Position ]],0)))</f>
        <v>n/a</v>
      </c>
      <c r="BT66" s="330">
        <f>IF(INDEX(tab_MinKomp[Obsługa maszyn Piovan / Piovan Maschinenbedienung],MATCH($B65,tab_MinKomp[[Stanowisko / Position ]:[Stanowisko / Position ]],0))="n/a","n/a",BT65-INDEX(tab_MinKomp[Obsługa maszyn Piovan / Piovan Maschinenbedienung],MATCH($B65,tab_MinKomp[[Stanowisko / Position ]:[Stanowisko / Position ]],0)))</f>
        <v>-1</v>
      </c>
      <c r="BU66" s="330">
        <f>IF(INDEX(tab_MinKomp[Obsługa maszyn REP / REP Maschinenbedienung],MATCH($B65,tab_MinKomp[[Stanowisko / Position ]:[Stanowisko / Position ]],0))="n/a","n/a",BU65-INDEX(tab_MinKomp[Obsługa maszyn REP / REP Maschinenbedienung],MATCH($B65,tab_MinKomp[[Stanowisko / Position ]:[Stanowisko / Position ]],0)))</f>
        <v>-1</v>
      </c>
      <c r="BV66" s="330">
        <f>IF(INDEX(tab_MinKomp[Eliminacja awarii / Beseitigung von Ausfällen],MATCH($B65,tab_MinKomp[[Stanowisko / Position ]:[Stanowisko / Position ]],0))="n/a","n/a",BV65-INDEX(tab_MinKomp[Eliminacja awarii / Beseitigung von Ausfällen],MATCH($B65,tab_MinKomp[[Stanowisko / Position ]:[Stanowisko / Position ]],0)))</f>
        <v>0</v>
      </c>
      <c r="BW66" s="330" t="str">
        <f>IF(INDEX(tab_MinKomp[Informatyka ogólna (techniczne i systemowe) / Allgemeine IT (Technik und System)],MATCH($B65,tab_MinKomp[[Stanowisko / Position ]:[Stanowisko / Position ]],0))="n/a","n/a",BW65-INDEX(tab_MinKomp[Informatyka ogólna (techniczne i systemowe) / Allgemeine IT (Technik und System)],MATCH($B65,tab_MinKomp[[Stanowisko / Position ]:[Stanowisko / Position ]],0)))</f>
        <v>n/a</v>
      </c>
      <c r="BX66" s="330" t="str">
        <f>IF(INDEX(tab_MinKomp[Sieci komputerowe / Computernetzwerke],MATCH($B65,tab_MinKomp[[Stanowisko / Position ]:[Stanowisko / Position ]],0))="n/a","n/a",BX65-INDEX(tab_MinKomp[Sieci komputerowe / Computernetzwerke],MATCH($B65,tab_MinKomp[[Stanowisko / Position ]:[Stanowisko / Position ]],0)))</f>
        <v>n/a</v>
      </c>
      <c r="BY66" s="330" t="str">
        <f>IF(INDEX(tab_MinKomp[Hardware (komputery PC, drukarki biurowe i etykietowe, telefonia stacjonarna i mobilna) (PC, Drucker, Telefpne, Handys)],MATCH($B65,tab_MinKomp[[Stanowisko / Position ]:[Stanowisko / Position ]],0))="n/a","n/a",BY65-INDEX(tab_MinKomp[Hardware (komputery PC, drukarki biurowe i etykietowe, telefonia stacjonarna i mobilna) (PC, Drucker, Telefpne, Handys)],MATCH($B65,tab_MinKomp[[Stanowisko / Position ]:[Stanowisko / Position ]],0)))</f>
        <v>n/a</v>
      </c>
      <c r="BZ66" s="330" t="str">
        <f>IF(INDEX(tab_MinKomp[Software &amp; Systems (MS Office, MS Remote Desktop)],MATCH($B65,tab_MinKomp[[Stanowisko / Position ]:[Stanowisko / Position ]],0))="n/a","n/a",BZ65-INDEX(tab_MinKomp[Software &amp; Systems (MS Office, MS Remote Desktop)],MATCH($B65,tab_MinKomp[[Stanowisko / Position ]:[Stanowisko / Position ]],0)))</f>
        <v>n/a</v>
      </c>
      <c r="CA66" s="330" t="str">
        <f>IF(INDEX(tab_MinKomp[Programowanie obiektowe (PHP) / Objektprogrammierung],MATCH($B65,tab_MinKomp[[Stanowisko / Position ]:[Stanowisko / Position ]],0))="n/a","n/a",CA65-INDEX(tab_MinKomp[Programowanie obiektowe (PHP) / Objektprogrammierung],MATCH($B65,tab_MinKomp[[Stanowisko / Position ]:[Stanowisko / Position ]],0)))</f>
        <v>n/a</v>
      </c>
      <c r="CB66" s="330" t="str">
        <f>IF(INDEX(tab_MinKomp[Scrum],MATCH($B65,tab_MinKomp[[Stanowisko / Position ]:[Stanowisko / Position ]],0))="n/a","n/a",CB65-INDEX(tab_MinKomp[Scrum],MATCH($B65,tab_MinKomp[[Stanowisko / Position ]:[Stanowisko / Position ]],0)))</f>
        <v>n/a</v>
      </c>
      <c r="CC66" s="330" t="str">
        <f>IF(INDEX(tab_MinKomp[SQL (MySQL)],MATCH($B65,tab_MinKomp[[Stanowisko / Position ]:[Stanowisko / Position ]],0))="n/a","n/a",CC65-INDEX(tab_MinKomp[SQL (MySQL)],MATCH($B65,tab_MinKomp[[Stanowisko / Position ]:[Stanowisko / Position ]],0)))</f>
        <v>n/a</v>
      </c>
      <c r="CD66" s="330" t="str">
        <f>IF(INDEX(tab_MinKomp[Javascript],MATCH($B65,tab_MinKomp[[Stanowisko / Position ]:[Stanowisko / Position ]],0))="n/a","n/a",CD65-INDEX(tab_MinKomp[Javascript],MATCH($B65,tab_MinKomp[[Stanowisko / Position ]:[Stanowisko / Position ]],0)))</f>
        <v>n/a</v>
      </c>
      <c r="CE66" s="330" t="str">
        <f>IF(INDEX(tab_MinKomp[Joomla],MATCH($B65,tab_MinKomp[[Stanowisko / Position ]:[Stanowisko / Position ]],0))="n/a","n/a",CE65-INDEX(tab_MinKomp[Joomla],MATCH($B65,tab_MinKomp[[Stanowisko / Position ]:[Stanowisko / Position ]],0)))</f>
        <v>n/a</v>
      </c>
      <c r="CF66" s="330" t="str">
        <f>IF(INDEX(tab_MinKomp[Bash],MATCH($B65,tab_MinKomp[[Stanowisko / Position ]:[Stanowisko / Position ]],0))="n/a","n/a",CF65-INDEX(tab_MinKomp[Bash],MATCH($B65,tab_MinKomp[[Stanowisko / Position ]:[Stanowisko / Position ]],0)))</f>
        <v>n/a</v>
      </c>
      <c r="CG66" s="330" t="str">
        <f>IF(INDEX(tab_MinKomp[Systemy MES (HYDRA / SFMS)],MATCH($B65,tab_MinKomp[[Stanowisko / Position ]:[Stanowisko / Position ]],0))="n/a","n/a",CG65-INDEX(tab_MinKomp[Systemy MES (HYDRA / SFMS)],MATCH($B65,tab_MinKomp[[Stanowisko / Position ]:[Stanowisko / Position ]],0)))</f>
        <v>n/a</v>
      </c>
      <c r="CH66" s="330" t="str">
        <f>IF(INDEX(tab_MinKomp[HTML / CSS],MATCH($B65,tab_MinKomp[[Stanowisko / Position ]:[Stanowisko / Position ]],0))="n/a","n/a",CH65-INDEX(tab_MinKomp[HTML / CSS],MATCH($B65,tab_MinKomp[[Stanowisko / Position ]:[Stanowisko / Position ]],0)))</f>
        <v>n/a</v>
      </c>
      <c r="CI66" s="330">
        <f>IF(INDEX(tab_MinKomp[SYSTEM PR],MATCH($B65,tab_MinKomp[[Stanowisko / Position ]:[Stanowisko / Position ]],0))="n/a","n/a",CI65-INDEX(tab_MinKomp[SYSTEM PR],MATCH($B65,tab_MinKomp[[Stanowisko / Position ]:[Stanowisko / Position ]],0)))</f>
        <v>-2</v>
      </c>
      <c r="CJ66" s="330" t="str">
        <f>IF(INDEX(tab_MinKomp[System Einkauf XP / EBA],MATCH($B65,tab_MinKomp[[Stanowisko / Position ]:[Stanowisko / Position ]],0))="n/a","n/a",CJ65-INDEX(tab_MinKomp[System Einkauf XP / EBA],MATCH($B65,tab_MinKomp[[Stanowisko / Position ]:[Stanowisko / Position ]],0)))</f>
        <v>n/a</v>
      </c>
      <c r="CK66" s="330" t="str">
        <f>IF(INDEX(tab_MinKomp[Techniki negocjacyjne / Verhandlungstechniken],MATCH($B65,tab_MinKomp[[Stanowisko / Position ]:[Stanowisko / Position ]],0))="n/a","n/a",CK65-INDEX(tab_MinKomp[Techniki negocjacyjne / Verhandlungstechniken],MATCH($B65,tab_MinKomp[[Stanowisko / Position ]:[Stanowisko / Position ]],0)))</f>
        <v>n/a</v>
      </c>
      <c r="CL66" s="330" t="str">
        <f>IF(INDEX(tab_MinKomp[Znajomość rynku branżowego / Kenntnis des Industrie Marktes],MATCH($B65,tab_MinKomp[[Stanowisko / Position ]:[Stanowisko / Position ]],0))="n/a","n/a",CL65-INDEX(tab_MinKomp[Znajomość rynku branżowego / Kenntnis des Industrie Marktes],MATCH($B65,tab_MinKomp[[Stanowisko / Position ]:[Stanowisko / Position ]],0)))</f>
        <v>n/a</v>
      </c>
      <c r="CM66" s="330" t="str">
        <f>IF(INDEX(tab_MinKomp[RAPORTY 8D / 8D Berichten],MATCH($B65,tab_MinKomp[[Stanowisko / Position ]:[Stanowisko / Position ]],0))="n/a","n/a",CM65-INDEX(tab_MinKomp[RAPORTY 8D / 8D Berichten],MATCH($B65,tab_MinKomp[[Stanowisko / Position ]:[Stanowisko / Position ]],0)))</f>
        <v>n/a</v>
      </c>
      <c r="CN66" s="330">
        <f>IF(INDEX(tab_MinKomp[NARZĘDZIA JAKOŚCIOWE (5WHY, Ishikawa, etc) / QS-Werkzeuge],MATCH($B65,tab_MinKomp[[Stanowisko / Position ]:[Stanowisko / Position ]],0))="n/a","n/a",CN65-INDEX(tab_MinKomp[NARZĘDZIA JAKOŚCIOWE (5WHY, Ishikawa, etc) / QS-Werkzeuge],MATCH($B65,tab_MinKomp[[Stanowisko / Position ]:[Stanowisko / Position ]],0)))</f>
        <v>-1</v>
      </c>
      <c r="CO66" s="330">
        <f>IF(INDEX(tab_MinKomp[PDCA],MATCH($B65,tab_MinKomp[[Stanowisko / Position ]:[Stanowisko / Position ]],0))="n/a","n/a",CO65-INDEX(tab_MinKomp[PDCA],MATCH($B65,tab_MinKomp[[Stanowisko / Position ]:[Stanowisko / Position ]],0)))</f>
        <v>-1</v>
      </c>
      <c r="CP66" s="330">
        <f>IF(INDEX(tab_MinKomp[Pareto],MATCH($B65,tab_MinKomp[[Stanowisko / Position ]:[Stanowisko / Position ]],0))="n/a","n/a",CP65-INDEX(tab_MinKomp[Pareto],MATCH($B65,tab_MinKomp[[Stanowisko / Position ]:[Stanowisko / Position ]],0)))</f>
        <v>-1</v>
      </c>
      <c r="CQ66" s="330" t="str">
        <f>IF(INDEX(tab_MinKomp[PPAP/PSW],MATCH($B65,tab_MinKomp[[Stanowisko / Position ]:[Stanowisko / Position ]],0))="n/a","n/a",CQ65-INDEX(tab_MinKomp[PPAP/PSW],MATCH($B65,tab_MinKomp[[Stanowisko / Position ]:[Stanowisko / Position ]],0)))</f>
        <v>n/a</v>
      </c>
      <c r="CR66" s="330" t="str">
        <f>IF(INDEX(tab_MinKomp[SUPPLIER MANAGEMENT],MATCH($B65,tab_MinKomp[[Stanowisko / Position ]:[Stanowisko / Position ]],0))="n/a","n/a",CR65-INDEX(tab_MinKomp[SUPPLIER MANAGEMENT],MATCH($B65,tab_MinKomp[[Stanowisko / Position ]:[Stanowisko / Position ]],0)))</f>
        <v>n/a</v>
      </c>
      <c r="CS66" s="330" t="str">
        <f>IF(INDEX(tab_MinKomp[OBSŁUGA PORTALI KLIENTA / Kundenportale],MATCH($B65,tab_MinKomp[[Stanowisko / Position ]:[Stanowisko / Position ]],0))="n/a","n/a",CS65-INDEX(tab_MinKomp[OBSŁUGA PORTALI KLIENTA / Kundenportale],MATCH($B65,tab_MinKomp[[Stanowisko / Position ]:[Stanowisko / Position ]],0)))</f>
        <v>n/a</v>
      </c>
      <c r="CT66" s="330" t="str">
        <f>IF(INDEX(tab_MinKomp[Obsługa systemu BABTECQ / BABTECQ System],MATCH($B65,tab_MinKomp[[Stanowisko / Position ]:[Stanowisko / Position ]],0))="n/a","n/a",CT65-INDEX(tab_MinKomp[Obsługa systemu BABTECQ / BABTECQ System],MATCH($B65,tab_MinKomp[[Stanowisko / Position ]:[Stanowisko / Position ]],0)))</f>
        <v>n/a</v>
      </c>
      <c r="CU66" s="330">
        <f>IF(INDEX(tab_MinKomp[Rysunek techniczny / technische Zeichnung],MATCH($B65,tab_MinKomp[[Stanowisko / Position ]:[Stanowisko / Position ]],0))="n/a","n/a",CU65-INDEX(tab_MinKomp[Rysunek techniczny / technische Zeichnung],MATCH($B65,tab_MinKomp[[Stanowisko / Position ]:[Stanowisko / Position ]],0)))</f>
        <v>1</v>
      </c>
      <c r="CV66" s="330" t="str">
        <f>IF(INDEX(tab_MinKomp[Kalibracja / Kalibrierung],MATCH($B65,tab_MinKomp[[Stanowisko / Position ]:[Stanowisko / Position ]],0))="n/a","n/a",CV65-INDEX(tab_MinKomp[Kalibracja / Kalibrierung],MATCH($B65,tab_MinKomp[[Stanowisko / Position ]:[Stanowisko / Position ]],0)))</f>
        <v>n/a</v>
      </c>
      <c r="CW66" s="330" t="str">
        <f>IF(INDEX(tab_MinKomp[Rekwalifikacja / Requalifizierung],MATCH($B65,tab_MinKomp[[Stanowisko / Position ]:[Stanowisko / Position ]],0))="n/a","n/a",CW65-INDEX(tab_MinKomp[Rekwalifikacja / Requalifizierung],MATCH($B65,tab_MinKomp[[Stanowisko / Position ]:[Stanowisko / Position ]],0)))</f>
        <v>n/a</v>
      </c>
      <c r="CX66" s="330" t="str">
        <f>IF(INDEX(tab_MinKomp[Obsługa mikroskopu optycznego / Bedienung eines optischen Mikroskops],MATCH($B65,tab_MinKomp[[Stanowisko / Position ]:[Stanowisko / Position ]],0))="n/a","n/a",CX65-INDEX(tab_MinKomp[Obsługa mikroskopu optycznego / Bedienung eines optischen Mikroskops],MATCH($B65,tab_MinKomp[[Stanowisko / Position ]:[Stanowisko / Position ]],0)))</f>
        <v>n/a</v>
      </c>
      <c r="CY66" s="330" t="str">
        <f>IF(INDEX(tab_MinKomp[Wykonywanie pomiarów optycznych - ocena wizualna / Optische Messungen durchführen – visuelle Beurteilung],MATCH($B65,tab_MinKomp[[Stanowisko / Position ]:[Stanowisko / Position ]],0))="n/a","n/a",CY65-INDEX(tab_MinKomp[Wykonywanie pomiarów optycznych - ocena wizualna / Optische Messungen durchführen – visuelle Beurteilung],MATCH($B65,tab_MinKomp[[Stanowisko / Position ]:[Stanowisko / Position ]],0)))</f>
        <v>n/a</v>
      </c>
      <c r="CZ66" s="330" t="str">
        <f>IF(INDEX(tab_MinKomp[Obsługa Rheometra / Rheometra-Unterstützung],MATCH($B65,tab_MinKomp[[Stanowisko / Position ]:[Stanowisko / Position ]],0))="n/a","n/a",CZ65-INDEX(tab_MinKomp[Obsługa Rheometra / Rheometra-Unterstützung],MATCH($B65,tab_MinKomp[[Stanowisko / Position ]:[Stanowisko / Position ]],0)))</f>
        <v>n/a</v>
      </c>
      <c r="DA66" s="330" t="str">
        <f>IF(INDEX(tab_MinKomp[Testy właściwości Rheometra mieszanki gumy],MATCH($B65,tab_MinKomp[[Stanowisko / Position ]:[Stanowisko / Position ]],0))="n/a","n/a",DA65-INDEX(tab_MinKomp[Testy właściwości Rheometra mieszanki gumy],MATCH($B65,tab_MinKomp[[Stanowisko / Position ]:[Stanowisko / Position ]],0)))</f>
        <v>n/a</v>
      </c>
      <c r="DB66" s="330" t="str">
        <f>IF(INDEX(tab_MinKomp[CMM - Contura Zeiss],MATCH($B65,tab_MinKomp[[Stanowisko / Position ]:[Stanowisko / Position ]],0))="n/a","n/a",DB65-INDEX(tab_MinKomp[CMM - Contura Zeiss],MATCH($B65,tab_MinKomp[[Stanowisko / Position ]:[Stanowisko / Position ]],0)))</f>
        <v>n/a</v>
      </c>
      <c r="DC66" s="330" t="str">
        <f>IF(INDEX(tab_MinKomp[Wykonywanie precyzyjnych pomiarów metrycznych, pomiary 3D],MATCH($B65,tab_MinKomp[[Stanowisko / Position ]:[Stanowisko / Position ]],0))="n/a","n/a",DC65-INDEX(tab_MinKomp[Wykonywanie precyzyjnych pomiarów metrycznych, pomiary 3D],MATCH($B65,tab_MinKomp[[Stanowisko / Position ]:[Stanowisko / Position ]],0)))</f>
        <v>n/a</v>
      </c>
      <c r="DD66" s="330" t="str">
        <f>IF(INDEX(tab_MinKomp[Pisanie programów / Programme schreiben],MATCH($B65,tab_MinKomp[[Stanowisko / Position ]:[Stanowisko / Position ]],0))="n/a","n/a",DD65-INDEX(tab_MinKomp[Pisanie programów / Programme schreiben],MATCH($B65,tab_MinKomp[[Stanowisko / Position ]:[Stanowisko / Position ]],0)))</f>
        <v>n/a</v>
      </c>
      <c r="DE66" s="330" t="str">
        <f>IF(INDEX(tab_MinKomp[Obsługa wyposażenia do testów czystości (myjka + analizator) / Betrieb von Sauberkeitsprüfgeräten (Waschmaschine + Analysegerät)],MATCH($B65,tab_MinKomp[[Stanowisko / Position ]:[Stanowisko / Position ]],0))="n/a","n/a",DE65-INDEX(tab_MinKomp[Obsługa wyposażenia do testów czystości (myjka + analizator) / Betrieb von Sauberkeitsprüfgeräten (Waschmaschine + Analysegerät)],MATCH($B65,tab_MinKomp[[Stanowisko / Position ]:[Stanowisko / Position ]],0)))</f>
        <v>n/a</v>
      </c>
      <c r="DF66" s="330" t="str">
        <f>IF(INDEX(tab_MinKomp[Testy czystości / Reinheitstests],MATCH($B65,tab_MinKomp[[Stanowisko / Position ]:[Stanowisko / Position ]],0))="n/a","n/a",DF65-INDEX(tab_MinKomp[Testy czystości / Reinheitstests],MATCH($B65,tab_MinKomp[[Stanowisko / Position ]:[Stanowisko / Position ]],0)))</f>
        <v>n/a</v>
      </c>
      <c r="DG66" s="330" t="str">
        <f>IF(INDEX(tab_MinKomp[Obsługa wysokościomierza / Unterstützung für Höhenmesser],MATCH($B65,tab_MinKomp[[Stanowisko / Position ]:[Stanowisko / Position ]],0))="n/a","n/a",DG65-INDEX(tab_MinKomp[Obsługa wysokościomierza / Unterstützung für Höhenmesser],MATCH($B65,tab_MinKomp[[Stanowisko / Position ]:[Stanowisko / Position ]],0)))</f>
        <v>n/a</v>
      </c>
      <c r="DH66" s="330" t="str">
        <f>IF(INDEX(tab_MinKomp[Pomiary wysokości materiału / Materialhöhenmessungen],MATCH($B65,tab_MinKomp[[Stanowisko / Position ]:[Stanowisko / Position ]],0))="n/a","n/a",DH65-INDEX(tab_MinKomp[Pomiary wysokości materiału / Materialhöhenmessungen],MATCH($B65,tab_MinKomp[[Stanowisko / Position ]:[Stanowisko / Position ]],0)))</f>
        <v>n/a</v>
      </c>
      <c r="DI66" s="330" t="str">
        <f>IF(INDEX(tab_MinKomp[Obsługa okrągłościomierza / Unterstützung für Rundheitsmessgeräte],MATCH($B65,tab_MinKomp[[Stanowisko / Position ]:[Stanowisko / Position ]],0))="n/a","n/a",DI65-INDEX(tab_MinKomp[Obsługa okrągłościomierza / Unterstützung für Rundheitsmessgeräte],MATCH($B65,tab_MinKomp[[Stanowisko / Position ]:[Stanowisko / Position ]],0)))</f>
        <v>n/a</v>
      </c>
      <c r="DJ66" s="330" t="str">
        <f>IF(INDEX(tab_MinKomp[Wykonywania pomiarów owalności, srednicy materiału / Messung der Ovalität und des Durchmessers des Materials],MATCH($B65,tab_MinKomp[[Stanowisko / Position ]:[Stanowisko / Position ]],0))="n/a","n/a",DJ65-INDEX(tab_MinKomp[Wykonywania pomiarów owalności, srednicy materiału / Messung der Ovalität und des Durchmessers des Materials],MATCH($B65,tab_MinKomp[[Stanowisko / Position ]:[Stanowisko / Position ]],0)))</f>
        <v>n/a</v>
      </c>
      <c r="DK66" s="330" t="str">
        <f>IF(INDEX(tab_MinKomp[Obsługa urządzenia do pomiarów chropowoatości powierzchni materiału],MATCH($B65,tab_MinKomp[[Stanowisko / Position ]:[Stanowisko / Position ]],0))="n/a","n/a",DK65-INDEX(tab_MinKomp[Obsługa urządzenia do pomiarów chropowoatości powierzchni materiału],MATCH($B65,tab_MinKomp[[Stanowisko / Position ]:[Stanowisko / Position ]],0)))</f>
        <v>n/a</v>
      </c>
      <c r="DL66" s="330" t="str">
        <f>IF(INDEX(tab_MinKomp[Wykonywanie pomiarów chropowatości powierzchni materiału / Durchführung von Messungen der Materialoberflächenrauheit],MATCH($B65,tab_MinKomp[[Stanowisko / Position ]:[Stanowisko / Position ]],0))="n/a","n/a",DL65-INDEX(tab_MinKomp[Wykonywanie pomiarów chropowatości powierzchni materiału / Durchführung von Messungen der Materialoberflächenrauheit],MATCH($B65,tab_MinKomp[[Stanowisko / Position ]:[Stanowisko / Position ]],0)))</f>
        <v>n/a</v>
      </c>
      <c r="DM66" s="330" t="str">
        <f>IF(INDEX(tab_MinKomp[Obsługa urządzenia do pomiaru siły radialnej części - postępowanie z trzpieniami. / Funktionsweise des Geräts zur Messung der Radialkraft von Teilen – Handhabungsstifte.],MATCH($B65,tab_MinKomp[[Stanowisko / Position ]:[Stanowisko / Position ]],0))="n/a","n/a",DM65-INDEX(tab_MinKomp[Obsługa urządzenia do pomiaru siły radialnej części - postępowanie z trzpieniami. / Funktionsweise des Geräts zur Messung der Radialkraft von Teilen – Handhabungsstifte.],MATCH($B65,tab_MinKomp[[Stanowisko / Position ]:[Stanowisko / Position ]],0)))</f>
        <v>n/a</v>
      </c>
      <c r="DN66" s="330" t="str">
        <f>IF(INDEX(tab_MinKomp[Wykonywanie pomiarów siły radialnej części / Führen Sie Radialkraftmessungen an Teilen durch],MATCH($B65,tab_MinKomp[[Stanowisko / Position ]:[Stanowisko / Position ]],0))="n/a","n/a",DN65-INDEX(tab_MinKomp[Wykonywanie pomiarów siły radialnej części / Führen Sie Radialkraftmessungen an Teilen durch],MATCH($B65,tab_MinKomp[[Stanowisko / Position ]:[Stanowisko / Position ]],0)))</f>
        <v>n/a</v>
      </c>
      <c r="DO66" s="330" t="str">
        <f>IF(INDEX(tab_MinKomp[Obsługa komory do testów wybuchwych / Betrieb einer Explosionsprüfkammer],MATCH($B65,tab_MinKomp[[Stanowisko / Position ]:[Stanowisko / Position ]],0))="n/a","n/a",DO65-INDEX(tab_MinKomp[Obsługa komory do testów wybuchwych / Betrieb einer Explosionsprüfkammer],MATCH($B65,tab_MinKomp[[Stanowisko / Position ]:[Stanowisko / Position ]],0)))</f>
        <v>n/a</v>
      </c>
      <c r="DP66" s="330" t="str">
        <f>IF(INDEX(tab_MinKomp[Wykonywanie testów wybuchowych części / Durchführung von Explosionstests an Teilen],MATCH($B65,tab_MinKomp[[Stanowisko / Position ]:[Stanowisko / Position ]],0))="n/a","n/a",DP65-INDEX(tab_MinKomp[Wykonywanie testów wybuchowych części / Durchführung von Explosionstests an Teilen],MATCH($B65,tab_MinKomp[[Stanowisko / Position ]:[Stanowisko / Position ]],0)))</f>
        <v>n/a</v>
      </c>
      <c r="DQ66" s="330" t="str">
        <f>IF(INDEX(tab_MinKomp[Obsługa urządzeń do mierzenia siły trzymania i/lub rozciągania / Betrieb von Geräten zur Messung der Halte- und/oder Dehnkraft],MATCH($B65,tab_MinKomp[[Stanowisko / Position ]:[Stanowisko / Position ]],0))="n/a","n/a",DQ65-INDEX(tab_MinKomp[Obsługa urządzeń do mierzenia siły trzymania i/lub rozciągania / Betrieb von Geräten zur Messung der Halte- und/oder Dehnkraft],MATCH($B65,tab_MinKomp[[Stanowisko / Position ]:[Stanowisko / Position ]],0)))</f>
        <v>n/a</v>
      </c>
      <c r="DR66" s="330" t="str">
        <f>IF(INDEX(tab_MinKomp[Wykonywanie testów mierzenia siły trzymania i/lub rozciągania / Durchführung von Tests zur Messung der Halte- und/oder Streckkraft],MATCH($B65,tab_MinKomp[[Stanowisko / Position ]:[Stanowisko / Position ]],0))="n/a","n/a",DR65-INDEX(tab_MinKomp[Wykonywanie testów mierzenia siły trzymania i/lub rozciągania / Durchführung von Tests zur Messung der Halte- und/oder Streckkraft],MATCH($B65,tab_MinKomp[[Stanowisko / Position ]:[Stanowisko / Position ]],0)))</f>
        <v>n/a</v>
      </c>
      <c r="DS66" s="330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Luftstrom)],MATCH($B65,tab_MinKomp[[Stanowisko / Position ]:[Stanowisko / Position ]],0))="n/a","n/a",DS65-INDEX(tab_MinKomp[Obsługa multimetru do pomiarów środowiskowych (temperatura, wilgotność, hałas, oświetlenie, przepływ powietrza) / Betrieb eines Multimeters für Umweltmessungen (Temperatur, Luftfeuchtigkeit, Lärm, Beleuchtung, Luftstrom)],MATCH($B65,tab_MinKomp[[Stanowisko / Position ]:[Stanowisko / Position ]],0)))</f>
        <v>n/a</v>
      </c>
      <c r="DT66" s="330" t="str">
        <f>IF(INDEX(tab_MinKomp[Kontrola warunków środowiskowych pracy (temperatura, wilgotność, hałas, oświetlenie, przepływ powietrza) / Kontrolle der Arbeitsumgebungsbedingungen (Temperatur, Luftfeuchtigkeit, Lärm, Beleuchtung, Luftstrom)],MATCH($B65,tab_MinKomp[[Stanowisko / Position ]:[Stanowisko / Position ]],0))="n/a","n/a",DT65-INDEX(tab_MinKomp[Kontrola warunków środowiskowych pracy (temperatura, wilgotność, hałas, oświetlenie, przepływ powietrza) / Kontrolle der Arbeitsumgebungsbedingungen (Temperatur, Luftfeuchtigkeit, Lärm, Beleuchtung, Luftstrom)],MATCH($B65,tab_MinKomp[[Stanowisko / Position ]:[Stanowisko / Position ]],0)))</f>
        <v>n/a</v>
      </c>
      <c r="DU66" s="330" t="str">
        <f>IF(INDEX(tab_MinKomp[MSA i SPC],MATCH($B65,tab_MinKomp[[Stanowisko / Position ]:[Stanowisko / Position ]],0))="n/a","n/a",DU65-INDEX(tab_MinKomp[MSA i SPC],MATCH($B65,tab_MinKomp[[Stanowisko / Position ]:[Stanowisko / Position ]],0)))</f>
        <v>n/a</v>
      </c>
      <c r="DV66" s="330" t="str">
        <f>IF(INDEX(tab_MinKomp[Kontrola wejściowa komponentów/ Eingangskontrolle],MATCH($B65,tab_MinKomp[[Stanowisko / Position ]:[Stanowisko / Position ]],0))="n/a","n/a",DV65-INDEX(tab_MinKomp[Kontrola wejściowa komponentów/ Eingangskontrolle],MATCH($B65,tab_MinKomp[[Stanowisko / Position ]:[Stanowisko / Position ]],0)))</f>
        <v>n/a</v>
      </c>
      <c r="DW66" s="330" t="str">
        <f>IF(INDEX(tab_MinKomp[Kontrola wyjściowa produktu / Ausgangskontrolle],MATCH($B65,tab_MinKomp[[Stanowisko / Position ]:[Stanowisko / Position ]],0))="n/a","n/a",DW65-INDEX(tab_MinKomp[Kontrola wyjściowa produktu / Ausgangskontrolle],MATCH($B65,tab_MinKomp[[Stanowisko / Position ]:[Stanowisko / Position ]],0)))</f>
        <v>n/a</v>
      </c>
      <c r="DX66" s="330" t="str">
        <f>IF(INDEX(tab_MinKomp[Kontrola codzienna produkcji / Tägliche Produktionskontrolle],MATCH($B65,tab_MinKomp[[Stanowisko / Position ]:[Stanowisko / Position ]],0))="n/a","n/a",DX65-INDEX(tab_MinKomp[Kontrola codzienna produkcji / Tägliche Produktionskontrolle],MATCH($B65,tab_MinKomp[[Stanowisko / Position ]:[Stanowisko / Position ]],0)))</f>
        <v>n/a</v>
      </c>
      <c r="DY66" s="330" t="str">
        <f>IF(INDEX(tab_MinKomp[Konserwacja Rep],MATCH($B65,tab_MinKomp[[Stanowisko / Position ]:[Stanowisko / Position ]],0))="n/a","n/a",DY65-INDEX(tab_MinKomp[Konserwacja Rep],MATCH($B65,tab_MinKomp[[Stanowisko / Position ]:[Stanowisko / Position ]],0)))</f>
        <v>n/a</v>
      </c>
      <c r="DZ66" s="330" t="str">
        <f>IF(INDEX(tab_MinKomp[[Konserwacja Engel ]],MATCH($B65,tab_MinKomp[[Stanowisko / Position ]:[Stanowisko / Position ]],0))="n/a","n/a",DZ65-INDEX(tab_MinKomp[[Konserwacja Engel ]],MATCH($B65,tab_MinKomp[[Stanowisko / Position ]:[Stanowisko / Position ]],0)))</f>
        <v>n/a</v>
      </c>
      <c r="EA66" s="330" t="str">
        <f>IF(INDEX(tab_MinKomp[Konserwacja B 50],MATCH($B65,tab_MinKomp[[Stanowisko / Position ]:[Stanowisko / Position ]],0))="n/a","n/a",EA65-INDEX(tab_MinKomp[Konserwacja B 50],MATCH($B65,tab_MinKomp[[Stanowisko / Position ]:[Stanowisko / Position ]],0)))</f>
        <v>n/a</v>
      </c>
      <c r="EB66" s="330" t="str">
        <f>IF(INDEX(tab_MinKomp[[Konserwacja EOL ]],MATCH($B65,tab_MinKomp[[Stanowisko / Position ]:[Stanowisko / Position ]],0))="n/a","n/a",EB65-INDEX(tab_MinKomp[[Konserwacja EOL ]],MATCH($B65,tab_MinKomp[[Stanowisko / Position ]:[Stanowisko / Position ]],0)))</f>
        <v>n/a</v>
      </c>
      <c r="EC66" s="330" t="str">
        <f>IF(INDEX(tab_MinKomp[Konserwacja Branson],MATCH($B65,tab_MinKomp[[Stanowisko / Position ]:[Stanowisko / Position ]],0))="n/a","n/a",EC65-INDEX(tab_MinKomp[Konserwacja Branson],MATCH($B65,tab_MinKomp[[Stanowisko / Position ]:[Stanowisko / Position ]],0)))</f>
        <v>n/a</v>
      </c>
      <c r="ED66" s="330" t="str">
        <f>IF(INDEX(tab_MinKomp[Konserwacja coolery],MATCH($B65,tab_MinKomp[[Stanowisko / Position ]:[Stanowisko / Position ]],0))="n/a","n/a",ED65-INDEX(tab_MinKomp[Konserwacja coolery],MATCH($B65,tab_MinKomp[[Stanowisko / Position ]:[Stanowisko / Position ]],0)))</f>
        <v>n/a</v>
      </c>
      <c r="EE66" s="330" t="str">
        <f>IF(INDEX(tab_MinKomp[Konserwacja piecy],MATCH($B65,tab_MinKomp[[Stanowisko / Position ]:[Stanowisko / Position ]],0))="n/a","n/a",EE65-INDEX(tab_MinKomp[Konserwacja piecy],MATCH($B65,tab_MinKomp[[Stanowisko / Position ]:[Stanowisko / Position ]],0)))</f>
        <v>n/a</v>
      </c>
      <c r="EF66" s="330">
        <f>IF(INDEX(tab_MinKomp[Rysunek techniczny- czytanie],MATCH($B65,tab_MinKomp[[Stanowisko / Position ]:[Stanowisko / Position ]],0))="n/a","n/a",EF65-INDEX(tab_MinKomp[Rysunek techniczny- czytanie],MATCH($B65,tab_MinKomp[[Stanowisko / Position ]:[Stanowisko / Position ]],0)))</f>
        <v>1</v>
      </c>
      <c r="EG66" s="330">
        <f>IF(INDEX(tab_MinKomp[Elektryka],MATCH($B65,tab_MinKomp[[Stanowisko / Position ]:[Stanowisko / Position ]],0))="n/a","n/a",EG65-INDEX(tab_MinKomp[Elektryka],MATCH($B65,tab_MinKomp[[Stanowisko / Position ]:[Stanowisko / Position ]],0)))</f>
        <v>0</v>
      </c>
      <c r="EH66" s="330">
        <f>IF(INDEX(tab_MinKomp[Pneumatyka],MATCH($B65,tab_MinKomp[[Stanowisko / Position ]:[Stanowisko / Position ]],0))="n/a","n/a",EH65-INDEX(tab_MinKomp[Pneumatyka],MATCH($B65,tab_MinKomp[[Stanowisko / Position ]:[Stanowisko / Position ]],0)))</f>
        <v>0</v>
      </c>
      <c r="EI66" s="330">
        <f>IF(INDEX(tab_MinKomp[[Hydraulika ]],MATCH($B65,tab_MinKomp[[Stanowisko / Position ]:[Stanowisko / Position ]],0))="n/a","n/a",EI65-INDEX(tab_MinKomp[[Hydraulika ]],MATCH($B65,tab_MinKomp[[Stanowisko / Position ]:[Stanowisko / Position ]],0)))</f>
        <v>0</v>
      </c>
      <c r="EJ66" s="330">
        <f>IF(INDEX(tab_MinKomp[Podciśnienie],MATCH($B65,tab_MinKomp[[Stanowisko / Position ]:[Stanowisko / Position ]],0))="n/a","n/a",EJ65-INDEX(tab_MinKomp[Podciśnienie],MATCH($B65,tab_MinKomp[[Stanowisko / Position ]:[Stanowisko / Position ]],0)))</f>
        <v>0</v>
      </c>
      <c r="EK66" s="330">
        <f>IF(INDEX(tab_MinKomp[Usuwanie awarii],MATCH($B65,tab_MinKomp[[Stanowisko / Position ]:[Stanowisko / Position ]],0))="n/a","n/a",EK65-INDEX(tab_MinKomp[Usuwanie awarii],MATCH($B65,tab_MinKomp[[Stanowisko / Position ]:[Stanowisko / Position ]],0)))</f>
        <v>1</v>
      </c>
      <c r="EL66" s="330">
        <f>IF(INDEX(tab_MinKomp[Obsługa robotów],MATCH($B65,tab_MinKomp[[Stanowisko / Position ]:[Stanowisko / Position ]],0))="n/a","n/a",EL65-INDEX(tab_MinKomp[Obsługa robotów],MATCH($B65,tab_MinKomp[[Stanowisko / Position ]:[Stanowisko / Position ]],0)))</f>
        <v>1</v>
      </c>
      <c r="EM66" s="330">
        <f>IF(INDEX(tab_MinKomp[Obsługa sterowania maszyny],MATCH($B65,tab_MinKomp[[Stanowisko / Position ]:[Stanowisko / Position ]],0))="n/a","n/a",EM65-INDEX(tab_MinKomp[Obsługa sterowania maszyny],MATCH($B65,tab_MinKomp[[Stanowisko / Position ]:[Stanowisko / Position ]],0)))</f>
        <v>1</v>
      </c>
      <c r="EN66" s="330">
        <f>IF(INDEX(tab_MinKomp[Usuwanie przyczyn żródłowych],MATCH($B65,tab_MinKomp[[Stanowisko / Position ]:[Stanowisko / Position ]],0))="n/a","n/a",EN65-INDEX(tab_MinKomp[Usuwanie przyczyn żródłowych],MATCH($B65,tab_MinKomp[[Stanowisko / Position ]:[Stanowisko / Position ]],0)))</f>
        <v>0</v>
      </c>
      <c r="EO66" s="330">
        <f>IF(INDEX(tab_MinKomp[Cmms stosowanie],MATCH($B65,tab_MinKomp[[Stanowisko / Position ]:[Stanowisko / Position ]],0))="n/a","n/a",EO65-INDEX(tab_MinKomp[Cmms stosowanie],MATCH($B65,tab_MinKomp[[Stanowisko / Position ]:[Stanowisko / Position ]],0)))</f>
        <v>0</v>
      </c>
      <c r="EP66" s="330">
        <f>IF(INDEX(tab_MinKomp[[Czyszczenie form gumowych ]],MATCH($B65,tab_MinKomp[[Stanowisko / Position ]:[Stanowisko / Position ]],0))="n/a","n/a",EP65-INDEX(tab_MinKomp[[Czyszczenie form gumowych ]],MATCH($B65,tab_MinKomp[[Stanowisko / Position ]:[Stanowisko / Position ]],0)))</f>
        <v>0</v>
      </c>
      <c r="EQ66" s="330">
        <f>IF(INDEX(tab_MinKomp[Czyszczenie form plastikowych],MATCH($B65,tab_MinKomp[[Stanowisko / Position ]:[Stanowisko / Position ]],0))="n/a","n/a",EQ65-INDEX(tab_MinKomp[Czyszczenie form plastikowych],MATCH($B65,tab_MinKomp[[Stanowisko / Position ]:[Stanowisko / Position ]],0)))</f>
        <v>0</v>
      </c>
      <c r="ER66" s="330">
        <f>IF(INDEX(tab_MinKomp[Wymiana form plastik],MATCH($B65,tab_MinKomp[[Stanowisko / Position ]:[Stanowisko / Position ]],0))="n/a","n/a",ER65-INDEX(tab_MinKomp[Wymiana form plastik],MATCH($B65,tab_MinKomp[[Stanowisko / Position ]:[Stanowisko / Position ]],0)))</f>
        <v>0</v>
      </c>
      <c r="ES66" s="330">
        <f>IF(INDEX(tab_MinKomp[Wymiana form guma],MATCH($B65,tab_MinKomp[[Stanowisko / Position ]:[Stanowisko / Position ]],0))="n/a","n/a",ES65-INDEX(tab_MinKomp[Wymiana form guma],MATCH($B65,tab_MinKomp[[Stanowisko / Position ]:[Stanowisko / Position ]],0)))</f>
        <v>0</v>
      </c>
      <c r="ET66" s="330">
        <f>IF(INDEX(tab_MinKomp[Konserwacja KK],MATCH($B65,tab_MinKomp[[Stanowisko / Position ]:[Stanowisko / Position ]],0))="n/a","n/a",ET65-INDEX(tab_MinKomp[Konserwacja KK],MATCH($B65,tab_MinKomp[[Stanowisko / Position ]:[Stanowisko / Position ]],0)))</f>
        <v>0</v>
      </c>
      <c r="EU66" s="330">
        <f>IF(INDEX(tab_MinKomp[Konserwacja form guma],MATCH($B65,tab_MinKomp[[Stanowisko / Position ]:[Stanowisko / Position ]],0))="n/a","n/a",EU65-INDEX(tab_MinKomp[Konserwacja form guma],MATCH($B65,tab_MinKomp[[Stanowisko / Position ]:[Stanowisko / Position ]],0)))</f>
        <v>0</v>
      </c>
      <c r="EV66" s="330">
        <f>IF(INDEX(tab_MinKomp[Konserwacja form plastiki],MATCH($B65,tab_MinKomp[[Stanowisko / Position ]:[Stanowisko / Position ]],0))="n/a","n/a",EV65-INDEX(tab_MinKomp[Konserwacja form plastiki],MATCH($B65,tab_MinKomp[[Stanowisko / Position ]:[Stanowisko / Position ]],0)))</f>
        <v>0</v>
      </c>
      <c r="EW66" s="330">
        <f>IF(INDEX(tab_MinKomp[Konserwacja form plastiki],MATCH($B65,tab_MinKomp[[Stanowisko / Position ]:[Stanowisko / Position ]],0))="n/a","n/a",EW65-INDEX(tab_MinKomp[Konserwacja form plastiki],MATCH($B65,tab_MinKomp[[Stanowisko / Position ]:[Stanowisko / Position ]],0)))</f>
        <v>-1</v>
      </c>
      <c r="EX66" s="330">
        <f>IF(INDEX(tab_MinKomp[Konserwacja Gorącego Kanału],MATCH($B65,tab_MinKomp[[Stanowisko / Position ]:[Stanowisko / Position ]],0))="n/a","n/a",EX65-INDEX(tab_MinKomp[Konserwacja Gorącego Kanału],MATCH($B65,tab_MinKomp[[Stanowisko / Position ]:[Stanowisko / Position ]],0)))</f>
        <v>0</v>
      </c>
      <c r="EY66" s="330">
        <f>IF(INDEX(tab_MinKomp[MS Office (Excel)],MATCH($B65,tab_MinKomp[[Stanowisko / Position ]:[Stanowisko / Position ]],0))="n/a","n/a",EY65-INDEX(tab_MinKomp[MS Office (Excel)],MATCH($B65,tab_MinKomp[[Stanowisko / Position ]:[Stanowisko / Position ]],0)))</f>
        <v>0</v>
      </c>
      <c r="EZ66" s="330">
        <f>IF(INDEX(tab_MinKomp[MS Office (Word)],MATCH($B65,tab_MinKomp[[Stanowisko / Position ]:[Stanowisko / Position ]],0))="n/a","n/a",EZ65-INDEX(tab_MinKomp[MS Office (Word)],MATCH($B65,tab_MinKomp[[Stanowisko / Position ]:[Stanowisko / Position ]],0)))</f>
        <v>0</v>
      </c>
      <c r="FA66" s="330">
        <f>IF(INDEX(tab_MinKomp[MS Office (Power Point)],MATCH($B65,tab_MinKomp[[Stanowisko / Position ]:[Stanowisko / Position ]],0))="n/a","n/a",FA65-INDEX(tab_MinKomp[MS Office (Power Point)],MATCH($B65,tab_MinKomp[[Stanowisko / Position ]:[Stanowisko / Position ]],0)))</f>
        <v>0</v>
      </c>
      <c r="FB66" s="330">
        <f>IF(INDEX(tab_MinKomp[Język angielski / Englisch],MATCH($B65,tab_MinKomp[[Stanowisko / Position ]:[Stanowisko / Position ]],0))="n/a","n/a",FB65-INDEX(tab_MinKomp[Język angielski / Englisch],MATCH($B65,tab_MinKomp[[Stanowisko / Position ]:[Stanowisko / Position ]],0)))</f>
        <v>0</v>
      </c>
      <c r="FC66" s="330" t="str">
        <f>IF(INDEX(tab_MinKomp[Język niemiecki / Deutsch],MATCH($B65,tab_MinKomp[[Stanowisko / Position ]:[Stanowisko / Position ]],0))="n/a","n/a",FC65-INDEX(tab_MinKomp[Język niemiecki / Deutsch],MATCH($B65,tab_MinKomp[[Stanowisko / Position ]:[Stanowisko / Position ]],0)))</f>
        <v>n/a</v>
      </c>
      <c r="FD66" s="330">
        <f>IF(INDEX(tab_MinKomp[Zarządzanie dokumentacją procesową / Process dokumentation management],MATCH($B65,tab_MinKomp[[Stanowisko / Position ]:[Stanowisko / Position ]],0))="n/a","n/a",FD65-INDEX(tab_MinKomp[Zarządzanie dokumentacją procesową / Process dokumentation management],MATCH($B65,tab_MinKomp[[Stanowisko / Position ]:[Stanowisko / Position ]],0)))</f>
        <v>0</v>
      </c>
      <c r="FE66" s="330">
        <f>IF(INDEX(tab_MinKomp[Znajomość procesów z obszaru / Kenntiss der prozesse in dem Bereich],MATCH($B65,tab_MinKomp[[Stanowisko / Position ]:[Stanowisko / Position ]],0))="n/a","n/a",FE65-INDEX(tab_MinKomp[Znajomość procesów z obszaru / Kenntiss der prozesse in dem Bereich],MATCH($B65,tab_MinKomp[[Stanowisko / Position ]:[Stanowisko / Position ]],0)))</f>
        <v>0</v>
      </c>
      <c r="FF66" s="330">
        <f>IF(INDEX(tab_MinKomp[optymalizacja procesów / Prozessoptymalisierung],MATCH($B65,tab_MinKomp[[Stanowisko / Position ]:[Stanowisko / Position ]],0))="n/a","n/a",FF65-INDEX(tab_MinKomp[optymalizacja procesów / Prozessoptymalisierung],MATCH($B65,tab_MinKomp[[Stanowisko / Position ]:[Stanowisko / Position ]],0)))</f>
        <v>0</v>
      </c>
      <c r="FG66" s="330">
        <f>IF(INDEX(tab_MinKomp[Umiejętności szkoleniowe / Trainingsfähigkeiten],MATCH($B65,tab_MinKomp[[Stanowisko / Position ]:[Stanowisko / Position ]],0))="n/a","n/a",FG65-INDEX(tab_MinKomp[Umiejętności szkoleniowe / Trainingsfähigkeiten],MATCH($B65,tab_MinKomp[[Stanowisko / Position ]:[Stanowisko / Position ]],0)))</f>
        <v>0</v>
      </c>
      <c r="FH66" s="330">
        <f>IF(INDEX(tab_MinKomp[Analityczne myślenie, podejście / Analitysches Denken, Einstellung],MATCH($B65,tab_MinKomp[[Stanowisko / Position ]:[Stanowisko / Position ]],0))="n/a","n/a",FH65-INDEX(tab_MinKomp[Analityczne myślenie, podejście / Analitysches Denken, Einstellung],MATCH($B65,tab_MinKomp[[Stanowisko / Position ]:[Stanowisko / Position ]],0)))</f>
        <v>0</v>
      </c>
      <c r="FI66" s="330">
        <f>IF(INDEX(tab_MinKomp[Dokładność, precyzja w dzialaniu / Genauigkeit, Präzision in die Arbeit],MATCH($B65,tab_MinKomp[[Stanowisko / Position ]:[Stanowisko / Position ]],0))="n/a","n/a",FI65-INDEX(tab_MinKomp[Dokładność, precyzja w dzialaniu / Genauigkeit, Präzision in die Arbeit],MATCH($B65,tab_MinKomp[[Stanowisko / Position ]:[Stanowisko / Position ]],0)))</f>
        <v>0</v>
      </c>
      <c r="FJ66" s="330">
        <f>IF(INDEX(tab_MinKomp[Dyspozycyjność / Verfügbarkeit],MATCH($B65,tab_MinKomp[[Stanowisko / Position ]:[Stanowisko / Position ]],0))="n/a","n/a",FJ65-INDEX(tab_MinKomp[Dyspozycyjność / Verfügbarkeit],MATCH($B65,tab_MinKomp[[Stanowisko / Position ]:[Stanowisko / Position ]],0)))</f>
        <v>1</v>
      </c>
      <c r="FK66" s="330">
        <f>IF(INDEX(tab_MinKomp[Zaangażowanie / 
Engagement],MATCH($B65,tab_MinKomp[[Stanowisko / Position ]:[Stanowisko / Position ]],0))="n/a","n/a",FK65-INDEX(tab_MinKomp[Zaangażowanie / 
Engagement],MATCH($B65,tab_MinKomp[[Stanowisko / Position ]:[Stanowisko / Position ]],0)))</f>
        <v>1</v>
      </c>
      <c r="FL66" s="330">
        <f>IF(INDEX(tab_MinKomp[Planowanie strategiczne / Strategische Planung],MATCH($B65,tab_MinKomp[[Stanowisko / Position ]:[Stanowisko / Position ]],0))="n/a","n/a",FL65-INDEX(tab_MinKomp[Planowanie strategiczne / Strategische Planung],MATCH($B65,tab_MinKomp[[Stanowisko / Position ]:[Stanowisko / Position ]],0)))</f>
        <v>1</v>
      </c>
      <c r="FM66" s="330">
        <f>IF(INDEX(tab_MinKomp[Konsekwentne i dynamiczne działanie],MATCH($B65,tab_MinKomp[[Stanowisko / Position ]:[Stanowisko / Position ]],0))="n/a","n/a",FM65-INDEX(tab_MinKomp[Konsekwentne i dynamiczne działanie],MATCH($B65,tab_MinKomp[[Stanowisko / Position ]:[Stanowisko / Position ]],0)))</f>
        <v>0</v>
      </c>
      <c r="FN66" s="330">
        <f>IF(INDEX(tab_MinKomp[Elastyczność w działaniu],MATCH($B65,tab_MinKomp[[Stanowisko / Position ]:[Stanowisko / Position ]],0))="n/a","n/a",FN65-INDEX(tab_MinKomp[Elastyczność w działaniu],MATCH($B65,tab_MinKomp[[Stanowisko / Position ]:[Stanowisko / Position ]],0)))</f>
        <v>1</v>
      </c>
      <c r="FO66" s="330">
        <f>IF(INDEX(tab_MinKomp[Komunikatywność],MATCH($B65,tab_MinKomp[[Stanowisko / Position ]:[Stanowisko / Position ]],0))="n/a","n/a",FO65-INDEX(tab_MinKomp[Komunikatywność],MATCH($B65,tab_MinKomp[[Stanowisko / Position ]:[Stanowisko / Position ]],0)))</f>
        <v>0</v>
      </c>
      <c r="FP66" s="330">
        <f>IF(INDEX(tab_MinKomp[Motywowanie i budowanie zaangażowania zespołu],MATCH($B65,tab_MinKomp[[Stanowisko / Position ]:[Stanowisko / Position ]],0))="n/a","n/a",FP65-INDEX(tab_MinKomp[Motywowanie i budowanie zaangażowania zespołu],MATCH($B65,tab_MinKomp[[Stanowisko / Position ]:[Stanowisko / Position ]],0)))</f>
        <v>0</v>
      </c>
      <c r="FQ66" s="330" t="str">
        <f>IF(INDEX(tab_MinKomp[BRAK / Keine],MATCH($B65,tab_MinKomp[[Stanowisko / Position ]:[Stanowisko / Position ]],0))="n/a","n/a",FQ65-INDEX(tab_MinKomp[BRAK / Keine],MATCH($B65,tab_MinKomp[[Stanowisko / Position ]:[Stanowisko / Position ]],0)))</f>
        <v>n/a</v>
      </c>
      <c r="FR66" s="330" t="s">
        <v>387</v>
      </c>
      <c r="FS66" s="330" t="str">
        <f>IF(INDEX(tab_MinKomp[MINIMUM 2 LATA / min. 2 Jahre],MATCH($B65,tab_MinKomp[[Stanowisko / Position ]:[Stanowisko / Position ]],0))="n/a","n/a",FS65-INDEX(tab_MinKomp[MINIMUM 2 LATA / min. 2 Jahre],MATCH($B65,tab_MinKomp[[Stanowisko / Position ]:[Stanowisko / Position ]],0)))</f>
        <v>n/a</v>
      </c>
      <c r="FT66" s="330" t="str">
        <f>IF(INDEX(tab_MinKomp[MINIMUM 3 LATA / min. 3 Jahre],MATCH($B65,tab_MinKomp[[Stanowisko / Position ]:[Stanowisko / Position ]],0))="n/a","n/a",FT65-INDEX(tab_MinKomp[MINIMUM 3 LATA / min. 3 Jahre],MATCH($B65,tab_MinKomp[[Stanowisko / Position ]:[Stanowisko / Position ]],0)))</f>
        <v>n/a</v>
      </c>
      <c r="FU66" s="330" t="str">
        <f>IF(INDEX(tab_MinKomp[MINIMUM 4 LATA / min. 4 Jahre],MATCH($B65,tab_MinKomp[[Stanowisko / Position ]:[Stanowisko / Position ]],0))="n/a","n/a",FU65-INDEX(tab_MinKomp[MINIMUM 4 LATA / min. 4 Jahre],MATCH($B65,tab_MinKomp[[Stanowisko / Position ]:[Stanowisko / Position ]],0)))</f>
        <v>n/a</v>
      </c>
      <c r="FV66" s="330" t="str">
        <f>IF(INDEX(tab_MinKomp[MINIMUM 5 LAT / min. 5 Jahre],MATCH($B65,tab_MinKomp[[Stanowisko / Position ]:[Stanowisko / Position ]],0))="n/a","n/a",FV65-INDEX(tab_MinKomp[MINIMUM 5 LAT / min. 5 Jahre],MATCH($B65,tab_MinKomp[[Stanowisko / Position ]:[Stanowisko / Position ]],0)))</f>
        <v>n/a</v>
      </c>
      <c r="FW66" s="330" t="str">
        <f>IF(INDEX(tab_MinKomp[BRAK / Keine9],MATCH($B65,tab_MinKomp[[Stanowisko / Position ]:[Stanowisko / Position ]],0))="n/a","n/a",FW65-INDEX(tab_MinKomp[BRAK / Keine9],MATCH($B65,tab_MinKomp[[Stanowisko / Position ]:[Stanowisko / Position ]],0)))</f>
        <v>n/a</v>
      </c>
      <c r="FX66" s="330" t="str">
        <f>IF(INDEX(tab_MinKomp[ZAWODOWE / Berufsausbildung],MATCH($B65,tab_MinKomp[[Stanowisko / Position ]:[Stanowisko / Position ]],0))="n/a","n/a",FX65-INDEX(tab_MinKomp[ZAWODOWE / Berufsausbildung],MATCH($B65,tab_MinKomp[[Stanowisko / Position ]:[Stanowisko / Position ]],0)))</f>
        <v>n/a</v>
      </c>
      <c r="FY66" s="330" t="str">
        <f>IF(INDEX(tab_MinKomp[ŚREDNIE OGÓLNE / Abitur allgemeine],MATCH($B65,tab_MinKomp[[Stanowisko / Position ]:[Stanowisko / Position ]],0))="n/a","n/a",FY65-INDEX(tab_MinKomp[ŚREDNIE OGÓLNE / Abitur allgemeine],MATCH($B65,tab_MinKomp[[Stanowisko / Position ]:[Stanowisko / Position ]],0)))</f>
        <v>n/a</v>
      </c>
      <c r="FZ66" s="330" t="str">
        <f>IF(INDEX(tab_MinKomp[ŚREDNIE KIERUNKOWE / berufliches Gymnasium],MATCH($B65,tab_MinKomp[[Stanowisko / Position ]:[Stanowisko / Position ]],0))="n/a","n/a",FZ65-INDEX(tab_MinKomp[ŚREDNIE KIERUNKOWE / berufliches Gymnasium],MATCH($B65,tab_MinKomp[[Stanowisko / Position ]:[Stanowisko / Position ]],0)))</f>
        <v>n/a</v>
      </c>
      <c r="GA66" s="330" t="str">
        <f>IF(INDEX(tab_MinKomp[WYŻSZE OGÓLNE / Hochschule allgemeine],MATCH($B65,tab_MinKomp[[Stanowisko / Position ]:[Stanowisko / Position ]],0))="n/a","n/a",GA65-INDEX(tab_MinKomp[WYŻSZE OGÓLNE / Hochschule allgemeine],MATCH($B65,tab_MinKomp[[Stanowisko / Position ]:[Stanowisko / Position ]],0)))</f>
        <v>n/a</v>
      </c>
      <c r="GB66" s="330" t="str">
        <f>IF(INDEX(tab_MinKomp[WYŻSZE KIERUNKOWE / Hochschule berufliche],MATCH($B65,tab_MinKomp[[Stanowisko / Position ]:[Stanowisko / Position ]],0))="n/a","n/a",GB65-INDEX(tab_MinKomp[WYŻSZE KIERUNKOWE / Hochschule berufliche],MATCH($B65,tab_MinKomp[[Stanowisko / Position ]:[Stanowisko / Position ]],0)))</f>
        <v>n/a</v>
      </c>
      <c r="GC66" s="330" t="str">
        <f>IF(INDEX(tab_MinKomp[PIERWSZA POMOC / Erste Hilfe],MATCH($B65,tab_MinKomp[[Stanowisko / Position ]:[Stanowisko / Position ]],0))="n/a","n/a",GC65-INDEX(tab_MinKomp[PIERWSZA POMOC / Erste Hilfe],MATCH($B65,tab_MinKomp[[Stanowisko / Position ]:[Stanowisko / Position ]],0)))</f>
        <v>n/a</v>
      </c>
      <c r="GD66" s="330" t="str">
        <f>IF(INDEX(tab_MinKomp[Specjalista BHP / BHP Spezialist],MATCH($B65,tab_MinKomp[[Stanowisko / Position ]:[Stanowisko / Position ]],0))="n/a","n/a",GD65-INDEX(tab_MinKomp[Specjalista BHP / BHP Spezialist],MATCH($B65,tab_MinKomp[[Stanowisko / Position ]:[Stanowisko / Position ]],0)))</f>
        <v>n/a</v>
      </c>
      <c r="GE66" s="330" t="str">
        <f>IF(INDEX(tab_MinKomp[Inspektor ochrony PPOŻ / Brandschutzinspektor],MATCH($B65,tab_MinKomp[[Stanowisko / Position ]:[Stanowisko / Position ]],0))="n/a","n/a",GE65-INDEX(tab_MinKomp[Inspektor ochrony PPOŻ / Brandschutzinspektor],MATCH($B65,tab_MinKomp[[Stanowisko / Position ]:[Stanowisko / Position ]],0)))</f>
        <v>n/a</v>
      </c>
      <c r="GF66" s="330" t="s">
        <v>387</v>
      </c>
      <c r="GG66" s="330" t="s">
        <v>387</v>
      </c>
      <c r="GH66" s="330" t="str">
        <f>IF(INDEX(tab_MinKomp[SEP  DOZÓR / SEP Aufsicht],MATCH($B65,tab_MinKomp[[Stanowisko / Position ]:[Stanowisko / Position ]],0))="n/a","n/a",GH65-INDEX(tab_MinKomp[SEP  DOZÓR / SEP Aufsicht],MATCH($B65,tab_MinKomp[[Stanowisko / Position ]:[Stanowisko / Position ]],0)))</f>
        <v>n/a</v>
      </c>
      <c r="GI66" s="330" t="str">
        <f>IF(INDEX(tab_MinKomp[PODNOŚNIKI / Hebevorrichtung],MATCH($B65,tab_MinKomp[[Stanowisko / Position ]:[Stanowisko / Position ]],0))="n/a","n/a",GI65-INDEX(tab_MinKomp[PODNOŚNIKI / Hebevorrichtung],MATCH($B65,tab_MinKomp[[Stanowisko / Position ]:[Stanowisko / Position ]],0)))</f>
        <v>n/a</v>
      </c>
      <c r="GJ66" s="330" t="s">
        <v>387</v>
      </c>
      <c r="GK66" s="330" t="str">
        <f>IF(INDEX(tab_MinKomp[WYSOKOŚCIOWE / Höhenberechtigungen],MATCH($B65,tab_MinKomp[[Stanowisko / Position ]:[Stanowisko / Position ]],0))="n/a","n/a",GK65-INDEX(tab_MinKomp[WYSOKOŚCIOWE / Höhenberechtigungen],MATCH($B65,tab_MinKomp[[Stanowisko / Position ]:[Stanowisko / Position ]],0)))</f>
        <v>n/a</v>
      </c>
      <c r="GL66" s="320">
        <f>SUM(G66:FP66)/(GL65-(SUM(G66:FP66)))</f>
        <v>-6.3492063492063489E-2</v>
      </c>
      <c r="GM66" s="132"/>
    </row>
    <row r="67" spans="1:195" ht="28.35" customHeight="1" x14ac:dyDescent="0.25">
      <c r="A67" s="138" t="s">
        <v>181</v>
      </c>
      <c r="B67" s="138" t="s">
        <v>560</v>
      </c>
      <c r="C67" s="138" t="s">
        <v>613</v>
      </c>
      <c r="D67" s="138">
        <v>528</v>
      </c>
      <c r="E67" s="563" t="s">
        <v>244</v>
      </c>
      <c r="F67" s="457" t="s">
        <v>165</v>
      </c>
      <c r="G67" s="460">
        <v>2</v>
      </c>
      <c r="H67" s="460">
        <v>2</v>
      </c>
      <c r="I67" s="460">
        <v>2</v>
      </c>
      <c r="J67" s="460">
        <v>2</v>
      </c>
      <c r="K67" s="460">
        <v>2</v>
      </c>
      <c r="L67" s="460">
        <v>1</v>
      </c>
      <c r="M67" s="460" t="s">
        <v>176</v>
      </c>
      <c r="N67" s="460" t="s">
        <v>176</v>
      </c>
      <c r="O67" s="460">
        <v>1</v>
      </c>
      <c r="P67" s="460">
        <v>1</v>
      </c>
      <c r="Q67" s="460" t="s">
        <v>176</v>
      </c>
      <c r="R67" s="460" t="s">
        <v>176</v>
      </c>
      <c r="S67" s="460" t="s">
        <v>176</v>
      </c>
      <c r="T67" s="460" t="s">
        <v>176</v>
      </c>
      <c r="U67" s="460" t="s">
        <v>176</v>
      </c>
      <c r="V67" s="460" t="s">
        <v>176</v>
      </c>
      <c r="W67" s="460" t="s">
        <v>176</v>
      </c>
      <c r="X67" s="460" t="s">
        <v>176</v>
      </c>
      <c r="Y67" s="460" t="s">
        <v>176</v>
      </c>
      <c r="Z67" s="460" t="s">
        <v>176</v>
      </c>
      <c r="AA67" s="460" t="s">
        <v>176</v>
      </c>
      <c r="AB67" s="460">
        <v>1</v>
      </c>
      <c r="AC67" s="460">
        <v>1</v>
      </c>
      <c r="AD67" s="460">
        <v>1</v>
      </c>
      <c r="AE67" s="460" t="s">
        <v>176</v>
      </c>
      <c r="AF67" s="460" t="s">
        <v>176</v>
      </c>
      <c r="AG67" s="460"/>
      <c r="AH67" s="460"/>
      <c r="AI67" s="460" t="s">
        <v>176</v>
      </c>
      <c r="AJ67" s="460" t="s">
        <v>176</v>
      </c>
      <c r="AK67" s="460" t="s">
        <v>176</v>
      </c>
      <c r="AL67" s="460">
        <v>1</v>
      </c>
      <c r="AM67" s="460">
        <v>2</v>
      </c>
      <c r="AN67" s="460">
        <v>2</v>
      </c>
      <c r="AO67" s="460">
        <v>2</v>
      </c>
      <c r="AP67" s="460">
        <v>2</v>
      </c>
      <c r="AQ67" s="460">
        <v>2</v>
      </c>
      <c r="AR67" s="460">
        <v>1</v>
      </c>
      <c r="AS67" s="460">
        <v>2</v>
      </c>
      <c r="AT67" s="460">
        <v>2</v>
      </c>
      <c r="AU67" s="460">
        <v>1</v>
      </c>
      <c r="AV67" s="460">
        <v>1</v>
      </c>
      <c r="AW67" s="460">
        <v>2</v>
      </c>
      <c r="AX67" s="460">
        <v>2</v>
      </c>
      <c r="AY67" s="460">
        <v>1</v>
      </c>
      <c r="AZ67" s="460">
        <v>1</v>
      </c>
      <c r="BA67" s="460" t="s">
        <v>176</v>
      </c>
      <c r="BB67" s="460" t="s">
        <v>176</v>
      </c>
      <c r="BC67" s="460" t="s">
        <v>176</v>
      </c>
      <c r="BD67" s="460" t="s">
        <v>176</v>
      </c>
      <c r="BE67" s="460" t="s">
        <v>176</v>
      </c>
      <c r="BF67" s="460" t="s">
        <v>176</v>
      </c>
      <c r="BG67" s="460" t="s">
        <v>176</v>
      </c>
      <c r="BH67" s="460" t="s">
        <v>176</v>
      </c>
      <c r="BI67" s="460" t="s">
        <v>176</v>
      </c>
      <c r="BJ67" s="460" t="s">
        <v>176</v>
      </c>
      <c r="BK67" s="460" t="s">
        <v>176</v>
      </c>
      <c r="BL67" s="460" t="s">
        <v>176</v>
      </c>
      <c r="BM67" s="460">
        <v>1</v>
      </c>
      <c r="BN67" s="460">
        <v>2</v>
      </c>
      <c r="BO67" s="460">
        <v>2</v>
      </c>
      <c r="BP67" s="460">
        <v>2</v>
      </c>
      <c r="BQ67" s="460">
        <v>2</v>
      </c>
      <c r="BR67" s="460">
        <v>2</v>
      </c>
      <c r="BS67" s="460">
        <v>2</v>
      </c>
      <c r="BT67" s="460">
        <v>2</v>
      </c>
      <c r="BU67" s="460">
        <v>2</v>
      </c>
      <c r="BV67" s="460">
        <v>3</v>
      </c>
      <c r="BW67" s="460">
        <v>1</v>
      </c>
      <c r="BX67" s="460">
        <v>1</v>
      </c>
      <c r="BY67" s="460">
        <v>1</v>
      </c>
      <c r="BZ67" s="460" t="s">
        <v>176</v>
      </c>
      <c r="CA67" s="460" t="s">
        <v>176</v>
      </c>
      <c r="CB67" s="460" t="s">
        <v>176</v>
      </c>
      <c r="CC67" s="460" t="s">
        <v>176</v>
      </c>
      <c r="CD67" s="460" t="s">
        <v>176</v>
      </c>
      <c r="CE67" s="460" t="s">
        <v>176</v>
      </c>
      <c r="CF67" s="460" t="s">
        <v>176</v>
      </c>
      <c r="CG67" s="460" t="s">
        <v>176</v>
      </c>
      <c r="CH67" s="460" t="s">
        <v>176</v>
      </c>
      <c r="CI67" s="460">
        <v>2</v>
      </c>
      <c r="CJ67" s="460" t="s">
        <v>176</v>
      </c>
      <c r="CK67" s="460" t="s">
        <v>176</v>
      </c>
      <c r="CL67" s="460">
        <v>2</v>
      </c>
      <c r="CM67" s="460">
        <v>2</v>
      </c>
      <c r="CN67" s="460">
        <v>2</v>
      </c>
      <c r="CO67" s="460">
        <v>2</v>
      </c>
      <c r="CP67" s="460">
        <v>2</v>
      </c>
      <c r="CQ67" s="460">
        <v>1</v>
      </c>
      <c r="CR67" s="460">
        <v>1</v>
      </c>
      <c r="CS67" s="460" t="s">
        <v>176</v>
      </c>
      <c r="CT67" s="460" t="s">
        <v>176</v>
      </c>
      <c r="CU67" s="460">
        <v>2</v>
      </c>
      <c r="CV67" s="460">
        <v>2</v>
      </c>
      <c r="CW67" s="460" t="s">
        <v>176</v>
      </c>
      <c r="CX67" s="460" t="s">
        <v>176</v>
      </c>
      <c r="CY67" s="460" t="s">
        <v>176</v>
      </c>
      <c r="CZ67" s="460" t="s">
        <v>176</v>
      </c>
      <c r="DA67" s="460" t="s">
        <v>176</v>
      </c>
      <c r="DB67" s="460" t="s">
        <v>176</v>
      </c>
      <c r="DC67" s="460" t="s">
        <v>176</v>
      </c>
      <c r="DD67" s="460" t="s">
        <v>176</v>
      </c>
      <c r="DE67" s="460" t="s">
        <v>176</v>
      </c>
      <c r="DF67" s="460" t="s">
        <v>176</v>
      </c>
      <c r="DG67" s="460" t="s">
        <v>176</v>
      </c>
      <c r="DH67" s="460" t="s">
        <v>176</v>
      </c>
      <c r="DI67" s="460" t="s">
        <v>176</v>
      </c>
      <c r="DJ67" s="460" t="s">
        <v>176</v>
      </c>
      <c r="DK67" s="460" t="s">
        <v>176</v>
      </c>
      <c r="DL67" s="460" t="s">
        <v>176</v>
      </c>
      <c r="DM67" s="460" t="s">
        <v>176</v>
      </c>
      <c r="DN67" s="460" t="s">
        <v>176</v>
      </c>
      <c r="DO67" s="460" t="s">
        <v>176</v>
      </c>
      <c r="DP67" s="460" t="s">
        <v>176</v>
      </c>
      <c r="DQ67" s="460" t="s">
        <v>176</v>
      </c>
      <c r="DR67" s="460" t="s">
        <v>176</v>
      </c>
      <c r="DS67" s="460" t="s">
        <v>176</v>
      </c>
      <c r="DT67" s="460" t="s">
        <v>176</v>
      </c>
      <c r="DU67" s="460">
        <v>2</v>
      </c>
      <c r="DV67" s="460">
        <v>1</v>
      </c>
      <c r="DW67" s="460">
        <v>1</v>
      </c>
      <c r="DX67" s="460" t="s">
        <v>176</v>
      </c>
      <c r="DY67" s="460">
        <v>2</v>
      </c>
      <c r="DZ67" s="460">
        <v>2</v>
      </c>
      <c r="EA67" s="460">
        <v>2</v>
      </c>
      <c r="EB67" s="460">
        <v>2</v>
      </c>
      <c r="EC67" s="460">
        <v>2</v>
      </c>
      <c r="ED67" s="460">
        <v>2</v>
      </c>
      <c r="EE67" s="460">
        <v>2</v>
      </c>
      <c r="EF67" s="460">
        <v>3</v>
      </c>
      <c r="EG67" s="460">
        <v>3</v>
      </c>
      <c r="EH67" s="460">
        <v>3</v>
      </c>
      <c r="EI67" s="460">
        <v>3</v>
      </c>
      <c r="EJ67" s="460">
        <v>3</v>
      </c>
      <c r="EK67" s="460">
        <v>3</v>
      </c>
      <c r="EL67" s="460">
        <v>2</v>
      </c>
      <c r="EM67" s="460">
        <v>3</v>
      </c>
      <c r="EN67" s="460">
        <v>3</v>
      </c>
      <c r="EO67" s="460">
        <v>1</v>
      </c>
      <c r="EP67" s="460">
        <v>2</v>
      </c>
      <c r="EQ67" s="460">
        <v>2</v>
      </c>
      <c r="ER67" s="460" t="s">
        <v>176</v>
      </c>
      <c r="ES67" s="460" t="s">
        <v>176</v>
      </c>
      <c r="ET67" s="460" t="s">
        <v>176</v>
      </c>
      <c r="EU67" s="460" t="s">
        <v>176</v>
      </c>
      <c r="EV67" s="460" t="s">
        <v>176</v>
      </c>
      <c r="EW67" s="308" t="s">
        <v>176</v>
      </c>
      <c r="EX67" s="460" t="s">
        <v>176</v>
      </c>
      <c r="EY67" s="460">
        <v>2</v>
      </c>
      <c r="EZ67" s="460">
        <v>2</v>
      </c>
      <c r="FA67" s="460">
        <v>2</v>
      </c>
      <c r="FB67" s="460">
        <v>1</v>
      </c>
      <c r="FC67" s="460" t="s">
        <v>176</v>
      </c>
      <c r="FD67" s="460">
        <v>1</v>
      </c>
      <c r="FE67" s="460">
        <v>2</v>
      </c>
      <c r="FF67" s="460">
        <v>2</v>
      </c>
      <c r="FG67" s="460">
        <v>1</v>
      </c>
      <c r="FH67" s="460">
        <v>2</v>
      </c>
      <c r="FI67" s="460">
        <v>2</v>
      </c>
      <c r="FJ67" s="460">
        <v>2</v>
      </c>
      <c r="FK67" s="460">
        <v>2</v>
      </c>
      <c r="FL67" s="460"/>
      <c r="FM67" s="460">
        <v>2</v>
      </c>
      <c r="FN67" s="460">
        <v>2</v>
      </c>
      <c r="FO67" s="460">
        <v>2</v>
      </c>
      <c r="FP67" s="460">
        <v>1</v>
      </c>
      <c r="FQ67" s="460" t="s">
        <v>176</v>
      </c>
      <c r="FR67" s="460"/>
      <c r="FS67" s="460" t="s">
        <v>176</v>
      </c>
      <c r="FT67" s="460" t="s">
        <v>176</v>
      </c>
      <c r="FU67" s="460" t="s">
        <v>176</v>
      </c>
      <c r="FV67" s="460" t="s">
        <v>176</v>
      </c>
      <c r="FW67" s="460" t="s">
        <v>176</v>
      </c>
      <c r="FX67" s="460" t="s">
        <v>176</v>
      </c>
      <c r="FY67" s="460" t="s">
        <v>176</v>
      </c>
      <c r="FZ67" s="460" t="s">
        <v>176</v>
      </c>
      <c r="GA67" s="460" t="s">
        <v>176</v>
      </c>
      <c r="GB67" s="460"/>
      <c r="GC67" s="460"/>
      <c r="GD67" s="460" t="s">
        <v>176</v>
      </c>
      <c r="GE67" s="460" t="s">
        <v>176</v>
      </c>
      <c r="GF67" s="460" t="s">
        <v>176</v>
      </c>
      <c r="GG67" s="460" t="s">
        <v>176</v>
      </c>
      <c r="GH67" s="460" t="s">
        <v>176</v>
      </c>
      <c r="GI67" s="460" t="s">
        <v>176</v>
      </c>
      <c r="GJ67" s="460" t="s">
        <v>176</v>
      </c>
      <c r="GK67" s="460" t="s">
        <v>176</v>
      </c>
      <c r="GL67" s="329">
        <f>SUM(G67:FP67)</f>
        <v>158</v>
      </c>
    </row>
    <row r="68" spans="1:195" ht="28.35" customHeight="1" thickBot="1" x14ac:dyDescent="0.3">
      <c r="A68" s="138" t="s">
        <v>181</v>
      </c>
      <c r="B68" s="138" t="s">
        <v>560</v>
      </c>
      <c r="C68" s="138" t="str">
        <f>C67</f>
        <v>KS</v>
      </c>
      <c r="D68" s="138">
        <v>528</v>
      </c>
      <c r="E68" s="564"/>
      <c r="F68" s="312" t="s">
        <v>166</v>
      </c>
      <c r="G68" s="341">
        <f>IF(INDEX(tab_MinKomp[Przepisy BHP / BHP Vorschriften],MATCH($B67,tab_MinKomp[[Stanowisko / Position ]:[Stanowisko / Position ]],0))="n/a","n/a",G67-INDEX(tab_MinKomp[Przepisy BHP / BHP Vorschriften],MATCH($B67,tab_MinKomp[[Stanowisko / Position ]:[Stanowisko / Position ]],0)))</f>
        <v>0</v>
      </c>
      <c r="H68" s="341">
        <f>IF(INDEX(tab_MinKomp[Przepisy PPOŻ / Brandschutzbestimmungen],MATCH($B67,tab_MinKomp[[Stanowisko / Position ]:[Stanowisko / Position ]],0))="n/a","n/a",H67-INDEX(tab_MinKomp[Przepisy PPOŻ / Brandschutzbestimmungen],MATCH($B67,tab_MinKomp[[Stanowisko / Position ]:[Stanowisko / Position ]],0)))</f>
        <v>0</v>
      </c>
      <c r="I68" s="341">
        <f>IF(INDEX(tab_MinKomp[Ryzyko zawodowe na stanowiskach pracyv/ Berufliche Risiken an Arbeitsstellen],MATCH($B67,tab_MinKomp[[Stanowisko / Position ]:[Stanowisko / Position ]],0))="n/a","n/a",I67-INDEX(tab_MinKomp[Ryzyko zawodowe na stanowiskach pracyv/ Berufliche Risiken an Arbeitsstellen],MATCH($B67,tab_MinKomp[[Stanowisko / Position ]:[Stanowisko / Position ]],0)))</f>
        <v>0</v>
      </c>
      <c r="J68" s="341">
        <f>IF(INDEX(tab_MinKomp[Gospodarka substancjami niebezpiecznymi / Gefahrstoffmanagement],MATCH($B67,tab_MinKomp[[Stanowisko / Position ]:[Stanowisko / Position ]],0))="n/a","n/a",J67-INDEX(tab_MinKomp[Gospodarka substancjami niebezpiecznymi / Gefahrstoffmanagement],MATCH($B67,tab_MinKomp[[Stanowisko / Position ]:[Stanowisko / Position ]],0)))</f>
        <v>0</v>
      </c>
      <c r="K68" s="341">
        <f>IF(INDEX(tab_MinKomp[Gospodarka odpadami / Abfallwirtschaft],MATCH($B67,tab_MinKomp[[Stanowisko / Position ]:[Stanowisko / Position ]],0))="n/a","n/a",K67-INDEX(tab_MinKomp[Gospodarka odpadami / Abfallwirtschaft],MATCH($B67,tab_MinKomp[[Stanowisko / Position ]:[Stanowisko / Position ]],0)))</f>
        <v>0</v>
      </c>
      <c r="L68" s="341">
        <f>IF(INDEX(tab_MinKomp[Przepisy kodeksu pracy / Bestimmungen des Arbeitsgesetzes],MATCH($B67,tab_MinKomp[[Stanowisko / Position ]:[Stanowisko / Position ]],0))="n/a","n/a",L67-INDEX(tab_MinKomp[Przepisy kodeksu pracy / Bestimmungen des Arbeitsgesetzes],MATCH($B67,tab_MinKomp[[Stanowisko / Position ]:[Stanowisko / Position ]],0)))</f>
        <v>0</v>
      </c>
      <c r="M68" s="341" t="str">
        <f>IF(INDEX(tab_MinKomp[Przepisy o ub.społ. ZUS  / Sozialversicherungsvorschriften],MATCH($B67,tab_MinKomp[[Stanowisko / Position ]:[Stanowisko / Position ]],0))="n/a","n/a",M67-INDEX(tab_MinKomp[Przepisy o ub.społ. ZUS  / Sozialversicherungsvorschriften],MATCH($B67,tab_MinKomp[[Stanowisko / Position ]:[Stanowisko / Position ]],0)))</f>
        <v>n/a</v>
      </c>
      <c r="N68" s="341" t="str">
        <f>IF(INDEX(tab_MinKomp[PRZEPISY O PDOF /persönlich Einkommensteuergesetz ],MATCH($B67,tab_MinKomp[[Stanowisko / Position ]:[Stanowisko / Position ]],0))="n/a","n/a",N67-INDEX(tab_MinKomp[PRZEPISY O PDOF /persönlich Einkommensteuergesetz ],MATCH($B67,tab_MinKomp[[Stanowisko / Position ]:[Stanowisko / Position ]],0)))</f>
        <v>n/a</v>
      </c>
      <c r="O68" s="341">
        <f>IF(INDEX(tab_MinKomp[Regulamin pracy / Arbeitsordnung],MATCH($B67,tab_MinKomp[[Stanowisko / Position ]:[Stanowisko / Position ]],0))="n/a","n/a",O67-INDEX(tab_MinKomp[Regulamin pracy / Arbeitsordnung],MATCH($B67,tab_MinKomp[[Stanowisko / Position ]:[Stanowisko / Position ]],0)))</f>
        <v>0</v>
      </c>
      <c r="P68" s="341">
        <f>IF(INDEX(tab_MinKomp[Regulamin wynagradzania / Vergütungsordnung],MATCH($B67,tab_MinKomp[[Stanowisko / Position ]:[Stanowisko / Position ]],0))="n/a","n/a",P67-INDEX(tab_MinKomp[Regulamin wynagradzania / Vergütungsordnung],MATCH($B67,tab_MinKomp[[Stanowisko / Position ]:[Stanowisko / Position ]],0)))</f>
        <v>0</v>
      </c>
      <c r="Q68" s="341" t="str">
        <f>IF(INDEX(tab_MinKomp[System R2PŁATNIK PRO: Płace / Lohnabrechnung],MATCH($B67,tab_MinKomp[[Stanowisko / Position ]:[Stanowisko / Position ]],0))="n/a","n/a",Q67-INDEX(tab_MinKomp[System R2PŁATNIK PRO: Płace / Lohnabrechnung],MATCH($B67,tab_MinKomp[[Stanowisko / Position ]:[Stanowisko / Position ]],0)))</f>
        <v>n/a</v>
      </c>
      <c r="R68" s="341" t="str">
        <f>IF(INDEX(tab_MinKomp[SystemR2PŁATNIK PRO: KADRY / Personaldaten],MATCH($B67,tab_MinKomp[[Stanowisko / Position ]:[Stanowisko / Position ]],0))="n/a","n/a",R67-INDEX(tab_MinKomp[SystemR2PŁATNIK PRO: KADRY / Personaldaten],MATCH($B67,tab_MinKomp[[Stanowisko / Position ]:[Stanowisko / Position ]],0)))</f>
        <v>n/a</v>
      </c>
      <c r="S68" s="341" t="str">
        <f>IF(INDEX(tab_MinKomp[SYSTEM R2PŁATNIK PRO: zarządzanie pracownikami / Arbeitsverwaltung],MATCH($B67,tab_MinKomp[[Stanowisko / Position ]:[Stanowisko / Position ]],0))="n/a","n/a",S67-INDEX(tab_MinKomp[SYSTEM R2PŁATNIK PRO: zarządzanie pracownikami / Arbeitsverwaltung],MATCH($B67,tab_MinKomp[[Stanowisko / Position ]:[Stanowisko / Position ]],0)))</f>
        <v>n/a</v>
      </c>
      <c r="T68" s="341" t="str">
        <f>IF(INDEX(tab_MinKomp[Doradztwo, wsparcie personalne / Personalberatung und Unterstützung],MATCH($B67,tab_MinKomp[[Stanowisko / Position ]:[Stanowisko / Position ]],0))="n/a","n/a",T67-INDEX(tab_MinKomp[Doradztwo, wsparcie personalne / Personalberatung und Unterstützung],MATCH($B67,tab_MinKomp[[Stanowisko / Position ]:[Stanowisko / Position ]],0)))</f>
        <v>n/a</v>
      </c>
      <c r="U68" s="341" t="str">
        <f>IF(INDEX(tab_MinKomp[Przepisy o podatku VAT / MwSt.- Gesetz],MATCH($B67,tab_MinKomp[[Stanowisko / Position ]:[Stanowisko / Position ]],0))="n/a","n/a",U67-INDEX(tab_MinKomp[Przepisy o podatku VAT / MwSt.- Gesetz],MATCH($B67,tab_MinKomp[[Stanowisko / Position ]:[Stanowisko / Position ]],0)))</f>
        <v>n/a</v>
      </c>
      <c r="V68" s="341" t="str">
        <f>IF(INDEX(tab_MinKomp[PrzepisyPDOP / geschäftlich Einkommensteuergesetz],MATCH($B67,tab_MinKomp[[Stanowisko / Position ]:[Stanowisko / Position ]],0))="n/a","n/a",V67-INDEX(tab_MinKomp[PrzepisyPDOP / geschäftlich Einkommensteuergesetz],MATCH($B67,tab_MinKomp[[Stanowisko / Position ]:[Stanowisko / Position ]],0)))</f>
        <v>n/a</v>
      </c>
      <c r="W68" s="341" t="str">
        <f>IF(INDEX(tab_MinKomp[System BAAN / FINANSE (FIBU)],MATCH($B67,tab_MinKomp[[Stanowisko / Position ]:[Stanowisko / Position ]],0))="n/a","n/a",W67-INDEX(tab_MinKomp[System BAAN / FINANSE (FIBU)],MATCH($B67,tab_MinKomp[[Stanowisko / Position ]:[Stanowisko / Position ]],0)))</f>
        <v>n/a</v>
      </c>
      <c r="X68" s="341" t="str">
        <f>IF(INDEX(tab_MinKomp[Systemy pomocnicze / Hilfssysteme(STOCKPROGRAM, KALK2000 etc.)],MATCH($B67,tab_MinKomp[[Stanowisko / Position ]:[Stanowisko / Position ]],0))="n/a","n/a",X67-INDEX(tab_MinKomp[Systemy pomocnicze / Hilfssysteme(STOCKPROGRAM, KALK2000 etc.)],MATCH($B67,tab_MinKomp[[Stanowisko / Position ]:[Stanowisko / Position ]],0)))</f>
        <v>n/a</v>
      </c>
      <c r="Y68" s="341" t="str">
        <f>IF(INDEX(tab_MinKomp[Polityka rachunkowości / Buchführungspolitik],MATCH($B67,tab_MinKomp[[Stanowisko / Position ]:[Stanowisko / Position ]],0))="n/a","n/a",Y67-INDEX(tab_MinKomp[Polityka rachunkowości / Buchführungspolitik],MATCH($B67,tab_MinKomp[[Stanowisko / Position ]:[Stanowisko / Position ]],0)))</f>
        <v>n/a</v>
      </c>
      <c r="Z68" s="341" t="str">
        <f>IF(INDEX(tab_MinKomp[Ustawa o rachunkowości / Rechnungslegungsgesetz],MATCH($B67,tab_MinKomp[[Stanowisko / Position ]:[Stanowisko / Position ]],0))="n/a","n/a",Z67-INDEX(tab_MinKomp[Ustawa o rachunkowości / Rechnungslegungsgesetz],MATCH($B67,tab_MinKomp[[Stanowisko / Position ]:[Stanowisko / Position ]],0)))</f>
        <v>n/a</v>
      </c>
      <c r="AA68" s="341" t="str">
        <f>IF(INDEX(tab_MinKomp[WORKFLOW - TS-100],MATCH($B67,tab_MinKomp[[Stanowisko / Position ]:[Stanowisko / Position ]],0))="n/a","n/a",AA67-INDEX(tab_MinKomp[WORKFLOW - TS-100],MATCH($B67,tab_MinKomp[[Stanowisko / Position ]:[Stanowisko / Position ]],0)))</f>
        <v>n/a</v>
      </c>
      <c r="AB68" s="341">
        <f>IF(INDEX(tab_MinKomp[WORKFLOW - SFMS],MATCH($B67,tab_MinKomp[[Stanowisko / Position ]:[Stanowisko / Position ]],0))="n/a","n/a",AB67-INDEX(tab_MinKomp[WORKFLOW - SFMS],MATCH($B67,tab_MinKomp[[Stanowisko / Position ]:[Stanowisko / Position ]],0)))</f>
        <v>-1</v>
      </c>
      <c r="AC68" s="341">
        <f>IF(INDEX(tab_MinKomp[System ISO 9001:2015],MATCH($B67,tab_MinKomp[[Stanowisko / Position ]:[Stanowisko / Position ]],0))="n/a","n/a",AC67-INDEX(tab_MinKomp[System ISO 9001:2015],MATCH($B67,tab_MinKomp[[Stanowisko / Position ]:[Stanowisko / Position ]],0)))</f>
        <v>0</v>
      </c>
      <c r="AD68" s="341">
        <f>IF(INDEX(tab_MinKomp[System IATF 16949:2016],MATCH($B67,tab_MinKomp[[Stanowisko / Position ]:[Stanowisko / Position ]],0))="n/a","n/a",AD67-INDEX(tab_MinKomp[System IATF 16949:2016],MATCH($B67,tab_MinKomp[[Stanowisko / Position ]:[Stanowisko / Position ]],0)))</f>
        <v>0</v>
      </c>
      <c r="AE68" s="341" t="str">
        <f>IF(INDEX(tab_MinKomp[System ISO 14001:2015],MATCH($B67,tab_MinKomp[[Stanowisko / Position ]:[Stanowisko / Position ]],0))="n/a","n/a",AE67-INDEX(tab_MinKomp[System ISO 14001:2015],MATCH($B67,tab_MinKomp[[Stanowisko / Position ]:[Stanowisko / Position ]],0)))</f>
        <v>n/a</v>
      </c>
      <c r="AF68" s="341" t="str">
        <f>IF(INDEX(tab_MinKomp[System PN-N 18001:2004 / ISO 45001:2018],MATCH($B67,tab_MinKomp[[Stanowisko / Position ]:[Stanowisko / Position ]],0))="n/a","n/a",AF67-INDEX(tab_MinKomp[System PN-N 18001:2004 / ISO 45001:2018],MATCH($B67,tab_MinKomp[[Stanowisko / Position ]:[Stanowisko / Position ]],0)))</f>
        <v>n/a</v>
      </c>
      <c r="AG68" s="341">
        <f>IF(INDEX(tab_MinKomp[Wymagania VDA 6.3 Process / Forderungen],MATCH($B67,tab_MinKomp[[Stanowisko / Position ]:[Stanowisko / Position ]],0))="n/a","n/a",AG67-INDEX(tab_MinKomp[Wymagania VDA 6.3 Process / Forderungen],MATCH($B67,tab_MinKomp[[Stanowisko / Position ]:[Stanowisko / Position ]],0)))</f>
        <v>-1</v>
      </c>
      <c r="AH68" s="341">
        <f>IF(INDEX(tab_MinKomp[Wymagania VDA 6.5 Product / Forderungen],MATCH($B67,tab_MinKomp[[Stanowisko / Position ]:[Stanowisko / Position ]],0))="n/a","n/a",AH67-INDEX(tab_MinKomp[Wymagania VDA 6.5 Product / Forderungen],MATCH($B67,tab_MinKomp[[Stanowisko / Position ]:[Stanowisko / Position ]],0)))</f>
        <v>-1</v>
      </c>
      <c r="AI68" s="341" t="str">
        <f>IF(INDEX(tab_MinKomp[PSCR (VW Product Safety &amp; Conformity Representative)],MATCH($B67,tab_MinKomp[[Stanowisko / Position ]:[Stanowisko / Position ]],0))="n/a","n/a",AI67-INDEX(tab_MinKomp[PSCR (VW Product Safety &amp; Conformity Representative)],MATCH($B67,tab_MinKomp[[Stanowisko / Position ]:[Stanowisko / Position ]],0)))</f>
        <v>n/a</v>
      </c>
      <c r="AJ68" s="341" t="str">
        <f>IF(INDEX(tab_MinKomp[Auditor systemu ISO 17025:2018],MATCH($B67,tab_MinKomp[[Stanowisko / Position ]:[Stanowisko / Position ]],0))="n/a","n/a",AJ67-INDEX(tab_MinKomp[Auditor systemu ISO 17025:2018],MATCH($B67,tab_MinKomp[[Stanowisko / Position ]:[Stanowisko / Position ]],0)))</f>
        <v>n/a</v>
      </c>
      <c r="AK68" s="341" t="str">
        <f>IF(INDEX(tab_MinKomp[Pełnomocnik systemu / Systemvertreter],MATCH($B67,tab_MinKomp[[Stanowisko / Position ]:[Stanowisko / Position ]],0))="n/a","n/a",AK67-INDEX(tab_MinKomp[Pełnomocnik systemu / Systemvertreter],MATCH($B67,tab_MinKomp[[Stanowisko / Position ]:[Stanowisko / Position ]],0)))</f>
        <v>n/a</v>
      </c>
      <c r="AL68" s="341">
        <f>IF(INDEX(tab_MinKomp[Polityka Etyczna - Compliance],MATCH($B67,tab_MinKomp[[Stanowisko / Position ]:[Stanowisko / Position ]],0))="n/a","n/a",AL67-INDEX(tab_MinKomp[Polityka Etyczna - Compliance],MATCH($B67,tab_MinKomp[[Stanowisko / Position ]:[Stanowisko / Position ]],0)))</f>
        <v>0</v>
      </c>
      <c r="AM68" s="341">
        <f>IF(INDEX(tab_MinKomp[WDRAŻANIE NOWYCH PROJEKTÓW/ PROCEDURA CTM],MATCH($B67,tab_MinKomp[[Stanowisko / Position ]:[Stanowisko / Position ]],0))="n/a","n/a",AM67-INDEX(tab_MinKomp[WDRAŻANIE NOWYCH PROJEKTÓW/ PROCEDURA CTM],MATCH($B67,tab_MinKomp[[Stanowisko / Position ]:[Stanowisko / Position ]],0)))</f>
        <v>0</v>
      </c>
      <c r="AN68" s="341">
        <f>IF(INDEX(tab_MinKomp[KAMIENIE MILOWE MSL/PIFF],MATCH($B67,tab_MinKomp[[Stanowisko / Position ]:[Stanowisko / Position ]],0))="n/a","n/a",AN67-INDEX(tab_MinKomp[KAMIENIE MILOWE MSL/PIFF],MATCH($B67,tab_MinKomp[[Stanowisko / Position ]:[Stanowisko / Position ]],0)))</f>
        <v>0</v>
      </c>
      <c r="AO68" s="341">
        <f>IF(INDEX(tab_MinKomp[CP],MATCH($B67,tab_MinKomp[[Stanowisko / Position ]:[Stanowisko / Position ]],0))="n/a","n/a",AO67-INDEX(tab_MinKomp[CP],MATCH($B67,tab_MinKomp[[Stanowisko / Position ]:[Stanowisko / Position ]],0)))</f>
        <v>0</v>
      </c>
      <c r="AP68" s="341">
        <f>IF(INDEX(tab_MinKomp[FMEA],MATCH($B67,tab_MinKomp[[Stanowisko / Position ]:[Stanowisko / Position ]],0))="n/a","n/a",AP67-INDEX(tab_MinKomp[FMEA],MATCH($B67,tab_MinKomp[[Stanowisko / Position ]:[Stanowisko / Position ]],0)))</f>
        <v>0</v>
      </c>
      <c r="AQ68" s="341">
        <f>IF(INDEX(tab_MinKomp[FLOW CHART],MATCH($B67,tab_MinKomp[[Stanowisko / Position ]:[Stanowisko / Position ]],0))="n/a","n/a",AQ67-INDEX(tab_MinKomp[FLOW CHART],MATCH($B67,tab_MinKomp[[Stanowisko / Position ]:[Stanowisko / Position ]],0)))</f>
        <v>0</v>
      </c>
      <c r="AR68" s="341">
        <f>IF(INDEX(tab_MinKomp[APQP],MATCH($B67,tab_MinKomp[[Stanowisko / Position ]:[Stanowisko / Position ]],0))="n/a","n/a",AR67-INDEX(tab_MinKomp[APQP],MATCH($B67,tab_MinKomp[[Stanowisko / Position ]:[Stanowisko / Position ]],0)))</f>
        <v>0</v>
      </c>
      <c r="AS68" s="341">
        <f>IF(INDEX(tab_MinKomp[MSA],MATCH($B67,tab_MinKomp[[Stanowisko / Position ]:[Stanowisko / Position ]],0))="n/a","n/a",AS67-INDEX(tab_MinKomp[MSA],MATCH($B67,tab_MinKomp[[Stanowisko / Position ]:[Stanowisko / Position ]],0)))</f>
        <v>0</v>
      </c>
      <c r="AT68" s="341">
        <f>IF(INDEX(tab_MinKomp[SPC],MATCH($B67,tab_MinKomp[[Stanowisko / Position ]:[Stanowisko / Position ]],0))="n/a","n/a",AT67-INDEX(tab_MinKomp[SPC],MATCH($B67,tab_MinKomp[[Stanowisko / Position ]:[Stanowisko / Position ]],0)))</f>
        <v>0</v>
      </c>
      <c r="AU68" s="341">
        <f>IF(INDEX(tab_MinKomp[CSR (SPECYFICZNE WYMAGANIA KLIENTA)],MATCH($B67,tab_MinKomp[[Stanowisko / Position ]:[Stanowisko / Position ]],0))="n/a","n/a",AU67-INDEX(tab_MinKomp[CSR (SPECYFICZNE WYMAGANIA KLIENTA)],MATCH($B67,tab_MinKomp[[Stanowisko / Position ]:[Stanowisko / Position ]],0)))</f>
        <v>-1</v>
      </c>
      <c r="AV68" s="341">
        <f>IF(INDEX(tab_MinKomp[5S],MATCH($B67,tab_MinKomp[[Stanowisko / Position ]:[Stanowisko / Position ]],0))="n/a","n/a",AV67-INDEX(tab_MinKomp[5S],MATCH($B67,tab_MinKomp[[Stanowisko / Position ]:[Stanowisko / Position ]],0)))</f>
        <v>-1</v>
      </c>
      <c r="AW68" s="341">
        <f>IF(INDEX(tab_MinKomp[LEAN MANAGEMENT],MATCH($B67,tab_MinKomp[[Stanowisko / Position ]:[Stanowisko / Position ]],0))="n/a","n/a",AW67-INDEX(tab_MinKomp[LEAN MANAGEMENT],MATCH($B67,tab_MinKomp[[Stanowisko / Position ]:[Stanowisko / Position ]],0)))</f>
        <v>0</v>
      </c>
      <c r="AX68" s="341">
        <f>IF(INDEX(tab_MinKomp[5R],MATCH($B67,tab_MinKomp[[Stanowisko / Position ]:[Stanowisko / Position ]],0))="n/a","n/a",AX67-INDEX(tab_MinKomp[5R],MATCH($B67,tab_MinKomp[[Stanowisko / Position ]:[Stanowisko / Position ]],0)))</f>
        <v>0</v>
      </c>
      <c r="AY68" s="341">
        <f>IF(INDEX(tab_MinKomp[Six Sigma],MATCH($B67,tab_MinKomp[[Stanowisko / Position ]:[Stanowisko / Position ]],0))="n/a","n/a",AY67-INDEX(tab_MinKomp[Six Sigma],MATCH($B67,tab_MinKomp[[Stanowisko / Position ]:[Stanowisko / Position ]],0)))</f>
        <v>0</v>
      </c>
      <c r="AZ68" s="341">
        <f>IF(INDEX(tab_MinKomp[System BAAN / Distribution &amp; Supply Chain],MATCH($B67,tab_MinKomp[[Stanowisko / Position ]:[Stanowisko / Position ]],0))="n/a","n/a",AZ67-INDEX(tab_MinKomp[System BAAN / Distribution &amp; Supply Chain],MATCH($B67,tab_MinKomp[[Stanowisko / Position ]:[Stanowisko / Position ]],0)))</f>
        <v>0</v>
      </c>
      <c r="BA68" s="341" t="str">
        <f>IF(INDEX(tab_MinKomp[Gospodarka magazynowa / Lagerverwaltung],MATCH($B67,tab_MinKomp[[Stanowisko / Position ]:[Stanowisko / Position ]],0))="n/a","n/a",BA67-INDEX(tab_MinKomp[Gospodarka magazynowa / Lagerverwaltung],MATCH($B67,tab_MinKomp[[Stanowisko / Position ]:[Stanowisko / Position ]],0)))</f>
        <v>n/a</v>
      </c>
      <c r="BB68" s="341" t="str">
        <f>IF(INDEX(tab_MinKomp[Inwentaryzacja - organizacja i przebieg / Inventurprozess],MATCH($B67,tab_MinKomp[[Stanowisko / Position ]:[Stanowisko / Position ]],0))="n/a","n/a",BB67-INDEX(tab_MinKomp[Inwentaryzacja - organizacja i przebieg / Inventurprozess],MATCH($B67,tab_MinKomp[[Stanowisko / Position ]:[Stanowisko / Position ]],0)))</f>
        <v>n/a</v>
      </c>
      <c r="BC68" s="341" t="str">
        <f>IF(INDEX(tab_MinKomp[Organizacja dostaw / Versorgungsorganisation],MATCH($B67,tab_MinKomp[[Stanowisko / Position ]:[Stanowisko / Position ]],0))="n/a","n/a",BC67-INDEX(tab_MinKomp[Organizacja dostaw / Versorgungsorganisation],MATCH($B67,tab_MinKomp[[Stanowisko / Position ]:[Stanowisko / Position ]],0)))</f>
        <v>n/a</v>
      </c>
      <c r="BD68" s="341" t="str">
        <f>IF(INDEX(tab_MinKomp[Organizacja wysyłek / Organisation von Lieferungen],MATCH($B67,tab_MinKomp[[Stanowisko / Position ]:[Stanowisko / Position ]],0))="n/a","n/a",BD67-INDEX(tab_MinKomp[Organizacja wysyłek / Organisation von Lieferungen],MATCH($B67,tab_MinKomp[[Stanowisko / Position ]:[Stanowisko / Position ]],0)))</f>
        <v>n/a</v>
      </c>
      <c r="BE68" s="341" t="str">
        <f>IF(INDEX(tab_MinKomp[Analiza magazynowa - Program Polen.mdb / Inventuranalyse],MATCH($B67,tab_MinKomp[[Stanowisko / Position ]:[Stanowisko / Position ]],0))="n/a","n/a",BE67-INDEX(tab_MinKomp[Analiza magazynowa - Program Polen.mdb / Inventuranalyse],MATCH($B67,tab_MinKomp[[Stanowisko / Position ]:[Stanowisko / Position ]],0)))</f>
        <v>n/a</v>
      </c>
      <c r="BF68" s="341" t="str">
        <f>IF(INDEX(tab_MinKomp[MMOG (Materials Management Operations Guidelines)],MATCH($B67,tab_MinKomp[[Stanowisko / Position ]:[Stanowisko / Position ]],0))="n/a","n/a",BF67-INDEX(tab_MinKomp[MMOG (Materials Management Operations Guidelines)],MATCH($B67,tab_MinKomp[[Stanowisko / Position ]:[Stanowisko / Position ]],0)))</f>
        <v>n/a</v>
      </c>
      <c r="BG68" s="341" t="str">
        <f>IF(INDEX(tab_MinKomp[DETC],MATCH($B67,tab_MinKomp[[Stanowisko / Position ]:[Stanowisko / Position ]],0))="n/a","n/a",BG67-INDEX(tab_MinKomp[DETC],MATCH($B67,tab_MinKomp[[Stanowisko / Position ]:[Stanowisko / Position ]],0)))</f>
        <v>n/a</v>
      </c>
      <c r="BH68" s="341" t="str">
        <f>IF(INDEX(tab_MinKomp[GPP],MATCH($B67,tab_MinKomp[[Stanowisko / Position ]:[Stanowisko / Position ]],0))="n/a","n/a",BH67-INDEX(tab_MinKomp[GPP],MATCH($B67,tab_MinKomp[[Stanowisko / Position ]:[Stanowisko / Position ]],0)))</f>
        <v>n/a</v>
      </c>
      <c r="BI68" s="341" t="str">
        <f>IF(INDEX(tab_MinKomp[AIAG (Automotive Industry Action Group)],MATCH($B67,tab_MinKomp[[Stanowisko / Position ]:[Stanowisko / Position ]],0))="n/a","n/a",BI67-INDEX(tab_MinKomp[AIAG (Automotive Industry Action Group)],MATCH($B67,tab_MinKomp[[Stanowisko / Position ]:[Stanowisko / Position ]],0)))</f>
        <v>n/a</v>
      </c>
      <c r="BJ68" s="341" t="str">
        <f>IF(INDEX(tab_MinKomp[Super-G disputes],MATCH($B67,tab_MinKomp[[Stanowisko / Position ]:[Stanowisko / Position ]],0))="n/a","n/a",BJ67-INDEX(tab_MinKomp[Super-G disputes],MATCH($B67,tab_MinKomp[[Stanowisko / Position ]:[Stanowisko / Position ]],0)))</f>
        <v>n/a</v>
      </c>
      <c r="BK68" s="341" t="str">
        <f>IF(INDEX(tab_MinKomp[CMMS3/eDDL (Direct Data Link)],MATCH($B67,tab_MinKomp[[Stanowisko / Position ]:[Stanowisko / Position ]],0))="n/a","n/a",BK67-INDEX(tab_MinKomp[CMMS3/eDDL (Direct Data Link)],MATCH($B67,tab_MinKomp[[Stanowisko / Position ]:[Stanowisko / Position ]],0)))</f>
        <v>n/a</v>
      </c>
      <c r="BL68" s="341" t="str">
        <f>IF(INDEX(tab_MinKomp[Supplier delivery rating],MATCH($B67,tab_MinKomp[[Stanowisko / Position ]:[Stanowisko / Position ]],0))="n/a","n/a",BL67-INDEX(tab_MinKomp[Supplier delivery rating],MATCH($B67,tab_MinKomp[[Stanowisko / Position ]:[Stanowisko / Position ]],0)))</f>
        <v>n/a</v>
      </c>
      <c r="BM68" s="341">
        <f>IF(INDEX(tab_MinKomp[Planowanie produkcji / Produktionsplanung],MATCH($B67,tab_MinKomp[[Stanowisko / Position ]:[Stanowisko / Position ]],0))="n/a","n/a",BM67-INDEX(tab_MinKomp[Planowanie produkcji / Produktionsplanung],MATCH($B67,tab_MinKomp[[Stanowisko / Position ]:[Stanowisko / Position ]],0)))</f>
        <v>0</v>
      </c>
      <c r="BN68" s="341">
        <f>IF(INDEX(tab_MinKomp[Obsługa maszyn Engel / Engel Maschinenbedienung],MATCH($B67,tab_MinKomp[[Stanowisko / Position ]:[Stanowisko / Position ]],0))="n/a","n/a",BN67-INDEX(tab_MinKomp[Obsługa maszyn Engel / Engel Maschinenbedienung],MATCH($B67,tab_MinKomp[[Stanowisko / Position ]:[Stanowisko / Position ]],0)))</f>
        <v>0</v>
      </c>
      <c r="BO68" s="341">
        <f>IF(INDEX(tab_MinKomp[Obsługa maszyn Novapax / Novapax Maschinenbedienung],MATCH($B67,tab_MinKomp[[Stanowisko / Position ]:[Stanowisko / Position ]],0))="n/a","n/a",BO67-INDEX(tab_MinKomp[Obsługa maszyn Novapax / Novapax Maschinenbedienung],MATCH($B67,tab_MinKomp[[Stanowisko / Position ]:[Stanowisko / Position ]],0)))</f>
        <v>0</v>
      </c>
      <c r="BP68" s="341">
        <f>IF(INDEX(tab_MinKomp[Obsługa maszyn KVT / KVT Maschinenbedienung],MATCH($B67,tab_MinKomp[[Stanowisko / Position ]:[Stanowisko / Position ]],0))="n/a","n/a",BP67-INDEX(tab_MinKomp[Obsługa maszyn KVT / KVT Maschinenbedienung],MATCH($B67,tab_MinKomp[[Stanowisko / Position ]:[Stanowisko / Position ]],0)))</f>
        <v>0</v>
      </c>
      <c r="BQ68" s="341">
        <f>IF(INDEX(tab_MinKomp[Obsługa maszyn ASL / ASL Maschinenbedienung],MATCH($B67,tab_MinKomp[[Stanowisko / Position ]:[Stanowisko / Position ]],0))="n/a","n/a",BQ67-INDEX(tab_MinKomp[Obsługa maszyn ASL / ASL Maschinenbedienung],MATCH($B67,tab_MinKomp[[Stanowisko / Position ]:[Stanowisko / Position ]],0)))</f>
        <v>0</v>
      </c>
      <c r="BR68" s="341">
        <f>IF(INDEX(tab_MinKomp[Obsługa maszyn Branson / Branson Maschinenbedienung],MATCH($B67,tab_MinKomp[[Stanowisko / Position ]:[Stanowisko / Position ]],0))="n/a","n/a",BR67-INDEX(tab_MinKomp[Obsługa maszyn Branson / Branson Maschinenbedienung],MATCH($B67,tab_MinKomp[[Stanowisko / Position ]:[Stanowisko / Position ]],0)))</f>
        <v>0</v>
      </c>
      <c r="BS68" s="341">
        <f>IF(INDEX(tab_MinKomp[Obsługa maszyn Kamtec / Kamtec Maschinenbedienung],MATCH($B67,tab_MinKomp[[Stanowisko / Position ]:[Stanowisko / Position ]],0))="n/a","n/a",BS67-INDEX(tab_MinKomp[Obsługa maszyn Kamtec / Kamtec Maschinenbedienung],MATCH($B67,tab_MinKomp[[Stanowisko / Position ]:[Stanowisko / Position ]],0)))</f>
        <v>0</v>
      </c>
      <c r="BT68" s="341">
        <f>IF(INDEX(tab_MinKomp[Obsługa maszyn Piovan / Piovan Maschinenbedienung],MATCH($B67,tab_MinKomp[[Stanowisko / Position ]:[Stanowisko / Position ]],0))="n/a","n/a",BT67-INDEX(tab_MinKomp[Obsługa maszyn Piovan / Piovan Maschinenbedienung],MATCH($B67,tab_MinKomp[[Stanowisko / Position ]:[Stanowisko / Position ]],0)))</f>
        <v>0</v>
      </c>
      <c r="BU68" s="341">
        <f>IF(INDEX(tab_MinKomp[Obsługa maszyn REP / REP Maschinenbedienung],MATCH($B67,tab_MinKomp[[Stanowisko / Position ]:[Stanowisko / Position ]],0))="n/a","n/a",BU67-INDEX(tab_MinKomp[Obsługa maszyn REP / REP Maschinenbedienung],MATCH($B67,tab_MinKomp[[Stanowisko / Position ]:[Stanowisko / Position ]],0)))</f>
        <v>0</v>
      </c>
      <c r="BV68" s="341">
        <f>IF(INDEX(tab_MinKomp[Eliminacja awarii / Beseitigung von Ausfällen],MATCH($B67,tab_MinKomp[[Stanowisko / Position ]:[Stanowisko / Position ]],0))="n/a","n/a",BV67-INDEX(tab_MinKomp[Eliminacja awarii / Beseitigung von Ausfällen],MATCH($B67,tab_MinKomp[[Stanowisko / Position ]:[Stanowisko / Position ]],0)))</f>
        <v>2</v>
      </c>
      <c r="BW68" s="341">
        <f>IF(INDEX(tab_MinKomp[Informatyka ogólna (techniczne i systemowe) / Allgemeine IT (Technik und System)],MATCH($B67,tab_MinKomp[[Stanowisko / Position ]:[Stanowisko / Position ]],0))="n/a","n/a",BW67-INDEX(tab_MinKomp[Informatyka ogólna (techniczne i systemowe) / Allgemeine IT (Technik und System)],MATCH($B67,tab_MinKomp[[Stanowisko / Position ]:[Stanowisko / Position ]],0)))</f>
        <v>0</v>
      </c>
      <c r="BX68" s="341">
        <f>IF(INDEX(tab_MinKomp[Sieci komputerowe / Computernetzwerke],MATCH($B67,tab_MinKomp[[Stanowisko / Position ]:[Stanowisko / Position ]],0))="n/a","n/a",BX67-INDEX(tab_MinKomp[Sieci komputerowe / Computernetzwerke],MATCH($B67,tab_MinKomp[[Stanowisko / Position ]:[Stanowisko / Position ]],0)))</f>
        <v>0</v>
      </c>
      <c r="BY68" s="341">
        <f>IF(INDEX(tab_MinKomp[Hardware (komputery PC, drukarki biurowe i etykietowe, telefonia stacjonarna i mobilna) (PC, Drucker, Telefpne, Handys)],MATCH($B67,tab_MinKomp[[Stanowisko / Position ]:[Stanowisko / Position ]],0))="n/a","n/a",BY67-INDEX(tab_MinKomp[Hardware (komputery PC, drukarki biurowe i etykietowe, telefonia stacjonarna i mobilna) (PC, Drucker, Telefpne, Handys)],MATCH($B67,tab_MinKomp[[Stanowisko / Position ]:[Stanowisko / Position ]],0)))</f>
        <v>0</v>
      </c>
      <c r="BZ68" s="341" t="str">
        <f>IF(INDEX(tab_MinKomp[Software &amp; Systems (MS Office, MS Remote Desktop)],MATCH($B67,tab_MinKomp[[Stanowisko / Position ]:[Stanowisko / Position ]],0))="n/a","n/a",BZ67-INDEX(tab_MinKomp[Software &amp; Systems (MS Office, MS Remote Desktop)],MATCH($B67,tab_MinKomp[[Stanowisko / Position ]:[Stanowisko / Position ]],0)))</f>
        <v>n/a</v>
      </c>
      <c r="CA68" s="341" t="str">
        <f>IF(INDEX(tab_MinKomp[Programowanie obiektowe (PHP) / Objektprogrammierung],MATCH($B67,tab_MinKomp[[Stanowisko / Position ]:[Stanowisko / Position ]],0))="n/a","n/a",CA67-INDEX(tab_MinKomp[Programowanie obiektowe (PHP) / Objektprogrammierung],MATCH($B67,tab_MinKomp[[Stanowisko / Position ]:[Stanowisko / Position ]],0)))</f>
        <v>n/a</v>
      </c>
      <c r="CB68" s="341" t="str">
        <f>IF(INDEX(tab_MinKomp[Scrum],MATCH($B67,tab_MinKomp[[Stanowisko / Position ]:[Stanowisko / Position ]],0))="n/a","n/a",CB67-INDEX(tab_MinKomp[Scrum],MATCH($B67,tab_MinKomp[[Stanowisko / Position ]:[Stanowisko / Position ]],0)))</f>
        <v>n/a</v>
      </c>
      <c r="CC68" s="341" t="str">
        <f>IF(INDEX(tab_MinKomp[SQL (MySQL)],MATCH($B67,tab_MinKomp[[Stanowisko / Position ]:[Stanowisko / Position ]],0))="n/a","n/a",CC67-INDEX(tab_MinKomp[SQL (MySQL)],MATCH($B67,tab_MinKomp[[Stanowisko / Position ]:[Stanowisko / Position ]],0)))</f>
        <v>n/a</v>
      </c>
      <c r="CD68" s="341" t="str">
        <f>IF(INDEX(tab_MinKomp[Javascript],MATCH($B67,tab_MinKomp[[Stanowisko / Position ]:[Stanowisko / Position ]],0))="n/a","n/a",CD67-INDEX(tab_MinKomp[Javascript],MATCH($B67,tab_MinKomp[[Stanowisko / Position ]:[Stanowisko / Position ]],0)))</f>
        <v>n/a</v>
      </c>
      <c r="CE68" s="341" t="str">
        <f>IF(INDEX(tab_MinKomp[Joomla],MATCH($B67,tab_MinKomp[[Stanowisko / Position ]:[Stanowisko / Position ]],0))="n/a","n/a",CE67-INDEX(tab_MinKomp[Joomla],MATCH($B67,tab_MinKomp[[Stanowisko / Position ]:[Stanowisko / Position ]],0)))</f>
        <v>n/a</v>
      </c>
      <c r="CF68" s="341" t="str">
        <f>IF(INDEX(tab_MinKomp[Bash],MATCH($B67,tab_MinKomp[[Stanowisko / Position ]:[Stanowisko / Position ]],0))="n/a","n/a",CF67-INDEX(tab_MinKomp[Bash],MATCH($B67,tab_MinKomp[[Stanowisko / Position ]:[Stanowisko / Position ]],0)))</f>
        <v>n/a</v>
      </c>
      <c r="CG68" s="341" t="str">
        <f>IF(INDEX(tab_MinKomp[Systemy MES (HYDRA / SFMS)],MATCH($B67,tab_MinKomp[[Stanowisko / Position ]:[Stanowisko / Position ]],0))="n/a","n/a",CG67-INDEX(tab_MinKomp[Systemy MES (HYDRA / SFMS)],MATCH($B67,tab_MinKomp[[Stanowisko / Position ]:[Stanowisko / Position ]],0)))</f>
        <v>n/a</v>
      </c>
      <c r="CH68" s="341" t="str">
        <f>IF(INDEX(tab_MinKomp[HTML / CSS],MATCH($B67,tab_MinKomp[[Stanowisko / Position ]:[Stanowisko / Position ]],0))="n/a","n/a",CH67-INDEX(tab_MinKomp[HTML / CSS],MATCH($B67,tab_MinKomp[[Stanowisko / Position ]:[Stanowisko / Position ]],0)))</f>
        <v>n/a</v>
      </c>
      <c r="CI68" s="341">
        <f>IF(INDEX(tab_MinKomp[SYSTEM PR],MATCH($B67,tab_MinKomp[[Stanowisko / Position ]:[Stanowisko / Position ]],0))="n/a","n/a",CI67-INDEX(tab_MinKomp[SYSTEM PR],MATCH($B67,tab_MinKomp[[Stanowisko / Position ]:[Stanowisko / Position ]],0)))</f>
        <v>0</v>
      </c>
      <c r="CJ68" s="341" t="str">
        <f>IF(INDEX(tab_MinKomp[Scrum],MATCH($B67,tab_MinKomp[[Stanowisko / Position ]:[Stanowisko / Position ]],0))="n/a","n/a",CJ67-INDEX(tab_MinKomp[Scrum],MATCH($B67,tab_MinKomp[[Stanowisko / Position ]:[Stanowisko / Position ]],0)))</f>
        <v>n/a</v>
      </c>
      <c r="CK68" s="341" t="str">
        <f>IF(INDEX(tab_MinKomp[Techniki negocjacyjne / Verhandlungstechniken],MATCH($B67,tab_MinKomp[[Stanowisko / Position ]:[Stanowisko / Position ]],0))="n/a","n/a",CK67-INDEX(tab_MinKomp[Techniki negocjacyjne / Verhandlungstechniken],MATCH($B67,tab_MinKomp[[Stanowisko / Position ]:[Stanowisko / Position ]],0)))</f>
        <v>n/a</v>
      </c>
      <c r="CL68" s="341">
        <f>IF(INDEX(tab_MinKomp[Znajomość rynku branżowego / Kenntnis des Industrie Marktes],MATCH($B67,tab_MinKomp[[Stanowisko / Position ]:[Stanowisko / Position ]],0))="n/a","n/a",CL67-INDEX(tab_MinKomp[Znajomość rynku branżowego / Kenntnis des Industrie Marktes],MATCH($B67,tab_MinKomp[[Stanowisko / Position ]:[Stanowisko / Position ]],0)))</f>
        <v>0</v>
      </c>
      <c r="CM68" s="341">
        <f>IF(INDEX(tab_MinKomp[Znajomość rynku branżowego / Kenntnis des Industrie Marktes],MATCH($B67,tab_MinKomp[[Stanowisko / Position ]:[Stanowisko / Position ]],0))="n/a","n/a",CM67-INDEX(tab_MinKomp[Znajomość rynku branżowego / Kenntnis des Industrie Marktes],MATCH($B67,tab_MinKomp[[Stanowisko / Position ]:[Stanowisko / Position ]],0)))</f>
        <v>0</v>
      </c>
      <c r="CN68" s="341">
        <f>IF(INDEX(tab_MinKomp[RAPORTY 8D / 8D Berichten],MATCH($B67,tab_MinKomp[[Stanowisko / Position ]:[Stanowisko / Position ]],0))="n/a","n/a",CN67-INDEX(tab_MinKomp[RAPORTY 8D / 8D Berichten],MATCH($B67,tab_MinKomp[[Stanowisko / Position ]:[Stanowisko / Position ]],0)))</f>
        <v>1</v>
      </c>
      <c r="CO68" s="341">
        <f>IF(INDEX(tab_MinKomp[NARZĘDZIA JAKOŚCIOWE (5WHY, Ishikawa, etc) / QS-Werkzeuge],MATCH($B67,tab_MinKomp[[Stanowisko / Position ]:[Stanowisko / Position ]],0))="n/a","n/a",CO67-INDEX(tab_MinKomp[NARZĘDZIA JAKOŚCIOWE (5WHY, Ishikawa, etc) / QS-Werkzeuge],MATCH($B67,tab_MinKomp[[Stanowisko / Position ]:[Stanowisko / Position ]],0)))</f>
        <v>0</v>
      </c>
      <c r="CP68" s="341">
        <f>IF(INDEX(tab_MinKomp[PDCA],MATCH($B67,tab_MinKomp[[Stanowisko / Position ]:[Stanowisko / Position ]],0))="n/a","n/a",CP67-INDEX(tab_MinKomp[PDCA],MATCH($B67,tab_MinKomp[[Stanowisko / Position ]:[Stanowisko / Position ]],0)))</f>
        <v>0</v>
      </c>
      <c r="CQ68" s="341">
        <f>IF(INDEX(tab_MinKomp[System Einkauf XP / EBA],MATCH($B67,tab_MinKomp[[Stanowisko / Position ]:[Stanowisko / Position ]],0))="n/a","n/a",CQ67-INDEX(tab_MinKomp[System Einkauf XP / EBA],MATCH($B67,tab_MinKomp[[Stanowisko / Position ]:[Stanowisko / Position ]],0)))</f>
        <v>0</v>
      </c>
      <c r="CR68" s="341">
        <f>IF(INDEX(tab_MinKomp[PPAP/PSW],MATCH($B67,tab_MinKomp[[Stanowisko / Position ]:[Stanowisko / Position ]],0))="n/a","n/a",CR67-INDEX(tab_MinKomp[PPAP/PSW],MATCH($B67,tab_MinKomp[[Stanowisko / Position ]:[Stanowisko / Position ]],0)))</f>
        <v>0</v>
      </c>
      <c r="CS68" s="341" t="str">
        <f>IF(INDEX(tab_MinKomp[Obsługa systemu BABTECQ / BABTECQ System],MATCH($B67,tab_MinKomp[[Stanowisko / Position ]:[Stanowisko / Position ]],0))="n/a","n/a",CS67-INDEX(tab_MinKomp[Obsługa systemu BABTECQ / BABTECQ System],MATCH($B67,tab_MinKomp[[Stanowisko / Position ]:[Stanowisko / Position ]],0)))</f>
        <v>n/a</v>
      </c>
      <c r="CT68" s="341" t="str">
        <f>IF(INDEX(tab_MinKomp[Obsługa systemu BABTECQ / BABTECQ System],MATCH($B67,tab_MinKomp[[Stanowisko / Position ]:[Stanowisko / Position ]],0))="n/a","n/a",CT67-INDEX(tab_MinKomp[Obsługa systemu BABTECQ / BABTECQ System],MATCH($B67,tab_MinKomp[[Stanowisko / Position ]:[Stanowisko / Position ]],0)))</f>
        <v>n/a</v>
      </c>
      <c r="CU68" s="341">
        <f>IF(INDEX(tab_MinKomp[Rysunek techniczny / technische Zeichnung],MATCH($B67,tab_MinKomp[[Stanowisko / Position ]:[Stanowisko / Position ]],0))="n/a","n/a",CU67-INDEX(tab_MinKomp[Rysunek techniczny / technische Zeichnung],MATCH($B67,tab_MinKomp[[Stanowisko / Position ]:[Stanowisko / Position ]],0)))</f>
        <v>0</v>
      </c>
      <c r="CV68" s="341">
        <f>IF(INDEX(tab_MinKomp[Kalibracja / Kalibrierung],MATCH($B67,tab_MinKomp[[Stanowisko / Position ]:[Stanowisko / Position ]],0))="n/a","n/a",CV67-INDEX(tab_MinKomp[Kalibracja / Kalibrierung],MATCH($B67,tab_MinKomp[[Stanowisko / Position ]:[Stanowisko / Position ]],0)))</f>
        <v>0</v>
      </c>
      <c r="CW68" s="341" t="str">
        <f>IF(INDEX(tab_MinKomp[Rekwalifikacja / Requalifizierung],MATCH($B67,tab_MinKomp[[Stanowisko / Position ]:[Stanowisko / Position ]],0))="n/a","n/a",CW67-INDEX(tab_MinKomp[Rekwalifikacja / Requalifizierung],MATCH($B67,tab_MinKomp[[Stanowisko / Position ]:[Stanowisko / Position ]],0)))</f>
        <v>n/a</v>
      </c>
      <c r="CX68" s="341" t="str">
        <f>IF(INDEX(tab_MinKomp[Obsługa mikroskopu optycznego / Bedienung eines optischen Mikroskops],MATCH($B67,tab_MinKomp[[Stanowisko / Position ]:[Stanowisko / Position ]],0))="n/a","n/a",CX67-INDEX(tab_MinKomp[Obsługa mikroskopu optycznego / Bedienung eines optischen Mikroskops],MATCH($B67,tab_MinKomp[[Stanowisko / Position ]:[Stanowisko / Position ]],0)))</f>
        <v>n/a</v>
      </c>
      <c r="CY68" s="341" t="str">
        <f>IF(INDEX(tab_MinKomp[Wykonywanie pomiarów optycznych - ocena wizualna / Optische Messungen durchführen – visuelle Beurteilung],MATCH($B67,tab_MinKomp[[Stanowisko / Position ]:[Stanowisko / Position ]],0))="n/a","n/a",CY67-INDEX(tab_MinKomp[Wykonywanie pomiarów optycznych - ocena wizualna / Optische Messungen durchführen – visuelle Beurteilung],MATCH($B67,tab_MinKomp[[Stanowisko / Position ]:[Stanowisko / Position ]],0)))</f>
        <v>n/a</v>
      </c>
      <c r="CZ68" s="341" t="str">
        <f>IF(INDEX(tab_MinKomp[Obsługa Rheometra / Rheometra-Unterstützung],MATCH($B67,tab_MinKomp[[Stanowisko / Position ]:[Stanowisko / Position ]],0))="n/a","n/a",CZ67-INDEX(tab_MinKomp[Obsługa Rheometra / Rheometra-Unterstützung],MATCH($B67,tab_MinKomp[[Stanowisko / Position ]:[Stanowisko / Position ]],0)))</f>
        <v>n/a</v>
      </c>
      <c r="DA68" s="341" t="str">
        <f>IF(INDEX(tab_MinKomp[Testy właściwości Rheometra mieszanki gumy],MATCH($B67,tab_MinKomp[[Stanowisko / Position ]:[Stanowisko / Position ]],0))="n/a","n/a",DA67-INDEX(tab_MinKomp[Testy właściwości Rheometra mieszanki gumy],MATCH($B67,tab_MinKomp[[Stanowisko / Position ]:[Stanowisko / Position ]],0)))</f>
        <v>n/a</v>
      </c>
      <c r="DB68" s="341" t="str">
        <f>IF(INDEX(tab_MinKomp[CMM - Contura Zeiss],MATCH($B67,tab_MinKomp[[Stanowisko / Position ]:[Stanowisko / Position ]],0))="n/a","n/a",DB67-INDEX(tab_MinKomp[CMM - Contura Zeiss],MATCH($B67,tab_MinKomp[[Stanowisko / Position ]:[Stanowisko / Position ]],0)))</f>
        <v>n/a</v>
      </c>
      <c r="DC68" s="341" t="str">
        <f>IF(INDEX(tab_MinKomp[Wykonywanie precyzyjnych pomiarów metrycznych, pomiary 3D],MATCH($B67,tab_MinKomp[[Stanowisko / Position ]:[Stanowisko / Position ]],0))="n/a","n/a",DC67-INDEX(tab_MinKomp[Wykonywanie precyzyjnych pomiarów metrycznych, pomiary 3D],MATCH($B67,tab_MinKomp[[Stanowisko / Position ]:[Stanowisko / Position ]],0)))</f>
        <v>n/a</v>
      </c>
      <c r="DD68" s="341" t="str">
        <f>IF(INDEX(tab_MinKomp[Pisanie programów / Programme schreiben],MATCH($B67,tab_MinKomp[[Stanowisko / Position ]:[Stanowisko / Position ]],0))="n/a","n/a",DD67-INDEX(tab_MinKomp[Pisanie programów / Programme schreiben],MATCH($B67,tab_MinKomp[[Stanowisko / Position ]:[Stanowisko / Position ]],0)))</f>
        <v>n/a</v>
      </c>
      <c r="DE68" s="341" t="str">
        <f>IF(INDEX(tab_MinKomp[Obsługa wyposażenia do testów czystości (myjka + analizator) / Betrieb von Sauberkeitsprüfgeräten (Waschmaschine + Analysegerät)],MATCH($B67,tab_MinKomp[[Stanowisko / Position ]:[Stanowisko / Position ]],0))="n/a","n/a",DE67-INDEX(tab_MinKomp[Obsługa wyposażenia do testów czystości (myjka + analizator) / Betrieb von Sauberkeitsprüfgeräten (Waschmaschine + Analysegerät)],MATCH($B67,tab_MinKomp[[Stanowisko / Position ]:[Stanowisko / Position ]],0)))</f>
        <v>n/a</v>
      </c>
      <c r="DF68" s="341" t="str">
        <f>IF(INDEX(tab_MinKomp[Testy czystości / Reinheitstests],MATCH($B67,tab_MinKomp[[Stanowisko / Position ]:[Stanowisko / Position ]],0))="n/a","n/a",DF67-INDEX(tab_MinKomp[Testy czystości / Reinheitstests],MATCH($B67,tab_MinKomp[[Stanowisko / Position ]:[Stanowisko / Position ]],0)))</f>
        <v>n/a</v>
      </c>
      <c r="DG68" s="341" t="str">
        <f>IF(INDEX(tab_MinKomp[Obsługa wysokościomierza / Unterstützung für Höhenmesser],MATCH($B67,tab_MinKomp[[Stanowisko / Position ]:[Stanowisko / Position ]],0))="n/a","n/a",DG67-INDEX(tab_MinKomp[Obsługa wysokościomierza / Unterstützung für Höhenmesser],MATCH($B67,tab_MinKomp[[Stanowisko / Position ]:[Stanowisko / Position ]],0)))</f>
        <v>n/a</v>
      </c>
      <c r="DH68" s="341" t="str">
        <f>IF(INDEX(tab_MinKomp[Pomiary wysokości materiału / Materialhöhenmessungen],MATCH($B67,tab_MinKomp[[Stanowisko / Position ]:[Stanowisko / Position ]],0))="n/a","n/a",DH67-INDEX(tab_MinKomp[Pomiary wysokości materiału / Materialhöhenmessungen],MATCH($B67,tab_MinKomp[[Stanowisko / Position ]:[Stanowisko / Position ]],0)))</f>
        <v>n/a</v>
      </c>
      <c r="DI68" s="341" t="str">
        <f>IF(INDEX(tab_MinKomp[Obsługa okrągłościomierza / Unterstützung für Rundheitsmessgeräte],MATCH($B67,tab_MinKomp[[Stanowisko / Position ]:[Stanowisko / Position ]],0))="n/a","n/a",DI67-INDEX(tab_MinKomp[Obsługa okrągłościomierza / Unterstützung für Rundheitsmessgeräte],MATCH($B67,tab_MinKomp[[Stanowisko / Position ]:[Stanowisko / Position ]],0)))</f>
        <v>n/a</v>
      </c>
      <c r="DJ68" s="341" t="str">
        <f>IF(INDEX(tab_MinKomp[Wykonywania pomiarów owalności, srednicy materiału / Messung der Ovalität und des Durchmessers des Materials],MATCH($B67,tab_MinKomp[[Stanowisko / Position ]:[Stanowisko / Position ]],0))="n/a","n/a",DJ67-INDEX(tab_MinKomp[Wykonywania pomiarów owalności, srednicy materiału / Messung der Ovalität und des Durchmessers des Materials],MATCH($B67,tab_MinKomp[[Stanowisko / Position ]:[Stanowisko / Position ]],0)))</f>
        <v>n/a</v>
      </c>
      <c r="DK68" s="341" t="str">
        <f>IF(INDEX(tab_MinKomp[Obsługa urządzenia do pomiarów chropowoatości powierzchni materiału],MATCH($B67,tab_MinKomp[[Stanowisko / Position ]:[Stanowisko / Position ]],0))="n/a","n/a",DK67-INDEX(tab_MinKomp[Obsługa urządzenia do pomiarów chropowoatości powierzchni materiału],MATCH($B67,tab_MinKomp[[Stanowisko / Position ]:[Stanowisko / Position ]],0)))</f>
        <v>n/a</v>
      </c>
      <c r="DL68" s="341" t="str">
        <f>IF(INDEX(tab_MinKomp[Wykonywanie pomiarów chropowatości powierzchni materiału / Durchführung von Messungen der Materialoberflächenrauheit],MATCH($B67,tab_MinKomp[[Stanowisko / Position ]:[Stanowisko / Position ]],0))="n/a","n/a",DL67-INDEX(tab_MinKomp[Wykonywanie pomiarów chropowatości powierzchni materiału / Durchführung von Messungen der Materialoberflächenrauheit],MATCH($B67,tab_MinKomp[[Stanowisko / Position ]:[Stanowisko / Position ]],0)))</f>
        <v>n/a</v>
      </c>
      <c r="DM68" s="341" t="str">
        <f>IF(INDEX(tab_MinKomp[Obsługa urządzenia do pomiaru siły radialnej części - postępowanie z trzpieniami. / Funktionsweise des Geräts zur Messung der Radialkraft von Teilen – Handhabungsstifte.],MATCH($B67,tab_MinKomp[[Stanowisko / Position ]:[Stanowisko / Position ]],0))="n/a","n/a",DM67-INDEX(tab_MinKomp[Obsługa urządzenia do pomiaru siły radialnej części - postępowanie z trzpieniami. / Funktionsweise des Geräts zur Messung der Radialkraft von Teilen – Handhabungsstifte.],MATCH($B67,tab_MinKomp[[Stanowisko / Position ]:[Stanowisko / Position ]],0)))</f>
        <v>n/a</v>
      </c>
      <c r="DN68" s="341" t="str">
        <f>IF(INDEX(tab_MinKomp[Wykonywanie pomiarów siły radialnej części / Führen Sie Radialkraftmessungen an Teilen durch],MATCH($B67,tab_MinKomp[[Stanowisko / Position ]:[Stanowisko / Position ]],0))="n/a","n/a",DN67-INDEX(tab_MinKomp[Wykonywanie pomiarów siły radialnej części / Führen Sie Radialkraftmessungen an Teilen durch],MATCH($B67,tab_MinKomp[[Stanowisko / Position ]:[Stanowisko / Position ]],0)))</f>
        <v>n/a</v>
      </c>
      <c r="DO68" s="341" t="str">
        <f>IF(INDEX(tab_MinKomp[Obsługa komory do testów wybuchwych / Betrieb einer Explosionsprüfkammer],MATCH($B67,tab_MinKomp[[Stanowisko / Position ]:[Stanowisko / Position ]],0))="n/a","n/a",DO67-INDEX(tab_MinKomp[Obsługa komory do testów wybuchwych / Betrieb einer Explosionsprüfkammer],MATCH($B67,tab_MinKomp[[Stanowisko / Position ]:[Stanowisko / Position ]],0)))</f>
        <v>n/a</v>
      </c>
      <c r="DP68" s="341" t="str">
        <f>IF(INDEX(tab_MinKomp[Wykonywanie testów wybuchowych części / Durchführung von Explosionstests an Teilen],MATCH($B67,tab_MinKomp[[Stanowisko / Position ]:[Stanowisko / Position ]],0))="n/a","n/a",DP67-INDEX(tab_MinKomp[Wykonywanie testów wybuchowych części / Durchführung von Explosionstests an Teilen],MATCH($B67,tab_MinKomp[[Stanowisko / Position ]:[Stanowisko / Position ]],0)))</f>
        <v>n/a</v>
      </c>
      <c r="DQ68" s="341" t="str">
        <f>IF(INDEX(tab_MinKomp[Obsługa urządzeń do mierzenia siły trzymania i/lub rozciągania / Betrieb von Geräten zur Messung der Halte- und/oder Dehnkraft],MATCH($B67,tab_MinKomp[[Stanowisko / Position ]:[Stanowisko / Position ]],0))="n/a","n/a",DQ67-INDEX(tab_MinKomp[Obsługa urządzeń do mierzenia siły trzymania i/lub rozciągania / Betrieb von Geräten zur Messung der Halte- und/oder Dehnkraft],MATCH($B67,tab_MinKomp[[Stanowisko / Position ]:[Stanowisko / Position ]],0)))</f>
        <v>n/a</v>
      </c>
      <c r="DR68" s="341" t="str">
        <f>IF(INDEX(tab_MinKomp[Wykonywanie testów mierzenia siły trzymania i/lub rozciągania / Durchführung von Tests zur Messung der Halte- und/oder Streckkraft],MATCH($B67,tab_MinKomp[[Stanowisko / Position ]:[Stanowisko / Position ]],0))="n/a","n/a",DR67-INDEX(tab_MinKomp[Wykonywanie testów mierzenia siły trzymania i/lub rozciągania / Durchführung von Tests zur Messung der Halte- und/oder Streckkraft],MATCH($B67,tab_MinKomp[[Stanowisko / Position ]:[Stanowisko / Position ]],0)))</f>
        <v>n/a</v>
      </c>
      <c r="DS68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Luftstrom)],MATCH($B67,tab_MinKomp[[Stanowisko / Position ]:[Stanowisko / Position ]],0))="n/a","n/a",DS67-INDEX(tab_MinKomp[Obsługa multimetru do pomiarów środowiskowych (temperatura, wilgotność, hałas, oświetlenie, przepływ powietrza) / Betrieb eines Multimeters für Umweltmessungen (Temperatur, Luftfeuchtigkeit, Lärm, Beleuchtung, Luftstrom)],MATCH($B67,tab_MinKomp[[Stanowisko / Position ]:[Stanowisko / Position ]],0)))</f>
        <v>n/a</v>
      </c>
      <c r="DT68" s="341" t="str">
        <f>IF(INDEX(tab_MinKomp[Kontrola warunków środowiskowych pracy (temperatura, wilgotność, hałas, oświetlenie, przepływ powietrza) / Kontrolle der Arbeitsumgebungsbedingungen (Temperatur, Luftfeuchtigkeit, Lärm, Beleuchtung, Luftstrom)],MATCH($B67,tab_MinKomp[[Stanowisko / Position ]:[Stanowisko / Position ]],0))="n/a","n/a",DT67-INDEX(tab_MinKomp[Kontrola warunków środowiskowych pracy (temperatura, wilgotność, hałas, oświetlenie, przepływ powietrza) / Kontrolle der Arbeitsumgebungsbedingungen (Temperatur, Luftfeuchtigkeit, Lärm, Beleuchtung, Luftstrom)],MATCH($B67,tab_MinKomp[[Stanowisko / Position ]:[Stanowisko / Position ]],0)))</f>
        <v>n/a</v>
      </c>
      <c r="DU68" s="341">
        <f>IF(INDEX(tab_MinKomp[MSA i SPC],MATCH($B67,tab_MinKomp[[Stanowisko / Position ]:[Stanowisko / Position ]],0))="n/a","n/a",DU67-INDEX(tab_MinKomp[MSA i SPC],MATCH($B67,tab_MinKomp[[Stanowisko / Position ]:[Stanowisko / Position ]],0)))</f>
        <v>0</v>
      </c>
      <c r="DV68" s="341">
        <f>IF(INDEX(tab_MinKomp[Kontrola wejściowa komponentów/ Eingangskontrolle],MATCH($B67,tab_MinKomp[[Stanowisko / Position ]:[Stanowisko / Position ]],0))="n/a","n/a",DV67-INDEX(tab_MinKomp[Kontrola wejściowa komponentów/ Eingangskontrolle],MATCH($B67,tab_MinKomp[[Stanowisko / Position ]:[Stanowisko / Position ]],0)))</f>
        <v>0</v>
      </c>
      <c r="DW68" s="341">
        <f>IF(INDEX(tab_MinKomp[Kontrola wyjściowa produktu / Ausgangskontrolle],MATCH($B67,tab_MinKomp[[Stanowisko / Position ]:[Stanowisko / Position ]],0))="n/a","n/a",DW67-INDEX(tab_MinKomp[Kontrola wyjściowa produktu / Ausgangskontrolle],MATCH($B67,tab_MinKomp[[Stanowisko / Position ]:[Stanowisko / Position ]],0)))</f>
        <v>0</v>
      </c>
      <c r="DX68" s="341" t="str">
        <f>IF(INDEX(tab_MinKomp[Kontrola codzienna produkcji / Tägliche Produktionskontrolle],MATCH($B67,tab_MinKomp[[Stanowisko / Position ]:[Stanowisko / Position ]],0))="n/a","n/a",DX67-INDEX(tab_MinKomp[Kontrola codzienna produkcji / Tägliche Produktionskontrolle],MATCH($B67,tab_MinKomp[[Stanowisko / Position ]:[Stanowisko / Position ]],0)))</f>
        <v>n/a</v>
      </c>
      <c r="DY68" s="341" t="str">
        <f>IF(INDEX(tab_MinKomp[Konserwacja Rep],MATCH($B67,tab_MinKomp[[Stanowisko / Position ]:[Stanowisko / Position ]],0))="n/a","n/a",DY67-INDEX(tab_MinKomp[Konserwacja Rep],MATCH($B67,tab_MinKomp[[Stanowisko / Position ]:[Stanowisko / Position ]],0)))</f>
        <v>n/a</v>
      </c>
      <c r="DZ68" s="341" t="str">
        <f>IF(INDEX(tab_MinKomp[[Konserwacja Engel ]],MATCH($B67,tab_MinKomp[[Stanowisko / Position ]:[Stanowisko / Position ]],0))="n/a","n/a",DZ67-INDEX(tab_MinKomp[[Konserwacja Engel ]],MATCH($B67,tab_MinKomp[[Stanowisko / Position ]:[Stanowisko / Position ]],0)))</f>
        <v>n/a</v>
      </c>
      <c r="EA68" s="341" t="str">
        <f>IF(INDEX(tab_MinKomp[Konserwacja B 50],MATCH($B67,tab_MinKomp[[Stanowisko / Position ]:[Stanowisko / Position ]],0))="n/a","n/a",EA67-INDEX(tab_MinKomp[Konserwacja B 50],MATCH($B67,tab_MinKomp[[Stanowisko / Position ]:[Stanowisko / Position ]],0)))</f>
        <v>n/a</v>
      </c>
      <c r="EB68" s="341" t="str">
        <f>IF(INDEX(tab_MinKomp[[Konserwacja EOL ]],MATCH($B67,tab_MinKomp[[Stanowisko / Position ]:[Stanowisko / Position ]],0))="n/a","n/a",EB67-INDEX(tab_MinKomp[[Konserwacja EOL ]],MATCH($B67,tab_MinKomp[[Stanowisko / Position ]:[Stanowisko / Position ]],0)))</f>
        <v>n/a</v>
      </c>
      <c r="EC68" s="341" t="str">
        <f>IF(INDEX(tab_MinKomp[Konserwacja Branson],MATCH($B67,tab_MinKomp[[Stanowisko / Position ]:[Stanowisko / Position ]],0))="n/a","n/a",EC67-INDEX(tab_MinKomp[Konserwacja Branson],MATCH($B67,tab_MinKomp[[Stanowisko / Position ]:[Stanowisko / Position ]],0)))</f>
        <v>n/a</v>
      </c>
      <c r="ED68" s="341" t="str">
        <f>IF(INDEX(tab_MinKomp[Konserwacja coolery],MATCH($B67,tab_MinKomp[[Stanowisko / Position ]:[Stanowisko / Position ]],0))="n/a","n/a",ED67-INDEX(tab_MinKomp[Konserwacja coolery],MATCH($B67,tab_MinKomp[[Stanowisko / Position ]:[Stanowisko / Position ]],0)))</f>
        <v>n/a</v>
      </c>
      <c r="EE68" s="341" t="str">
        <f>IF(INDEX(tab_MinKomp[Konserwacja piecy],MATCH($B67,tab_MinKomp[[Stanowisko / Position ]:[Stanowisko / Position ]],0))="n/a","n/a",EE67-INDEX(tab_MinKomp[Konserwacja piecy],MATCH($B67,tab_MinKomp[[Stanowisko / Position ]:[Stanowisko / Position ]],0)))</f>
        <v>n/a</v>
      </c>
      <c r="EF68" s="341">
        <f>IF(INDEX(tab_MinKomp[Rysunek techniczny- czytanie],MATCH($B67,tab_MinKomp[[Stanowisko / Position ]:[Stanowisko / Position ]],0))="n/a","n/a",EF67-INDEX(tab_MinKomp[Rysunek techniczny- czytanie],MATCH($B67,tab_MinKomp[[Stanowisko / Position ]:[Stanowisko / Position ]],0)))</f>
        <v>1</v>
      </c>
      <c r="EG68" s="341">
        <f>IF(INDEX(tab_MinKomp[Elektryka],MATCH($B67,tab_MinKomp[[Stanowisko / Position ]:[Stanowisko / Position ]],0))="n/a","n/a",EG67-INDEX(tab_MinKomp[Elektryka],MATCH($B67,tab_MinKomp[[Stanowisko / Position ]:[Stanowisko / Position ]],0)))</f>
        <v>2</v>
      </c>
      <c r="EH68" s="341">
        <f>IF(INDEX(tab_MinKomp[Pneumatyka],MATCH($B67,tab_MinKomp[[Stanowisko / Position ]:[Stanowisko / Position ]],0))="n/a","n/a",EH67-INDEX(tab_MinKomp[Pneumatyka],MATCH($B67,tab_MinKomp[[Stanowisko / Position ]:[Stanowisko / Position ]],0)))</f>
        <v>2</v>
      </c>
      <c r="EI68" s="341">
        <f>IF(INDEX(tab_MinKomp[[Hydraulika ]],MATCH($B67,tab_MinKomp[[Stanowisko / Position ]:[Stanowisko / Position ]],0))="n/a","n/a",EI67-INDEX(tab_MinKomp[[Hydraulika ]],MATCH($B67,tab_MinKomp[[Stanowisko / Position ]:[Stanowisko / Position ]],0)))</f>
        <v>2</v>
      </c>
      <c r="EJ68" s="341">
        <f>IF(INDEX(tab_MinKomp[Podciśnienie],MATCH($B67,tab_MinKomp[[Stanowisko / Position ]:[Stanowisko / Position ]],0))="n/a","n/a",EJ67-INDEX(tab_MinKomp[Podciśnienie],MATCH($B67,tab_MinKomp[[Stanowisko / Position ]:[Stanowisko / Position ]],0)))</f>
        <v>2</v>
      </c>
      <c r="EK68" s="341">
        <f>IF(INDEX(tab_MinKomp[Usuwanie awarii],MATCH($B67,tab_MinKomp[[Stanowisko / Position ]:[Stanowisko / Position ]],0))="n/a","n/a",EK67-INDEX(tab_MinKomp[Usuwanie awarii],MATCH($B67,tab_MinKomp[[Stanowisko / Position ]:[Stanowisko / Position ]],0)))</f>
        <v>2</v>
      </c>
      <c r="EL68" s="341">
        <f>IF(INDEX(tab_MinKomp[Obsługa robotów],MATCH($B67,tab_MinKomp[[Stanowisko / Position ]:[Stanowisko / Position ]],0))="n/a","n/a",EL67-INDEX(tab_MinKomp[Obsługa robotów],MATCH($B67,tab_MinKomp[[Stanowisko / Position ]:[Stanowisko / Position ]],0)))</f>
        <v>1</v>
      </c>
      <c r="EM68" s="341">
        <f>IF(INDEX(tab_MinKomp[Obsługa sterowania maszyny],MATCH($B67,tab_MinKomp[[Stanowisko / Position ]:[Stanowisko / Position ]],0))="n/a","n/a",EM67-INDEX(tab_MinKomp[Obsługa sterowania maszyny],MATCH($B67,tab_MinKomp[[Stanowisko / Position ]:[Stanowisko / Position ]],0)))</f>
        <v>2</v>
      </c>
      <c r="EN68" s="341">
        <f>IF(INDEX(tab_MinKomp[Usuwanie przyczyn żródłowych],MATCH($B67,tab_MinKomp[[Stanowisko / Position ]:[Stanowisko / Position ]],0))="n/a","n/a",EN67-INDEX(tab_MinKomp[Usuwanie przyczyn żródłowych],MATCH($B67,tab_MinKomp[[Stanowisko / Position ]:[Stanowisko / Position ]],0)))</f>
        <v>1</v>
      </c>
      <c r="EO68" s="341">
        <f>IF(INDEX(tab_MinKomp[Cmms stosowanie],MATCH($B67,tab_MinKomp[[Stanowisko / Position ]:[Stanowisko / Position ]],0))="n/a","n/a",EO67-INDEX(tab_MinKomp[Cmms stosowanie],MATCH($B67,tab_MinKomp[[Stanowisko / Position ]:[Stanowisko / Position ]],0)))</f>
        <v>0</v>
      </c>
      <c r="EP68" s="341">
        <f>IF(INDEX(tab_MinKomp[[Czyszczenie form gumowych ]],MATCH($B67,tab_MinKomp[[Stanowisko / Position ]:[Stanowisko / Position ]],0))="n/a","n/a",EP67-INDEX(tab_MinKomp[[Czyszczenie form gumowych ]],MATCH($B67,tab_MinKomp[[Stanowisko / Position ]:[Stanowisko / Position ]],0)))</f>
        <v>0</v>
      </c>
      <c r="EQ68" s="341">
        <f>IF(INDEX(tab_MinKomp[Czyszczenie form plastikowych],MATCH($B67,tab_MinKomp[[Stanowisko / Position ]:[Stanowisko / Position ]],0))="n/a","n/a",EQ67-INDEX(tab_MinKomp[Czyszczenie form plastikowych],MATCH($B67,tab_MinKomp[[Stanowisko / Position ]:[Stanowisko / Position ]],0)))</f>
        <v>0</v>
      </c>
      <c r="ER68" s="341" t="str">
        <f>IF(INDEX(tab_MinKomp[Wymiana form plastik],MATCH($B67,tab_MinKomp[[Stanowisko / Position ]:[Stanowisko / Position ]],0))="n/a","n/a",ER67-INDEX(tab_MinKomp[Wymiana form plastik],MATCH($B67,tab_MinKomp[[Stanowisko / Position ]:[Stanowisko / Position ]],0)))</f>
        <v>n/a</v>
      </c>
      <c r="ES68" s="341" t="str">
        <f>IF(INDEX(tab_MinKomp[Wymiana form guma],MATCH($B67,tab_MinKomp[[Stanowisko / Position ]:[Stanowisko / Position ]],0))="n/a","n/a",ES67-INDEX(tab_MinKomp[Wymiana form guma],MATCH($B67,tab_MinKomp[[Stanowisko / Position ]:[Stanowisko / Position ]],0)))</f>
        <v>n/a</v>
      </c>
      <c r="ET68" s="341" t="str">
        <f>IF(INDEX(tab_MinKomp[Konserwacja KK],MATCH($B67,tab_MinKomp[[Stanowisko / Position ]:[Stanowisko / Position ]],0))="n/a","n/a",ET67-INDEX(tab_MinKomp[Konserwacja KK],MATCH($B67,tab_MinKomp[[Stanowisko / Position ]:[Stanowisko / Position ]],0)))</f>
        <v>n/a</v>
      </c>
      <c r="EU68" s="341" t="str">
        <f>IF(INDEX(tab_MinKomp[Konserwacja form guma],MATCH($B67,tab_MinKomp[[Stanowisko / Position ]:[Stanowisko / Position ]],0))="n/a","n/a",EU67-INDEX(tab_MinKomp[Konserwacja form guma],MATCH($B67,tab_MinKomp[[Stanowisko / Position ]:[Stanowisko / Position ]],0)))</f>
        <v>n/a</v>
      </c>
      <c r="EV68" s="341" t="str">
        <f>IF(INDEX(tab_MinKomp[Konserwacja form plastiki],MATCH($B67,tab_MinKomp[[Stanowisko / Position ]:[Stanowisko / Position ]],0))="n/a","n/a",EV67-INDEX(tab_MinKomp[Konserwacja form plastiki],MATCH($B67,tab_MinKomp[[Stanowisko / Position ]:[Stanowisko / Position ]],0)))</f>
        <v>n/a</v>
      </c>
      <c r="EW68" s="330" t="str">
        <f>IF(INDEX(tab_MinKomp[Konserwacja form plastiki],MATCH($B67,tab_MinKomp[[Stanowisko / Position ]:[Stanowisko / Position ]],0))="n/a","n/a",EW67-INDEX(tab_MinKomp[Konserwacja form plastiki],MATCH($B67,tab_MinKomp[[Stanowisko / Position ]:[Stanowisko / Position ]],0)))</f>
        <v>n/a</v>
      </c>
      <c r="EX68" s="341" t="str">
        <f>IF(INDEX(tab_MinKomp[Konserwacja Gorącego Kanału],MATCH($B67,tab_MinKomp[[Stanowisko / Position ]:[Stanowisko / Position ]],0))="n/a","n/a",EX67-INDEX(tab_MinKomp[Konserwacja Gorącego Kanału],MATCH($B67,tab_MinKomp[[Stanowisko / Position ]:[Stanowisko / Position ]],0)))</f>
        <v>n/a</v>
      </c>
      <c r="EY68" s="341">
        <f>IF(INDEX(tab_MinKomp[MS Office (Excel)],MATCH($B67,tab_MinKomp[[Stanowisko / Position ]:[Stanowisko / Position ]],0))="n/a","n/a",EY67-INDEX(tab_MinKomp[MS Office (Excel)],MATCH($B67,tab_MinKomp[[Stanowisko / Position ]:[Stanowisko / Position ]],0)))</f>
        <v>0</v>
      </c>
      <c r="EZ68" s="341">
        <f>IF(INDEX(tab_MinKomp[MS Office (Word)],MATCH($B67,tab_MinKomp[[Stanowisko / Position ]:[Stanowisko / Position ]],0))="n/a","n/a",EZ67-INDEX(tab_MinKomp[MS Office (Word)],MATCH($B67,tab_MinKomp[[Stanowisko / Position ]:[Stanowisko / Position ]],0)))</f>
        <v>0</v>
      </c>
      <c r="FA68" s="341">
        <f>IF(INDEX(tab_MinKomp[MS Office (Power Point)],MATCH($B67,tab_MinKomp[[Stanowisko / Position ]:[Stanowisko / Position ]],0))="n/a","n/a",FA67-INDEX(tab_MinKomp[MS Office (Power Point)],MATCH($B67,tab_MinKomp[[Stanowisko / Position ]:[Stanowisko / Position ]],0)))</f>
        <v>0</v>
      </c>
      <c r="FB68" s="341">
        <f>IF(INDEX(tab_MinKomp[Język angielski / Englisch],MATCH($B67,tab_MinKomp[[Stanowisko / Position ]:[Stanowisko / Position ]],0))="n/a","n/a",FB67-INDEX(tab_MinKomp[Język angielski / Englisch],MATCH($B67,tab_MinKomp[[Stanowisko / Position ]:[Stanowisko / Position ]],0)))</f>
        <v>-1</v>
      </c>
      <c r="FC68" s="341" t="str">
        <f>IF(INDEX(tab_MinKomp[Język niemiecki / Deutsch],MATCH($B67,tab_MinKomp[[Stanowisko / Position ]:[Stanowisko / Position ]],0))="n/a","n/a",FC67-INDEX(tab_MinKomp[Język niemiecki / Deutsch],MATCH($B67,tab_MinKomp[[Stanowisko / Position ]:[Stanowisko / Position ]],0)))</f>
        <v>n/a</v>
      </c>
      <c r="FD68" s="341">
        <f>IF(INDEX(tab_MinKomp[Zarządzanie dokumentacją procesową / Process dokumentation management],MATCH($B67,tab_MinKomp[[Stanowisko / Position ]:[Stanowisko / Position ]],0))="n/a","n/a",FD67-INDEX(tab_MinKomp[Zarządzanie dokumentacją procesową / Process dokumentation management],MATCH($B67,tab_MinKomp[[Stanowisko / Position ]:[Stanowisko / Position ]],0)))</f>
        <v>0</v>
      </c>
      <c r="FE68" s="341">
        <f>IF(INDEX(tab_MinKomp[Znajomość procesów z obszaru / Kenntiss der prozesse in dem Bereich],MATCH($B67,tab_MinKomp[[Stanowisko / Position ]:[Stanowisko / Position ]],0))="n/a","n/a",FE67-INDEX(tab_MinKomp[Znajomość procesów z obszaru / Kenntiss der prozesse in dem Bereich],MATCH($B67,tab_MinKomp[[Stanowisko / Position ]:[Stanowisko / Position ]],0)))</f>
        <v>0</v>
      </c>
      <c r="FF68" s="341">
        <f>IF(INDEX(tab_MinKomp[optymalizacja procesów / Prozessoptymalisierung],MATCH($B67,tab_MinKomp[[Stanowisko / Position ]:[Stanowisko / Position ]],0))="n/a","n/a",FF67-INDEX(tab_MinKomp[optymalizacja procesów / Prozessoptymalisierung],MATCH($B67,tab_MinKomp[[Stanowisko / Position ]:[Stanowisko / Position ]],0)))</f>
        <v>0</v>
      </c>
      <c r="FG68" s="341">
        <f>IF(INDEX(tab_MinKomp[Umiejętności szkoleniowe / Trainingsfähigkeiten],MATCH($B67,tab_MinKomp[[Stanowisko / Position ]:[Stanowisko / Position ]],0))="n/a","n/a",FG67-INDEX(tab_MinKomp[Umiejętności szkoleniowe / Trainingsfähigkeiten],MATCH($B67,tab_MinKomp[[Stanowisko / Position ]:[Stanowisko / Position ]],0)))</f>
        <v>-1</v>
      </c>
      <c r="FH68" s="341">
        <f>IF(INDEX(tab_MinKomp[Analityczne myślenie, podejście / Analitysches Denken, Einstellung],MATCH($B67,tab_MinKomp[[Stanowisko / Position ]:[Stanowisko / Position ]],0))="n/a","n/a",FH67-INDEX(tab_MinKomp[Analityczne myślenie, podejście / Analitysches Denken, Einstellung],MATCH($B67,tab_MinKomp[[Stanowisko / Position ]:[Stanowisko / Position ]],0)))</f>
        <v>0</v>
      </c>
      <c r="FI68" s="341">
        <f>IF(INDEX(tab_MinKomp[Dokładność, precyzja w dzialaniu / Genauigkeit, Präzision in die Arbeit],MATCH($B67,tab_MinKomp[[Stanowisko / Position ]:[Stanowisko / Position ]],0))="n/a","n/a",FI67-INDEX(tab_MinKomp[Dokładność, precyzja w dzialaniu / Genauigkeit, Präzision in die Arbeit],MATCH($B67,tab_MinKomp[[Stanowisko / Position ]:[Stanowisko / Position ]],0)))</f>
        <v>0</v>
      </c>
      <c r="FJ68" s="341">
        <f>IF(INDEX(tab_MinKomp[Dyspozycyjność / Verfügbarkeit],MATCH($B67,tab_MinKomp[[Stanowisko / Position ]:[Stanowisko / Position ]],0))="n/a","n/a",FJ67-INDEX(tab_MinKomp[Dyspozycyjność / Verfügbarkeit],MATCH($B67,tab_MinKomp[[Stanowisko / Position ]:[Stanowisko / Position ]],0)))</f>
        <v>0</v>
      </c>
      <c r="FK68" s="341">
        <f>IF(INDEX(tab_MinKomp[Zaangażowanie / 
Engagement],MATCH($B67,tab_MinKomp[[Stanowisko / Position ]:[Stanowisko / Position ]],0))="n/a","n/a",FK67-INDEX(tab_MinKomp[Zaangażowanie / 
Engagement],MATCH($B67,tab_MinKomp[[Stanowisko / Position ]:[Stanowisko / Position ]],0)))</f>
        <v>0</v>
      </c>
      <c r="FL68" s="341">
        <f>IF(INDEX(tab_MinKomp[Planowanie strategiczne / Strategische Planung],MATCH($B67,tab_MinKomp[[Stanowisko / Position ]:[Stanowisko / Position ]],0))="n/a","n/a",FL67-INDEX(tab_MinKomp[Planowanie strategiczne / Strategische Planung],MATCH($B67,tab_MinKomp[[Stanowisko / Position ]:[Stanowisko / Position ]],0)))</f>
        <v>-1</v>
      </c>
      <c r="FM68" s="341">
        <f>IF(INDEX(tab_MinKomp[Konsekwentne i dynamiczne działanie],MATCH($B67,tab_MinKomp[[Stanowisko / Position ]:[Stanowisko / Position ]],0))="n/a","n/a",FM67-INDEX(tab_MinKomp[Konsekwentne i dynamiczne działanie],MATCH($B67,tab_MinKomp[[Stanowisko / Position ]:[Stanowisko / Position ]],0)))</f>
        <v>0</v>
      </c>
      <c r="FN68" s="341">
        <f>IF(INDEX(tab_MinKomp[Elastyczność w działaniu],MATCH($B67,tab_MinKomp[[Stanowisko / Position ]:[Stanowisko / Position ]],0))="n/a","n/a",FN67-INDEX(tab_MinKomp[Elastyczność w działaniu],MATCH($B67,tab_MinKomp[[Stanowisko / Position ]:[Stanowisko / Position ]],0)))</f>
        <v>0</v>
      </c>
      <c r="FO68" s="341">
        <f>IF(INDEX(tab_MinKomp[Komunikatywność],MATCH($B67,tab_MinKomp[[Stanowisko / Position ]:[Stanowisko / Position ]],0))="n/a","n/a",FO67-INDEX(tab_MinKomp[Komunikatywność],MATCH($B67,tab_MinKomp[[Stanowisko / Position ]:[Stanowisko / Position ]],0)))</f>
        <v>0</v>
      </c>
      <c r="FP68" s="341">
        <f>IF(INDEX(tab_MinKomp[Motywowanie i budowanie zaangażowania zespołu],MATCH($B67,tab_MinKomp[[Stanowisko / Position ]:[Stanowisko / Position ]],0))="n/a","n/a",FP67-INDEX(tab_MinKomp[Motywowanie i budowanie zaangażowania zespołu],MATCH($B67,tab_MinKomp[[Stanowisko / Position ]:[Stanowisko / Position ]],0)))</f>
        <v>-1</v>
      </c>
      <c r="FQ68" s="341" t="str">
        <f>IF(INDEX(tab_MinKomp[BRAK / Keine],MATCH($B67,tab_MinKomp[[Stanowisko / Position ]:[Stanowisko / Position ]],0))="n/a","n/a",FQ67-INDEX(tab_MinKomp[BRAK / Keine],MATCH($B67,tab_MinKomp[[Stanowisko / Position ]:[Stanowisko / Position ]],0)))</f>
        <v>n/a</v>
      </c>
      <c r="FR68" s="341" t="s">
        <v>387</v>
      </c>
      <c r="FS68" s="341" t="str">
        <f>IF(INDEX(tab_MinKomp[MINIMUM 2 LATA / min. 2 Jahre],MATCH($B67,tab_MinKomp[[Stanowisko / Position ]:[Stanowisko / Position ]],0))="n/a","n/a",FS67-INDEX(tab_MinKomp[MINIMUM 2 LATA / min. 2 Jahre],MATCH($B67,tab_MinKomp[[Stanowisko / Position ]:[Stanowisko / Position ]],0)))</f>
        <v>n/a</v>
      </c>
      <c r="FT68" s="341" t="str">
        <f>IF(INDEX(tab_MinKomp[MINIMUM 3 LATA / min. 3 Jahre],MATCH($B67,tab_MinKomp[[Stanowisko / Position ]:[Stanowisko / Position ]],0))="n/a","n/a",FT67-INDEX(tab_MinKomp[MINIMUM 3 LATA / min. 3 Jahre],MATCH($B67,tab_MinKomp[[Stanowisko / Position ]:[Stanowisko / Position ]],0)))</f>
        <v>n/a</v>
      </c>
      <c r="FU68" s="341" t="str">
        <f>IF(INDEX(tab_MinKomp[MINIMUM 4 LATA / min. 4 Jahre],MATCH($B67,tab_MinKomp[[Stanowisko / Position ]:[Stanowisko / Position ]],0))="n/a","n/a",FU67-INDEX(tab_MinKomp[MINIMUM 4 LATA / min. 4 Jahre],MATCH($B67,tab_MinKomp[[Stanowisko / Position ]:[Stanowisko / Position ]],0)))</f>
        <v>n/a</v>
      </c>
      <c r="FV68" s="341" t="str">
        <f>IF(INDEX(tab_MinKomp[MINIMUM 5 LAT / min. 5 Jahre],MATCH($B67,tab_MinKomp[[Stanowisko / Position ]:[Stanowisko / Position ]],0))="n/a","n/a",FV67-INDEX(tab_MinKomp[MINIMUM 5 LAT / min. 5 Jahre],MATCH($B67,tab_MinKomp[[Stanowisko / Position ]:[Stanowisko / Position ]],0)))</f>
        <v>n/a</v>
      </c>
      <c r="FW68" s="341" t="str">
        <f>IF(INDEX(tab_MinKomp[BRAK / Keine9],MATCH($B67,tab_MinKomp[[Stanowisko / Position ]:[Stanowisko / Position ]],0))="n/a","n/a",FW67-INDEX(tab_MinKomp[BRAK / Keine9],MATCH($B67,tab_MinKomp[[Stanowisko / Position ]:[Stanowisko / Position ]],0)))</f>
        <v>n/a</v>
      </c>
      <c r="FX68" s="341" t="str">
        <f>IF(INDEX(tab_MinKomp[ZAWODOWE / Berufsausbildung],MATCH($B67,tab_MinKomp[[Stanowisko / Position ]:[Stanowisko / Position ]],0))="n/a","n/a",FX67-INDEX(tab_MinKomp[ZAWODOWE / Berufsausbildung],MATCH($B67,tab_MinKomp[[Stanowisko / Position ]:[Stanowisko / Position ]],0)))</f>
        <v>n/a</v>
      </c>
      <c r="FY68" s="341" t="str">
        <f>IF(INDEX(tab_MinKomp[ŚREDNIE OGÓLNE / Abitur allgemeine],MATCH($B67,tab_MinKomp[[Stanowisko / Position ]:[Stanowisko / Position ]],0))="n/a","n/a",FY67-INDEX(tab_MinKomp[ŚREDNIE OGÓLNE / Abitur allgemeine],MATCH($B67,tab_MinKomp[[Stanowisko / Position ]:[Stanowisko / Position ]],0)))</f>
        <v>n/a</v>
      </c>
      <c r="FZ68" s="341" t="str">
        <f>IF(INDEX(tab_MinKomp[ŚREDNIE KIERUNKOWE / berufliches Gymnasium],MATCH($B67,tab_MinKomp[[Stanowisko / Position ]:[Stanowisko / Position ]],0))="n/a","n/a",FZ67-INDEX(tab_MinKomp[ŚREDNIE KIERUNKOWE / berufliches Gymnasium],MATCH($B67,tab_MinKomp[[Stanowisko / Position ]:[Stanowisko / Position ]],0)))</f>
        <v>n/a</v>
      </c>
      <c r="GA68" s="341" t="str">
        <f>IF(INDEX(tab_MinKomp[WYŻSZE OGÓLNE / Hochschule allgemeine],MATCH($B67,tab_MinKomp[[Stanowisko / Position ]:[Stanowisko / Position ]],0))="n/a","n/a",GA67-INDEX(tab_MinKomp[WYŻSZE OGÓLNE / Hochschule allgemeine],MATCH($B67,tab_MinKomp[[Stanowisko / Position ]:[Stanowisko / Position ]],0)))</f>
        <v>n/a</v>
      </c>
      <c r="GB68" s="341" t="s">
        <v>387</v>
      </c>
      <c r="GC68" s="341" t="s">
        <v>387</v>
      </c>
      <c r="GD68" s="341" t="str">
        <f>IF(INDEX(tab_MinKomp[Specjalista BHP / BHP Spezialist],MATCH($B67,tab_MinKomp[[Stanowisko / Position ]:[Stanowisko / Position ]],0))="n/a","n/a",GD67-INDEX(tab_MinKomp[Specjalista BHP / BHP Spezialist],MATCH($B67,tab_MinKomp[[Stanowisko / Position ]:[Stanowisko / Position ]],0)))</f>
        <v>n/a</v>
      </c>
      <c r="GE68" s="341" t="str">
        <f>IF(INDEX(tab_MinKomp[Inspektor ochrony PPOŻ / Brandschutzinspektor],MATCH($B67,tab_MinKomp[[Stanowisko / Position ]:[Stanowisko / Position ]],0))="n/a","n/a",GE67-INDEX(tab_MinKomp[Inspektor ochrony PPOŻ / Brandschutzinspektor],MATCH($B67,tab_MinKomp[[Stanowisko / Position ]:[Stanowisko / Position ]],0)))</f>
        <v>n/a</v>
      </c>
      <c r="GF68" s="341" t="str">
        <f>IF(INDEX(tab_MinKomp[WÓZKI JEZDNIOWE / Gebelstapler],MATCH($B67,tab_MinKomp[[Stanowisko / Position ]:[Stanowisko / Position ]],0))="n/a","n/a",GF67-INDEX(tab_MinKomp[WÓZKI JEZDNIOWE / Gebelstapler],MATCH($B67,tab_MinKomp[[Stanowisko / Position ]:[Stanowisko / Position ]],0)))</f>
        <v>n/a</v>
      </c>
      <c r="GG68" s="341" t="str">
        <f>IF(INDEX(tab_MinKomp[SEP],MATCH($B67,tab_MinKomp[[Stanowisko / Position ]:[Stanowisko / Position ]],0))="n/a","n/a",GG67-INDEX(tab_MinKomp[SEP],MATCH($B67,tab_MinKomp[[Stanowisko / Position ]:[Stanowisko / Position ]],0)))</f>
        <v>n/a</v>
      </c>
      <c r="GH68" s="341" t="str">
        <f>IF(INDEX(tab_MinKomp[SEP  DOZÓR / SEP Aufsicht],MATCH($B67,tab_MinKomp[[Stanowisko / Position ]:[Stanowisko / Position ]],0))="n/a","n/a",GH67-INDEX(tab_MinKomp[SEP  DOZÓR / SEP Aufsicht],MATCH($B67,tab_MinKomp[[Stanowisko / Position ]:[Stanowisko / Position ]],0)))</f>
        <v>n/a</v>
      </c>
      <c r="GI68" s="341" t="str">
        <f>IF(INDEX(tab_MinKomp[PODNOŚNIKI / Hebevorrichtung],MATCH($B67,tab_MinKomp[[Stanowisko / Position ]:[Stanowisko / Position ]],0))="n/a","n/a",GI67-INDEX(tab_MinKomp[PODNOŚNIKI / Hebevorrichtung],MATCH($B67,tab_MinKomp[[Stanowisko / Position ]:[Stanowisko / Position ]],0)))</f>
        <v>n/a</v>
      </c>
      <c r="GJ68" s="341" t="str">
        <f>IF(INDEX(tab_MinKomp[SUWNICE / Laufkran],MATCH($B67,tab_MinKomp[[Stanowisko / Position ]:[Stanowisko / Position ]],0))="n/a","n/a",GJ67-INDEX(tab_MinKomp[SUWNICE / Laufkran],MATCH($B67,tab_MinKomp[[Stanowisko / Position ]:[Stanowisko / Position ]],0)))</f>
        <v>n/a</v>
      </c>
      <c r="GK68" s="341" t="str">
        <f>IF(INDEX(tab_MinKomp[WYSOKOŚCIOWE / Höhenberechtigungen],MATCH($B67,tab_MinKomp[[Stanowisko / Position ]:[Stanowisko / Position ]],0))="n/a","n/a",GK67-INDEX(tab_MinKomp[WYSOKOŚCIOWE / Höhenberechtigungen],MATCH($B67,tab_MinKomp[[Stanowisko / Position ]:[Stanowisko / Position ]],0)))</f>
        <v>n/a</v>
      </c>
      <c r="GL68" s="376">
        <f>SUM(G68:FP68)/(GL67-(SUM(G68:FP68)))</f>
        <v>6.0402684563758392E-2</v>
      </c>
    </row>
    <row r="69" spans="1:195" ht="28.35" customHeight="1" x14ac:dyDescent="0.25">
      <c r="A69" s="138" t="s">
        <v>181</v>
      </c>
      <c r="B69" s="138" t="s">
        <v>597</v>
      </c>
      <c r="C69" s="138" t="s">
        <v>613</v>
      </c>
      <c r="D69" s="138">
        <v>1479</v>
      </c>
      <c r="E69" s="563" t="s">
        <v>725</v>
      </c>
      <c r="F69" s="339" t="s">
        <v>165</v>
      </c>
      <c r="G69" s="323">
        <v>2</v>
      </c>
      <c r="H69" s="323">
        <v>2</v>
      </c>
      <c r="I69" s="323">
        <v>2</v>
      </c>
      <c r="J69" s="323">
        <v>2</v>
      </c>
      <c r="K69" s="323">
        <v>2</v>
      </c>
      <c r="L69" s="323">
        <v>1</v>
      </c>
      <c r="M69" s="323" t="s">
        <v>176</v>
      </c>
      <c r="N69" s="323" t="s">
        <v>176</v>
      </c>
      <c r="O69" s="323">
        <v>1</v>
      </c>
      <c r="P69" s="323">
        <v>1</v>
      </c>
      <c r="Q69" s="308" t="s">
        <v>176</v>
      </c>
      <c r="R69" s="308" t="s">
        <v>176</v>
      </c>
      <c r="S69" s="308" t="s">
        <v>176</v>
      </c>
      <c r="T69" s="308" t="s">
        <v>176</v>
      </c>
      <c r="U69" s="308" t="s">
        <v>176</v>
      </c>
      <c r="V69" s="308" t="s">
        <v>176</v>
      </c>
      <c r="W69" s="308" t="s">
        <v>176</v>
      </c>
      <c r="X69" s="308" t="s">
        <v>176</v>
      </c>
      <c r="Y69" s="308" t="s">
        <v>176</v>
      </c>
      <c r="Z69" s="308" t="s">
        <v>176</v>
      </c>
      <c r="AA69" s="308" t="s">
        <v>176</v>
      </c>
      <c r="AB69" s="308" t="s">
        <v>176</v>
      </c>
      <c r="AC69" s="323" t="s">
        <v>176</v>
      </c>
      <c r="AD69" s="323" t="s">
        <v>176</v>
      </c>
      <c r="AE69" s="323" t="s">
        <v>176</v>
      </c>
      <c r="AF69" s="323" t="s">
        <v>176</v>
      </c>
      <c r="AG69" s="308" t="s">
        <v>176</v>
      </c>
      <c r="AH69" s="308" t="s">
        <v>176</v>
      </c>
      <c r="AI69" s="308" t="s">
        <v>176</v>
      </c>
      <c r="AJ69" s="308" t="s">
        <v>176</v>
      </c>
      <c r="AK69" s="308" t="s">
        <v>176</v>
      </c>
      <c r="AL69" s="308">
        <v>1</v>
      </c>
      <c r="AM69" s="308" t="s">
        <v>176</v>
      </c>
      <c r="AN69" s="308" t="s">
        <v>176</v>
      </c>
      <c r="AO69" s="308" t="s">
        <v>176</v>
      </c>
      <c r="AP69" s="308" t="s">
        <v>176</v>
      </c>
      <c r="AQ69" s="308" t="s">
        <v>176</v>
      </c>
      <c r="AR69" s="308" t="s">
        <v>176</v>
      </c>
      <c r="AS69" s="308" t="s">
        <v>176</v>
      </c>
      <c r="AT69" s="308" t="s">
        <v>176</v>
      </c>
      <c r="AU69" s="308" t="s">
        <v>176</v>
      </c>
      <c r="AV69" s="323">
        <v>1</v>
      </c>
      <c r="AW69" s="323"/>
      <c r="AX69" s="308"/>
      <c r="AY69" s="308" t="s">
        <v>176</v>
      </c>
      <c r="AZ69" s="308" t="s">
        <v>176</v>
      </c>
      <c r="BA69" s="308" t="s">
        <v>176</v>
      </c>
      <c r="BB69" s="308" t="s">
        <v>176</v>
      </c>
      <c r="BC69" s="308" t="s">
        <v>176</v>
      </c>
      <c r="BD69" s="308" t="s">
        <v>176</v>
      </c>
      <c r="BE69" s="308" t="s">
        <v>176</v>
      </c>
      <c r="BF69" s="308" t="s">
        <v>176</v>
      </c>
      <c r="BG69" s="308" t="s">
        <v>176</v>
      </c>
      <c r="BH69" s="308" t="s">
        <v>176</v>
      </c>
      <c r="BI69" s="308" t="s">
        <v>176</v>
      </c>
      <c r="BJ69" s="308" t="s">
        <v>176</v>
      </c>
      <c r="BK69" s="308" t="s">
        <v>176</v>
      </c>
      <c r="BL69" s="308" t="s">
        <v>176</v>
      </c>
      <c r="BM69" s="308" t="s">
        <v>176</v>
      </c>
      <c r="BN69" s="308">
        <v>0</v>
      </c>
      <c r="BO69" s="308">
        <v>0</v>
      </c>
      <c r="BP69" s="308">
        <v>0</v>
      </c>
      <c r="BQ69" s="308">
        <v>1</v>
      </c>
      <c r="BR69" s="308">
        <v>0</v>
      </c>
      <c r="BS69" s="308">
        <v>1</v>
      </c>
      <c r="BT69" s="308">
        <v>1</v>
      </c>
      <c r="BU69" s="308">
        <v>1</v>
      </c>
      <c r="BV69" s="308"/>
      <c r="BW69" s="308" t="s">
        <v>176</v>
      </c>
      <c r="BX69" s="308" t="s">
        <v>176</v>
      </c>
      <c r="BY69" s="308" t="s">
        <v>176</v>
      </c>
      <c r="BZ69" s="308" t="s">
        <v>176</v>
      </c>
      <c r="CA69" s="308" t="s">
        <v>176</v>
      </c>
      <c r="CB69" s="308" t="s">
        <v>176</v>
      </c>
      <c r="CC69" s="308" t="s">
        <v>176</v>
      </c>
      <c r="CD69" s="308" t="s">
        <v>176</v>
      </c>
      <c r="CE69" s="308" t="s">
        <v>176</v>
      </c>
      <c r="CF69" s="308" t="s">
        <v>176</v>
      </c>
      <c r="CG69" s="308" t="s">
        <v>176</v>
      </c>
      <c r="CH69" s="308" t="s">
        <v>176</v>
      </c>
      <c r="CI69" s="323" t="s">
        <v>176</v>
      </c>
      <c r="CJ69" s="308" t="s">
        <v>176</v>
      </c>
      <c r="CK69" s="308" t="s">
        <v>176</v>
      </c>
      <c r="CL69" s="308" t="s">
        <v>176</v>
      </c>
      <c r="CM69" s="308" t="s">
        <v>176</v>
      </c>
      <c r="CN69" s="323">
        <v>0</v>
      </c>
      <c r="CO69" s="323">
        <v>0</v>
      </c>
      <c r="CP69" s="323">
        <v>0</v>
      </c>
      <c r="CQ69" s="323" t="s">
        <v>176</v>
      </c>
      <c r="CR69" s="308" t="s">
        <v>176</v>
      </c>
      <c r="CS69" s="308" t="s">
        <v>176</v>
      </c>
      <c r="CT69" s="308" t="s">
        <v>176</v>
      </c>
      <c r="CU69" s="308"/>
      <c r="CV69" s="308" t="s">
        <v>176</v>
      </c>
      <c r="CW69" s="308" t="s">
        <v>176</v>
      </c>
      <c r="CX69" s="308" t="s">
        <v>176</v>
      </c>
      <c r="CY69" s="308" t="s">
        <v>176</v>
      </c>
      <c r="CZ69" s="308" t="s">
        <v>176</v>
      </c>
      <c r="DA69" s="308" t="s">
        <v>176</v>
      </c>
      <c r="DB69" s="308" t="s">
        <v>176</v>
      </c>
      <c r="DC69" s="308" t="s">
        <v>176</v>
      </c>
      <c r="DD69" s="308" t="s">
        <v>176</v>
      </c>
      <c r="DE69" s="308" t="s">
        <v>176</v>
      </c>
      <c r="DF69" s="308" t="s">
        <v>176</v>
      </c>
      <c r="DG69" s="308" t="s">
        <v>176</v>
      </c>
      <c r="DH69" s="308" t="s">
        <v>176</v>
      </c>
      <c r="DI69" s="308" t="s">
        <v>176</v>
      </c>
      <c r="DJ69" s="308" t="s">
        <v>176</v>
      </c>
      <c r="DK69" s="308" t="s">
        <v>176</v>
      </c>
      <c r="DL69" s="308" t="s">
        <v>176</v>
      </c>
      <c r="DM69" s="308" t="s">
        <v>176</v>
      </c>
      <c r="DN69" s="308" t="s">
        <v>176</v>
      </c>
      <c r="DO69" s="308" t="s">
        <v>176</v>
      </c>
      <c r="DP69" s="308" t="s">
        <v>176</v>
      </c>
      <c r="DQ69" s="308" t="s">
        <v>176</v>
      </c>
      <c r="DR69" s="308" t="s">
        <v>176</v>
      </c>
      <c r="DS69" s="308" t="s">
        <v>176</v>
      </c>
      <c r="DT69" s="308" t="s">
        <v>176</v>
      </c>
      <c r="DU69" s="308" t="s">
        <v>176</v>
      </c>
      <c r="DV69" s="308" t="s">
        <v>176</v>
      </c>
      <c r="DW69" s="308" t="s">
        <v>176</v>
      </c>
      <c r="DX69" s="308" t="s">
        <v>176</v>
      </c>
      <c r="DY69" s="323">
        <v>1</v>
      </c>
      <c r="DZ69" s="323">
        <v>0</v>
      </c>
      <c r="EA69" s="323">
        <v>1</v>
      </c>
      <c r="EB69" s="323">
        <v>1</v>
      </c>
      <c r="EC69" s="323">
        <v>1</v>
      </c>
      <c r="ED69" s="323">
        <v>1</v>
      </c>
      <c r="EE69" s="323">
        <v>2</v>
      </c>
      <c r="EF69" s="323">
        <v>0</v>
      </c>
      <c r="EG69" s="323">
        <v>1</v>
      </c>
      <c r="EH69" s="323">
        <v>1</v>
      </c>
      <c r="EI69" s="323">
        <v>1</v>
      </c>
      <c r="EJ69" s="323">
        <v>1</v>
      </c>
      <c r="EK69" s="323">
        <v>1</v>
      </c>
      <c r="EL69" s="323">
        <v>0</v>
      </c>
      <c r="EM69" s="323">
        <v>1</v>
      </c>
      <c r="EN69" s="323"/>
      <c r="EO69" s="323">
        <v>1</v>
      </c>
      <c r="EP69" s="308" t="s">
        <v>176</v>
      </c>
      <c r="EQ69" s="308" t="s">
        <v>176</v>
      </c>
      <c r="ER69" s="308" t="s">
        <v>176</v>
      </c>
      <c r="ES69" s="308" t="s">
        <v>176</v>
      </c>
      <c r="ET69" s="308" t="s">
        <v>176</v>
      </c>
      <c r="EU69" s="308" t="s">
        <v>176</v>
      </c>
      <c r="EV69" s="308" t="s">
        <v>176</v>
      </c>
      <c r="EW69" s="308" t="s">
        <v>176</v>
      </c>
      <c r="EX69" s="308" t="s">
        <v>176</v>
      </c>
      <c r="EY69" s="308" t="s">
        <v>176</v>
      </c>
      <c r="EZ69" s="308" t="s">
        <v>176</v>
      </c>
      <c r="FA69" s="308" t="s">
        <v>176</v>
      </c>
      <c r="FB69" s="308" t="s">
        <v>176</v>
      </c>
      <c r="FC69" s="308" t="s">
        <v>176</v>
      </c>
      <c r="FD69" s="323">
        <v>1</v>
      </c>
      <c r="FE69" s="323">
        <v>1</v>
      </c>
      <c r="FF69" s="323">
        <v>0</v>
      </c>
      <c r="FG69" s="308"/>
      <c r="FH69" s="323"/>
      <c r="FI69" s="323">
        <v>1</v>
      </c>
      <c r="FJ69" s="323">
        <v>1</v>
      </c>
      <c r="FK69" s="323">
        <v>2</v>
      </c>
      <c r="FL69" s="308" t="s">
        <v>176</v>
      </c>
      <c r="FM69" s="308"/>
      <c r="FN69" s="308" t="s">
        <v>176</v>
      </c>
      <c r="FO69" s="308" t="s">
        <v>176</v>
      </c>
      <c r="FP69" s="308" t="s">
        <v>176</v>
      </c>
      <c r="FQ69" s="308" t="s">
        <v>176</v>
      </c>
      <c r="FR69" s="308" t="s">
        <v>176</v>
      </c>
      <c r="FS69" s="308" t="s">
        <v>176</v>
      </c>
      <c r="FT69" s="308" t="s">
        <v>176</v>
      </c>
      <c r="FU69" s="308" t="s">
        <v>176</v>
      </c>
      <c r="FV69" s="308" t="s">
        <v>176</v>
      </c>
      <c r="FW69" s="308" t="s">
        <v>176</v>
      </c>
      <c r="FX69" s="308" t="s">
        <v>176</v>
      </c>
      <c r="FY69" s="308"/>
      <c r="FZ69" s="308" t="s">
        <v>176</v>
      </c>
      <c r="GA69" s="308" t="s">
        <v>176</v>
      </c>
      <c r="GB69" s="308" t="s">
        <v>176</v>
      </c>
      <c r="GC69" s="308" t="s">
        <v>176</v>
      </c>
      <c r="GD69" s="308" t="s">
        <v>176</v>
      </c>
      <c r="GE69" s="308" t="s">
        <v>176</v>
      </c>
      <c r="GF69" s="308" t="s">
        <v>387</v>
      </c>
      <c r="GG69" s="308" t="s">
        <v>387</v>
      </c>
      <c r="GH69" s="308" t="s">
        <v>387</v>
      </c>
      <c r="GI69" s="308" t="s">
        <v>387</v>
      </c>
      <c r="GJ69" s="308" t="s">
        <v>387</v>
      </c>
      <c r="GK69" s="308" t="s">
        <v>387</v>
      </c>
      <c r="GL69" s="329">
        <f>SUM(G69:FP69)</f>
        <v>39</v>
      </c>
    </row>
    <row r="70" spans="1:195" ht="28.35" customHeight="1" thickBot="1" x14ac:dyDescent="0.3">
      <c r="A70" s="138" t="s">
        <v>181</v>
      </c>
      <c r="B70" s="138" t="s">
        <v>597</v>
      </c>
      <c r="C70" s="138" t="s">
        <v>613</v>
      </c>
      <c r="D70" s="138">
        <v>1479</v>
      </c>
      <c r="E70" s="564"/>
      <c r="F70" s="312" t="s">
        <v>166</v>
      </c>
      <c r="G70" s="387">
        <f>IF(INDEX(tab_MinKomp[Przepisy BHP / BHP Vorschriften],MATCH($B69,tab_MinKomp[[Stanowisko / Position ]:[Stanowisko / Position ]],0))="n/a","n/a",G69-INDEX(tab_MinKomp[Przepisy BHP / BHP Vorschriften],MATCH($B69,tab_MinKomp[[Stanowisko / Position ]:[Stanowisko / Position ]],0)))</f>
        <v>0</v>
      </c>
      <c r="H70" s="387">
        <f>IF(INDEX(tab_MinKomp[Przepisy PPOŻ / Brandschutzbestimmungen],MATCH($B69,tab_MinKomp[[Stanowisko / Position ]:[Stanowisko / Position ]],0))="n/a","n/a",H69-INDEX(tab_MinKomp[Przepisy PPOŻ / Brandschutzbestimmungen],MATCH($B69,tab_MinKomp[[Stanowisko / Position ]:[Stanowisko / Position ]],0)))</f>
        <v>0</v>
      </c>
      <c r="I70" s="387">
        <f>IF(INDEX(tab_MinKomp[Ryzyko zawodowe na stanowiskach pracyv/ Berufliche Risiken an Arbeitsstellen],MATCH($B69,tab_MinKomp[[Stanowisko / Position ]:[Stanowisko / Position ]],0))="n/a","n/a",I69-INDEX(tab_MinKomp[Ryzyko zawodowe na stanowiskach pracyv/ Berufliche Risiken an Arbeitsstellen],MATCH($B69,tab_MinKomp[[Stanowisko / Position ]:[Stanowisko / Position ]],0)))</f>
        <v>0</v>
      </c>
      <c r="J70" s="387">
        <f>IF(INDEX(tab_MinKomp[Gospodarka substancjami niebezpiecznymi / Gefahrstoffmanagement],MATCH($B69,tab_MinKomp[[Stanowisko / Position ]:[Stanowisko / Position ]],0))="n/a","n/a",J69-INDEX(tab_MinKomp[Gospodarka substancjami niebezpiecznymi / Gefahrstoffmanagement],MATCH($B69,tab_MinKomp[[Stanowisko / Position ]:[Stanowisko / Position ]],0)))</f>
        <v>0</v>
      </c>
      <c r="K70" s="387">
        <f>IF(INDEX(tab_MinKomp[Gospodarka odpadami / Abfallwirtschaft],MATCH($B69,tab_MinKomp[[Stanowisko / Position ]:[Stanowisko / Position ]],0))="n/a","n/a",K69-INDEX(tab_MinKomp[Gospodarka odpadami / Abfallwirtschaft],MATCH($B69,tab_MinKomp[[Stanowisko / Position ]:[Stanowisko / Position ]],0)))</f>
        <v>0</v>
      </c>
      <c r="L70" s="349">
        <f>IF(INDEX(tab_MinKomp[Przepisy kodeksu pracy / Bestimmungen des Arbeitsgesetzes],MATCH($B69,tab_MinKomp[[Stanowisko / Position ]:[Stanowisko / Position ]],0))="n/a","n/a",L69-INDEX(tab_MinKomp[Przepisy kodeksu pracy / Bestimmungen des Arbeitsgesetzes],MATCH($B69,tab_MinKomp[[Stanowisko / Position ]:[Stanowisko / Position ]],0)))</f>
        <v>0</v>
      </c>
      <c r="M70" s="349" t="str">
        <f>IF(INDEX(tab_MinKomp[Przepisy o ub.społ. ZUS  / Sozialversicherungsvorschriften],MATCH($B69,tab_MinKomp[[Stanowisko / Position ]:[Stanowisko / Position ]],0))="n/a","n/a",M69-INDEX(tab_MinKomp[Przepisy o ub.społ. ZUS  / Sozialversicherungsvorschriften],MATCH($B69,tab_MinKomp[[Stanowisko / Position ]:[Stanowisko / Position ]],0)))</f>
        <v>n/a</v>
      </c>
      <c r="N70" s="349" t="str">
        <f>IF(INDEX(tab_MinKomp[PRZEPISY O PDOF /persönlich Einkommensteuergesetz ],MATCH($B69,tab_MinKomp[[Stanowisko / Position ]:[Stanowisko / Position ]],0))="n/a","n/a",N69-INDEX(tab_MinKomp[PRZEPISY O PDOF /persönlich Einkommensteuergesetz ],MATCH($B69,tab_MinKomp[[Stanowisko / Position ]:[Stanowisko / Position ]],0)))</f>
        <v>n/a</v>
      </c>
      <c r="O70" s="349">
        <f>IF(INDEX(tab_MinKomp[Regulamin pracy / Arbeitsordnung],MATCH($B69,tab_MinKomp[[Stanowisko / Position ]:[Stanowisko / Position ]],0))="n/a","n/a",O69-INDEX(tab_MinKomp[Regulamin pracy / Arbeitsordnung],MATCH($B69,tab_MinKomp[[Stanowisko / Position ]:[Stanowisko / Position ]],0)))</f>
        <v>0</v>
      </c>
      <c r="P70" s="349">
        <f>IF(INDEX(tab_MinKomp[Regulamin wynagradzania / Vergütungsordnung],MATCH($B69,tab_MinKomp[[Stanowisko / Position ]:[Stanowisko / Position ]],0))="n/a","n/a",P69-INDEX(tab_MinKomp[Regulamin wynagradzania / Vergütungsordnung],MATCH($B69,tab_MinKomp[[Stanowisko / Position ]:[Stanowisko / Position ]],0)))</f>
        <v>0</v>
      </c>
      <c r="Q70" s="349" t="str">
        <f>IF(INDEX(tab_MinKomp[System R2PŁATNIK PRO: Płace / Lohnabrechnung],MATCH($B69,tab_MinKomp[[Stanowisko / Position ]:[Stanowisko / Position ]],0))="n/a","n/a",Q69-INDEX(tab_MinKomp[System R2PŁATNIK PRO: Płace / Lohnabrechnung],MATCH($B69,tab_MinKomp[[Stanowisko / Position ]:[Stanowisko / Position ]],0)))</f>
        <v>n/a</v>
      </c>
      <c r="R70" s="349" t="str">
        <f>IF(INDEX(tab_MinKomp[SystemR2PŁATNIK PRO: KADRY / Personaldaten],MATCH($B69,tab_MinKomp[[Stanowisko / Position ]:[Stanowisko / Position ]],0))="n/a","n/a",R69-INDEX(tab_MinKomp[SystemR2PŁATNIK PRO: KADRY / Personaldaten],MATCH($B69,tab_MinKomp[[Stanowisko / Position ]:[Stanowisko / Position ]],0)))</f>
        <v>n/a</v>
      </c>
      <c r="S70" s="349" t="str">
        <f>IF(INDEX(tab_MinKomp[SYSTEM R2PŁATNIK PRO: zarządzanie pracownikami / Arbeitsverwaltung],MATCH($B69,tab_MinKomp[[Stanowisko / Position ]:[Stanowisko / Position ]],0))="n/a","n/a",S69-INDEX(tab_MinKomp[SYSTEM R2PŁATNIK PRO: zarządzanie pracownikami / Arbeitsverwaltung],MATCH($B69,tab_MinKomp[[Stanowisko / Position ]:[Stanowisko / Position ]],0)))</f>
        <v>n/a</v>
      </c>
      <c r="T70" s="349" t="str">
        <f>IF(INDEX(tab_MinKomp[Doradztwo, wsparcie personalne / Personalberatung und Unterstützung],MATCH($B69,tab_MinKomp[[Stanowisko / Position ]:[Stanowisko / Position ]],0))="n/a","n/a",T69-INDEX(tab_MinKomp[Doradztwo, wsparcie personalne / Personalberatung und Unterstützung],MATCH($B69,tab_MinKomp[[Stanowisko / Position ]:[Stanowisko / Position ]],0)))</f>
        <v>n/a</v>
      </c>
      <c r="U70" s="349" t="str">
        <f>IF(INDEX(tab_MinKomp[Przepisy o podatku VAT / MwSt.- Gesetz],MATCH($B69,tab_MinKomp[[Stanowisko / Position ]:[Stanowisko / Position ]],0))="n/a","n/a",U69-INDEX(tab_MinKomp[Przepisy o podatku VAT / MwSt.- Gesetz],MATCH($B69,tab_MinKomp[[Stanowisko / Position ]:[Stanowisko / Position ]],0)))</f>
        <v>n/a</v>
      </c>
      <c r="V70" s="349" t="str">
        <f>IF(INDEX(tab_MinKomp[PrzepisyPDOP / geschäftlich Einkommensteuergesetz],MATCH($B69,tab_MinKomp[[Stanowisko / Position ]:[Stanowisko / Position ]],0))="n/a","n/a",V69-INDEX(tab_MinKomp[PrzepisyPDOP / geschäftlich Einkommensteuergesetz],MATCH($B69,tab_MinKomp[[Stanowisko / Position ]:[Stanowisko / Position ]],0)))</f>
        <v>n/a</v>
      </c>
      <c r="W70" s="349" t="str">
        <f>IF(INDEX(tab_MinKomp[System BAAN / FINANSE (FIBU)],MATCH($B69,tab_MinKomp[[Stanowisko / Position ]:[Stanowisko / Position ]],0))="n/a","n/a",W69-INDEX(tab_MinKomp[System BAAN / FINANSE (FIBU)],MATCH($B69,tab_MinKomp[[Stanowisko / Position ]:[Stanowisko / Position ]],0)))</f>
        <v>n/a</v>
      </c>
      <c r="X70" s="349" t="str">
        <f>IF(INDEX(tab_MinKomp[Systemy pomocnicze / Hilfssysteme(STOCKPROGRAM, KALK2000 etc.)],MATCH($B69,tab_MinKomp[[Stanowisko / Position ]:[Stanowisko / Position ]],0))="n/a","n/a",X69-INDEX(tab_MinKomp[Systemy pomocnicze / Hilfssysteme(STOCKPROGRAM, KALK2000 etc.)],MATCH($B69,tab_MinKomp[[Stanowisko / Position ]:[Stanowisko / Position ]],0)))</f>
        <v>n/a</v>
      </c>
      <c r="Y70" s="349" t="str">
        <f>IF(INDEX(tab_MinKomp[Polityka rachunkowości / Buchführungspolitik],MATCH($B69,tab_MinKomp[[Stanowisko / Position ]:[Stanowisko / Position ]],0))="n/a","n/a",Y69-INDEX(tab_MinKomp[Polityka rachunkowości / Buchführungspolitik],MATCH($B69,tab_MinKomp[[Stanowisko / Position ]:[Stanowisko / Position ]],0)))</f>
        <v>n/a</v>
      </c>
      <c r="Z70" s="349" t="str">
        <f>IF(INDEX(tab_MinKomp[Ustawa o rachunkowości / Rechnungslegungsgesetz],MATCH($B69,tab_MinKomp[[Stanowisko / Position ]:[Stanowisko / Position ]],0))="n/a","n/a",Z69-INDEX(tab_MinKomp[Ustawa o rachunkowości / Rechnungslegungsgesetz],MATCH($B69,tab_MinKomp[[Stanowisko / Position ]:[Stanowisko / Position ]],0)))</f>
        <v>n/a</v>
      </c>
      <c r="AA70" s="349" t="str">
        <f>IF(INDEX(tab_MinKomp[WORKFLOW - TS-100],MATCH($B69,tab_MinKomp[[Stanowisko / Position ]:[Stanowisko / Position ]],0))="n/a","n/a",AA69-INDEX(tab_MinKomp[WORKFLOW - TS-100],MATCH($B69,tab_MinKomp[[Stanowisko / Position ]:[Stanowisko / Position ]],0)))</f>
        <v>n/a</v>
      </c>
      <c r="AB70" s="349" t="str">
        <f>IF(INDEX(tab_MinKomp[WORKFLOW - SFMS],MATCH($B69,tab_MinKomp[[Stanowisko / Position ]:[Stanowisko / Position ]],0))="n/a","n/a",AB69-INDEX(tab_MinKomp[WORKFLOW - SFMS],MATCH($B69,tab_MinKomp[[Stanowisko / Position ]:[Stanowisko / Position ]],0)))</f>
        <v>n/a</v>
      </c>
      <c r="AC70" s="349" t="str">
        <f>IF(INDEX(tab_MinKomp[System ISO 9001:2015],MATCH($B69,tab_MinKomp[[Stanowisko / Position ]:[Stanowisko / Position ]],0))="n/a","n/a",AC69-INDEX(tab_MinKomp[System ISO 9001:2015],MATCH($B69,tab_MinKomp[[Stanowisko / Position ]:[Stanowisko / Position ]],0)))</f>
        <v>n/a</v>
      </c>
      <c r="AD70" s="349" t="str">
        <f>IF(INDEX(tab_MinKomp[System IATF 16949:2016],MATCH($B69,tab_MinKomp[[Stanowisko / Position ]:[Stanowisko / Position ]],0))="n/a","n/a",AD69-INDEX(tab_MinKomp[System IATF 16949:2016],MATCH($B69,tab_MinKomp[[Stanowisko / Position ]:[Stanowisko / Position ]],0)))</f>
        <v>n/a</v>
      </c>
      <c r="AE70" s="349" t="str">
        <f>IF(INDEX(tab_MinKomp[System ISO 14001:2015],MATCH($B69,tab_MinKomp[[Stanowisko / Position ]:[Stanowisko / Position ]],0))="n/a","n/a",AE69-INDEX(tab_MinKomp[System ISO 14001:2015],MATCH($B69,tab_MinKomp[[Stanowisko / Position ]:[Stanowisko / Position ]],0)))</f>
        <v>n/a</v>
      </c>
      <c r="AF70" s="349" t="str">
        <f>IF(INDEX(tab_MinKomp[System PN-N 18001:2004 / ISO 45001:2018],MATCH($B69,tab_MinKomp[[Stanowisko / Position ]:[Stanowisko / Position ]],0))="n/a","n/a",AF69-INDEX(tab_MinKomp[System PN-N 18001:2004 / ISO 45001:2018],MATCH($B69,tab_MinKomp[[Stanowisko / Position ]:[Stanowisko / Position ]],0)))</f>
        <v>n/a</v>
      </c>
      <c r="AG70" s="349" t="str">
        <f>IF(INDEX(tab_MinKomp[Wymagania VDA 6.3 Process / Forderungen],MATCH($B69,tab_MinKomp[[Stanowisko / Position ]:[Stanowisko / Position ]],0))="n/a","n/a",AG69-INDEX(tab_MinKomp[Wymagania VDA 6.3 Process / Forderungen],MATCH($B69,tab_MinKomp[[Stanowisko / Position ]:[Stanowisko / Position ]],0)))</f>
        <v>n/a</v>
      </c>
      <c r="AH70" s="349" t="str">
        <f>IF(INDEX(tab_MinKomp[Wymagania VDA 6.5 Product / Forderungen],MATCH($B69,tab_MinKomp[[Stanowisko / Position ]:[Stanowisko / Position ]],0))="n/a","n/a",AH69-INDEX(tab_MinKomp[Wymagania VDA 6.5 Product / Forderungen],MATCH($B69,tab_MinKomp[[Stanowisko / Position ]:[Stanowisko / Position ]],0)))</f>
        <v>n/a</v>
      </c>
      <c r="AI70" s="349" t="str">
        <f>IF(INDEX(tab_MinKomp[PSCR (VW Product Safety &amp; Conformity Representative)],MATCH($B69,tab_MinKomp[[Stanowisko / Position ]:[Stanowisko / Position ]],0))="n/a","n/a",AI69-INDEX(tab_MinKomp[PSCR (VW Product Safety &amp; Conformity Representative)],MATCH($B69,tab_MinKomp[[Stanowisko / Position ]:[Stanowisko / Position ]],0)))</f>
        <v>n/a</v>
      </c>
      <c r="AJ70" s="349" t="str">
        <f>IF(INDEX(tab_MinKomp[Auditor systemu ISO 17025:2018],MATCH($B69,tab_MinKomp[[Stanowisko / Position ]:[Stanowisko / Position ]],0))="n/a","n/a",AJ69-INDEX(tab_MinKomp[Auditor systemu ISO 17025:2018],MATCH($B69,tab_MinKomp[[Stanowisko / Position ]:[Stanowisko / Position ]],0)))</f>
        <v>n/a</v>
      </c>
      <c r="AK70" s="349" t="str">
        <f>IF(INDEX(tab_MinKomp[Pełnomocnik systemu / Systemvertreter],MATCH($B69,tab_MinKomp[[Stanowisko / Position ]:[Stanowisko / Position ]],0))="n/a","n/a",AK69-INDEX(tab_MinKomp[Pełnomocnik systemu / Systemvertreter],MATCH($B69,tab_MinKomp[[Stanowisko / Position ]:[Stanowisko / Position ]],0)))</f>
        <v>n/a</v>
      </c>
      <c r="AL70" s="349">
        <f>IF(INDEX(tab_MinKomp[Polityka Etyczna - Compliance],MATCH($B69,tab_MinKomp[[Stanowisko / Position ]:[Stanowisko / Position ]],0))="n/a","n/a",AL69-INDEX(tab_MinKomp[Polityka Etyczna - Compliance],MATCH($B69,tab_MinKomp[[Stanowisko / Position ]:[Stanowisko / Position ]],0)))</f>
        <v>0</v>
      </c>
      <c r="AM70" s="349" t="str">
        <f>IF(INDEX(tab_MinKomp[WDRAŻANIE NOWYCH PROJEKTÓW/ PROCEDURA CTM],MATCH($B69,tab_MinKomp[[Stanowisko / Position ]:[Stanowisko / Position ]],0))="n/a","n/a",AM69-INDEX(tab_MinKomp[WDRAŻANIE NOWYCH PROJEKTÓW/ PROCEDURA CTM],MATCH($B69,tab_MinKomp[[Stanowisko / Position ]:[Stanowisko / Position ]],0)))</f>
        <v>n/a</v>
      </c>
      <c r="AN70" s="349" t="str">
        <f>IF(INDEX(tab_MinKomp[KAMIENIE MILOWE MSL/PIFF],MATCH($B69,tab_MinKomp[[Stanowisko / Position ]:[Stanowisko / Position ]],0))="n/a","n/a",AN69-INDEX(tab_MinKomp[KAMIENIE MILOWE MSL/PIFF],MATCH($B69,tab_MinKomp[[Stanowisko / Position ]:[Stanowisko / Position ]],0)))</f>
        <v>n/a</v>
      </c>
      <c r="AO70" s="349" t="str">
        <f>IF(INDEX(tab_MinKomp[CP],MATCH($B69,tab_MinKomp[[Stanowisko / Position ]:[Stanowisko / Position ]],0))="n/a","n/a",AO69-INDEX(tab_MinKomp[CP],MATCH($B69,tab_MinKomp[[Stanowisko / Position ]:[Stanowisko / Position ]],0)))</f>
        <v>n/a</v>
      </c>
      <c r="AP70" s="349" t="str">
        <f>IF(INDEX(tab_MinKomp[FMEA],MATCH($B69,tab_MinKomp[[Stanowisko / Position ]:[Stanowisko / Position ]],0))="n/a","n/a",AP69-INDEX(tab_MinKomp[FMEA],MATCH($B69,tab_MinKomp[[Stanowisko / Position ]:[Stanowisko / Position ]],0)))</f>
        <v>n/a</v>
      </c>
      <c r="AQ70" s="349" t="str">
        <f>IF(INDEX(tab_MinKomp[FLOW CHART],MATCH($B69,tab_MinKomp[[Stanowisko / Position ]:[Stanowisko / Position ]],0))="n/a","n/a",AQ69-INDEX(tab_MinKomp[FLOW CHART],MATCH($B69,tab_MinKomp[[Stanowisko / Position ]:[Stanowisko / Position ]],0)))</f>
        <v>n/a</v>
      </c>
      <c r="AR70" s="349" t="str">
        <f>IF(INDEX(tab_MinKomp[APQP],MATCH($B69,tab_MinKomp[[Stanowisko / Position ]:[Stanowisko / Position ]],0))="n/a","n/a",AR69-INDEX(tab_MinKomp[APQP],MATCH($B69,tab_MinKomp[[Stanowisko / Position ]:[Stanowisko / Position ]],0)))</f>
        <v>n/a</v>
      </c>
      <c r="AS70" s="349" t="str">
        <f>IF(INDEX(tab_MinKomp[MSA],MATCH($B69,tab_MinKomp[[Stanowisko / Position ]:[Stanowisko / Position ]],0))="n/a","n/a",AS69-INDEX(tab_MinKomp[MSA],MATCH($B69,tab_MinKomp[[Stanowisko / Position ]:[Stanowisko / Position ]],0)))</f>
        <v>n/a</v>
      </c>
      <c r="AT70" s="349" t="str">
        <f>IF(INDEX(tab_MinKomp[SPC],MATCH($B69,tab_MinKomp[[Stanowisko / Position ]:[Stanowisko / Position ]],0))="n/a","n/a",AT69-INDEX(tab_MinKomp[SPC],MATCH($B69,tab_MinKomp[[Stanowisko / Position ]:[Stanowisko / Position ]],0)))</f>
        <v>n/a</v>
      </c>
      <c r="AU70" s="349" t="str">
        <f>IF(INDEX(tab_MinKomp[CSR (SPECYFICZNE WYMAGANIA KLIENTA)],MATCH($B69,tab_MinKomp[[Stanowisko / Position ]:[Stanowisko / Position ]],0))="n/a","n/a",AU69-INDEX(tab_MinKomp[CSR (SPECYFICZNE WYMAGANIA KLIENTA)],MATCH($B69,tab_MinKomp[[Stanowisko / Position ]:[Stanowisko / Position ]],0)))</f>
        <v>n/a</v>
      </c>
      <c r="AV70" s="349">
        <f>IF(INDEX(tab_MinKomp[5S],MATCH($B69,tab_MinKomp[[Stanowisko / Position ]:[Stanowisko / Position ]],0))="n/a","n/a",AV69-INDEX(tab_MinKomp[5S],MATCH($B69,tab_MinKomp[[Stanowisko / Position ]:[Stanowisko / Position ]],0)))</f>
        <v>-1</v>
      </c>
      <c r="AW70" s="349">
        <f>IF(INDEX(tab_MinKomp[LEAN MANAGEMENT],MATCH($B69,tab_MinKomp[[Stanowisko / Position ]:[Stanowisko / Position ]],0))="n/a","n/a",AW69-INDEX(tab_MinKomp[LEAN MANAGEMENT],MATCH($B69,tab_MinKomp[[Stanowisko / Position ]:[Stanowisko / Position ]],0)))</f>
        <v>-1</v>
      </c>
      <c r="AX70" s="349">
        <f>IF(INDEX(tab_MinKomp[5R],MATCH($B69,tab_MinKomp[[Stanowisko / Position ]:[Stanowisko / Position ]],0))="n/a","n/a",AX69-INDEX(tab_MinKomp[5R],MATCH($B69,tab_MinKomp[[Stanowisko / Position ]:[Stanowisko / Position ]],0)))</f>
        <v>-1</v>
      </c>
      <c r="AY70" s="349" t="str">
        <f>IF(INDEX(tab_MinKomp[Six Sigma],MATCH($B69,tab_MinKomp[[Stanowisko / Position ]:[Stanowisko / Position ]],0))="n/a","n/a",AY69-INDEX(tab_MinKomp[Six Sigma],MATCH($B69,tab_MinKomp[[Stanowisko / Position ]:[Stanowisko / Position ]],0)))</f>
        <v>n/a</v>
      </c>
      <c r="AZ70" s="349" t="str">
        <f>IF(INDEX(tab_MinKomp[System BAAN / Distribution &amp; Supply Chain],MATCH($B69,tab_MinKomp[[Stanowisko / Position ]:[Stanowisko / Position ]],0))="n/a","n/a",AZ69-INDEX(tab_MinKomp[System BAAN / Distribution &amp; Supply Chain],MATCH($B69,tab_MinKomp[[Stanowisko / Position ]:[Stanowisko / Position ]],0)))</f>
        <v>n/a</v>
      </c>
      <c r="BA70" s="349" t="str">
        <f>IF(INDEX(tab_MinKomp[Gospodarka magazynowa / Lagerverwaltung],MATCH($B69,tab_MinKomp[[Stanowisko / Position ]:[Stanowisko / Position ]],0))="n/a","n/a",BA69-INDEX(tab_MinKomp[Gospodarka magazynowa / Lagerverwaltung],MATCH($B69,tab_MinKomp[[Stanowisko / Position ]:[Stanowisko / Position ]],0)))</f>
        <v>n/a</v>
      </c>
      <c r="BB70" s="349" t="str">
        <f>IF(INDEX(tab_MinKomp[Inwentaryzacja - organizacja i przebieg / Inventurprozess],MATCH($B69,tab_MinKomp[[Stanowisko / Position ]:[Stanowisko / Position ]],0))="n/a","n/a",BB69-INDEX(tab_MinKomp[Inwentaryzacja - organizacja i przebieg / Inventurprozess],MATCH($B69,tab_MinKomp[[Stanowisko / Position ]:[Stanowisko / Position ]],0)))</f>
        <v>n/a</v>
      </c>
      <c r="BC70" s="349" t="str">
        <f>IF(INDEX(tab_MinKomp[Organizacja dostaw / Versorgungsorganisation],MATCH($B69,tab_MinKomp[[Stanowisko / Position ]:[Stanowisko / Position ]],0))="n/a","n/a",BC69-INDEX(tab_MinKomp[Organizacja dostaw / Versorgungsorganisation],MATCH($B69,tab_MinKomp[[Stanowisko / Position ]:[Stanowisko / Position ]],0)))</f>
        <v>n/a</v>
      </c>
      <c r="BD70" s="349" t="str">
        <f>IF(INDEX(tab_MinKomp[Organizacja wysyłek / Organisation von Lieferungen],MATCH($B69,tab_MinKomp[[Stanowisko / Position ]:[Stanowisko / Position ]],0))="n/a","n/a",BD69-INDEX(tab_MinKomp[Organizacja wysyłek / Organisation von Lieferungen],MATCH($B69,tab_MinKomp[[Stanowisko / Position ]:[Stanowisko / Position ]],0)))</f>
        <v>n/a</v>
      </c>
      <c r="BE70" s="349" t="str">
        <f>IF(INDEX(tab_MinKomp[Analiza magazynowa - Program Polen.mdb / Inventuranalyse],MATCH($B69,tab_MinKomp[[Stanowisko / Position ]:[Stanowisko / Position ]],0))="n/a","n/a",BE69-INDEX(tab_MinKomp[Analiza magazynowa - Program Polen.mdb / Inventuranalyse],MATCH($B69,tab_MinKomp[[Stanowisko / Position ]:[Stanowisko / Position ]],0)))</f>
        <v>n/a</v>
      </c>
      <c r="BF70" s="349" t="str">
        <f>IF(INDEX(tab_MinKomp[MMOG (Materials Management Operations Guidelines)],MATCH($B69,tab_MinKomp[[Stanowisko / Position ]:[Stanowisko / Position ]],0))="n/a","n/a",BF69-INDEX(tab_MinKomp[MMOG (Materials Management Operations Guidelines)],MATCH($B69,tab_MinKomp[[Stanowisko / Position ]:[Stanowisko / Position ]],0)))</f>
        <v>n/a</v>
      </c>
      <c r="BG70" s="349" t="str">
        <f>IF(INDEX(tab_MinKomp[DETC],MATCH($B69,tab_MinKomp[[Stanowisko / Position ]:[Stanowisko / Position ]],0))="n/a","n/a",BG69-INDEX(tab_MinKomp[DETC],MATCH($B69,tab_MinKomp[[Stanowisko / Position ]:[Stanowisko / Position ]],0)))</f>
        <v>n/a</v>
      </c>
      <c r="BH70" s="349" t="str">
        <f>IF(INDEX(tab_MinKomp[GPP],MATCH($B69,tab_MinKomp[[Stanowisko / Position ]:[Stanowisko / Position ]],0))="n/a","n/a",BH69-INDEX(tab_MinKomp[GPP],MATCH($B69,tab_MinKomp[[Stanowisko / Position ]:[Stanowisko / Position ]],0)))</f>
        <v>n/a</v>
      </c>
      <c r="BI70" s="349" t="str">
        <f>IF(INDEX(tab_MinKomp[AIAG (Automotive Industry Action Group)],MATCH($B69,tab_MinKomp[[Stanowisko / Position ]:[Stanowisko / Position ]],0))="n/a","n/a",BI69-INDEX(tab_MinKomp[AIAG (Automotive Industry Action Group)],MATCH($B69,tab_MinKomp[[Stanowisko / Position ]:[Stanowisko / Position ]],0)))</f>
        <v>n/a</v>
      </c>
      <c r="BJ70" s="349" t="str">
        <f>IF(INDEX(tab_MinKomp[Super-G disputes],MATCH($B69,tab_MinKomp[[Stanowisko / Position ]:[Stanowisko / Position ]],0))="n/a","n/a",BJ69-INDEX(tab_MinKomp[Super-G disputes],MATCH($B69,tab_MinKomp[[Stanowisko / Position ]:[Stanowisko / Position ]],0)))</f>
        <v>n/a</v>
      </c>
      <c r="BK70" s="349" t="str">
        <f>IF(INDEX(tab_MinKomp[CMMS3/eDDL (Direct Data Link)],MATCH($B69,tab_MinKomp[[Stanowisko / Position ]:[Stanowisko / Position ]],0))="n/a","n/a",BK69-INDEX(tab_MinKomp[CMMS3/eDDL (Direct Data Link)],MATCH($B69,tab_MinKomp[[Stanowisko / Position ]:[Stanowisko / Position ]],0)))</f>
        <v>n/a</v>
      </c>
      <c r="BL70" s="349" t="str">
        <f>IF(INDEX(tab_MinKomp[MP&amp;L (Material Planning and Logistics)],MATCH($B69,tab_MinKomp[[Stanowisko / Position ]:[Stanowisko / Position ]],0))="n/a","n/a",BL69-INDEX(tab_MinKomp[MP&amp;L (Material Planning and Logistics)],MATCH($B69,tab_MinKomp[[Stanowisko / Position ]:[Stanowisko / Position ]],0)))</f>
        <v>n/a</v>
      </c>
      <c r="BM70" s="349" t="str">
        <f>IF(INDEX(tab_MinKomp[Planowanie produkcji / Produktionsplanung],MATCH($B69,tab_MinKomp[[Stanowisko / Position ]:[Stanowisko / Position ]],0))="n/a","n/a",BM69-INDEX(tab_MinKomp[Planowanie produkcji / Produktionsplanung],MATCH($B69,tab_MinKomp[[Stanowisko / Position ]:[Stanowisko / Position ]],0)))</f>
        <v>n/a</v>
      </c>
      <c r="BN70" s="349">
        <f>IF(INDEX(tab_MinKomp[Obsługa maszyn Engel / Engel Maschinenbedienung],MATCH($B69,tab_MinKomp[[Stanowisko / Position ]:[Stanowisko / Position ]],0))="n/a","n/a",BN69-INDEX(tab_MinKomp[Obsługa maszyn Engel / Engel Maschinenbedienung],MATCH($B69,tab_MinKomp[[Stanowisko / Position ]:[Stanowisko / Position ]],0)))</f>
        <v>-1</v>
      </c>
      <c r="BO70" s="349">
        <f>IF(INDEX(tab_MinKomp[Obsługa maszyn Novapax / Novapax Maschinenbedienung],MATCH($B69,tab_MinKomp[[Stanowisko / Position ]:[Stanowisko / Position ]],0))="n/a","n/a",BO69-INDEX(tab_MinKomp[Obsługa maszyn Novapax / Novapax Maschinenbedienung],MATCH($B69,tab_MinKomp[[Stanowisko / Position ]:[Stanowisko / Position ]],0)))</f>
        <v>-1</v>
      </c>
      <c r="BP70" s="349">
        <f>IF(INDEX(tab_MinKomp[Obsługa maszyn KVT / KVT Maschinenbedienung],MATCH($B69,tab_MinKomp[[Stanowisko / Position ]:[Stanowisko / Position ]],0))="n/a","n/a",BP69-INDEX(tab_MinKomp[Obsługa maszyn KVT / KVT Maschinenbedienung],MATCH($B69,tab_MinKomp[[Stanowisko / Position ]:[Stanowisko / Position ]],0)))</f>
        <v>-1</v>
      </c>
      <c r="BQ70" s="349">
        <f>IF(INDEX(tab_MinKomp[Obsługa maszyn ASL / ASL Maschinenbedienung],MATCH($B69,tab_MinKomp[[Stanowisko / Position ]:[Stanowisko / Position ]],0))="n/a","n/a",BQ69-INDEX(tab_MinKomp[Obsługa maszyn ASL / ASL Maschinenbedienung],MATCH($B69,tab_MinKomp[[Stanowisko / Position ]:[Stanowisko / Position ]],0)))</f>
        <v>0</v>
      </c>
      <c r="BR70" s="349">
        <f>IF(INDEX(tab_MinKomp[Obsługa maszyn Branson / Branson Maschinenbedienung],MATCH($B69,tab_MinKomp[[Stanowisko / Position ]:[Stanowisko / Position ]],0))="n/a","n/a",BR69-INDEX(tab_MinKomp[Obsługa maszyn Branson / Branson Maschinenbedienung],MATCH($B69,tab_MinKomp[[Stanowisko / Position ]:[Stanowisko / Position ]],0)))</f>
        <v>-1</v>
      </c>
      <c r="BS70" s="349">
        <f>IF(INDEX(tab_MinKomp[Obsługa maszyn Kamtec / Kamtec Maschinenbedienung],MATCH($B69,tab_MinKomp[[Stanowisko / Position ]:[Stanowisko / Position ]],0))="n/a","n/a",BS69-INDEX(tab_MinKomp[Obsługa maszyn Kamtec / Kamtec Maschinenbedienung],MATCH($B69,tab_MinKomp[[Stanowisko / Position ]:[Stanowisko / Position ]],0)))</f>
        <v>0</v>
      </c>
      <c r="BT70" s="349">
        <f>IF(INDEX(tab_MinKomp[Obsługa maszyn Piovan / Piovan Maschinenbedienung],MATCH($B69,tab_MinKomp[[Stanowisko / Position ]:[Stanowisko / Position ]],0))="n/a","n/a",BT69-INDEX(tab_MinKomp[Obsługa maszyn Piovan / Piovan Maschinenbedienung],MATCH($B69,tab_MinKomp[[Stanowisko / Position ]:[Stanowisko / Position ]],0)))</f>
        <v>0</v>
      </c>
      <c r="BU70" s="349">
        <f>IF(INDEX(tab_MinKomp[Obsługa maszyn REP / REP Maschinenbedienung],MATCH($B69,tab_MinKomp[[Stanowisko / Position ]:[Stanowisko / Position ]],0))="n/a","n/a",BU69-INDEX(tab_MinKomp[Obsługa maszyn REP / REP Maschinenbedienung],MATCH($B69,tab_MinKomp[[Stanowisko / Position ]:[Stanowisko / Position ]],0)))</f>
        <v>0</v>
      </c>
      <c r="BV70" s="349">
        <f>IF(INDEX(tab_MinKomp[Eliminacja awarii / Beseitigung von Ausfällen],MATCH($B69,tab_MinKomp[[Stanowisko / Position ]:[Stanowisko / Position ]],0))="n/a","n/a",BV69-INDEX(tab_MinKomp[Eliminacja awarii / Beseitigung von Ausfällen],MATCH($B69,tab_MinKomp[[Stanowisko / Position ]:[Stanowisko / Position ]],0)))</f>
        <v>-2</v>
      </c>
      <c r="BW70" s="349" t="str">
        <f>IF(INDEX(tab_MinKomp[Informatyka ogólna (techniczne i systemowe) / Allgemeine IT (Technik und System)],MATCH($B69,tab_MinKomp[[Stanowisko / Position ]:[Stanowisko / Position ]],0))="n/a","n/a",BW69-INDEX(tab_MinKomp[Informatyka ogólna (techniczne i systemowe) / Allgemeine IT (Technik und System)],MATCH($B69,tab_MinKomp[[Stanowisko / Position ]:[Stanowisko / Position ]],0)))</f>
        <v>n/a</v>
      </c>
      <c r="BX70" s="349" t="str">
        <f>IF(INDEX(tab_MinKomp[Sieci komputerowe / Computernetzwerke],MATCH($B69,tab_MinKomp[[Stanowisko / Position ]:[Stanowisko / Position ]],0))="n/a","n/a",BX69-INDEX(tab_MinKomp[Sieci komputerowe / Computernetzwerke],MATCH($B69,tab_MinKomp[[Stanowisko / Position ]:[Stanowisko / Position ]],0)))</f>
        <v>n/a</v>
      </c>
      <c r="BY70" s="349" t="str">
        <f>IF(INDEX(tab_MinKomp[Hardware (komputery PC, drukarki biurowe i etykietowe, telefonia stacjonarna i mobilna) (PC, Drucker, Telefpne, Handys)],MATCH($B69,tab_MinKomp[[Stanowisko / Position ]:[Stanowisko / Position ]],0))="n/a","n/a",BY69-INDEX(tab_MinKomp[Hardware (komputery PC, drukarki biurowe i etykietowe, telefonia stacjonarna i mobilna) (PC, Drucker, Telefpne, Handys)],MATCH($B69,tab_MinKomp[[Stanowisko / Position ]:[Stanowisko / Position ]],0)))</f>
        <v>n/a</v>
      </c>
      <c r="BZ70" s="349" t="str">
        <f>IF(INDEX(tab_MinKomp[Software &amp; Systems (MS Office, MS Remote Desktop)],MATCH($B69,tab_MinKomp[[Stanowisko / Position ]:[Stanowisko / Position ]],0))="n/a","n/a",BZ69-INDEX(tab_MinKomp[Software &amp; Systems (MS Office, MS Remote Desktop)],MATCH($B69,tab_MinKomp[[Stanowisko / Position ]:[Stanowisko / Position ]],0)))</f>
        <v>n/a</v>
      </c>
      <c r="CA70" s="349" t="str">
        <f>IF(INDEX(tab_MinKomp[Programowanie obiektowe (PHP) / Objektprogrammierung],MATCH($B69,tab_MinKomp[[Stanowisko / Position ]:[Stanowisko / Position ]],0))="n/a","n/a",CA69-INDEX(tab_MinKomp[Programowanie obiektowe (PHP) / Objektprogrammierung],MATCH($B69,tab_MinKomp[[Stanowisko / Position ]:[Stanowisko / Position ]],0)))</f>
        <v>n/a</v>
      </c>
      <c r="CB70" s="349" t="str">
        <f>IF(INDEX(tab_MinKomp[Scrum],MATCH($B69,tab_MinKomp[[Stanowisko / Position ]:[Stanowisko / Position ]],0))="n/a","n/a",CB69-INDEX(tab_MinKomp[Scrum],MATCH($B69,tab_MinKomp[[Stanowisko / Position ]:[Stanowisko / Position ]],0)))</f>
        <v>n/a</v>
      </c>
      <c r="CC70" s="349" t="str">
        <f>IF(INDEX(tab_MinKomp[SQL (MySQL)],MATCH($B69,tab_MinKomp[[Stanowisko / Position ]:[Stanowisko / Position ]],0))="n/a","n/a",CC69-INDEX(tab_MinKomp[SQL (MySQL)],MATCH($B69,tab_MinKomp[[Stanowisko / Position ]:[Stanowisko / Position ]],0)))</f>
        <v>n/a</v>
      </c>
      <c r="CD70" s="349" t="str">
        <f>IF(INDEX(tab_MinKomp[Javascript],MATCH($B69,tab_MinKomp[[Stanowisko / Position ]:[Stanowisko / Position ]],0))="n/a","n/a",CD69-INDEX(tab_MinKomp[Javascript],MATCH($B69,tab_MinKomp[[Stanowisko / Position ]:[Stanowisko / Position ]],0)))</f>
        <v>n/a</v>
      </c>
      <c r="CE70" s="349" t="str">
        <f>IF(INDEX(tab_MinKomp[Joomla],MATCH($B69,tab_MinKomp[[Stanowisko / Position ]:[Stanowisko / Position ]],0))="n/a","n/a",CE69-INDEX(tab_MinKomp[Joomla],MATCH($B69,tab_MinKomp[[Stanowisko / Position ]:[Stanowisko / Position ]],0)))</f>
        <v>n/a</v>
      </c>
      <c r="CF70" s="349" t="str">
        <f>IF(INDEX(tab_MinKomp[Bash],MATCH($B69,tab_MinKomp[[Stanowisko / Position ]:[Stanowisko / Position ]],0))="n/a","n/a",CF69-INDEX(tab_MinKomp[Bash],MATCH($B69,tab_MinKomp[[Stanowisko / Position ]:[Stanowisko / Position ]],0)))</f>
        <v>n/a</v>
      </c>
      <c r="CG70" s="349" t="str">
        <f>IF(INDEX(tab_MinKomp[Systemy MES (HYDRA / SFMS)],MATCH($B69,tab_MinKomp[[Stanowisko / Position ]:[Stanowisko / Position ]],0))="n/a","n/a",CG69-INDEX(tab_MinKomp[Systemy MES (HYDRA / SFMS)],MATCH($B69,tab_MinKomp[[Stanowisko / Position ]:[Stanowisko / Position ]],0)))</f>
        <v>n/a</v>
      </c>
      <c r="CH70" s="349" t="str">
        <f>IF(INDEX(tab_MinKomp[HTML / CSS],MATCH($B69,tab_MinKomp[[Stanowisko / Position ]:[Stanowisko / Position ]],0))="n/a","n/a",CH69-INDEX(tab_MinKomp[HTML / CSS],MATCH($B69,tab_MinKomp[[Stanowisko / Position ]:[Stanowisko / Position ]],0)))</f>
        <v>n/a</v>
      </c>
      <c r="CI70" s="349" t="str">
        <f>IF(INDEX(tab_MinKomp[SYSTEM PR],MATCH($B69,tab_MinKomp[[Stanowisko / Position ]:[Stanowisko / Position ]],0))="n/a","n/a",CI69-INDEX(tab_MinKomp[SYSTEM PR],MATCH($B69,tab_MinKomp[[Stanowisko / Position ]:[Stanowisko / Position ]],0)))</f>
        <v>n/a</v>
      </c>
      <c r="CJ70" s="349" t="str">
        <f>IF(INDEX(tab_MinKomp[System Einkauf XP / EBA],MATCH($B69,tab_MinKomp[[Stanowisko / Position ]:[Stanowisko / Position ]],0))="n/a","n/a",CJ69-INDEX(tab_MinKomp[System Einkauf XP / EBA],MATCH($B69,tab_MinKomp[[Stanowisko / Position ]:[Stanowisko / Position ]],0)))</f>
        <v>n/a</v>
      </c>
      <c r="CK70" s="349" t="str">
        <f>IF(INDEX(tab_MinKomp[Techniki negocjacyjne / Verhandlungstechniken],MATCH($B69,tab_MinKomp[[Stanowisko / Position ]:[Stanowisko / Position ]],0))="n/a","n/a",CK69-INDEX(tab_MinKomp[Techniki negocjacyjne / Verhandlungstechniken],MATCH($B69,tab_MinKomp[[Stanowisko / Position ]:[Stanowisko / Position ]],0)))</f>
        <v>n/a</v>
      </c>
      <c r="CL70" s="349" t="str">
        <f>IF(INDEX(tab_MinKomp[Znajomość rynku branżowego / Kenntnis des Industrie Marktes],MATCH($B69,tab_MinKomp[[Stanowisko / Position ]:[Stanowisko / Position ]],0))="n/a","n/a",CL69-INDEX(tab_MinKomp[Znajomość rynku branżowego / Kenntnis des Industrie Marktes],MATCH($B69,tab_MinKomp[[Stanowisko / Position ]:[Stanowisko / Position ]],0)))</f>
        <v>n/a</v>
      </c>
      <c r="CM70" s="349" t="str">
        <f>IF(INDEX(tab_MinKomp[RAPORTY 8D / 8D Berichten],MATCH($B69,tab_MinKomp[[Stanowisko / Position ]:[Stanowisko / Position ]],0))="n/a","n/a",CM69-INDEX(tab_MinKomp[RAPORTY 8D / 8D Berichten],MATCH($B69,tab_MinKomp[[Stanowisko / Position ]:[Stanowisko / Position ]],0)))</f>
        <v>n/a</v>
      </c>
      <c r="CN70" s="349">
        <f>IF(INDEX(tab_MinKomp[NARZĘDZIA JAKOŚCIOWE (5WHY, Ishikawa, etc) / QS-Werkzeuge],MATCH($B69,tab_MinKomp[[Stanowisko / Position ]:[Stanowisko / Position ]],0))="n/a","n/a",CN69-INDEX(tab_MinKomp[NARZĘDZIA JAKOŚCIOWE (5WHY, Ishikawa, etc) / QS-Werkzeuge],MATCH($B69,tab_MinKomp[[Stanowisko / Position ]:[Stanowisko / Position ]],0)))</f>
        <v>-2</v>
      </c>
      <c r="CO70" s="349">
        <f>IF(INDEX(tab_MinKomp[PDCA],MATCH($B69,tab_MinKomp[[Stanowisko / Position ]:[Stanowisko / Position ]],0))="n/a","n/a",CO69-INDEX(tab_MinKomp[PDCA],MATCH($B69,tab_MinKomp[[Stanowisko / Position ]:[Stanowisko / Position ]],0)))</f>
        <v>-2</v>
      </c>
      <c r="CP70" s="349">
        <f>IF(INDEX(tab_MinKomp[Pareto],MATCH($B69,tab_MinKomp[[Stanowisko / Position ]:[Stanowisko / Position ]],0))="n/a","n/a",CP69-INDEX(tab_MinKomp[Pareto],MATCH($B69,tab_MinKomp[[Stanowisko / Position ]:[Stanowisko / Position ]],0)))</f>
        <v>-2</v>
      </c>
      <c r="CQ70" s="349" t="str">
        <f>IF(INDEX(tab_MinKomp[PPAP/PSW],MATCH($B69,tab_MinKomp[[Stanowisko / Position ]:[Stanowisko / Position ]],0))="n/a","n/a",CQ69-INDEX(tab_MinKomp[PPAP/PSW],MATCH($B69,tab_MinKomp[[Stanowisko / Position ]:[Stanowisko / Position ]],0)))</f>
        <v>n/a</v>
      </c>
      <c r="CR70" s="349" t="str">
        <f>IF(INDEX(tab_MinKomp[SUPPLIER MANAGEMENT],MATCH($B69,tab_MinKomp[[Stanowisko / Position ]:[Stanowisko / Position ]],0))="n/a","n/a",CR69-INDEX(tab_MinKomp[SUPPLIER MANAGEMENT],MATCH($B69,tab_MinKomp[[Stanowisko / Position ]:[Stanowisko / Position ]],0)))</f>
        <v>n/a</v>
      </c>
      <c r="CS70" s="349" t="str">
        <f>IF(INDEX(tab_MinKomp[OBSŁUGA PORTALI KLIENTA / Kundenportale],MATCH($B69,tab_MinKomp[[Stanowisko / Position ]:[Stanowisko / Position ]],0))="n/a","n/a",CS69-INDEX(tab_MinKomp[OBSŁUGA PORTALI KLIENTA / Kundenportale],MATCH($B69,tab_MinKomp[[Stanowisko / Position ]:[Stanowisko / Position ]],0)))</f>
        <v>n/a</v>
      </c>
      <c r="CT70" s="349" t="str">
        <f>IF(INDEX(tab_MinKomp[Obsługa systemu BABTECQ / BABTECQ System],MATCH($B69,tab_MinKomp[[Stanowisko / Position ]:[Stanowisko / Position ]],0))="n/a","n/a",CT69-INDEX(tab_MinKomp[Obsługa systemu BABTECQ / BABTECQ System],MATCH($B69,tab_MinKomp[[Stanowisko / Position ]:[Stanowisko / Position ]],0)))</f>
        <v>n/a</v>
      </c>
      <c r="CU70" s="349">
        <f>IF(INDEX(tab_MinKomp[Rysunek techniczny / technische Zeichnung],MATCH($B69,tab_MinKomp[[Stanowisko / Position ]:[Stanowisko / Position ]],0))="n/a","n/a",CU69-INDEX(tab_MinKomp[Rysunek techniczny / technische Zeichnung],MATCH($B69,tab_MinKomp[[Stanowisko / Position ]:[Stanowisko / Position ]],0)))</f>
        <v>-2</v>
      </c>
      <c r="CV70" s="349" t="str">
        <f>IF(INDEX(tab_MinKomp[Kalibracja / Kalibrierung],MATCH($B69,tab_MinKomp[[Stanowisko / Position ]:[Stanowisko / Position ]],0))="n/a","n/a",CV69-INDEX(tab_MinKomp[Kalibracja / Kalibrierung],MATCH($B69,tab_MinKomp[[Stanowisko / Position ]:[Stanowisko / Position ]],0)))</f>
        <v>n/a</v>
      </c>
      <c r="CW70" s="349" t="str">
        <f>IF(INDEX(tab_MinKomp[Rekwalifikacja / Requalifizierung],MATCH($B69,tab_MinKomp[[Stanowisko / Position ]:[Stanowisko / Position ]],0))="n/a","n/a",CW69-INDEX(tab_MinKomp[Rekwalifikacja / Requalifizierung],MATCH($B69,tab_MinKomp[[Stanowisko / Position ]:[Stanowisko / Position ]],0)))</f>
        <v>n/a</v>
      </c>
      <c r="CX70" s="349" t="str">
        <f>IF(INDEX(tab_MinKomp[Obsługa mikroskopu optycznego / Bedienung eines optischen Mikroskops],MATCH($B69,tab_MinKomp[[Stanowisko / Position ]:[Stanowisko / Position ]],0))="n/a","n/a",CX69-INDEX(tab_MinKomp[Obsługa mikroskopu optycznego / Bedienung eines optischen Mikroskops],MATCH($B69,tab_MinKomp[[Stanowisko / Position ]:[Stanowisko / Position ]],0)))</f>
        <v>n/a</v>
      </c>
      <c r="CY70" s="349" t="str">
        <f>IF(INDEX(tab_MinKomp[Wykonywanie pomiarów optycznych - ocena wizualna / Optische Messungen durchführen – visuelle Beurteilung],MATCH($B69,tab_MinKomp[[Stanowisko / Position ]:[Stanowisko / Position ]],0))="n/a","n/a",CY69-INDEX(tab_MinKomp[Wykonywanie pomiarów optycznych - ocena wizualna / Optische Messungen durchführen – visuelle Beurteilung],MATCH($B69,tab_MinKomp[[Stanowisko / Position ]:[Stanowisko / Position ]],0)))</f>
        <v>n/a</v>
      </c>
      <c r="CZ70" s="349" t="str">
        <f>IF(INDEX(tab_MinKomp[Obsługa Rheometra / Rheometra-Unterstützung],MATCH($B69,tab_MinKomp[[Stanowisko / Position ]:[Stanowisko / Position ]],0))="n/a","n/a",CZ69-INDEX(tab_MinKomp[Obsługa Rheometra / Rheometra-Unterstützung],MATCH($B69,tab_MinKomp[[Stanowisko / Position ]:[Stanowisko / Position ]],0)))</f>
        <v>n/a</v>
      </c>
      <c r="DA70" s="349" t="str">
        <f>IF(INDEX(tab_MinKomp[Testy właściwości Rheometra mieszanki gumy],MATCH($B69,tab_MinKomp[[Stanowisko / Position ]:[Stanowisko / Position ]],0))="n/a","n/a",DA69-INDEX(tab_MinKomp[Testy właściwości Rheometra mieszanki gumy],MATCH($B69,tab_MinKomp[[Stanowisko / Position ]:[Stanowisko / Position ]],0)))</f>
        <v>n/a</v>
      </c>
      <c r="DB70" s="349" t="str">
        <f>IF(INDEX(tab_MinKomp[CMM - Contura Zeiss],MATCH($B69,tab_MinKomp[[Stanowisko / Position ]:[Stanowisko / Position ]],0))="n/a","n/a",DB69-INDEX(tab_MinKomp[CMM - Contura Zeiss],MATCH($B69,tab_MinKomp[[Stanowisko / Position ]:[Stanowisko / Position ]],0)))</f>
        <v>n/a</v>
      </c>
      <c r="DC70" s="349" t="str">
        <f>IF(INDEX(tab_MinKomp[Wykonywanie precyzyjnych pomiarów metrycznych, pomiary 3D],MATCH($B69,tab_MinKomp[[Stanowisko / Position ]:[Stanowisko / Position ]],0))="n/a","n/a",DC69-INDEX(tab_MinKomp[Wykonywanie precyzyjnych pomiarów metrycznych, pomiary 3D],MATCH($B69,tab_MinKomp[[Stanowisko / Position ]:[Stanowisko / Position ]],0)))</f>
        <v>n/a</v>
      </c>
      <c r="DD70" s="349" t="str">
        <f>IF(INDEX(tab_MinKomp[Pisanie programów / Programme schreiben],MATCH($B69,tab_MinKomp[[Stanowisko / Position ]:[Stanowisko / Position ]],0))="n/a","n/a",DD69-INDEX(tab_MinKomp[Pisanie programów / Programme schreiben],MATCH($B69,tab_MinKomp[[Stanowisko / Position ]:[Stanowisko / Position ]],0)))</f>
        <v>n/a</v>
      </c>
      <c r="DE70" s="349" t="str">
        <f>IF(INDEX(tab_MinKomp[Obsługa wyposażenia do testów czystości (myjka + analizator) / Betrieb von Sauberkeitsprüfgeräten (Waschmaschine + Analysegerät)],MATCH($B69,tab_MinKomp[[Stanowisko / Position ]:[Stanowisko / Position ]],0))="n/a","n/a",DE69-INDEX(tab_MinKomp[Obsługa wyposażenia do testów czystości (myjka + analizator) / Betrieb von Sauberkeitsprüfgeräten (Waschmaschine + Analysegerät)],MATCH($B69,tab_MinKomp[[Stanowisko / Position ]:[Stanowisko / Position ]],0)))</f>
        <v>n/a</v>
      </c>
      <c r="DF70" s="349" t="str">
        <f>IF(INDEX(tab_MinKomp[Testy czystości / Reinheitstests],MATCH($B69,tab_MinKomp[[Stanowisko / Position ]:[Stanowisko / Position ]],0))="n/a","n/a",DF69-INDEX(tab_MinKomp[Testy czystości / Reinheitstests],MATCH($B69,tab_MinKomp[[Stanowisko / Position ]:[Stanowisko / Position ]],0)))</f>
        <v>n/a</v>
      </c>
      <c r="DG70" s="349" t="str">
        <f>IF(INDEX(tab_MinKomp[Obsługa wysokościomierza / Unterstützung für Höhenmesser],MATCH($B69,tab_MinKomp[[Stanowisko / Position ]:[Stanowisko / Position ]],0))="n/a","n/a",DG69-INDEX(tab_MinKomp[Obsługa wysokościomierza / Unterstützung für Höhenmesser],MATCH($B69,tab_MinKomp[[Stanowisko / Position ]:[Stanowisko / Position ]],0)))</f>
        <v>n/a</v>
      </c>
      <c r="DH70" s="349" t="str">
        <f>IF(INDEX(tab_MinKomp[Pomiary wysokości materiału / Materialhöhenmessungen],MATCH($B69,tab_MinKomp[[Stanowisko / Position ]:[Stanowisko / Position ]],0))="n/a","n/a",DH69-INDEX(tab_MinKomp[Pomiary wysokości materiału / Materialhöhenmessungen],MATCH($B69,tab_MinKomp[[Stanowisko / Position ]:[Stanowisko / Position ]],0)))</f>
        <v>n/a</v>
      </c>
      <c r="DI70" s="349" t="str">
        <f>IF(INDEX(tab_MinKomp[Obsługa okrągłościomierza / Unterstützung für Rundheitsmessgeräte],MATCH($B69,tab_MinKomp[[Stanowisko / Position ]:[Stanowisko / Position ]],0))="n/a","n/a",DI69-INDEX(tab_MinKomp[Obsługa okrągłościomierza / Unterstützung für Rundheitsmessgeräte],MATCH($B69,tab_MinKomp[[Stanowisko / Position ]:[Stanowisko / Position ]],0)))</f>
        <v>n/a</v>
      </c>
      <c r="DJ70" s="349" t="str">
        <f>IF(INDEX(tab_MinKomp[Wykonywania pomiarów owalności, srednicy materiału / Messung der Ovalität und des Durchmessers des Materials],MATCH($B69,tab_MinKomp[[Stanowisko / Position ]:[Stanowisko / Position ]],0))="n/a","n/a",DJ69-INDEX(tab_MinKomp[Wykonywania pomiarów owalności, srednicy materiału / Messung der Ovalität und des Durchmessers des Materials],MATCH($B69,tab_MinKomp[[Stanowisko / Position ]:[Stanowisko / Position ]],0)))</f>
        <v>n/a</v>
      </c>
      <c r="DK70" s="349" t="str">
        <f>IF(INDEX(tab_MinKomp[Obsługa urządzenia do pomiarów chropowoatości powierzchni materiału],MATCH($B69,tab_MinKomp[[Stanowisko / Position ]:[Stanowisko / Position ]],0))="n/a","n/a",DK69-INDEX(tab_MinKomp[Obsługa urządzenia do pomiarów chropowoatości powierzchni materiału],MATCH($B69,tab_MinKomp[[Stanowisko / Position ]:[Stanowisko / Position ]],0)))</f>
        <v>n/a</v>
      </c>
      <c r="DL70" s="349" t="str">
        <f>IF(INDEX(tab_MinKomp[Wykonywanie pomiarów chropowatości powierzchni materiału / Durchführung von Messungen der Materialoberflächenrauheit],MATCH($B69,tab_MinKomp[[Stanowisko / Position ]:[Stanowisko / Position ]],0))="n/a","n/a",DL69-INDEX(tab_MinKomp[Wykonywanie pomiarów chropowatości powierzchni materiału / Durchführung von Messungen der Materialoberflächenrauheit],MATCH($B69,tab_MinKomp[[Stanowisko / Position ]:[Stanowisko / Position ]],0)))</f>
        <v>n/a</v>
      </c>
      <c r="DM70" s="349" t="str">
        <f>IF(INDEX(tab_MinKomp[Obsługa urządzenia do pomiaru siły radialnej części - postępowanie z trzpieniami. / Funktionsweise des Geräts zur Messung der Radialkraft von Teilen – Handhabungsstifte.],MATCH($B69,tab_MinKomp[[Stanowisko / Position ]:[Stanowisko / Position ]],0))="n/a","n/a",DM69-INDEX(tab_MinKomp[Obsługa urządzenia do pomiaru siły radialnej części - postępowanie z trzpieniami. / Funktionsweise des Geräts zur Messung der Radialkraft von Teilen – Handhabungsstifte.],MATCH($B69,tab_MinKomp[[Stanowisko / Position ]:[Stanowisko / Position ]],0)))</f>
        <v>n/a</v>
      </c>
      <c r="DN70" s="349" t="str">
        <f>IF(INDEX(tab_MinKomp[Wykonywanie pomiarów siły radialnej części / Führen Sie Radialkraftmessungen an Teilen durch],MATCH($B69,tab_MinKomp[[Stanowisko / Position ]:[Stanowisko / Position ]],0))="n/a","n/a",DN69-INDEX(tab_MinKomp[Wykonywanie pomiarów siły radialnej części / Führen Sie Radialkraftmessungen an Teilen durch],MATCH($B69,tab_MinKomp[[Stanowisko / Position ]:[Stanowisko / Position ]],0)))</f>
        <v>n/a</v>
      </c>
      <c r="DO70" s="349" t="str">
        <f>IF(INDEX(tab_MinKomp[Obsługa komory do testów wybuchwych / Betrieb einer Explosionsprüfkammer],MATCH($B69,tab_MinKomp[[Stanowisko / Position ]:[Stanowisko / Position ]],0))="n/a","n/a",DO69-INDEX(tab_MinKomp[Obsługa komory do testów wybuchwych / Betrieb einer Explosionsprüfkammer],MATCH($B69,tab_MinKomp[[Stanowisko / Position ]:[Stanowisko / Position ]],0)))</f>
        <v>n/a</v>
      </c>
      <c r="DP70" s="349" t="str">
        <f>IF(INDEX(tab_MinKomp[Wykonywanie testów wybuchowych części / Durchführung von Explosionstests an Teilen],MATCH($B69,tab_MinKomp[[Stanowisko / Position ]:[Stanowisko / Position ]],0))="n/a","n/a",DP69-INDEX(tab_MinKomp[Wykonywanie testów wybuchowych części / Durchführung von Explosionstests an Teilen],MATCH($B69,tab_MinKomp[[Stanowisko / Position ]:[Stanowisko / Position ]],0)))</f>
        <v>n/a</v>
      </c>
      <c r="DQ70" s="349" t="str">
        <f>IF(INDEX(tab_MinKomp[Obsługa urządzeń do mierzenia siły trzymania i/lub rozciągania / Betrieb von Geräten zur Messung der Halte- und/oder Dehnkraft],MATCH($B69,tab_MinKomp[[Stanowisko / Position ]:[Stanowisko / Position ]],0))="n/a","n/a",DQ69-INDEX(tab_MinKomp[Obsługa urządzeń do mierzenia siły trzymania i/lub rozciągania / Betrieb von Geräten zur Messung der Halte- und/oder Dehnkraft],MATCH($B69,tab_MinKomp[[Stanowisko / Position ]:[Stanowisko / Position ]],0)))</f>
        <v>n/a</v>
      </c>
      <c r="DR70" s="349" t="str">
        <f>IF(INDEX(tab_MinKomp[Wykonywanie testów mierzenia siły trzymania i/lub rozciągania / Durchführung von Tests zur Messung der Halte- und/oder Streckkraft],MATCH($B69,tab_MinKomp[[Stanowisko / Position ]:[Stanowisko / Position ]],0))="n/a","n/a",DR69-INDEX(tab_MinKomp[Wykonywanie testów mierzenia siły trzymania i/lub rozciągania / Durchführung von Tests zur Messung der Halte- und/oder Streckkraft],MATCH($B69,tab_MinKomp[[Stanowisko / Position ]:[Stanowisko / Position ]],0)))</f>
        <v>n/a</v>
      </c>
      <c r="DS70" s="349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Luftstrom)],MATCH($B69,tab_MinKomp[[Stanowisko / Position ]:[Stanowisko / Position ]],0))="n/a","n/a",DS69-INDEX(tab_MinKomp[Obsługa multimetru do pomiarów środowiskowych (temperatura, wilgotność, hałas, oświetlenie, przepływ powietrza) / Betrieb eines Multimeters für Umweltmessungen (Temperatur, Luftfeuchtigkeit, Lärm, Beleuchtung, Luftstrom)],MATCH($B69,tab_MinKomp[[Stanowisko / Position ]:[Stanowisko / Position ]],0)))</f>
        <v>n/a</v>
      </c>
      <c r="DT70" s="349" t="str">
        <f>IF(INDEX(tab_MinKomp[Kontrola warunków środowiskowych pracy (temperatura, wilgotność, hałas, oświetlenie, przepływ powietrza) / Kontrolle der Arbeitsumgebungsbedingungen (Temperatur, Luftfeuchtigkeit, Lärm, Beleuchtung, Luftstrom)],MATCH($B69,tab_MinKomp[[Stanowisko / Position ]:[Stanowisko / Position ]],0))="n/a","n/a",DT69-INDEX(tab_MinKomp[Kontrola warunków środowiskowych pracy (temperatura, wilgotność, hałas, oświetlenie, przepływ powietrza) / Kontrolle der Arbeitsumgebungsbedingungen (Temperatur, Luftfeuchtigkeit, Lärm, Beleuchtung, Luftstrom)],MATCH($B69,tab_MinKomp[[Stanowisko / Position ]:[Stanowisko / Position ]],0)))</f>
        <v>n/a</v>
      </c>
      <c r="DU70" s="349" t="str">
        <f>IF(INDEX(tab_MinKomp[MSA i SPC],MATCH($B69,tab_MinKomp[[Stanowisko / Position ]:[Stanowisko / Position ]],0))="n/a","n/a",DU69-INDEX(tab_MinKomp[MSA i SPC],MATCH($B69,tab_MinKomp[[Stanowisko / Position ]:[Stanowisko / Position ]],0)))</f>
        <v>n/a</v>
      </c>
      <c r="DV70" s="349" t="str">
        <f>IF(INDEX(tab_MinKomp[Kontrola wejściowa komponentów/ Eingangskontrolle],MATCH($B69,tab_MinKomp[[Stanowisko / Position ]:[Stanowisko / Position ]],0))="n/a","n/a",DV69-INDEX(tab_MinKomp[Kontrola wejściowa komponentów/ Eingangskontrolle],MATCH($B69,tab_MinKomp[[Stanowisko / Position ]:[Stanowisko / Position ]],0)))</f>
        <v>n/a</v>
      </c>
      <c r="DW70" s="349" t="str">
        <f>IF(INDEX(tab_MinKomp[Kontrola wyjściowa produktu / Ausgangskontrolle],MATCH($B69,tab_MinKomp[[Stanowisko / Position ]:[Stanowisko / Position ]],0))="n/a","n/a",DW69-INDEX(tab_MinKomp[Kontrola wyjściowa produktu / Ausgangskontrolle],MATCH($B69,tab_MinKomp[[Stanowisko / Position ]:[Stanowisko / Position ]],0)))</f>
        <v>n/a</v>
      </c>
      <c r="DX70" s="349" t="str">
        <f>IF(INDEX(tab_MinKomp[Kontrola codzienna produkcji / Tägliche Produktionskontrolle],MATCH($B69,tab_MinKomp[[Stanowisko / Position ]:[Stanowisko / Position ]],0))="n/a","n/a",DX69-INDEX(tab_MinKomp[Kontrola codzienna produkcji / Tägliche Produktionskontrolle],MATCH($B69,tab_MinKomp[[Stanowisko / Position ]:[Stanowisko / Position ]],0)))</f>
        <v>n/a</v>
      </c>
      <c r="DY70" s="349">
        <f>IF(INDEX(tab_MinKomp[Konserwacja Rep],MATCH($B69,tab_MinKomp[[Stanowisko / Position ]:[Stanowisko / Position ]],0))="n/a","n/a",DY69-INDEX(tab_MinKomp[Konserwacja Rep],MATCH($B69,tab_MinKomp[[Stanowisko / Position ]:[Stanowisko / Position ]],0)))</f>
        <v>-1</v>
      </c>
      <c r="DZ70" s="349">
        <f>IF(INDEX(tab_MinKomp[[Konserwacja Engel ]],MATCH($B69,tab_MinKomp[[Stanowisko / Position ]:[Stanowisko / Position ]],0))="n/a","n/a",DZ69-INDEX(tab_MinKomp[[Konserwacja Engel ]],MATCH($B69,tab_MinKomp[[Stanowisko / Position ]:[Stanowisko / Position ]],0)))</f>
        <v>-2</v>
      </c>
      <c r="EA70" s="349">
        <f>IF(INDEX(tab_MinKomp[Konserwacja B 50],MATCH($B69,tab_MinKomp[[Stanowisko / Position ]:[Stanowisko / Position ]],0))="n/a","n/a",EA69-INDEX(tab_MinKomp[Konserwacja B 50],MATCH($B69,tab_MinKomp[[Stanowisko / Position ]:[Stanowisko / Position ]],0)))</f>
        <v>-1</v>
      </c>
      <c r="EB70" s="349">
        <f>IF(INDEX(tab_MinKomp[[Konserwacja EOL ]],MATCH($B69,tab_MinKomp[[Stanowisko / Position ]:[Stanowisko / Position ]],0))="n/a","n/a",EB69-INDEX(tab_MinKomp[[Konserwacja EOL ]],MATCH($B69,tab_MinKomp[[Stanowisko / Position ]:[Stanowisko / Position ]],0)))</f>
        <v>-1</v>
      </c>
      <c r="EC70" s="349">
        <f>IF(INDEX(tab_MinKomp[Konserwacja Branson],MATCH($B69,tab_MinKomp[[Stanowisko / Position ]:[Stanowisko / Position ]],0))="n/a","n/a",EC69-INDEX(tab_MinKomp[Konserwacja Branson],MATCH($B69,tab_MinKomp[[Stanowisko / Position ]:[Stanowisko / Position ]],0)))</f>
        <v>-1</v>
      </c>
      <c r="ED70" s="349">
        <f>IF(INDEX(tab_MinKomp[Konserwacja coolery],MATCH($B69,tab_MinKomp[[Stanowisko / Position ]:[Stanowisko / Position ]],0))="n/a","n/a",ED69-INDEX(tab_MinKomp[Konserwacja coolery],MATCH($B69,tab_MinKomp[[Stanowisko / Position ]:[Stanowisko / Position ]],0)))</f>
        <v>-1</v>
      </c>
      <c r="EE70" s="349">
        <f>IF(INDEX(tab_MinKomp[Konserwacja piecy],MATCH($B69,tab_MinKomp[[Stanowisko / Position ]:[Stanowisko / Position ]],0))="n/a","n/a",EE69-INDEX(tab_MinKomp[Konserwacja piecy],MATCH($B69,tab_MinKomp[[Stanowisko / Position ]:[Stanowisko / Position ]],0)))</f>
        <v>0</v>
      </c>
      <c r="EF70" s="349">
        <f>IF(INDEX(tab_MinKomp[Rysunek techniczny- czytanie],MATCH($B69,tab_MinKomp[[Stanowisko / Position ]:[Stanowisko / Position ]],0))="n/a","n/a",EF69-INDEX(tab_MinKomp[Rysunek techniczny- czytanie],MATCH($B69,tab_MinKomp[[Stanowisko / Position ]:[Stanowisko / Position ]],0)))</f>
        <v>-2</v>
      </c>
      <c r="EG70" s="349">
        <f>IF(INDEX(tab_MinKomp[Elektryka],MATCH($B69,tab_MinKomp[[Stanowisko / Position ]:[Stanowisko / Position ]],0))="n/a","n/a",EG69-INDEX(tab_MinKomp[Elektryka],MATCH($B69,tab_MinKomp[[Stanowisko / Position ]:[Stanowisko / Position ]],0)))</f>
        <v>-1</v>
      </c>
      <c r="EH70" s="349">
        <f>IF(INDEX(tab_MinKomp[Pneumatyka],MATCH($B69,tab_MinKomp[[Stanowisko / Position ]:[Stanowisko / Position ]],0))="n/a","n/a",EH69-INDEX(tab_MinKomp[Pneumatyka],MATCH($B69,tab_MinKomp[[Stanowisko / Position ]:[Stanowisko / Position ]],0)))</f>
        <v>-1</v>
      </c>
      <c r="EI70" s="349">
        <f>IF(INDEX(tab_MinKomp[[Hydraulika ]],MATCH($B69,tab_MinKomp[[Stanowisko / Position ]:[Stanowisko / Position ]],0))="n/a","n/a",EI69-INDEX(tab_MinKomp[[Hydraulika ]],MATCH($B69,tab_MinKomp[[Stanowisko / Position ]:[Stanowisko / Position ]],0)))</f>
        <v>-1</v>
      </c>
      <c r="EJ70" s="349">
        <f>IF(INDEX(tab_MinKomp[Podciśnienie],MATCH($B69,tab_MinKomp[[Stanowisko / Position ]:[Stanowisko / Position ]],0))="n/a","n/a",EJ69-INDEX(tab_MinKomp[Podciśnienie],MATCH($B69,tab_MinKomp[[Stanowisko / Position ]:[Stanowisko / Position ]],0)))</f>
        <v>-1</v>
      </c>
      <c r="EK70" s="349">
        <f>IF(INDEX(tab_MinKomp[Usuwanie awarii],MATCH($B69,tab_MinKomp[[Stanowisko / Position ]:[Stanowisko / Position ]],0))="n/a","n/a",EK69-INDEX(tab_MinKomp[Usuwanie awarii],MATCH($B69,tab_MinKomp[[Stanowisko / Position ]:[Stanowisko / Position ]],0)))</f>
        <v>-1</v>
      </c>
      <c r="EL70" s="349">
        <f>IF(INDEX(tab_MinKomp[Obsługa robotów],MATCH($B69,tab_MinKomp[[Stanowisko / Position ]:[Stanowisko / Position ]],0))="n/a","n/a",EL69-INDEX(tab_MinKomp[Obsługa robotów],MATCH($B69,tab_MinKomp[[Stanowisko / Position ]:[Stanowisko / Position ]],0)))</f>
        <v>-1</v>
      </c>
      <c r="EM70" s="349">
        <f>IF(INDEX(tab_MinKomp[Obsługa sterowania maszyny],MATCH($B69,tab_MinKomp[[Stanowisko / Position ]:[Stanowisko / Position ]],0))="n/a","n/a",EM69-INDEX(tab_MinKomp[Obsługa sterowania maszyny],MATCH($B69,tab_MinKomp[[Stanowisko / Position ]:[Stanowisko / Position ]],0)))</f>
        <v>-1</v>
      </c>
      <c r="EN70" s="349">
        <f>IF(INDEX(tab_MinKomp[Usuwanie przyczyn żródłowych],MATCH($B69,tab_MinKomp[[Stanowisko / Position ]:[Stanowisko / Position ]],0))="n/a","n/a",EN69-INDEX(tab_MinKomp[Usuwanie przyczyn żródłowych],MATCH($B69,tab_MinKomp[[Stanowisko / Position ]:[Stanowisko / Position ]],0)))</f>
        <v>-2</v>
      </c>
      <c r="EO70" s="349">
        <f>IF(INDEX(tab_MinKomp[Cmms stosowanie],MATCH($B69,tab_MinKomp[[Stanowisko / Position ]:[Stanowisko / Position ]],0))="n/a","n/a",EO69-INDEX(tab_MinKomp[Cmms stosowanie],MATCH($B69,tab_MinKomp[[Stanowisko / Position ]:[Stanowisko / Position ]],0)))</f>
        <v>-1</v>
      </c>
      <c r="EP70" s="343" t="str">
        <f>IF(INDEX(tab_MinKomp[[Czyszczenie form gumowych ]],MATCH($B69,tab_MinKomp[[Stanowisko / Position ]:[Stanowisko / Position ]],0))="n/a","n/a",EP69-INDEX(tab_MinKomp[[Czyszczenie form gumowych ]],MATCH($B69,tab_MinKomp[[Stanowisko / Position ]:[Stanowisko / Position ]],0)))</f>
        <v>n/a</v>
      </c>
      <c r="EQ70" s="343" t="str">
        <f>IF(INDEX(tab_MinKomp[Czyszczenie form plastikowych],MATCH($B69,tab_MinKomp[[Stanowisko / Position ]:[Stanowisko / Position ]],0))="n/a","n/a",EQ69-INDEX(tab_MinKomp[Czyszczenie form plastikowych],MATCH($B69,tab_MinKomp[[Stanowisko / Position ]:[Stanowisko / Position ]],0)))</f>
        <v>n/a</v>
      </c>
      <c r="ER70" s="343" t="str">
        <f>IF(INDEX(tab_MinKomp[Wymiana form plastik],MATCH($B69,tab_MinKomp[[Stanowisko / Position ]:[Stanowisko / Position ]],0))="n/a","n/a",ER69-INDEX(tab_MinKomp[Wymiana form plastik],MATCH($B69,tab_MinKomp[[Stanowisko / Position ]:[Stanowisko / Position ]],0)))</f>
        <v>n/a</v>
      </c>
      <c r="ES70" s="343" t="str">
        <f>IF(INDEX(tab_MinKomp[Wymiana form guma],MATCH($B69,tab_MinKomp[[Stanowisko / Position ]:[Stanowisko / Position ]],0))="n/a","n/a",ES69-INDEX(tab_MinKomp[Wymiana form guma],MATCH($B69,tab_MinKomp[[Stanowisko / Position ]:[Stanowisko / Position ]],0)))</f>
        <v>n/a</v>
      </c>
      <c r="ET70" s="343" t="str">
        <f>IF(INDEX(tab_MinKomp[Konserwacja KK],MATCH($B69,tab_MinKomp[[Stanowisko / Position ]:[Stanowisko / Position ]],0))="n/a","n/a",ET69-INDEX(tab_MinKomp[Konserwacja KK],MATCH($B69,tab_MinKomp[[Stanowisko / Position ]:[Stanowisko / Position ]],0)))</f>
        <v>n/a</v>
      </c>
      <c r="EU70" s="343" t="str">
        <f>IF(INDEX(tab_MinKomp[Konserwacja form guma],MATCH($B69,tab_MinKomp[[Stanowisko / Position ]:[Stanowisko / Position ]],0))="n/a","n/a",EU69-INDEX(tab_MinKomp[Konserwacja form guma],MATCH($B69,tab_MinKomp[[Stanowisko / Position ]:[Stanowisko / Position ]],0)))</f>
        <v>n/a</v>
      </c>
      <c r="EV70" s="343" t="str">
        <f>IF(INDEX(tab_MinKomp[Konserwacja form plastiki],MATCH($B69,tab_MinKomp[[Stanowisko / Position ]:[Stanowisko / Position ]],0))="n/a","n/a",EV69-INDEX(tab_MinKomp[Konserwacja form plastiki],MATCH($B69,tab_MinKomp[[Stanowisko / Position ]:[Stanowisko / Position ]],0)))</f>
        <v>n/a</v>
      </c>
      <c r="EW70" s="330" t="str">
        <f>IF(INDEX(tab_MinKomp[Konserwacja form plastiki],MATCH($B69,tab_MinKomp[[Stanowisko / Position ]:[Stanowisko / Position ]],0))="n/a","n/a",EW69-INDEX(tab_MinKomp[Konserwacja form plastiki],MATCH($B69,tab_MinKomp[[Stanowisko / Position ]:[Stanowisko / Position ]],0)))</f>
        <v>n/a</v>
      </c>
      <c r="EX70" s="343" t="str">
        <f>IF(INDEX(tab_MinKomp[Konserwacja Gorącego Kanału],MATCH($B69,tab_MinKomp[[Stanowisko / Position ]:[Stanowisko / Position ]],0))="n/a","n/a",EX69-INDEX(tab_MinKomp[Konserwacja Gorącego Kanału],MATCH($B69,tab_MinKomp[[Stanowisko / Position ]:[Stanowisko / Position ]],0)))</f>
        <v>n/a</v>
      </c>
      <c r="EY70" s="349" t="str">
        <f>IF(INDEX(tab_MinKomp[MS Office (Excel)],MATCH($B69,tab_MinKomp[[Stanowisko / Position ]:[Stanowisko / Position ]],0))="n/a","n/a",EY69-INDEX(tab_MinKomp[MS Office (Excel)],MATCH($B69,tab_MinKomp[[Stanowisko / Position ]:[Stanowisko / Position ]],0)))</f>
        <v>n/a</v>
      </c>
      <c r="EZ70" s="349" t="str">
        <f>IF(INDEX(tab_MinKomp[MS Office (Word)],MATCH($B69,tab_MinKomp[[Stanowisko / Position ]:[Stanowisko / Position ]],0))="n/a","n/a",EZ69-INDEX(tab_MinKomp[MS Office (Word)],MATCH($B69,tab_MinKomp[[Stanowisko / Position ]:[Stanowisko / Position ]],0)))</f>
        <v>n/a</v>
      </c>
      <c r="FA70" s="349" t="str">
        <f>IF(INDEX(tab_MinKomp[MS Office (Power Point)],MATCH($B69,tab_MinKomp[[Stanowisko / Position ]:[Stanowisko / Position ]],0))="n/a","n/a",FA69-INDEX(tab_MinKomp[MS Office (Power Point)],MATCH($B69,tab_MinKomp[[Stanowisko / Position ]:[Stanowisko / Position ]],0)))</f>
        <v>n/a</v>
      </c>
      <c r="FB70" s="349" t="str">
        <f>IF(INDEX(tab_MinKomp[Język angielski / Englisch],MATCH($B69,tab_MinKomp[[Stanowisko / Position ]:[Stanowisko / Position ]],0))="n/a","n/a",FB69-INDEX(tab_MinKomp[Język angielski / Englisch],MATCH($B69,tab_MinKomp[[Stanowisko / Position ]:[Stanowisko / Position ]],0)))</f>
        <v>n/a</v>
      </c>
      <c r="FC70" s="349" t="str">
        <f>IF(INDEX(tab_MinKomp[Język niemiecki / Deutsch],MATCH($B69,tab_MinKomp[[Stanowisko / Position ]:[Stanowisko / Position ]],0))="n/a","n/a",FC69-INDEX(tab_MinKomp[Język niemiecki / Deutsch],MATCH($B69,tab_MinKomp[[Stanowisko / Position ]:[Stanowisko / Position ]],0)))</f>
        <v>n/a</v>
      </c>
      <c r="FD70" s="349">
        <f>IF(INDEX(tab_MinKomp[Zarządzanie dokumentacją procesową / Process dokumentation management],MATCH($B69,tab_MinKomp[[Stanowisko / Position ]:[Stanowisko / Position ]],0))="n/a","n/a",FD69-INDEX(tab_MinKomp[Zarządzanie dokumentacją procesową / Process dokumentation management],MATCH($B69,tab_MinKomp[[Stanowisko / Position ]:[Stanowisko / Position ]],0)))</f>
        <v>0</v>
      </c>
      <c r="FE70" s="349">
        <f>IF(INDEX(tab_MinKomp[Znajomość procesów z obszaru / Kenntiss der prozesse in dem Bereich],MATCH($B69,tab_MinKomp[[Stanowisko / Position ]:[Stanowisko / Position ]],0))="n/a","n/a",FE69-INDEX(tab_MinKomp[Znajomość procesów z obszaru / Kenntiss der prozesse in dem Bereich],MATCH($B69,tab_MinKomp[[Stanowisko / Position ]:[Stanowisko / Position ]],0)))</f>
        <v>-1</v>
      </c>
      <c r="FF70" s="349">
        <f>IF(INDEX(tab_MinKomp[optymalizacja procesów / Prozessoptymalisierung],MATCH($B69,tab_MinKomp[[Stanowisko / Position ]:[Stanowisko / Position ]],0))="n/a","n/a",FF69-INDEX(tab_MinKomp[optymalizacja procesów / Prozessoptymalisierung],MATCH($B69,tab_MinKomp[[Stanowisko / Position ]:[Stanowisko / Position ]],0)))</f>
        <v>-1</v>
      </c>
      <c r="FG70" s="349">
        <f>IF(INDEX(tab_MinKomp[Umiejętności szkoleniowe / Trainingsfähigkeiten],MATCH($B69,tab_MinKomp[[Stanowisko / Position ]:[Stanowisko / Position ]],0))="n/a","n/a",FG69-INDEX(tab_MinKomp[Umiejętności szkoleniowe / Trainingsfähigkeiten],MATCH($B69,tab_MinKomp[[Stanowisko / Position ]:[Stanowisko / Position ]],0)))</f>
        <v>-1</v>
      </c>
      <c r="FH70" s="349">
        <f>IF(INDEX(tab_MinKomp[Analityczne myślenie, podejście / Analitysches Denken, Einstellung],MATCH($B69,tab_MinKomp[[Stanowisko / Position ]:[Stanowisko / Position ]],0))="n/a","n/a",FH69-INDEX(tab_MinKomp[Analityczne myślenie, podejście / Analitysches Denken, Einstellung],MATCH($B69,tab_MinKomp[[Stanowisko / Position ]:[Stanowisko / Position ]],0)))</f>
        <v>-2</v>
      </c>
      <c r="FI70" s="349">
        <f>IF(INDEX(tab_MinKomp[Dokładność, precyzja w dzialaniu / Genauigkeit, Präzision in die Arbeit],MATCH($B69,tab_MinKomp[[Stanowisko / Position ]:[Stanowisko / Position ]],0))="n/a","n/a",FI69-INDEX(tab_MinKomp[Dokładność, precyzja w dzialaniu / Genauigkeit, Präzision in die Arbeit],MATCH($B69,tab_MinKomp[[Stanowisko / Position ]:[Stanowisko / Position ]],0)))</f>
        <v>-1</v>
      </c>
      <c r="FJ70" s="349">
        <f>IF(INDEX(tab_MinKomp[Dyspozycyjność / Verfügbarkeit],MATCH($B69,tab_MinKomp[[Stanowisko / Position ]:[Stanowisko / Position ]],0))="n/a","n/a",FJ69-INDEX(tab_MinKomp[Dyspozycyjność / Verfügbarkeit],MATCH($B69,tab_MinKomp[[Stanowisko / Position ]:[Stanowisko / Position ]],0)))</f>
        <v>-1</v>
      </c>
      <c r="FK70" s="349">
        <f>IF(INDEX(tab_MinKomp[Zaangażowanie / 
Engagement],MATCH($B69,tab_MinKomp[[Stanowisko / Position ]:[Stanowisko / Position ]],0))="n/a","n/a",FK69-INDEX(tab_MinKomp[Zaangażowanie / 
Engagement],MATCH($B69,tab_MinKomp[[Stanowisko / Position ]:[Stanowisko / Position ]],0)))</f>
        <v>0</v>
      </c>
      <c r="FL70" s="349" t="str">
        <f>IF(INDEX(tab_MinKomp[Planowanie strategiczne / Strategische Planung],MATCH($B69,tab_MinKomp[[Stanowisko / Position ]:[Stanowisko / Position ]],0))="n/a","n/a",FL69-INDEX(tab_MinKomp[Planowanie strategiczne / Strategische Planung],MATCH($B69,tab_MinKomp[[Stanowisko / Position ]:[Stanowisko / Position ]],0)))</f>
        <v>n/a</v>
      </c>
      <c r="FM70" s="349">
        <f>IF(INDEX(tab_MinKomp[Konsekwentne i dynamiczne działanie],MATCH($B69,tab_MinKomp[[Stanowisko / Position ]:[Stanowisko / Position ]],0))="n/a","n/a",FM69-INDEX(tab_MinKomp[Konsekwentne i dynamiczne działanie],MATCH($B69,tab_MinKomp[[Stanowisko / Position ]:[Stanowisko / Position ]],0)))</f>
        <v>-1</v>
      </c>
      <c r="FN70" s="349" t="str">
        <f>IF(INDEX(tab_MinKomp[Elastyczność w działaniu],MATCH($B69,tab_MinKomp[[Stanowisko / Position ]:[Stanowisko / Position ]],0))="n/a","n/a",FN69-INDEX(tab_MinKomp[Elastyczność w działaniu],MATCH($B69,tab_MinKomp[[Stanowisko / Position ]:[Stanowisko / Position ]],0)))</f>
        <v>n/a</v>
      </c>
      <c r="FO70" s="349" t="str">
        <f>IF(INDEX(tab_MinKomp[Komunikatywność],MATCH($B69,tab_MinKomp[[Stanowisko / Position ]:[Stanowisko / Position ]],0))="n/a","n/a",FO69-INDEX(tab_MinKomp[Komunikatywność],MATCH($B69,tab_MinKomp[[Stanowisko / Position ]:[Stanowisko / Position ]],0)))</f>
        <v>n/a</v>
      </c>
      <c r="FP70" s="349" t="str">
        <f>IF(INDEX(tab_MinKomp[Motywowanie i budowanie zaangażowania zespołu],MATCH($B69,tab_MinKomp[[Stanowisko / Position ]:[Stanowisko / Position ]],0))="n/a","n/a",FP69-INDEX(tab_MinKomp[Motywowanie i budowanie zaangażowania zespołu],MATCH($B69,tab_MinKomp[[Stanowisko / Position ]:[Stanowisko / Position ]],0)))</f>
        <v>n/a</v>
      </c>
      <c r="FQ70" s="388" t="str">
        <f>IFERROR(IF(INDEX(tab_MinKomp[BRAK / Keine],MATCH($B69,tab_MinKomp[[Stanowisko / Position ]:[Stanowisko / Position ]],0))="n/a","n/a",INDEX(tab_MinKomp[BRAK / Keine],MATCH($B69,tab_MinKomp[[Stanowisko / Position ]:[Stanowisko / Position ]],0))-FQ69),"")</f>
        <v>n/a</v>
      </c>
      <c r="FR70" s="349" t="str">
        <f>IF(INDEX(tab_MinKomp[MINIMUM 1 ROK / min. 1 Jahr],MATCH($B69,tab_MinKomp[[Stanowisko / Position ]:[Stanowisko / Position ]],0))="n/a","n/a",INDEX(tab_MinKomp[MINIMUM 1 ROK / min. 1 Jahr],MATCH($B69,tab_MinKomp[[Stanowisko / Position ]:[Stanowisko / Position ]],0)))</f>
        <v>n/a</v>
      </c>
      <c r="FS70" s="349" t="str">
        <f>IF(INDEX(tab_MinKomp[MINIMUM 2 LATA / min. 2 Jahre],MATCH($B69,tab_MinKomp[[Stanowisko / Position ]:[Stanowisko / Position ]],0))="n/a","n/a",INDEX(tab_MinKomp[MINIMUM 2 LATA / min. 2 Jahre],MATCH($B69,tab_MinKomp[[Stanowisko / Position ]:[Stanowisko / Position ]],0)))</f>
        <v>n/a</v>
      </c>
      <c r="FT70" s="349" t="str">
        <f>IF(INDEX(tab_MinKomp[MINIMUM 3 LATA / min. 3 Jahre],MATCH($B69,tab_MinKomp[[Stanowisko / Position ]:[Stanowisko / Position ]],0))="n/a","n/a",INDEX(tab_MinKomp[MINIMUM 3 LATA / min. 3 Jahre],MATCH($B69,tab_MinKomp[[Stanowisko / Position ]:[Stanowisko / Position ]],0)))</f>
        <v>n/a</v>
      </c>
      <c r="FU70" s="349" t="str">
        <f>IF(INDEX(tab_MinKomp[MINIMUM 4 LATA / min. 4 Jahre],MATCH($B69,tab_MinKomp[[Stanowisko / Position ]:[Stanowisko / Position ]],0))="n/a","n/a",INDEX(tab_MinKomp[MINIMUM 4 LATA / min. 4 Jahre],MATCH($B69,tab_MinKomp[[Stanowisko / Position ]:[Stanowisko / Position ]],0)))</f>
        <v>n/a</v>
      </c>
      <c r="FV70" s="389" t="str">
        <f>IF(INDEX(tab_MinKomp[MINIMUM 5 LAT / min. 5 Jahre],MATCH($B69,tab_MinKomp[[Stanowisko / Position ]:[Stanowisko / Position ]],0))="n/a","n/a",INDEX(tab_MinKomp[MINIMUM 5 LAT / min. 5 Jahre],MATCH($B69,tab_MinKomp[[Stanowisko / Position ]:[Stanowisko / Position ]],0)))</f>
        <v>n/a</v>
      </c>
      <c r="FW70" s="388" t="str">
        <f>IF(INDEX(tab_MinKomp[BRAK / Keine9],MATCH($B69,tab_MinKomp[[Stanowisko / Position ]:[Stanowisko / Position ]],0))="n/a","n/a",INDEX(tab_MinKomp[BRAK / Keine9],MATCH($B69,tab_MinKomp[[Stanowisko / Position ]:[Stanowisko / Position ]],0)))</f>
        <v>n/a</v>
      </c>
      <c r="FX70" s="349" t="str">
        <f>IF(INDEX(tab_MinKomp[ZAWODOWE / Berufsausbildung],MATCH($B69,tab_MinKomp[[Stanowisko / Position ]:[Stanowisko / Position ]],0))="n/a","n/a",INDEX(tab_MinKomp[ZAWODOWE / Berufsausbildung],MATCH($B69,tab_MinKomp[[Stanowisko / Position ]:[Stanowisko / Position ]],0)))</f>
        <v>n/a</v>
      </c>
      <c r="FY70" s="349" t="s">
        <v>387</v>
      </c>
      <c r="FZ70" s="349" t="str">
        <f>IF(INDEX(tab_MinKomp[ŚREDNIE KIERUNKOWE / berufliches Gymnasium],MATCH($B69,tab_MinKomp[[Stanowisko / Position ]:[Stanowisko / Position ]],0))="n/a","n/a",INDEX(tab_MinKomp[ŚREDNIE KIERUNKOWE / berufliches Gymnasium],MATCH($B69,tab_MinKomp[[Stanowisko / Position ]:[Stanowisko / Position ]],0)))</f>
        <v>n/a</v>
      </c>
      <c r="GA70" s="349" t="str">
        <f>IF(INDEX(tab_MinKomp[WYŻSZE OGÓLNE / Hochschule allgemeine],MATCH($B69,tab_MinKomp[[Stanowisko / Position ]:[Stanowisko / Position ]],0))="n/a","n/a",INDEX(tab_MinKomp[WYŻSZE OGÓLNE / Hochschule allgemeine],MATCH($B69,tab_MinKomp[[Stanowisko / Position ]:[Stanowisko / Position ]],0)))</f>
        <v>n/a</v>
      </c>
      <c r="GB70" s="389" t="str">
        <f>IF(INDEX(tab_MinKomp[WYŻSZE KIERUNKOWE / Hochschule berufliche],MATCH($B69,tab_MinKomp[[Stanowisko / Position ]:[Stanowisko / Position ]],0))="n/a","n/a",INDEX(tab_MinKomp[WYŻSZE KIERUNKOWE / Hochschule berufliche],MATCH($B69,tab_MinKomp[[Stanowisko / Position ]:[Stanowisko / Position ]],0)))</f>
        <v>n/a</v>
      </c>
      <c r="GC70" s="388" t="str">
        <f>IF(INDEX(tab_MinKomp[PIERWSZA POMOC / Erste Hilfe],MATCH($B69,tab_MinKomp[[Stanowisko / Position ]:[Stanowisko / Position ]],0))="n/a","n/a",INDEX(tab_MinKomp[PIERWSZA POMOC / Erste Hilfe],MATCH($B69,tab_MinKomp[[Stanowisko / Position ]:[Stanowisko / Position ]],0)))</f>
        <v>n/a</v>
      </c>
      <c r="GD70" s="349" t="str">
        <f>IF(INDEX(tab_MinKomp[Specjalista BHP / BHP Spezialist],MATCH($B69,tab_MinKomp[[Stanowisko / Position ]:[Stanowisko / Position ]],0))="n/a","n/a",INDEX(tab_MinKomp[Specjalista BHP / BHP Spezialist],MATCH($B69,tab_MinKomp[[Stanowisko / Position ]:[Stanowisko / Position ]],0)))</f>
        <v>n/a</v>
      </c>
      <c r="GE70" s="349" t="str">
        <f>IF(INDEX(tab_MinKomp[Specjalista BHP / BHP Spezialist],MATCH($B69,tab_MinKomp[[Stanowisko / Position ]:[Stanowisko / Position ]],0))="n/a","n/a",INDEX(tab_MinKomp[Specjalista BHP / BHP Spezialist],MATCH($B69,tab_MinKomp[[Stanowisko / Position ]:[Stanowisko / Position ]],0)))</f>
        <v>n/a</v>
      </c>
      <c r="GF70" s="349" t="str">
        <f>IF(INDEX(tab_MinKomp[WÓZKI JEZDNIOWE / Gebelstapler],MATCH($B69,tab_MinKomp[[Stanowisko / Position ]:[Stanowisko / Position ]],0))="n/a","n/a",INDEX(tab_MinKomp[WÓZKI JEZDNIOWE / Gebelstapler],MATCH($B69,tab_MinKomp[[Stanowisko / Position ]:[Stanowisko / Position ]],0)))</f>
        <v>x</v>
      </c>
      <c r="GG70" s="349" t="str">
        <f>IF(INDEX(tab_MinKomp[SEP],MATCH($B69,tab_MinKomp[[Stanowisko / Position ]:[Stanowisko / Position ]],0))="n/a","n/a",INDEX(tab_MinKomp[SEP],MATCH($B69,tab_MinKomp[[Stanowisko / Position ]:[Stanowisko / Position ]],0)))</f>
        <v>X</v>
      </c>
      <c r="GH70" s="349" t="str">
        <f>IF(INDEX(tab_MinKomp[SEP  DOZÓR / SEP Aufsicht],MATCH($B69,tab_MinKomp[[Stanowisko / Position ]:[Stanowisko / Position ]],0))="n/a","n/a",INDEX(tab_MinKomp[SEP  DOZÓR / SEP Aufsicht],MATCH($B69,tab_MinKomp[[Stanowisko / Position ]:[Stanowisko / Position ]],0)))</f>
        <v>x</v>
      </c>
      <c r="GI70" s="349" t="str">
        <f>IF(INDEX(tab_MinKomp[PODNOŚNIKI / Hebevorrichtung],MATCH($B69,tab_MinKomp[[Stanowisko / Position ]:[Stanowisko / Position ]],0))="n/a","n/a",INDEX(tab_MinKomp[PODNOŚNIKI / Hebevorrichtung],MATCH($B69,tab_MinKomp[[Stanowisko / Position ]:[Stanowisko / Position ]],0)))</f>
        <v>X</v>
      </c>
      <c r="GJ70" s="349" t="str">
        <f>IF(INDEX(tab_MinKomp[SUWNICE / Laufkran],MATCH($B69,tab_MinKomp[[Stanowisko / Position ]:[Stanowisko / Position ]],0))="n/a","n/a",INDEX(tab_MinKomp[SUWNICE / Laufkran],MATCH($B69,tab_MinKomp[[Stanowisko / Position ]:[Stanowisko / Position ]],0)))</f>
        <v>x</v>
      </c>
      <c r="GK70" s="389" t="str">
        <f>IF(INDEX(tab_MinKomp[WYSOKOŚCIOWE / Höhenberechtigungen],MATCH($B69,tab_MinKomp[[Stanowisko / Position ]:[Stanowisko / Position ]],0))="n/a","n/a",INDEX(tab_MinKomp[WYSOKOŚCIOWE / Höhenberechtigungen],MATCH($B69,tab_MinKomp[[Stanowisko / Position ]:[Stanowisko / Position ]],0)))</f>
        <v>x</v>
      </c>
      <c r="GL70" s="376">
        <f>SUM(G70:FP70)/(GL69-(SUM(G70:FP70)))</f>
        <v>-0.53012048192771088</v>
      </c>
    </row>
    <row r="71" spans="1:195" s="133" customFormat="1" ht="28.35" customHeight="1" x14ac:dyDescent="0.25">
      <c r="A71" s="135" t="s">
        <v>181</v>
      </c>
      <c r="B71" s="135" t="s">
        <v>597</v>
      </c>
      <c r="C71" s="135" t="s">
        <v>613</v>
      </c>
      <c r="D71" s="135">
        <v>1257</v>
      </c>
      <c r="E71" s="565" t="s">
        <v>251</v>
      </c>
      <c r="F71" s="307" t="s">
        <v>165</v>
      </c>
      <c r="G71" s="308">
        <v>2</v>
      </c>
      <c r="H71" s="308">
        <v>2</v>
      </c>
      <c r="I71" s="308">
        <v>2</v>
      </c>
      <c r="J71" s="308">
        <v>2</v>
      </c>
      <c r="K71" s="308">
        <v>2</v>
      </c>
      <c r="L71" s="308">
        <v>1</v>
      </c>
      <c r="M71" s="308" t="s">
        <v>176</v>
      </c>
      <c r="N71" s="308" t="s">
        <v>176</v>
      </c>
      <c r="O71" s="308">
        <v>1</v>
      </c>
      <c r="P71" s="308">
        <v>1</v>
      </c>
      <c r="Q71" s="308" t="s">
        <v>176</v>
      </c>
      <c r="R71" s="308" t="s">
        <v>176</v>
      </c>
      <c r="S71" s="308" t="s">
        <v>176</v>
      </c>
      <c r="T71" s="308" t="s">
        <v>176</v>
      </c>
      <c r="U71" s="308" t="s">
        <v>176</v>
      </c>
      <c r="V71" s="308" t="s">
        <v>176</v>
      </c>
      <c r="W71" s="308" t="s">
        <v>176</v>
      </c>
      <c r="X71" s="308" t="s">
        <v>176</v>
      </c>
      <c r="Y71" s="308" t="s">
        <v>176</v>
      </c>
      <c r="Z71" s="308" t="s">
        <v>176</v>
      </c>
      <c r="AA71" s="308" t="s">
        <v>176</v>
      </c>
      <c r="AB71" s="308">
        <v>2</v>
      </c>
      <c r="AC71" s="308">
        <v>1</v>
      </c>
      <c r="AD71" s="308">
        <v>1</v>
      </c>
      <c r="AE71" s="308">
        <v>1</v>
      </c>
      <c r="AF71" s="308">
        <v>1</v>
      </c>
      <c r="AG71" s="308" t="s">
        <v>176</v>
      </c>
      <c r="AH71" s="308" t="s">
        <v>176</v>
      </c>
      <c r="AI71" s="308" t="s">
        <v>176</v>
      </c>
      <c r="AJ71" s="308" t="s">
        <v>176</v>
      </c>
      <c r="AK71" s="308" t="s">
        <v>176</v>
      </c>
      <c r="AL71" s="308" t="s">
        <v>176</v>
      </c>
      <c r="AM71" s="308" t="s">
        <v>176</v>
      </c>
      <c r="AN71" s="308" t="s">
        <v>176</v>
      </c>
      <c r="AO71" s="308" t="s">
        <v>176</v>
      </c>
      <c r="AP71" s="308" t="s">
        <v>176</v>
      </c>
      <c r="AQ71" s="308" t="s">
        <v>176</v>
      </c>
      <c r="AR71" s="308" t="s">
        <v>176</v>
      </c>
      <c r="AS71" s="308" t="s">
        <v>176</v>
      </c>
      <c r="AT71" s="308" t="s">
        <v>176</v>
      </c>
      <c r="AU71" s="308" t="s">
        <v>176</v>
      </c>
      <c r="AV71" s="308">
        <v>2</v>
      </c>
      <c r="AW71" s="308">
        <v>1</v>
      </c>
      <c r="AX71" s="308"/>
      <c r="AY71" s="308" t="s">
        <v>176</v>
      </c>
      <c r="AZ71" s="308" t="s">
        <v>176</v>
      </c>
      <c r="BA71" s="308" t="s">
        <v>176</v>
      </c>
      <c r="BB71" s="308" t="s">
        <v>176</v>
      </c>
      <c r="BC71" s="308" t="s">
        <v>176</v>
      </c>
      <c r="BD71" s="308" t="s">
        <v>176</v>
      </c>
      <c r="BE71" s="308" t="s">
        <v>176</v>
      </c>
      <c r="BF71" s="308" t="s">
        <v>176</v>
      </c>
      <c r="BG71" s="323" t="s">
        <v>176</v>
      </c>
      <c r="BH71" s="308" t="s">
        <v>176</v>
      </c>
      <c r="BI71" s="308" t="s">
        <v>176</v>
      </c>
      <c r="BJ71" s="308" t="s">
        <v>176</v>
      </c>
      <c r="BK71" s="308" t="s">
        <v>176</v>
      </c>
      <c r="BL71" s="308" t="s">
        <v>176</v>
      </c>
      <c r="BM71" s="308" t="s">
        <v>176</v>
      </c>
      <c r="BN71" s="308">
        <v>1</v>
      </c>
      <c r="BO71" s="308">
        <v>1</v>
      </c>
      <c r="BP71" s="308">
        <v>1</v>
      </c>
      <c r="BQ71" s="308">
        <v>1</v>
      </c>
      <c r="BR71" s="308">
        <v>1</v>
      </c>
      <c r="BS71" s="308">
        <v>1</v>
      </c>
      <c r="BT71" s="308">
        <v>1</v>
      </c>
      <c r="BU71" s="308">
        <v>1</v>
      </c>
      <c r="BV71" s="308">
        <v>1</v>
      </c>
      <c r="BW71" s="308" t="s">
        <v>176</v>
      </c>
      <c r="BX71" s="308" t="s">
        <v>176</v>
      </c>
      <c r="BY71" s="308" t="s">
        <v>176</v>
      </c>
      <c r="BZ71" s="308" t="s">
        <v>176</v>
      </c>
      <c r="CA71" s="308" t="s">
        <v>176</v>
      </c>
      <c r="CB71" s="308" t="s">
        <v>176</v>
      </c>
      <c r="CC71" s="308" t="s">
        <v>176</v>
      </c>
      <c r="CD71" s="308" t="s">
        <v>176</v>
      </c>
      <c r="CE71" s="308" t="s">
        <v>176</v>
      </c>
      <c r="CF71" s="308" t="s">
        <v>176</v>
      </c>
      <c r="CG71" s="308" t="s">
        <v>176</v>
      </c>
      <c r="CH71" s="308" t="s">
        <v>176</v>
      </c>
      <c r="CI71" s="308">
        <v>1</v>
      </c>
      <c r="CJ71" s="308" t="s">
        <v>176</v>
      </c>
      <c r="CK71" s="308" t="s">
        <v>176</v>
      </c>
      <c r="CL71" s="308" t="s">
        <v>176</v>
      </c>
      <c r="CM71" s="308" t="s">
        <v>176</v>
      </c>
      <c r="CN71" s="308">
        <v>2</v>
      </c>
      <c r="CO71" s="308">
        <v>1</v>
      </c>
      <c r="CP71" s="308">
        <v>1</v>
      </c>
      <c r="CQ71" s="308" t="s">
        <v>176</v>
      </c>
      <c r="CR71" s="308" t="s">
        <v>176</v>
      </c>
      <c r="CS71" s="308" t="s">
        <v>176</v>
      </c>
      <c r="CT71" s="308" t="s">
        <v>176</v>
      </c>
      <c r="CU71" s="308">
        <v>1</v>
      </c>
      <c r="CV71" s="308" t="s">
        <v>176</v>
      </c>
      <c r="CW71" s="308" t="s">
        <v>176</v>
      </c>
      <c r="CX71" s="308" t="s">
        <v>176</v>
      </c>
      <c r="CY71" s="308" t="s">
        <v>176</v>
      </c>
      <c r="CZ71" s="308" t="s">
        <v>176</v>
      </c>
      <c r="DA71" s="308" t="s">
        <v>176</v>
      </c>
      <c r="DB71" s="308" t="s">
        <v>176</v>
      </c>
      <c r="DC71" s="308" t="s">
        <v>176</v>
      </c>
      <c r="DD71" s="308" t="s">
        <v>176</v>
      </c>
      <c r="DE71" s="308" t="s">
        <v>176</v>
      </c>
      <c r="DF71" s="308" t="s">
        <v>176</v>
      </c>
      <c r="DG71" s="308" t="s">
        <v>176</v>
      </c>
      <c r="DH71" s="308" t="s">
        <v>176</v>
      </c>
      <c r="DI71" s="308" t="s">
        <v>176</v>
      </c>
      <c r="DJ71" s="308" t="s">
        <v>176</v>
      </c>
      <c r="DK71" s="308" t="s">
        <v>176</v>
      </c>
      <c r="DL71" s="308" t="s">
        <v>176</v>
      </c>
      <c r="DM71" s="308" t="s">
        <v>176</v>
      </c>
      <c r="DN71" s="308" t="s">
        <v>176</v>
      </c>
      <c r="DO71" s="308" t="s">
        <v>176</v>
      </c>
      <c r="DP71" s="308" t="s">
        <v>176</v>
      </c>
      <c r="DQ71" s="308" t="s">
        <v>176</v>
      </c>
      <c r="DR71" s="308" t="s">
        <v>176</v>
      </c>
      <c r="DS71" s="308" t="s">
        <v>176</v>
      </c>
      <c r="DT71" s="308" t="s">
        <v>176</v>
      </c>
      <c r="DU71" s="308" t="s">
        <v>176</v>
      </c>
      <c r="DV71" s="306" t="s">
        <v>176</v>
      </c>
      <c r="DW71" s="306" t="s">
        <v>176</v>
      </c>
      <c r="DX71" s="306" t="s">
        <v>176</v>
      </c>
      <c r="DY71" s="308">
        <v>2</v>
      </c>
      <c r="DZ71" s="308">
        <v>1</v>
      </c>
      <c r="EA71" s="308">
        <v>2</v>
      </c>
      <c r="EB71" s="308">
        <v>1</v>
      </c>
      <c r="EC71" s="308">
        <v>2</v>
      </c>
      <c r="ED71" s="308">
        <v>2</v>
      </c>
      <c r="EE71" s="308">
        <v>2</v>
      </c>
      <c r="EF71" s="308">
        <v>1</v>
      </c>
      <c r="EG71" s="308">
        <v>2</v>
      </c>
      <c r="EH71" s="308">
        <v>2</v>
      </c>
      <c r="EI71" s="308">
        <v>2</v>
      </c>
      <c r="EJ71" s="308">
        <v>2</v>
      </c>
      <c r="EK71" s="308">
        <v>1</v>
      </c>
      <c r="EL71" s="308">
        <v>1</v>
      </c>
      <c r="EM71" s="308">
        <v>1</v>
      </c>
      <c r="EN71" s="308">
        <v>1</v>
      </c>
      <c r="EO71" s="308">
        <v>2</v>
      </c>
      <c r="EP71" s="308" t="s">
        <v>176</v>
      </c>
      <c r="EQ71" s="308" t="s">
        <v>176</v>
      </c>
      <c r="ER71" s="308" t="s">
        <v>176</v>
      </c>
      <c r="ES71" s="308" t="s">
        <v>176</v>
      </c>
      <c r="ET71" s="308" t="s">
        <v>176</v>
      </c>
      <c r="EU71" s="308" t="s">
        <v>176</v>
      </c>
      <c r="EV71" s="308" t="s">
        <v>176</v>
      </c>
      <c r="EW71" s="308" t="s">
        <v>176</v>
      </c>
      <c r="EX71" s="308" t="s">
        <v>176</v>
      </c>
      <c r="EY71" s="308"/>
      <c r="EZ71" s="308"/>
      <c r="FA71" s="308" t="s">
        <v>176</v>
      </c>
      <c r="FB71" s="309" t="s">
        <v>176</v>
      </c>
      <c r="FC71" s="309" t="s">
        <v>176</v>
      </c>
      <c r="FD71" s="308">
        <v>1</v>
      </c>
      <c r="FE71" s="308">
        <v>1</v>
      </c>
      <c r="FF71" s="308"/>
      <c r="FG71" s="309">
        <v>1</v>
      </c>
      <c r="FH71" s="308">
        <v>2</v>
      </c>
      <c r="FI71" s="308">
        <v>1</v>
      </c>
      <c r="FJ71" s="308">
        <v>1</v>
      </c>
      <c r="FK71" s="308">
        <v>1</v>
      </c>
      <c r="FL71" s="308" t="s">
        <v>176</v>
      </c>
      <c r="FM71" s="308">
        <v>1</v>
      </c>
      <c r="FN71" s="308" t="s">
        <v>176</v>
      </c>
      <c r="FO71" s="308" t="s">
        <v>176</v>
      </c>
      <c r="FP71" s="308" t="s">
        <v>176</v>
      </c>
      <c r="FQ71" s="308" t="s">
        <v>176</v>
      </c>
      <c r="FR71" s="308" t="s">
        <v>176</v>
      </c>
      <c r="FS71" s="308" t="s">
        <v>176</v>
      </c>
      <c r="FT71" s="308" t="s">
        <v>176</v>
      </c>
      <c r="FU71" s="308" t="s">
        <v>176</v>
      </c>
      <c r="FV71" s="308" t="s">
        <v>176</v>
      </c>
      <c r="FW71" s="308" t="s">
        <v>176</v>
      </c>
      <c r="FX71" s="308" t="s">
        <v>176</v>
      </c>
      <c r="FY71" s="308"/>
      <c r="FZ71" s="308" t="s">
        <v>176</v>
      </c>
      <c r="GA71" s="308" t="s">
        <v>176</v>
      </c>
      <c r="GB71" s="308" t="s">
        <v>176</v>
      </c>
      <c r="GC71" s="308" t="s">
        <v>176</v>
      </c>
      <c r="GD71" s="308" t="s">
        <v>176</v>
      </c>
      <c r="GE71" s="308" t="s">
        <v>176</v>
      </c>
      <c r="GF71" s="308" t="s">
        <v>387</v>
      </c>
      <c r="GG71" s="308" t="s">
        <v>387</v>
      </c>
      <c r="GH71" s="308" t="s">
        <v>387</v>
      </c>
      <c r="GI71" s="308" t="s">
        <v>387</v>
      </c>
      <c r="GJ71" s="308" t="s">
        <v>387</v>
      </c>
      <c r="GK71" s="308" t="s">
        <v>387</v>
      </c>
      <c r="GL71" s="329">
        <f>SUM(G71:FP71)</f>
        <v>73</v>
      </c>
      <c r="GM71" s="132"/>
    </row>
    <row r="72" spans="1:195" s="133" customFormat="1" ht="28.35" customHeight="1" thickBot="1" x14ac:dyDescent="0.3">
      <c r="A72" s="138" t="str">
        <f>A71</f>
        <v>Utrzymanie ruchu-Maintenance</v>
      </c>
      <c r="B72" s="138" t="str">
        <f>B71</f>
        <v>Mechanik-konserwator</v>
      </c>
      <c r="C72" s="138" t="str">
        <f>C71</f>
        <v>KS</v>
      </c>
      <c r="D72" s="138">
        <f>D71</f>
        <v>1257</v>
      </c>
      <c r="E72" s="566" t="str">
        <f>E71</f>
        <v>Büttner Waldemar</v>
      </c>
      <c r="F72" s="312" t="s">
        <v>166</v>
      </c>
      <c r="G72" s="387">
        <f>IF(INDEX(tab_MinKomp[Przepisy BHP / BHP Vorschriften],MATCH($B71,tab_MinKomp[[Stanowisko / Position ]:[Stanowisko / Position ]],0))="n/a","n/a",G71-INDEX(tab_MinKomp[Przepisy BHP / BHP Vorschriften],MATCH($B71,tab_MinKomp[[Stanowisko / Position ]:[Stanowisko / Position ]],0)))</f>
        <v>0</v>
      </c>
      <c r="H72" s="387">
        <f>IF(INDEX(tab_MinKomp[Przepisy PPOŻ / Brandschutzbestimmungen],MATCH($B71,tab_MinKomp[[Stanowisko / Position ]:[Stanowisko / Position ]],0))="n/a","n/a",H71-INDEX(tab_MinKomp[Przepisy PPOŻ / Brandschutzbestimmungen],MATCH($B71,tab_MinKomp[[Stanowisko / Position ]:[Stanowisko / Position ]],0)))</f>
        <v>0</v>
      </c>
      <c r="I72" s="387">
        <f>IF(INDEX(tab_MinKomp[Ryzyko zawodowe na stanowiskach pracyv/ Berufliche Risiken an Arbeitsstellen],MATCH($B71,tab_MinKomp[[Stanowisko / Position ]:[Stanowisko / Position ]],0))="n/a","n/a",I71-INDEX(tab_MinKomp[Ryzyko zawodowe na stanowiskach pracyv/ Berufliche Risiken an Arbeitsstellen],MATCH($B71,tab_MinKomp[[Stanowisko / Position ]:[Stanowisko / Position ]],0)))</f>
        <v>0</v>
      </c>
      <c r="J72" s="387">
        <f>IF(INDEX(tab_MinKomp[Gospodarka substancjami niebezpiecznymi / Gefahrstoffmanagement],MATCH($B71,tab_MinKomp[[Stanowisko / Position ]:[Stanowisko / Position ]],0))="n/a","n/a",J71-INDEX(tab_MinKomp[Gospodarka substancjami niebezpiecznymi / Gefahrstoffmanagement],MATCH($B71,tab_MinKomp[[Stanowisko / Position ]:[Stanowisko / Position ]],0)))</f>
        <v>0</v>
      </c>
      <c r="K72" s="387">
        <f>IF(INDEX(tab_MinKomp[Gospodarka odpadami / Abfallwirtschaft],MATCH($B71,tab_MinKomp[[Stanowisko / Position ]:[Stanowisko / Position ]],0))="n/a","n/a",K71-INDEX(tab_MinKomp[Gospodarka odpadami / Abfallwirtschaft],MATCH($B71,tab_MinKomp[[Stanowisko / Position ]:[Stanowisko / Position ]],0)))</f>
        <v>0</v>
      </c>
      <c r="L72" s="349">
        <f>IF(INDEX(tab_MinKomp[Przepisy kodeksu pracy / Bestimmungen des Arbeitsgesetzes],MATCH($B71,tab_MinKomp[[Stanowisko / Position ]:[Stanowisko / Position ]],0))="n/a","n/a",L71-INDEX(tab_MinKomp[Przepisy kodeksu pracy / Bestimmungen des Arbeitsgesetzes],MATCH($B71,tab_MinKomp[[Stanowisko / Position ]:[Stanowisko / Position ]],0)))</f>
        <v>0</v>
      </c>
      <c r="M72" s="349" t="str">
        <f>IF(INDEX(tab_MinKomp[Przepisy o ub.społ. ZUS  / Sozialversicherungsvorschriften],MATCH($B71,tab_MinKomp[[Stanowisko / Position ]:[Stanowisko / Position ]],0))="n/a","n/a",M71-INDEX(tab_MinKomp[Przepisy o ub.społ. ZUS  / Sozialversicherungsvorschriften],MATCH($B71,tab_MinKomp[[Stanowisko / Position ]:[Stanowisko / Position ]],0)))</f>
        <v>n/a</v>
      </c>
      <c r="N72" s="349" t="str">
        <f>IF(INDEX(tab_MinKomp[PRZEPISY O PDOF /persönlich Einkommensteuergesetz ],MATCH($B71,tab_MinKomp[[Stanowisko / Position ]:[Stanowisko / Position ]],0))="n/a","n/a",N71-INDEX(tab_MinKomp[PRZEPISY O PDOF /persönlich Einkommensteuergesetz ],MATCH($B71,tab_MinKomp[[Stanowisko / Position ]:[Stanowisko / Position ]],0)))</f>
        <v>n/a</v>
      </c>
      <c r="O72" s="349">
        <f>IF(INDEX(tab_MinKomp[Regulamin pracy / Arbeitsordnung],MATCH($B71,tab_MinKomp[[Stanowisko / Position ]:[Stanowisko / Position ]],0))="n/a","n/a",O71-INDEX(tab_MinKomp[Regulamin pracy / Arbeitsordnung],MATCH($B71,tab_MinKomp[[Stanowisko / Position ]:[Stanowisko / Position ]],0)))</f>
        <v>0</v>
      </c>
      <c r="P72" s="349">
        <f>IF(INDEX(tab_MinKomp[Regulamin wynagradzania / Vergütungsordnung],MATCH($B71,tab_MinKomp[[Stanowisko / Position ]:[Stanowisko / Position ]],0))="n/a","n/a",P71-INDEX(tab_MinKomp[Regulamin wynagradzania / Vergütungsordnung],MATCH($B71,tab_MinKomp[[Stanowisko / Position ]:[Stanowisko / Position ]],0)))</f>
        <v>0</v>
      </c>
      <c r="Q72" s="349" t="str">
        <f>IF(INDEX(tab_MinKomp[System R2PŁATNIK PRO: Płace / Lohnabrechnung],MATCH($B71,tab_MinKomp[[Stanowisko / Position ]:[Stanowisko / Position ]],0))="n/a","n/a",Q71-INDEX(tab_MinKomp[System R2PŁATNIK PRO: Płace / Lohnabrechnung],MATCH($B71,tab_MinKomp[[Stanowisko / Position ]:[Stanowisko / Position ]],0)))</f>
        <v>n/a</v>
      </c>
      <c r="R72" s="349" t="str">
        <f>IF(INDEX(tab_MinKomp[SystemR2PŁATNIK PRO: KADRY / Personaldaten],MATCH($B71,tab_MinKomp[[Stanowisko / Position ]:[Stanowisko / Position ]],0))="n/a","n/a",R71-INDEX(tab_MinKomp[SystemR2PŁATNIK PRO: KADRY / Personaldaten],MATCH($B71,tab_MinKomp[[Stanowisko / Position ]:[Stanowisko / Position ]],0)))</f>
        <v>n/a</v>
      </c>
      <c r="S72" s="349" t="str">
        <f>IF(INDEX(tab_MinKomp[SYSTEM R2PŁATNIK PRO: zarządzanie pracownikami / Arbeitsverwaltung],MATCH($B71,tab_MinKomp[[Stanowisko / Position ]:[Stanowisko / Position ]],0))="n/a","n/a",S71-INDEX(tab_MinKomp[SYSTEM R2PŁATNIK PRO: zarządzanie pracownikami / Arbeitsverwaltung],MATCH($B71,tab_MinKomp[[Stanowisko / Position ]:[Stanowisko / Position ]],0)))</f>
        <v>n/a</v>
      </c>
      <c r="T72" s="349" t="str">
        <f>IF(INDEX(tab_MinKomp[Doradztwo, wsparcie personalne / Personalberatung und Unterstützung],MATCH($B71,tab_MinKomp[[Stanowisko / Position ]:[Stanowisko / Position ]],0))="n/a","n/a",T71-INDEX(tab_MinKomp[Doradztwo, wsparcie personalne / Personalberatung und Unterstützung],MATCH($B71,tab_MinKomp[[Stanowisko / Position ]:[Stanowisko / Position ]],0)))</f>
        <v>n/a</v>
      </c>
      <c r="U72" s="349" t="str">
        <f>IF(INDEX(tab_MinKomp[Przepisy o podatku VAT / MwSt.- Gesetz],MATCH($B71,tab_MinKomp[[Stanowisko / Position ]:[Stanowisko / Position ]],0))="n/a","n/a",U71-INDEX(tab_MinKomp[Przepisy o podatku VAT / MwSt.- Gesetz],MATCH($B71,tab_MinKomp[[Stanowisko / Position ]:[Stanowisko / Position ]],0)))</f>
        <v>n/a</v>
      </c>
      <c r="V72" s="349" t="str">
        <f>IF(INDEX(tab_MinKomp[PrzepisyPDOP / geschäftlich Einkommensteuergesetz],MATCH($B71,tab_MinKomp[[Stanowisko / Position ]:[Stanowisko / Position ]],0))="n/a","n/a",V71-INDEX(tab_MinKomp[PrzepisyPDOP / geschäftlich Einkommensteuergesetz],MATCH($B71,tab_MinKomp[[Stanowisko / Position ]:[Stanowisko / Position ]],0)))</f>
        <v>n/a</v>
      </c>
      <c r="W72" s="349" t="str">
        <f>IF(INDEX(tab_MinKomp[System BAAN / FINANSE (FIBU)],MATCH($B71,tab_MinKomp[[Stanowisko / Position ]:[Stanowisko / Position ]],0))="n/a","n/a",W71-INDEX(tab_MinKomp[System BAAN / FINANSE (FIBU)],MATCH($B71,tab_MinKomp[[Stanowisko / Position ]:[Stanowisko / Position ]],0)))</f>
        <v>n/a</v>
      </c>
      <c r="X72" s="349" t="str">
        <f>IF(INDEX(tab_MinKomp[Systemy pomocnicze / Hilfssysteme(STOCKPROGRAM, KALK2000 etc.)],MATCH($B71,tab_MinKomp[[Stanowisko / Position ]:[Stanowisko / Position ]],0))="n/a","n/a",X71-INDEX(tab_MinKomp[Systemy pomocnicze / Hilfssysteme(STOCKPROGRAM, KALK2000 etc.)],MATCH($B71,tab_MinKomp[[Stanowisko / Position ]:[Stanowisko / Position ]],0)))</f>
        <v>n/a</v>
      </c>
      <c r="Y72" s="349" t="str">
        <f>IF(INDEX(tab_MinKomp[Polityka rachunkowości / Buchführungspolitik],MATCH($B71,tab_MinKomp[[Stanowisko / Position ]:[Stanowisko / Position ]],0))="n/a","n/a",Y71-INDEX(tab_MinKomp[Polityka rachunkowości / Buchführungspolitik],MATCH($B71,tab_MinKomp[[Stanowisko / Position ]:[Stanowisko / Position ]],0)))</f>
        <v>n/a</v>
      </c>
      <c r="Z72" s="349" t="str">
        <f>IF(INDEX(tab_MinKomp[Ustawa o rachunkowości / Rechnungslegungsgesetz],MATCH($B71,tab_MinKomp[[Stanowisko / Position ]:[Stanowisko / Position ]],0))="n/a","n/a",Z71-INDEX(tab_MinKomp[Ustawa o rachunkowości / Rechnungslegungsgesetz],MATCH($B71,tab_MinKomp[[Stanowisko / Position ]:[Stanowisko / Position ]],0)))</f>
        <v>n/a</v>
      </c>
      <c r="AA72" s="349" t="str">
        <f>IF(INDEX(tab_MinKomp[WORKFLOW - TS-100],MATCH($B71,tab_MinKomp[[Stanowisko / Position ]:[Stanowisko / Position ]],0))="n/a","n/a",AA71-INDEX(tab_MinKomp[WORKFLOW - TS-100],MATCH($B71,tab_MinKomp[[Stanowisko / Position ]:[Stanowisko / Position ]],0)))</f>
        <v>n/a</v>
      </c>
      <c r="AB72" s="349" t="str">
        <f>IF(INDEX(tab_MinKomp[WORKFLOW - SFMS],MATCH($B71,tab_MinKomp[[Stanowisko / Position ]:[Stanowisko / Position ]],0))="n/a","n/a",AB71-INDEX(tab_MinKomp[WORKFLOW - SFMS],MATCH($B71,tab_MinKomp[[Stanowisko / Position ]:[Stanowisko / Position ]],0)))</f>
        <v>n/a</v>
      </c>
      <c r="AC72" s="349" t="str">
        <f>IF(INDEX(tab_MinKomp[System ISO 9001:2015],MATCH($B71,tab_MinKomp[[Stanowisko / Position ]:[Stanowisko / Position ]],0))="n/a","n/a",AC71-INDEX(tab_MinKomp[System ISO 9001:2015],MATCH($B71,tab_MinKomp[[Stanowisko / Position ]:[Stanowisko / Position ]],0)))</f>
        <v>n/a</v>
      </c>
      <c r="AD72" s="349" t="str">
        <f>IF(INDEX(tab_MinKomp[System IATF 16949:2016],MATCH($B71,tab_MinKomp[[Stanowisko / Position ]:[Stanowisko / Position ]],0))="n/a","n/a",AD71-INDEX(tab_MinKomp[System IATF 16949:2016],MATCH($B71,tab_MinKomp[[Stanowisko / Position ]:[Stanowisko / Position ]],0)))</f>
        <v>n/a</v>
      </c>
      <c r="AE72" s="349" t="str">
        <f>IF(INDEX(tab_MinKomp[System ISO 14001:2015],MATCH($B71,tab_MinKomp[[Stanowisko / Position ]:[Stanowisko / Position ]],0))="n/a","n/a",AE71-INDEX(tab_MinKomp[System ISO 14001:2015],MATCH($B71,tab_MinKomp[[Stanowisko / Position ]:[Stanowisko / Position ]],0)))</f>
        <v>n/a</v>
      </c>
      <c r="AF72" s="349" t="str">
        <f>IF(INDEX(tab_MinKomp[System PN-N 18001:2004 / ISO 45001:2018],MATCH($B71,tab_MinKomp[[Stanowisko / Position ]:[Stanowisko / Position ]],0))="n/a","n/a",AF71-INDEX(tab_MinKomp[System PN-N 18001:2004 / ISO 45001:2018],MATCH($B71,tab_MinKomp[[Stanowisko / Position ]:[Stanowisko / Position ]],0)))</f>
        <v>n/a</v>
      </c>
      <c r="AG72" s="349" t="str">
        <f>IF(INDEX(tab_MinKomp[Wymagania VDA 6.3 Process / Forderungen],MATCH($B71,tab_MinKomp[[Stanowisko / Position ]:[Stanowisko / Position ]],0))="n/a","n/a",AG71-INDEX(tab_MinKomp[Wymagania VDA 6.3 Process / Forderungen],MATCH($B71,tab_MinKomp[[Stanowisko / Position ]:[Stanowisko / Position ]],0)))</f>
        <v>n/a</v>
      </c>
      <c r="AH72" s="349" t="str">
        <f>IF(INDEX(tab_MinKomp[Wymagania VDA 6.5 Product / Forderungen],MATCH($B71,tab_MinKomp[[Stanowisko / Position ]:[Stanowisko / Position ]],0))="n/a","n/a",AH71-INDEX(tab_MinKomp[Wymagania VDA 6.5 Product / Forderungen],MATCH($B71,tab_MinKomp[[Stanowisko / Position ]:[Stanowisko / Position ]],0)))</f>
        <v>n/a</v>
      </c>
      <c r="AI72" s="349" t="str">
        <f>IF(INDEX(tab_MinKomp[PSCR (VW Product Safety &amp; Conformity Representative)],MATCH($B71,tab_MinKomp[[Stanowisko / Position ]:[Stanowisko / Position ]],0))="n/a","n/a",AI71-INDEX(tab_MinKomp[PSCR (VW Product Safety &amp; Conformity Representative)],MATCH($B71,tab_MinKomp[[Stanowisko / Position ]:[Stanowisko / Position ]],0)))</f>
        <v>n/a</v>
      </c>
      <c r="AJ72" s="349" t="str">
        <f>IF(INDEX(tab_MinKomp[Auditor systemu ISO 17025:2018],MATCH($B71,tab_MinKomp[[Stanowisko / Position ]:[Stanowisko / Position ]],0))="n/a","n/a",AJ71-INDEX(tab_MinKomp[Auditor systemu ISO 17025:2018],MATCH($B71,tab_MinKomp[[Stanowisko / Position ]:[Stanowisko / Position ]],0)))</f>
        <v>n/a</v>
      </c>
      <c r="AK72" s="349" t="str">
        <f>IF(INDEX(tab_MinKomp[Pełnomocnik systemu / Systemvertreter],MATCH($B71,tab_MinKomp[[Stanowisko / Position ]:[Stanowisko / Position ]],0))="n/a","n/a",AK71-INDEX(tab_MinKomp[Pełnomocnik systemu / Systemvertreter],MATCH($B71,tab_MinKomp[[Stanowisko / Position ]:[Stanowisko / Position ]],0)))</f>
        <v>n/a</v>
      </c>
      <c r="AL72" s="349"/>
      <c r="AM72" s="349" t="str">
        <f>IF(INDEX(tab_MinKomp[WDRAŻANIE NOWYCH PROJEKTÓW/ PROCEDURA CTM],MATCH($B71,tab_MinKomp[[Stanowisko / Position ]:[Stanowisko / Position ]],0))="n/a","n/a",AM71-INDEX(tab_MinKomp[WDRAŻANIE NOWYCH PROJEKTÓW/ PROCEDURA CTM],MATCH($B71,tab_MinKomp[[Stanowisko / Position ]:[Stanowisko / Position ]],0)))</f>
        <v>n/a</v>
      </c>
      <c r="AN72" s="349" t="str">
        <f>IF(INDEX(tab_MinKomp[KAMIENIE MILOWE MSL/PIFF],MATCH($B71,tab_MinKomp[[Stanowisko / Position ]:[Stanowisko / Position ]],0))="n/a","n/a",AN71-INDEX(tab_MinKomp[KAMIENIE MILOWE MSL/PIFF],MATCH($B71,tab_MinKomp[[Stanowisko / Position ]:[Stanowisko / Position ]],0)))</f>
        <v>n/a</v>
      </c>
      <c r="AO72" s="349" t="str">
        <f>IF(INDEX(tab_MinKomp[CP],MATCH($B71,tab_MinKomp[[Stanowisko / Position ]:[Stanowisko / Position ]],0))="n/a","n/a",AO71-INDEX(tab_MinKomp[CP],MATCH($B71,tab_MinKomp[[Stanowisko / Position ]:[Stanowisko / Position ]],0)))</f>
        <v>n/a</v>
      </c>
      <c r="AP72" s="349" t="str">
        <f>IF(INDEX(tab_MinKomp[FMEA],MATCH($B71,tab_MinKomp[[Stanowisko / Position ]:[Stanowisko / Position ]],0))="n/a","n/a",AP71-INDEX(tab_MinKomp[FMEA],MATCH($B71,tab_MinKomp[[Stanowisko / Position ]:[Stanowisko / Position ]],0)))</f>
        <v>n/a</v>
      </c>
      <c r="AQ72" s="349" t="str">
        <f>IF(INDEX(tab_MinKomp[FLOW CHART],MATCH($B71,tab_MinKomp[[Stanowisko / Position ]:[Stanowisko / Position ]],0))="n/a","n/a",AQ71-INDEX(tab_MinKomp[FLOW CHART],MATCH($B71,tab_MinKomp[[Stanowisko / Position ]:[Stanowisko / Position ]],0)))</f>
        <v>n/a</v>
      </c>
      <c r="AR72" s="349" t="str">
        <f>IF(INDEX(tab_MinKomp[APQP],MATCH($B71,tab_MinKomp[[Stanowisko / Position ]:[Stanowisko / Position ]],0))="n/a","n/a",AR71-INDEX(tab_MinKomp[APQP],MATCH($B71,tab_MinKomp[[Stanowisko / Position ]:[Stanowisko / Position ]],0)))</f>
        <v>n/a</v>
      </c>
      <c r="AS72" s="349" t="str">
        <f>IF(INDEX(tab_MinKomp[MSA],MATCH($B71,tab_MinKomp[[Stanowisko / Position ]:[Stanowisko / Position ]],0))="n/a","n/a",AS71-INDEX(tab_MinKomp[MSA],MATCH($B71,tab_MinKomp[[Stanowisko / Position ]:[Stanowisko / Position ]],0)))</f>
        <v>n/a</v>
      </c>
      <c r="AT72" s="349" t="str">
        <f>IF(INDEX(tab_MinKomp[SPC],MATCH($B71,tab_MinKomp[[Stanowisko / Position ]:[Stanowisko / Position ]],0))="n/a","n/a",AT71-INDEX(tab_MinKomp[SPC],MATCH($B71,tab_MinKomp[[Stanowisko / Position ]:[Stanowisko / Position ]],0)))</f>
        <v>n/a</v>
      </c>
      <c r="AU72" s="349" t="str">
        <f>IF(INDEX(tab_MinKomp[CSR (SPECYFICZNE WYMAGANIA KLIENTA)],MATCH($B71,tab_MinKomp[[Stanowisko / Position ]:[Stanowisko / Position ]],0))="n/a","n/a",AU71-INDEX(tab_MinKomp[CSR (SPECYFICZNE WYMAGANIA KLIENTA)],MATCH($B71,tab_MinKomp[[Stanowisko / Position ]:[Stanowisko / Position ]],0)))</f>
        <v>n/a</v>
      </c>
      <c r="AV72" s="349">
        <f>IF(INDEX(tab_MinKomp[5S],MATCH($B71,tab_MinKomp[[Stanowisko / Position ]:[Stanowisko / Position ]],0))="n/a","n/a",AV71-INDEX(tab_MinKomp[5S],MATCH($B71,tab_MinKomp[[Stanowisko / Position ]:[Stanowisko / Position ]],0)))</f>
        <v>0</v>
      </c>
      <c r="AW72" s="349">
        <f>IF(INDEX(tab_MinKomp[LEAN MANAGEMENT],MATCH($B71,tab_MinKomp[[Stanowisko / Position ]:[Stanowisko / Position ]],0))="n/a","n/a",AW71-INDEX(tab_MinKomp[LEAN MANAGEMENT],MATCH($B71,tab_MinKomp[[Stanowisko / Position ]:[Stanowisko / Position ]],0)))</f>
        <v>0</v>
      </c>
      <c r="AX72" s="349">
        <f>IF(INDEX(tab_MinKomp[5R],MATCH($B71,tab_MinKomp[[Stanowisko / Position ]:[Stanowisko / Position ]],0))="n/a","n/a",AX71-INDEX(tab_MinKomp[5R],MATCH($B71,tab_MinKomp[[Stanowisko / Position ]:[Stanowisko / Position ]],0)))</f>
        <v>-1</v>
      </c>
      <c r="AY72" s="349" t="str">
        <f>IF(INDEX(tab_MinKomp[Six Sigma],MATCH($B71,tab_MinKomp[[Stanowisko / Position ]:[Stanowisko / Position ]],0))="n/a","n/a",AY71-INDEX(tab_MinKomp[Six Sigma],MATCH($B71,tab_MinKomp[[Stanowisko / Position ]:[Stanowisko / Position ]],0)))</f>
        <v>n/a</v>
      </c>
      <c r="AZ72" s="349" t="str">
        <f>IF(INDEX(tab_MinKomp[System BAAN / Distribution &amp; Supply Chain],MATCH($B71,tab_MinKomp[[Stanowisko / Position ]:[Stanowisko / Position ]],0))="n/a","n/a",AZ71-INDEX(tab_MinKomp[System BAAN / Distribution &amp; Supply Chain],MATCH($B71,tab_MinKomp[[Stanowisko / Position ]:[Stanowisko / Position ]],0)))</f>
        <v>n/a</v>
      </c>
      <c r="BA72" s="349" t="str">
        <f>IF(INDEX(tab_MinKomp[Gospodarka magazynowa / Lagerverwaltung],MATCH($B71,tab_MinKomp[[Stanowisko / Position ]:[Stanowisko / Position ]],0))="n/a","n/a",BA71-INDEX(tab_MinKomp[Gospodarka magazynowa / Lagerverwaltung],MATCH($B71,tab_MinKomp[[Stanowisko / Position ]:[Stanowisko / Position ]],0)))</f>
        <v>n/a</v>
      </c>
      <c r="BB72" s="349" t="str">
        <f>IF(INDEX(tab_MinKomp[Inwentaryzacja - organizacja i przebieg / Inventurprozess],MATCH($B71,tab_MinKomp[[Stanowisko / Position ]:[Stanowisko / Position ]],0))="n/a","n/a",BB71-INDEX(tab_MinKomp[Inwentaryzacja - organizacja i przebieg / Inventurprozess],MATCH($B71,tab_MinKomp[[Stanowisko / Position ]:[Stanowisko / Position ]],0)))</f>
        <v>n/a</v>
      </c>
      <c r="BC72" s="349" t="str">
        <f>IF(INDEX(tab_MinKomp[Organizacja dostaw / Versorgungsorganisation],MATCH($B71,tab_MinKomp[[Stanowisko / Position ]:[Stanowisko / Position ]],0))="n/a","n/a",BC71-INDEX(tab_MinKomp[Organizacja dostaw / Versorgungsorganisation],MATCH($B71,tab_MinKomp[[Stanowisko / Position ]:[Stanowisko / Position ]],0)))</f>
        <v>n/a</v>
      </c>
      <c r="BD72" s="349" t="str">
        <f>IF(INDEX(tab_MinKomp[Organizacja wysyłek / Organisation von Lieferungen],MATCH($B71,tab_MinKomp[[Stanowisko / Position ]:[Stanowisko / Position ]],0))="n/a","n/a",BD71-INDEX(tab_MinKomp[Organizacja wysyłek / Organisation von Lieferungen],MATCH($B71,tab_MinKomp[[Stanowisko / Position ]:[Stanowisko / Position ]],0)))</f>
        <v>n/a</v>
      </c>
      <c r="BE72" s="349" t="str">
        <f>IF(INDEX(tab_MinKomp[Analiza magazynowa - Program Polen.mdb / Inventuranalyse],MATCH($B71,tab_MinKomp[[Stanowisko / Position ]:[Stanowisko / Position ]],0))="n/a","n/a",BE71-INDEX(tab_MinKomp[Analiza magazynowa - Program Polen.mdb / Inventuranalyse],MATCH($B71,tab_MinKomp[[Stanowisko / Position ]:[Stanowisko / Position ]],0)))</f>
        <v>n/a</v>
      </c>
      <c r="BF72" s="349" t="str">
        <f>IF(INDEX(tab_MinKomp[MMOG (Materials Management Operations Guidelines)],MATCH($B71,tab_MinKomp[[Stanowisko / Position ]:[Stanowisko / Position ]],0))="n/a","n/a",BF71-INDEX(tab_MinKomp[MMOG (Materials Management Operations Guidelines)],MATCH($B71,tab_MinKomp[[Stanowisko / Position ]:[Stanowisko / Position ]],0)))</f>
        <v>n/a</v>
      </c>
      <c r="BG72" s="349" t="str">
        <f>IF(INDEX(tab_MinKomp[DETC],MATCH($B71,tab_MinKomp[[Stanowisko / Position ]:[Stanowisko / Position ]],0))="n/a","n/a",BG71-INDEX(tab_MinKomp[DETC],MATCH($B71,tab_MinKomp[[Stanowisko / Position ]:[Stanowisko / Position ]],0)))</f>
        <v>n/a</v>
      </c>
      <c r="BH72" s="349" t="str">
        <f>IF(INDEX(tab_MinKomp[GPP],MATCH($B71,tab_MinKomp[[Stanowisko / Position ]:[Stanowisko / Position ]],0))="n/a","n/a",BH71-INDEX(tab_MinKomp[GPP],MATCH($B71,tab_MinKomp[[Stanowisko / Position ]:[Stanowisko / Position ]],0)))</f>
        <v>n/a</v>
      </c>
      <c r="BI72" s="349" t="str">
        <f>IF(INDEX(tab_MinKomp[AIAG (Automotive Industry Action Group)],MATCH($B71,tab_MinKomp[[Stanowisko / Position ]:[Stanowisko / Position ]],0))="n/a","n/a",BI71-INDEX(tab_MinKomp[AIAG (Automotive Industry Action Group)],MATCH($B71,tab_MinKomp[[Stanowisko / Position ]:[Stanowisko / Position ]],0)))</f>
        <v>n/a</v>
      </c>
      <c r="BJ72" s="349" t="str">
        <f>IF(INDEX(tab_MinKomp[Super-G disputes],MATCH($B71,tab_MinKomp[[Stanowisko / Position ]:[Stanowisko / Position ]],0))="n/a","n/a",BJ71-INDEX(tab_MinKomp[Super-G disputes],MATCH($B71,tab_MinKomp[[Stanowisko / Position ]:[Stanowisko / Position ]],0)))</f>
        <v>n/a</v>
      </c>
      <c r="BK72" s="349" t="str">
        <f>IF(INDEX(tab_MinKomp[CMMS3/eDDL (Direct Data Link)],MATCH($B71,tab_MinKomp[[Stanowisko / Position ]:[Stanowisko / Position ]],0))="n/a","n/a",BK71-INDEX(tab_MinKomp[CMMS3/eDDL (Direct Data Link)],MATCH($B71,tab_MinKomp[[Stanowisko / Position ]:[Stanowisko / Position ]],0)))</f>
        <v>n/a</v>
      </c>
      <c r="BL72" s="349" t="str">
        <f>IF(INDEX(tab_MinKomp[MP&amp;L (Material Planning and Logistics)],MATCH($B71,tab_MinKomp[[Stanowisko / Position ]:[Stanowisko / Position ]],0))="n/a","n/a",BL71-INDEX(tab_MinKomp[MP&amp;L (Material Planning and Logistics)],MATCH($B71,tab_MinKomp[[Stanowisko / Position ]:[Stanowisko / Position ]],0)))</f>
        <v>n/a</v>
      </c>
      <c r="BM72" s="349" t="str">
        <f>IF(INDEX(tab_MinKomp[Planowanie produkcji / Produktionsplanung],MATCH($B71,tab_MinKomp[[Stanowisko / Position ]:[Stanowisko / Position ]],0))="n/a","n/a",BM71-INDEX(tab_MinKomp[Planowanie produkcji / Produktionsplanung],MATCH($B71,tab_MinKomp[[Stanowisko / Position ]:[Stanowisko / Position ]],0)))</f>
        <v>n/a</v>
      </c>
      <c r="BN72" s="349">
        <f>IF(INDEX(tab_MinKomp[Obsługa maszyn Engel / Engel Maschinenbedienung],MATCH($B71,tab_MinKomp[[Stanowisko / Position ]:[Stanowisko / Position ]],0))="n/a","n/a",BN71-INDEX(tab_MinKomp[Obsługa maszyn Engel / Engel Maschinenbedienung],MATCH($B71,tab_MinKomp[[Stanowisko / Position ]:[Stanowisko / Position ]],0)))</f>
        <v>0</v>
      </c>
      <c r="BO72" s="349">
        <f>IF(INDEX(tab_MinKomp[Obsługa maszyn Novapax / Novapax Maschinenbedienung],MATCH($B71,tab_MinKomp[[Stanowisko / Position ]:[Stanowisko / Position ]],0))="n/a","n/a",BO71-INDEX(tab_MinKomp[Obsługa maszyn Novapax / Novapax Maschinenbedienung],MATCH($B71,tab_MinKomp[[Stanowisko / Position ]:[Stanowisko / Position ]],0)))</f>
        <v>0</v>
      </c>
      <c r="BP72" s="349">
        <f>IF(INDEX(tab_MinKomp[Obsługa maszyn KVT / KVT Maschinenbedienung],MATCH($B71,tab_MinKomp[[Stanowisko / Position ]:[Stanowisko / Position ]],0))="n/a","n/a",BP71-INDEX(tab_MinKomp[Obsługa maszyn KVT / KVT Maschinenbedienung],MATCH($B71,tab_MinKomp[[Stanowisko / Position ]:[Stanowisko / Position ]],0)))</f>
        <v>0</v>
      </c>
      <c r="BQ72" s="349">
        <f>IF(INDEX(tab_MinKomp[Obsługa maszyn ASL / ASL Maschinenbedienung],MATCH($B71,tab_MinKomp[[Stanowisko / Position ]:[Stanowisko / Position ]],0))="n/a","n/a",BQ71-INDEX(tab_MinKomp[Obsługa maszyn ASL / ASL Maschinenbedienung],MATCH($B71,tab_MinKomp[[Stanowisko / Position ]:[Stanowisko / Position ]],0)))</f>
        <v>0</v>
      </c>
      <c r="BR72" s="349">
        <f>IF(INDEX(tab_MinKomp[Obsługa maszyn Branson / Branson Maschinenbedienung],MATCH($B71,tab_MinKomp[[Stanowisko / Position ]:[Stanowisko / Position ]],0))="n/a","n/a",BR71-INDEX(tab_MinKomp[Obsługa maszyn Branson / Branson Maschinenbedienung],MATCH($B71,tab_MinKomp[[Stanowisko / Position ]:[Stanowisko / Position ]],0)))</f>
        <v>0</v>
      </c>
      <c r="BS72" s="349">
        <f>IF(INDEX(tab_MinKomp[Obsługa maszyn Kamtec / Kamtec Maschinenbedienung],MATCH($B71,tab_MinKomp[[Stanowisko / Position ]:[Stanowisko / Position ]],0))="n/a","n/a",BS71-INDEX(tab_MinKomp[Obsługa maszyn Kamtec / Kamtec Maschinenbedienung],MATCH($B71,tab_MinKomp[[Stanowisko / Position ]:[Stanowisko / Position ]],0)))</f>
        <v>0</v>
      </c>
      <c r="BT72" s="349">
        <f>IF(INDEX(tab_MinKomp[Obsługa maszyn Piovan / Piovan Maschinenbedienung],MATCH($B71,tab_MinKomp[[Stanowisko / Position ]:[Stanowisko / Position ]],0))="n/a","n/a",BT71-INDEX(tab_MinKomp[Obsługa maszyn Piovan / Piovan Maschinenbedienung],MATCH($B71,tab_MinKomp[[Stanowisko / Position ]:[Stanowisko / Position ]],0)))</f>
        <v>0</v>
      </c>
      <c r="BU72" s="349">
        <f>IF(INDEX(tab_MinKomp[Obsługa maszyn REP / REP Maschinenbedienung],MATCH($B71,tab_MinKomp[[Stanowisko / Position ]:[Stanowisko / Position ]],0))="n/a","n/a",BU71-INDEX(tab_MinKomp[Obsługa maszyn REP / REP Maschinenbedienung],MATCH($B71,tab_MinKomp[[Stanowisko / Position ]:[Stanowisko / Position ]],0)))</f>
        <v>0</v>
      </c>
      <c r="BV72" s="349">
        <f>IF(INDEX(tab_MinKomp[Eliminacja awarii / Beseitigung von Ausfällen],MATCH($B71,tab_MinKomp[[Stanowisko / Position ]:[Stanowisko / Position ]],0))="n/a","n/a",BV71-INDEX(tab_MinKomp[Eliminacja awarii / Beseitigung von Ausfällen],MATCH($B71,tab_MinKomp[[Stanowisko / Position ]:[Stanowisko / Position ]],0)))</f>
        <v>-1</v>
      </c>
      <c r="BW72" s="349" t="str">
        <f>IF(INDEX(tab_MinKomp[Informatyka ogólna (techniczne i systemowe) / Allgemeine IT (Technik und System)],MATCH($B71,tab_MinKomp[[Stanowisko / Position ]:[Stanowisko / Position ]],0))="n/a","n/a",BW71-INDEX(tab_MinKomp[Informatyka ogólna (techniczne i systemowe) / Allgemeine IT (Technik und System)],MATCH($B71,tab_MinKomp[[Stanowisko / Position ]:[Stanowisko / Position ]],0)))</f>
        <v>n/a</v>
      </c>
      <c r="BX72" s="349" t="str">
        <f>IF(INDEX(tab_MinKomp[Sieci komputerowe / Computernetzwerke],MATCH($B71,tab_MinKomp[[Stanowisko / Position ]:[Stanowisko / Position ]],0))="n/a","n/a",BX71-INDEX(tab_MinKomp[Sieci komputerowe / Computernetzwerke],MATCH($B71,tab_MinKomp[[Stanowisko / Position ]:[Stanowisko / Position ]],0)))</f>
        <v>n/a</v>
      </c>
      <c r="BY72" s="349" t="str">
        <f>IF(INDEX(tab_MinKomp[Hardware (komputery PC, drukarki biurowe i etykietowe, telefonia stacjonarna i mobilna) (PC, Drucker, Telefpne, Handys)],MATCH($B71,tab_MinKomp[[Stanowisko / Position ]:[Stanowisko / Position ]],0))="n/a","n/a",BY71-INDEX(tab_MinKomp[Hardware (komputery PC, drukarki biurowe i etykietowe, telefonia stacjonarna i mobilna) (PC, Drucker, Telefpne, Handys)],MATCH($B71,tab_MinKomp[[Stanowisko / Position ]:[Stanowisko / Position ]],0)))</f>
        <v>n/a</v>
      </c>
      <c r="BZ72" s="349" t="str">
        <f>IF(INDEX(tab_MinKomp[Software &amp; Systems (MS Office, MS Remote Desktop)],MATCH($B71,tab_MinKomp[[Stanowisko / Position ]:[Stanowisko / Position ]],0))="n/a","n/a",BZ71-INDEX(tab_MinKomp[Software &amp; Systems (MS Office, MS Remote Desktop)],MATCH($B71,tab_MinKomp[[Stanowisko / Position ]:[Stanowisko / Position ]],0)))</f>
        <v>n/a</v>
      </c>
      <c r="CA72" s="349" t="str">
        <f>IF(INDEX(tab_MinKomp[Programowanie obiektowe (PHP) / Objektprogrammierung],MATCH($B71,tab_MinKomp[[Stanowisko / Position ]:[Stanowisko / Position ]],0))="n/a","n/a",CA71-INDEX(tab_MinKomp[Programowanie obiektowe (PHP) / Objektprogrammierung],MATCH($B71,tab_MinKomp[[Stanowisko / Position ]:[Stanowisko / Position ]],0)))</f>
        <v>n/a</v>
      </c>
      <c r="CB72" s="349" t="str">
        <f>IF(INDEX(tab_MinKomp[Scrum],MATCH($B71,tab_MinKomp[[Stanowisko / Position ]:[Stanowisko / Position ]],0))="n/a","n/a",CB71-INDEX(tab_MinKomp[Scrum],MATCH($B71,tab_MinKomp[[Stanowisko / Position ]:[Stanowisko / Position ]],0)))</f>
        <v>n/a</v>
      </c>
      <c r="CC72" s="349" t="str">
        <f>IF(INDEX(tab_MinKomp[SQL (MySQL)],MATCH($B71,tab_MinKomp[[Stanowisko / Position ]:[Stanowisko / Position ]],0))="n/a","n/a",CC71-INDEX(tab_MinKomp[SQL (MySQL)],MATCH($B71,tab_MinKomp[[Stanowisko / Position ]:[Stanowisko / Position ]],0)))</f>
        <v>n/a</v>
      </c>
      <c r="CD72" s="349" t="str">
        <f>IF(INDEX(tab_MinKomp[Javascript],MATCH($B71,tab_MinKomp[[Stanowisko / Position ]:[Stanowisko / Position ]],0))="n/a","n/a",CD71-INDEX(tab_MinKomp[Javascript],MATCH($B71,tab_MinKomp[[Stanowisko / Position ]:[Stanowisko / Position ]],0)))</f>
        <v>n/a</v>
      </c>
      <c r="CE72" s="349" t="str">
        <f>IF(INDEX(tab_MinKomp[Joomla],MATCH($B71,tab_MinKomp[[Stanowisko / Position ]:[Stanowisko / Position ]],0))="n/a","n/a",CE71-INDEX(tab_MinKomp[Joomla],MATCH($B71,tab_MinKomp[[Stanowisko / Position ]:[Stanowisko / Position ]],0)))</f>
        <v>n/a</v>
      </c>
      <c r="CF72" s="349" t="str">
        <f>IF(INDEX(tab_MinKomp[Bash],MATCH($B71,tab_MinKomp[[Stanowisko / Position ]:[Stanowisko / Position ]],0))="n/a","n/a",CF71-INDEX(tab_MinKomp[Bash],MATCH($B71,tab_MinKomp[[Stanowisko / Position ]:[Stanowisko / Position ]],0)))</f>
        <v>n/a</v>
      </c>
      <c r="CG72" s="349" t="str">
        <f>IF(INDEX(tab_MinKomp[Systemy MES (HYDRA / SFMS)],MATCH($B71,tab_MinKomp[[Stanowisko / Position ]:[Stanowisko / Position ]],0))="n/a","n/a",CG71-INDEX(tab_MinKomp[Systemy MES (HYDRA / SFMS)],MATCH($B71,tab_MinKomp[[Stanowisko / Position ]:[Stanowisko / Position ]],0)))</f>
        <v>n/a</v>
      </c>
      <c r="CH72" s="349" t="str">
        <f>IF(INDEX(tab_MinKomp[HTML / CSS],MATCH($B71,tab_MinKomp[[Stanowisko / Position ]:[Stanowisko / Position ]],0))="n/a","n/a",CH71-INDEX(tab_MinKomp[HTML / CSS],MATCH($B71,tab_MinKomp[[Stanowisko / Position ]:[Stanowisko / Position ]],0)))</f>
        <v>n/a</v>
      </c>
      <c r="CI72" s="349" t="str">
        <f>IF(INDEX(tab_MinKomp[SYSTEM PR],MATCH($B71,tab_MinKomp[[Stanowisko / Position ]:[Stanowisko / Position ]],0))="n/a","n/a",CI71-INDEX(tab_MinKomp[SYSTEM PR],MATCH($B71,tab_MinKomp[[Stanowisko / Position ]:[Stanowisko / Position ]],0)))</f>
        <v>n/a</v>
      </c>
      <c r="CJ72" s="349" t="str">
        <f>IF(INDEX(tab_MinKomp[System Einkauf XP / EBA],MATCH($B71,tab_MinKomp[[Stanowisko / Position ]:[Stanowisko / Position ]],0))="n/a","n/a",CJ71-INDEX(tab_MinKomp[System Einkauf XP / EBA],MATCH($B71,tab_MinKomp[[Stanowisko / Position ]:[Stanowisko / Position ]],0)))</f>
        <v>n/a</v>
      </c>
      <c r="CK72" s="349" t="str">
        <f>IF(INDEX(tab_MinKomp[Techniki negocjacyjne / Verhandlungstechniken],MATCH($B71,tab_MinKomp[[Stanowisko / Position ]:[Stanowisko / Position ]],0))="n/a","n/a",CK71-INDEX(tab_MinKomp[Techniki negocjacyjne / Verhandlungstechniken],MATCH($B71,tab_MinKomp[[Stanowisko / Position ]:[Stanowisko / Position ]],0)))</f>
        <v>n/a</v>
      </c>
      <c r="CL72" s="349" t="str">
        <f>IF(INDEX(tab_MinKomp[Znajomość rynku branżowego / Kenntnis des Industrie Marktes],MATCH($B71,tab_MinKomp[[Stanowisko / Position ]:[Stanowisko / Position ]],0))="n/a","n/a",CL71-INDEX(tab_MinKomp[Znajomość rynku branżowego / Kenntnis des Industrie Marktes],MATCH($B71,tab_MinKomp[[Stanowisko / Position ]:[Stanowisko / Position ]],0)))</f>
        <v>n/a</v>
      </c>
      <c r="CM72" s="349" t="str">
        <f>IF(INDEX(tab_MinKomp[RAPORTY 8D / 8D Berichten],MATCH($B71,tab_MinKomp[[Stanowisko / Position ]:[Stanowisko / Position ]],0))="n/a","n/a",CM71-INDEX(tab_MinKomp[RAPORTY 8D / 8D Berichten],MATCH($B71,tab_MinKomp[[Stanowisko / Position ]:[Stanowisko / Position ]],0)))</f>
        <v>n/a</v>
      </c>
      <c r="CN72" s="349">
        <f>IF(INDEX(tab_MinKomp[NARZĘDZIA JAKOŚCIOWE (5WHY, Ishikawa, etc) / QS-Werkzeuge],MATCH($B71,tab_MinKomp[[Stanowisko / Position ]:[Stanowisko / Position ]],0))="n/a","n/a",CN71-INDEX(tab_MinKomp[NARZĘDZIA JAKOŚCIOWE (5WHY, Ishikawa, etc) / QS-Werkzeuge],MATCH($B71,tab_MinKomp[[Stanowisko / Position ]:[Stanowisko / Position ]],0)))</f>
        <v>0</v>
      </c>
      <c r="CO72" s="349">
        <f>IF(INDEX(tab_MinKomp[PDCA],MATCH($B71,tab_MinKomp[[Stanowisko / Position ]:[Stanowisko / Position ]],0))="n/a","n/a",CO71-INDEX(tab_MinKomp[PDCA],MATCH($B71,tab_MinKomp[[Stanowisko / Position ]:[Stanowisko / Position ]],0)))</f>
        <v>-1</v>
      </c>
      <c r="CP72" s="349">
        <f>IF(INDEX(tab_MinKomp[Pareto],MATCH($B71,tab_MinKomp[[Stanowisko / Position ]:[Stanowisko / Position ]],0))="n/a","n/a",CP71-INDEX(tab_MinKomp[Pareto],MATCH($B71,tab_MinKomp[[Stanowisko / Position ]:[Stanowisko / Position ]],0)))</f>
        <v>-1</v>
      </c>
      <c r="CQ72" s="349" t="str">
        <f>IF(INDEX(tab_MinKomp[PPAP/PSW],MATCH($B71,tab_MinKomp[[Stanowisko / Position ]:[Stanowisko / Position ]],0))="n/a","n/a",CQ71-INDEX(tab_MinKomp[PPAP/PSW],MATCH($B71,tab_MinKomp[[Stanowisko / Position ]:[Stanowisko / Position ]],0)))</f>
        <v>n/a</v>
      </c>
      <c r="CR72" s="349" t="str">
        <f>IF(INDEX(tab_MinKomp[SUPPLIER MANAGEMENT],MATCH($B71,tab_MinKomp[[Stanowisko / Position ]:[Stanowisko / Position ]],0))="n/a","n/a",CR71-INDEX(tab_MinKomp[SUPPLIER MANAGEMENT],MATCH($B71,tab_MinKomp[[Stanowisko / Position ]:[Stanowisko / Position ]],0)))</f>
        <v>n/a</v>
      </c>
      <c r="CS72" s="349" t="str">
        <f>IF(INDEX(tab_MinKomp[OBSŁUGA PORTALI KLIENTA / Kundenportale],MATCH($B71,tab_MinKomp[[Stanowisko / Position ]:[Stanowisko / Position ]],0))="n/a","n/a",CS71-INDEX(tab_MinKomp[OBSŁUGA PORTALI KLIENTA / Kundenportale],MATCH($B71,tab_MinKomp[[Stanowisko / Position ]:[Stanowisko / Position ]],0)))</f>
        <v>n/a</v>
      </c>
      <c r="CT72" s="349" t="str">
        <f>IF(INDEX(tab_MinKomp[Obsługa systemu BABTECQ / BABTECQ System],MATCH($B71,tab_MinKomp[[Stanowisko / Position ]:[Stanowisko / Position ]],0))="n/a","n/a",CT71-INDEX(tab_MinKomp[Obsługa systemu BABTECQ / BABTECQ System],MATCH($B71,tab_MinKomp[[Stanowisko / Position ]:[Stanowisko / Position ]],0)))</f>
        <v>n/a</v>
      </c>
      <c r="CU72" s="349">
        <f>IF(INDEX(tab_MinKomp[Rysunek techniczny / technische Zeichnung],MATCH($B71,tab_MinKomp[[Stanowisko / Position ]:[Stanowisko / Position ]],0))="n/a","n/a",CU71-INDEX(tab_MinKomp[Rysunek techniczny / technische Zeichnung],MATCH($B71,tab_MinKomp[[Stanowisko / Position ]:[Stanowisko / Position ]],0)))</f>
        <v>-1</v>
      </c>
      <c r="CV72" s="349" t="str">
        <f>IF(INDEX(tab_MinKomp[Kalibracja / Kalibrierung],MATCH($B71,tab_MinKomp[[Stanowisko / Position ]:[Stanowisko / Position ]],0))="n/a","n/a",CV71-INDEX(tab_MinKomp[Kalibracja / Kalibrierung],MATCH($B71,tab_MinKomp[[Stanowisko / Position ]:[Stanowisko / Position ]],0)))</f>
        <v>n/a</v>
      </c>
      <c r="CW72" s="349" t="str">
        <f>IF(INDEX(tab_MinKomp[Rekwalifikacja / Requalifizierung],MATCH($B71,tab_MinKomp[[Stanowisko / Position ]:[Stanowisko / Position ]],0))="n/a","n/a",CW71-INDEX(tab_MinKomp[Rekwalifikacja / Requalifizierung],MATCH($B71,tab_MinKomp[[Stanowisko / Position ]:[Stanowisko / Position ]],0)))</f>
        <v>n/a</v>
      </c>
      <c r="CX72" s="349" t="str">
        <f>IF(INDEX(tab_MinKomp[Obsługa mikroskopu optycznego / Bedienung eines optischen Mikroskops],MATCH($B71,tab_MinKomp[[Stanowisko / Position ]:[Stanowisko / Position ]],0))="n/a","n/a",CX71-INDEX(tab_MinKomp[Obsługa mikroskopu optycznego / Bedienung eines optischen Mikroskops],MATCH($B71,tab_MinKomp[[Stanowisko / Position ]:[Stanowisko / Position ]],0)))</f>
        <v>n/a</v>
      </c>
      <c r="CY72" s="349" t="str">
        <f>IF(INDEX(tab_MinKomp[Wykonywanie pomiarów optycznych - ocena wizualna / Optische Messungen durchführen – visuelle Beurteilung],MATCH($B71,tab_MinKomp[[Stanowisko / Position ]:[Stanowisko / Position ]],0))="n/a","n/a",CY71-INDEX(tab_MinKomp[Wykonywanie pomiarów optycznych - ocena wizualna / Optische Messungen durchführen – visuelle Beurteilung],MATCH($B71,tab_MinKomp[[Stanowisko / Position ]:[Stanowisko / Position ]],0)))</f>
        <v>n/a</v>
      </c>
      <c r="CZ72" s="349" t="str">
        <f>IF(INDEX(tab_MinKomp[Obsługa Rheometra / Rheometra-Unterstützung],MATCH($B71,tab_MinKomp[[Stanowisko / Position ]:[Stanowisko / Position ]],0))="n/a","n/a",CZ71-INDEX(tab_MinKomp[Obsługa Rheometra / Rheometra-Unterstützung],MATCH($B71,tab_MinKomp[[Stanowisko / Position ]:[Stanowisko / Position ]],0)))</f>
        <v>n/a</v>
      </c>
      <c r="DA72" s="349" t="str">
        <f>IF(INDEX(tab_MinKomp[Testy właściwości Rheometra mieszanki gumy],MATCH($B71,tab_MinKomp[[Stanowisko / Position ]:[Stanowisko / Position ]],0))="n/a","n/a",DA71-INDEX(tab_MinKomp[Testy właściwości Rheometra mieszanki gumy],MATCH($B71,tab_MinKomp[[Stanowisko / Position ]:[Stanowisko / Position ]],0)))</f>
        <v>n/a</v>
      </c>
      <c r="DB72" s="349" t="str">
        <f>IF(INDEX(tab_MinKomp[CMM - Contura Zeiss],MATCH($B71,tab_MinKomp[[Stanowisko / Position ]:[Stanowisko / Position ]],0))="n/a","n/a",DB71-INDEX(tab_MinKomp[CMM - Contura Zeiss],MATCH($B71,tab_MinKomp[[Stanowisko / Position ]:[Stanowisko / Position ]],0)))</f>
        <v>n/a</v>
      </c>
      <c r="DC72" s="349" t="str">
        <f>IF(INDEX(tab_MinKomp[Wykonywanie precyzyjnych pomiarów metrycznych, pomiary 3D],MATCH($B71,tab_MinKomp[[Stanowisko / Position ]:[Stanowisko / Position ]],0))="n/a","n/a",DC71-INDEX(tab_MinKomp[Wykonywanie precyzyjnych pomiarów metrycznych, pomiary 3D],MATCH($B71,tab_MinKomp[[Stanowisko / Position ]:[Stanowisko / Position ]],0)))</f>
        <v>n/a</v>
      </c>
      <c r="DD72" s="349" t="str">
        <f>IF(INDEX(tab_MinKomp[Pisanie programów / Programme schreiben],MATCH($B71,tab_MinKomp[[Stanowisko / Position ]:[Stanowisko / Position ]],0))="n/a","n/a",DD71-INDEX(tab_MinKomp[Pisanie programów / Programme schreiben],MATCH($B71,tab_MinKomp[[Stanowisko / Position ]:[Stanowisko / Position ]],0)))</f>
        <v>n/a</v>
      </c>
      <c r="DE72" s="349" t="str">
        <f>IF(INDEX(tab_MinKomp[Obsługa wyposażenia do testów czystości (myjka + analizator) / Betrieb von Sauberkeitsprüfgeräten (Waschmaschine + Analysegerät)],MATCH($B71,tab_MinKomp[[Stanowisko / Position ]:[Stanowisko / Position ]],0))="n/a","n/a",DE71-INDEX(tab_MinKomp[Obsługa wyposażenia do testów czystości (myjka + analizator) / Betrieb von Sauberkeitsprüfgeräten (Waschmaschine + Analysegerät)],MATCH($B71,tab_MinKomp[[Stanowisko / Position ]:[Stanowisko / Position ]],0)))</f>
        <v>n/a</v>
      </c>
      <c r="DF72" s="349" t="str">
        <f>IF(INDEX(tab_MinKomp[Testy czystości / Reinheitstests],MATCH($B71,tab_MinKomp[[Stanowisko / Position ]:[Stanowisko / Position ]],0))="n/a","n/a",DF71-INDEX(tab_MinKomp[Testy czystości / Reinheitstests],MATCH($B71,tab_MinKomp[[Stanowisko / Position ]:[Stanowisko / Position ]],0)))</f>
        <v>n/a</v>
      </c>
      <c r="DG72" s="349" t="str">
        <f>IF(INDEX(tab_MinKomp[Obsługa wysokościomierza / Unterstützung für Höhenmesser],MATCH($B71,tab_MinKomp[[Stanowisko / Position ]:[Stanowisko / Position ]],0))="n/a","n/a",DG71-INDEX(tab_MinKomp[Obsługa wysokościomierza / Unterstützung für Höhenmesser],MATCH($B71,tab_MinKomp[[Stanowisko / Position ]:[Stanowisko / Position ]],0)))</f>
        <v>n/a</v>
      </c>
      <c r="DH72" s="349" t="str">
        <f>IF(INDEX(tab_MinKomp[Pomiary wysokości materiału / Materialhöhenmessungen],MATCH($B71,tab_MinKomp[[Stanowisko / Position ]:[Stanowisko / Position ]],0))="n/a","n/a",DH71-INDEX(tab_MinKomp[Pomiary wysokości materiału / Materialhöhenmessungen],MATCH($B71,tab_MinKomp[[Stanowisko / Position ]:[Stanowisko / Position ]],0)))</f>
        <v>n/a</v>
      </c>
      <c r="DI72" s="349" t="str">
        <f>IF(INDEX(tab_MinKomp[Obsługa okrągłościomierza / Unterstützung für Rundheitsmessgeräte],MATCH($B71,tab_MinKomp[[Stanowisko / Position ]:[Stanowisko / Position ]],0))="n/a","n/a",DI71-INDEX(tab_MinKomp[Obsługa okrągłościomierza / Unterstützung für Rundheitsmessgeräte],MATCH($B71,tab_MinKomp[[Stanowisko / Position ]:[Stanowisko / Position ]],0)))</f>
        <v>n/a</v>
      </c>
      <c r="DJ72" s="349" t="str">
        <f>IF(INDEX(tab_MinKomp[Wykonywania pomiarów owalności, srednicy materiału / Messung der Ovalität und des Durchmessers des Materials],MATCH($B71,tab_MinKomp[[Stanowisko / Position ]:[Stanowisko / Position ]],0))="n/a","n/a",DJ71-INDEX(tab_MinKomp[Wykonywania pomiarów owalności, srednicy materiału / Messung der Ovalität und des Durchmessers des Materials],MATCH($B71,tab_MinKomp[[Stanowisko / Position ]:[Stanowisko / Position ]],0)))</f>
        <v>n/a</v>
      </c>
      <c r="DK72" s="349" t="str">
        <f>IF(INDEX(tab_MinKomp[Obsługa urządzenia do pomiarów chropowoatości powierzchni materiału],MATCH($B71,tab_MinKomp[[Stanowisko / Position ]:[Stanowisko / Position ]],0))="n/a","n/a",DK71-INDEX(tab_MinKomp[Obsługa urządzenia do pomiarów chropowoatości powierzchni materiału],MATCH($B71,tab_MinKomp[[Stanowisko / Position ]:[Stanowisko / Position ]],0)))</f>
        <v>n/a</v>
      </c>
      <c r="DL72" s="349" t="str">
        <f>IF(INDEX(tab_MinKomp[Wykonywanie pomiarów chropowatości powierzchni materiału / Durchführung von Messungen der Materialoberflächenrauheit],MATCH($B71,tab_MinKomp[[Stanowisko / Position ]:[Stanowisko / Position ]],0))="n/a","n/a",DL71-INDEX(tab_MinKomp[Wykonywanie pomiarów chropowatości powierzchni materiału / Durchführung von Messungen der Materialoberflächenrauheit],MATCH($B71,tab_MinKomp[[Stanowisko / Position ]:[Stanowisko / Position ]],0)))</f>
        <v>n/a</v>
      </c>
      <c r="DM72" s="349" t="str">
        <f>IF(INDEX(tab_MinKomp[Obsługa urządzenia do pomiaru siły radialnej części - postępowanie z trzpieniami. / Funktionsweise des Geräts zur Messung der Radialkraft von Teilen – Handhabungsstifte.],MATCH($B71,tab_MinKomp[[Stanowisko / Position ]:[Stanowisko / Position ]],0))="n/a","n/a",DM71-INDEX(tab_MinKomp[Obsługa urządzenia do pomiaru siły radialnej części - postępowanie z trzpieniami. / Funktionsweise des Geräts zur Messung der Radialkraft von Teilen – Handhabungsstifte.],MATCH($B71,tab_MinKomp[[Stanowisko / Position ]:[Stanowisko / Position ]],0)))</f>
        <v>n/a</v>
      </c>
      <c r="DN72" s="349" t="str">
        <f>IF(INDEX(tab_MinKomp[Wykonywanie pomiarów siły radialnej części / Führen Sie Radialkraftmessungen an Teilen durch],MATCH($B71,tab_MinKomp[[Stanowisko / Position ]:[Stanowisko / Position ]],0))="n/a","n/a",DN71-INDEX(tab_MinKomp[Wykonywanie pomiarów siły radialnej części / Führen Sie Radialkraftmessungen an Teilen durch],MATCH($B71,tab_MinKomp[[Stanowisko / Position ]:[Stanowisko / Position ]],0)))</f>
        <v>n/a</v>
      </c>
      <c r="DO72" s="349" t="str">
        <f>IF(INDEX(tab_MinKomp[Obsługa komory do testów wybuchwych / Betrieb einer Explosionsprüfkammer],MATCH($B71,tab_MinKomp[[Stanowisko / Position ]:[Stanowisko / Position ]],0))="n/a","n/a",DO71-INDEX(tab_MinKomp[Obsługa komory do testów wybuchwych / Betrieb einer Explosionsprüfkammer],MATCH($B71,tab_MinKomp[[Stanowisko / Position ]:[Stanowisko / Position ]],0)))</f>
        <v>n/a</v>
      </c>
      <c r="DP72" s="349" t="str">
        <f>IF(INDEX(tab_MinKomp[Wykonywanie testów wybuchowych części / Durchführung von Explosionstests an Teilen],MATCH($B71,tab_MinKomp[[Stanowisko / Position ]:[Stanowisko / Position ]],0))="n/a","n/a",DP71-INDEX(tab_MinKomp[Wykonywanie testów wybuchowych części / Durchführung von Explosionstests an Teilen],MATCH($B71,tab_MinKomp[[Stanowisko / Position ]:[Stanowisko / Position ]],0)))</f>
        <v>n/a</v>
      </c>
      <c r="DQ72" s="349" t="str">
        <f>IF(INDEX(tab_MinKomp[Obsługa urządzeń do mierzenia siły trzymania i/lub rozciągania / Betrieb von Geräten zur Messung der Halte- und/oder Dehnkraft],MATCH($B71,tab_MinKomp[[Stanowisko / Position ]:[Stanowisko / Position ]],0))="n/a","n/a",DQ71-INDEX(tab_MinKomp[Obsługa urządzeń do mierzenia siły trzymania i/lub rozciągania / Betrieb von Geräten zur Messung der Halte- und/oder Dehnkraft],MATCH($B71,tab_MinKomp[[Stanowisko / Position ]:[Stanowisko / Position ]],0)))</f>
        <v>n/a</v>
      </c>
      <c r="DR72" s="349" t="str">
        <f>IF(INDEX(tab_MinKomp[Wykonywanie testów mierzenia siły trzymania i/lub rozciągania / Durchführung von Tests zur Messung der Halte- und/oder Streckkraft],MATCH($B71,tab_MinKomp[[Stanowisko / Position ]:[Stanowisko / Position ]],0))="n/a","n/a",DR71-INDEX(tab_MinKomp[Wykonywanie testów mierzenia siły trzymania i/lub rozciągania / Durchführung von Tests zur Messung der Halte- und/oder Streckkraft],MATCH($B71,tab_MinKomp[[Stanowisko / Position ]:[Stanowisko / Position ]],0)))</f>
        <v>n/a</v>
      </c>
      <c r="DS72" s="349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Luftstrom)],MATCH($B71,tab_MinKomp[[Stanowisko / Position ]:[Stanowisko / Position ]],0))="n/a","n/a",DS71-INDEX(tab_MinKomp[Obsługa multimetru do pomiarów środowiskowych (temperatura, wilgotność, hałas, oświetlenie, przepływ powietrza) / Betrieb eines Multimeters für Umweltmessungen (Temperatur, Luftfeuchtigkeit, Lärm, Beleuchtung, Luftstrom)],MATCH($B71,tab_MinKomp[[Stanowisko / Position ]:[Stanowisko / Position ]],0)))</f>
        <v>n/a</v>
      </c>
      <c r="DT72" s="349" t="str">
        <f>IF(INDEX(tab_MinKomp[Kontrola warunków środowiskowych pracy (temperatura, wilgotność, hałas, oświetlenie, przepływ powietrza) / Kontrolle der Arbeitsumgebungsbedingungen (Temperatur, Luftfeuchtigkeit, Lärm, Beleuchtung, Luftstrom)],MATCH($B71,tab_MinKomp[[Stanowisko / Position ]:[Stanowisko / Position ]],0))="n/a","n/a",DT71-INDEX(tab_MinKomp[Kontrola warunków środowiskowych pracy (temperatura, wilgotność, hałas, oświetlenie, przepływ powietrza) / Kontrolle der Arbeitsumgebungsbedingungen (Temperatur, Luftfeuchtigkeit, Lärm, Beleuchtung, Luftstrom)],MATCH($B71,tab_MinKomp[[Stanowisko / Position ]:[Stanowisko / Position ]],0)))</f>
        <v>n/a</v>
      </c>
      <c r="DU72" s="349" t="str">
        <f>IF(INDEX(tab_MinKomp[MSA i SPC],MATCH($B71,tab_MinKomp[[Stanowisko / Position ]:[Stanowisko / Position ]],0))="n/a","n/a",DU71-INDEX(tab_MinKomp[MSA i SPC],MATCH($B71,tab_MinKomp[[Stanowisko / Position ]:[Stanowisko / Position ]],0)))</f>
        <v>n/a</v>
      </c>
      <c r="DV72" s="349" t="str">
        <f>IF(INDEX(tab_MinKomp[Kontrola wejściowa komponentów/ Eingangskontrolle],MATCH($B71,tab_MinKomp[[Stanowisko / Position ]:[Stanowisko / Position ]],0))="n/a","n/a",DV71-INDEX(tab_MinKomp[Kontrola wejściowa komponentów/ Eingangskontrolle],MATCH($B71,tab_MinKomp[[Stanowisko / Position ]:[Stanowisko / Position ]],0)))</f>
        <v>n/a</v>
      </c>
      <c r="DW72" s="349" t="str">
        <f>IF(INDEX(tab_MinKomp[Kontrola wyjściowa produktu / Ausgangskontrolle],MATCH($B71,tab_MinKomp[[Stanowisko / Position ]:[Stanowisko / Position ]],0))="n/a","n/a",DW71-INDEX(tab_MinKomp[Kontrola wyjściowa produktu / Ausgangskontrolle],MATCH($B71,tab_MinKomp[[Stanowisko / Position ]:[Stanowisko / Position ]],0)))</f>
        <v>n/a</v>
      </c>
      <c r="DX72" s="349" t="str">
        <f>IF(INDEX(tab_MinKomp[Kontrola codzienna produkcji / Tägliche Produktionskontrolle],MATCH($B71,tab_MinKomp[[Stanowisko / Position ]:[Stanowisko / Position ]],0))="n/a","n/a",DX71-INDEX(tab_MinKomp[Kontrola codzienna produkcji / Tägliche Produktionskontrolle],MATCH($B71,tab_MinKomp[[Stanowisko / Position ]:[Stanowisko / Position ]],0)))</f>
        <v>n/a</v>
      </c>
      <c r="DY72" s="349">
        <f>IF(INDEX(tab_MinKomp[Konserwacja Rep],MATCH($B71,tab_MinKomp[[Stanowisko / Position ]:[Stanowisko / Position ]],0))="n/a","n/a",DY71-INDEX(tab_MinKomp[Konserwacja Rep],MATCH($B71,tab_MinKomp[[Stanowisko / Position ]:[Stanowisko / Position ]],0)))</f>
        <v>0</v>
      </c>
      <c r="DZ72" s="349">
        <f>IF(INDEX(tab_MinKomp[[Konserwacja Engel ]],MATCH($B71,tab_MinKomp[[Stanowisko / Position ]:[Stanowisko / Position ]],0))="n/a","n/a",DZ71-INDEX(tab_MinKomp[[Konserwacja Engel ]],MATCH($B71,tab_MinKomp[[Stanowisko / Position ]:[Stanowisko / Position ]],0)))</f>
        <v>-1</v>
      </c>
      <c r="EA72" s="349">
        <f>IF(INDEX(tab_MinKomp[Konserwacja B 50],MATCH($B71,tab_MinKomp[[Stanowisko / Position ]:[Stanowisko / Position ]],0))="n/a","n/a",EA71-INDEX(tab_MinKomp[Konserwacja B 50],MATCH($B71,tab_MinKomp[[Stanowisko / Position ]:[Stanowisko / Position ]],0)))</f>
        <v>0</v>
      </c>
      <c r="EB72" s="349">
        <f>IF(INDEX(tab_MinKomp[[Konserwacja EOL ]],MATCH($B71,tab_MinKomp[[Stanowisko / Position ]:[Stanowisko / Position ]],0))="n/a","n/a",EB71-INDEX(tab_MinKomp[[Konserwacja EOL ]],MATCH($B71,tab_MinKomp[[Stanowisko / Position ]:[Stanowisko / Position ]],0)))</f>
        <v>-1</v>
      </c>
      <c r="EC72" s="349">
        <f>IF(INDEX(tab_MinKomp[Konserwacja Branson],MATCH($B71,tab_MinKomp[[Stanowisko / Position ]:[Stanowisko / Position ]],0))="n/a","n/a",EC71-INDEX(tab_MinKomp[Konserwacja Branson],MATCH($B71,tab_MinKomp[[Stanowisko / Position ]:[Stanowisko / Position ]],0)))</f>
        <v>0</v>
      </c>
      <c r="ED72" s="349">
        <f>IF(INDEX(tab_MinKomp[Konserwacja coolery],MATCH($B71,tab_MinKomp[[Stanowisko / Position ]:[Stanowisko / Position ]],0))="n/a","n/a",ED71-INDEX(tab_MinKomp[Konserwacja coolery],MATCH($B71,tab_MinKomp[[Stanowisko / Position ]:[Stanowisko / Position ]],0)))</f>
        <v>0</v>
      </c>
      <c r="EE72" s="349">
        <f>IF(INDEX(tab_MinKomp[Konserwacja piecy],MATCH($B71,tab_MinKomp[[Stanowisko / Position ]:[Stanowisko / Position ]],0))="n/a","n/a",EE71-INDEX(tab_MinKomp[Konserwacja piecy],MATCH($B71,tab_MinKomp[[Stanowisko / Position ]:[Stanowisko / Position ]],0)))</f>
        <v>0</v>
      </c>
      <c r="EF72" s="349">
        <f>IF(INDEX(tab_MinKomp[Rysunek techniczny- czytanie],MATCH($B71,tab_MinKomp[[Stanowisko / Position ]:[Stanowisko / Position ]],0))="n/a","n/a",EF71-INDEX(tab_MinKomp[Rysunek techniczny- czytanie],MATCH($B71,tab_MinKomp[[Stanowisko / Position ]:[Stanowisko / Position ]],0)))</f>
        <v>-1</v>
      </c>
      <c r="EG72" s="349">
        <f>IF(INDEX(tab_MinKomp[Elektryka],MATCH($B71,tab_MinKomp[[Stanowisko / Position ]:[Stanowisko / Position ]],0))="n/a","n/a",EG71-INDEX(tab_MinKomp[Elektryka],MATCH($B71,tab_MinKomp[[Stanowisko / Position ]:[Stanowisko / Position ]],0)))</f>
        <v>0</v>
      </c>
      <c r="EH72" s="349">
        <f>IF(INDEX(tab_MinKomp[Pneumatyka],MATCH($B71,tab_MinKomp[[Stanowisko / Position ]:[Stanowisko / Position ]],0))="n/a","n/a",EH71-INDEX(tab_MinKomp[Pneumatyka],MATCH($B71,tab_MinKomp[[Stanowisko / Position ]:[Stanowisko / Position ]],0)))</f>
        <v>0</v>
      </c>
      <c r="EI72" s="349">
        <f>IF(INDEX(tab_MinKomp[[Hydraulika ]],MATCH($B71,tab_MinKomp[[Stanowisko / Position ]:[Stanowisko / Position ]],0))="n/a","n/a",EI71-INDEX(tab_MinKomp[[Hydraulika ]],MATCH($B71,tab_MinKomp[[Stanowisko / Position ]:[Stanowisko / Position ]],0)))</f>
        <v>0</v>
      </c>
      <c r="EJ72" s="349">
        <f>IF(INDEX(tab_MinKomp[Podciśnienie],MATCH($B71,tab_MinKomp[[Stanowisko / Position ]:[Stanowisko / Position ]],0))="n/a","n/a",EJ71-INDEX(tab_MinKomp[Podciśnienie],MATCH($B71,tab_MinKomp[[Stanowisko / Position ]:[Stanowisko / Position ]],0)))</f>
        <v>0</v>
      </c>
      <c r="EK72" s="349">
        <f>IF(INDEX(tab_MinKomp[Usuwanie awarii],MATCH($B71,tab_MinKomp[[Stanowisko / Position ]:[Stanowisko / Position ]],0))="n/a","n/a",EK71-INDEX(tab_MinKomp[Usuwanie awarii],MATCH($B71,tab_MinKomp[[Stanowisko / Position ]:[Stanowisko / Position ]],0)))</f>
        <v>-1</v>
      </c>
      <c r="EL72" s="349">
        <f>IF(INDEX(tab_MinKomp[Obsługa robotów],MATCH($B71,tab_MinKomp[[Stanowisko / Position ]:[Stanowisko / Position ]],0))="n/a","n/a",EL71-INDEX(tab_MinKomp[Obsługa robotów],MATCH($B71,tab_MinKomp[[Stanowisko / Position ]:[Stanowisko / Position ]],0)))</f>
        <v>0</v>
      </c>
      <c r="EM72" s="349">
        <f>IF(INDEX(tab_MinKomp[Obsługa sterowania maszyny],MATCH($B71,tab_MinKomp[[Stanowisko / Position ]:[Stanowisko / Position ]],0))="n/a","n/a",EM71-INDEX(tab_MinKomp[Obsługa sterowania maszyny],MATCH($B71,tab_MinKomp[[Stanowisko / Position ]:[Stanowisko / Position ]],0)))</f>
        <v>-1</v>
      </c>
      <c r="EN72" s="349">
        <f>IF(INDEX(tab_MinKomp[Usuwanie przyczyn żródłowych],MATCH($B71,tab_MinKomp[[Stanowisko / Position ]:[Stanowisko / Position ]],0))="n/a","n/a",EN71-INDEX(tab_MinKomp[Usuwanie przyczyn żródłowych],MATCH($B71,tab_MinKomp[[Stanowisko / Position ]:[Stanowisko / Position ]],0)))</f>
        <v>-1</v>
      </c>
      <c r="EO72" s="349">
        <f>IF(INDEX(tab_MinKomp[Cmms stosowanie],MATCH($B71,tab_MinKomp[[Stanowisko / Position ]:[Stanowisko / Position ]],0))="n/a","n/a",EO71-INDEX(tab_MinKomp[Cmms stosowanie],MATCH($B71,tab_MinKomp[[Stanowisko / Position ]:[Stanowisko / Position ]],0)))</f>
        <v>0</v>
      </c>
      <c r="EP72" s="343" t="str">
        <f>IF(INDEX(tab_MinKomp[[Czyszczenie form gumowych ]],MATCH($B71,tab_MinKomp[[Stanowisko / Position ]:[Stanowisko / Position ]],0))="n/a","n/a",EP71-INDEX(tab_MinKomp[[Czyszczenie form gumowych ]],MATCH($B71,tab_MinKomp[[Stanowisko / Position ]:[Stanowisko / Position ]],0)))</f>
        <v>n/a</v>
      </c>
      <c r="EQ72" s="343" t="str">
        <f>IF(INDEX(tab_MinKomp[Czyszczenie form plastikowych],MATCH($B71,tab_MinKomp[[Stanowisko / Position ]:[Stanowisko / Position ]],0))="n/a","n/a",EQ71-INDEX(tab_MinKomp[Czyszczenie form plastikowych],MATCH($B71,tab_MinKomp[[Stanowisko / Position ]:[Stanowisko / Position ]],0)))</f>
        <v>n/a</v>
      </c>
      <c r="ER72" s="343" t="str">
        <f>IF(INDEX(tab_MinKomp[Wymiana form plastik],MATCH($B71,tab_MinKomp[[Stanowisko / Position ]:[Stanowisko / Position ]],0))="n/a","n/a",ER71-INDEX(tab_MinKomp[Wymiana form plastik],MATCH($B71,tab_MinKomp[[Stanowisko / Position ]:[Stanowisko / Position ]],0)))</f>
        <v>n/a</v>
      </c>
      <c r="ES72" s="343" t="str">
        <f>IF(INDEX(tab_MinKomp[Wymiana form guma],MATCH($B71,tab_MinKomp[[Stanowisko / Position ]:[Stanowisko / Position ]],0))="n/a","n/a",ES71-INDEX(tab_MinKomp[Wymiana form guma],MATCH($B71,tab_MinKomp[[Stanowisko / Position ]:[Stanowisko / Position ]],0)))</f>
        <v>n/a</v>
      </c>
      <c r="ET72" s="343" t="str">
        <f>IF(INDEX(tab_MinKomp[Konserwacja KK],MATCH($B71,tab_MinKomp[[Stanowisko / Position ]:[Stanowisko / Position ]],0))="n/a","n/a",ET71-INDEX(tab_MinKomp[Konserwacja KK],MATCH($B71,tab_MinKomp[[Stanowisko / Position ]:[Stanowisko / Position ]],0)))</f>
        <v>n/a</v>
      </c>
      <c r="EU72" s="343" t="str">
        <f>IF(INDEX(tab_MinKomp[Konserwacja form guma],MATCH($B71,tab_MinKomp[[Stanowisko / Position ]:[Stanowisko / Position ]],0))="n/a","n/a",EU71-INDEX(tab_MinKomp[Konserwacja form guma],MATCH($B71,tab_MinKomp[[Stanowisko / Position ]:[Stanowisko / Position ]],0)))</f>
        <v>n/a</v>
      </c>
      <c r="EV72" s="343" t="str">
        <f>IF(INDEX(tab_MinKomp[Konserwacja form plastiki],MATCH($B71,tab_MinKomp[[Stanowisko / Position ]:[Stanowisko / Position ]],0))="n/a","n/a",EV71-INDEX(tab_MinKomp[Konserwacja form plastiki],MATCH($B71,tab_MinKomp[[Stanowisko / Position ]:[Stanowisko / Position ]],0)))</f>
        <v>n/a</v>
      </c>
      <c r="EW72" s="330" t="str">
        <f>IF(INDEX(tab_MinKomp[Konserwacja form plastiki],MATCH($B71,tab_MinKomp[[Stanowisko / Position ]:[Stanowisko / Position ]],0))="n/a","n/a",EW71-INDEX(tab_MinKomp[Konserwacja form plastiki],MATCH($B71,tab_MinKomp[[Stanowisko / Position ]:[Stanowisko / Position ]],0)))</f>
        <v>n/a</v>
      </c>
      <c r="EX72" s="343" t="str">
        <f>IF(INDEX(tab_MinKomp[Konserwacja Gorącego Kanału],MATCH($B71,tab_MinKomp[[Stanowisko / Position ]:[Stanowisko / Position ]],0))="n/a","n/a",EX71-INDEX(tab_MinKomp[Konserwacja Gorącego Kanału],MATCH($B71,tab_MinKomp[[Stanowisko / Position ]:[Stanowisko / Position ]],0)))</f>
        <v>n/a</v>
      </c>
      <c r="EY72" s="349" t="str">
        <f>IF(INDEX(tab_MinKomp[MS Office (Excel)],MATCH($B71,tab_MinKomp[[Stanowisko / Position ]:[Stanowisko / Position ]],0))="n/a","n/a",EY71-INDEX(tab_MinKomp[MS Office (Excel)],MATCH($B71,tab_MinKomp[[Stanowisko / Position ]:[Stanowisko / Position ]],0)))</f>
        <v>n/a</v>
      </c>
      <c r="EZ72" s="349" t="str">
        <f>IF(INDEX(tab_MinKomp[MS Office (Word)],MATCH($B71,tab_MinKomp[[Stanowisko / Position ]:[Stanowisko / Position ]],0))="n/a","n/a",EZ71-INDEX(tab_MinKomp[MS Office (Word)],MATCH($B71,tab_MinKomp[[Stanowisko / Position ]:[Stanowisko / Position ]],0)))</f>
        <v>n/a</v>
      </c>
      <c r="FA72" s="349" t="str">
        <f>IF(INDEX(tab_MinKomp[MS Office (Power Point)],MATCH($B71,tab_MinKomp[[Stanowisko / Position ]:[Stanowisko / Position ]],0))="n/a","n/a",FA71-INDEX(tab_MinKomp[MS Office (Power Point)],MATCH($B71,tab_MinKomp[[Stanowisko / Position ]:[Stanowisko / Position ]],0)))</f>
        <v>n/a</v>
      </c>
      <c r="FB72" s="349" t="str">
        <f>IF(INDEX(tab_MinKomp[Język angielski / Englisch],MATCH($B71,tab_MinKomp[[Stanowisko / Position ]:[Stanowisko / Position ]],0))="n/a","n/a",FB71-INDEX(tab_MinKomp[Język angielski / Englisch],MATCH($B71,tab_MinKomp[[Stanowisko / Position ]:[Stanowisko / Position ]],0)))</f>
        <v>n/a</v>
      </c>
      <c r="FC72" s="349" t="str">
        <f>IF(INDEX(tab_MinKomp[Język niemiecki / Deutsch],MATCH($B71,tab_MinKomp[[Stanowisko / Position ]:[Stanowisko / Position ]],0))="n/a","n/a",FC71-INDEX(tab_MinKomp[Język niemiecki / Deutsch],MATCH($B71,tab_MinKomp[[Stanowisko / Position ]:[Stanowisko / Position ]],0)))</f>
        <v>n/a</v>
      </c>
      <c r="FD72" s="349">
        <f>IF(INDEX(tab_MinKomp[Zarządzanie dokumentacją procesową / Process dokumentation management],MATCH($B71,tab_MinKomp[[Stanowisko / Position ]:[Stanowisko / Position ]],0))="n/a","n/a",FD71-INDEX(tab_MinKomp[Zarządzanie dokumentacją procesową / Process dokumentation management],MATCH($B71,tab_MinKomp[[Stanowisko / Position ]:[Stanowisko / Position ]],0)))</f>
        <v>0</v>
      </c>
      <c r="FE72" s="349">
        <f>IF(INDEX(tab_MinKomp[Znajomość procesów z obszaru / Kenntiss der prozesse in dem Bereich],MATCH($B71,tab_MinKomp[[Stanowisko / Position ]:[Stanowisko / Position ]],0))="n/a","n/a",FE71-INDEX(tab_MinKomp[Znajomość procesów z obszaru / Kenntiss der prozesse in dem Bereich],MATCH($B71,tab_MinKomp[[Stanowisko / Position ]:[Stanowisko / Position ]],0)))</f>
        <v>-1</v>
      </c>
      <c r="FF72" s="349">
        <f>IF(INDEX(tab_MinKomp[optymalizacja procesów / Prozessoptymalisierung],MATCH($B71,tab_MinKomp[[Stanowisko / Position ]:[Stanowisko / Position ]],0))="n/a","n/a",FF71-INDEX(tab_MinKomp[optymalizacja procesów / Prozessoptymalisierung],MATCH($B71,tab_MinKomp[[Stanowisko / Position ]:[Stanowisko / Position ]],0)))</f>
        <v>-1</v>
      </c>
      <c r="FG72" s="349">
        <f>IF(INDEX(tab_MinKomp[Umiejętności szkoleniowe / Trainingsfähigkeiten],MATCH($B71,tab_MinKomp[[Stanowisko / Position ]:[Stanowisko / Position ]],0))="n/a","n/a",FG71-INDEX(tab_MinKomp[Umiejętności szkoleniowe / Trainingsfähigkeiten],MATCH($B71,tab_MinKomp[[Stanowisko / Position ]:[Stanowisko / Position ]],0)))</f>
        <v>0</v>
      </c>
      <c r="FH72" s="349">
        <f>IF(INDEX(tab_MinKomp[Analityczne myślenie, podejście / Analitysches Denken, Einstellung],MATCH($B71,tab_MinKomp[[Stanowisko / Position ]:[Stanowisko / Position ]],0))="n/a","n/a",FH71-INDEX(tab_MinKomp[Analityczne myślenie, podejście / Analitysches Denken, Einstellung],MATCH($B71,tab_MinKomp[[Stanowisko / Position ]:[Stanowisko / Position ]],0)))</f>
        <v>0</v>
      </c>
      <c r="FI72" s="349">
        <f>IF(INDEX(tab_MinKomp[Dokładność, precyzja w dzialaniu / Genauigkeit, Präzision in die Arbeit],MATCH($B71,tab_MinKomp[[Stanowisko / Position ]:[Stanowisko / Position ]],0))="n/a","n/a",FI71-INDEX(tab_MinKomp[Dokładność, precyzja w dzialaniu / Genauigkeit, Präzision in die Arbeit],MATCH($B71,tab_MinKomp[[Stanowisko / Position ]:[Stanowisko / Position ]],0)))</f>
        <v>-1</v>
      </c>
      <c r="FJ72" s="349">
        <f>IF(INDEX(tab_MinKomp[Dyspozycyjność / Verfügbarkeit],MATCH($B71,tab_MinKomp[[Stanowisko / Position ]:[Stanowisko / Position ]],0))="n/a","n/a",FJ71-INDEX(tab_MinKomp[Dyspozycyjność / Verfügbarkeit],MATCH($B71,tab_MinKomp[[Stanowisko / Position ]:[Stanowisko / Position ]],0)))</f>
        <v>-1</v>
      </c>
      <c r="FK72" s="349">
        <f>IF(INDEX(tab_MinKomp[Zaangażowanie / 
Engagement],MATCH($B71,tab_MinKomp[[Stanowisko / Position ]:[Stanowisko / Position ]],0))="n/a","n/a",FK71-INDEX(tab_MinKomp[Zaangażowanie / 
Engagement],MATCH($B71,tab_MinKomp[[Stanowisko / Position ]:[Stanowisko / Position ]],0)))</f>
        <v>-1</v>
      </c>
      <c r="FL72" s="349" t="str">
        <f>IF(INDEX(tab_MinKomp[Planowanie strategiczne / Strategische Planung],MATCH($B71,tab_MinKomp[[Stanowisko / Position ]:[Stanowisko / Position ]],0))="n/a","n/a",FL71-INDEX(tab_MinKomp[Planowanie strategiczne / Strategische Planung],MATCH($B71,tab_MinKomp[[Stanowisko / Position ]:[Stanowisko / Position ]],0)))</f>
        <v>n/a</v>
      </c>
      <c r="FM72" s="349">
        <f>IF(INDEX(tab_MinKomp[Konsekwentne i dynamiczne działanie],MATCH($B71,tab_MinKomp[[Stanowisko / Position ]:[Stanowisko / Position ]],0))="n/a","n/a",FM71-INDEX(tab_MinKomp[Konsekwentne i dynamiczne działanie],MATCH($B71,tab_MinKomp[[Stanowisko / Position ]:[Stanowisko / Position ]],0)))</f>
        <v>0</v>
      </c>
      <c r="FN72" s="349" t="str">
        <f>IF(INDEX(tab_MinKomp[Elastyczność w działaniu],MATCH($B71,tab_MinKomp[[Stanowisko / Position ]:[Stanowisko / Position ]],0))="n/a","n/a",FN71-INDEX(tab_MinKomp[Elastyczność w działaniu],MATCH($B71,tab_MinKomp[[Stanowisko / Position ]:[Stanowisko / Position ]],0)))</f>
        <v>n/a</v>
      </c>
      <c r="FO72" s="349" t="str">
        <f>IF(INDEX(tab_MinKomp[Komunikatywność],MATCH($B71,tab_MinKomp[[Stanowisko / Position ]:[Stanowisko / Position ]],0))="n/a","n/a",FO71-INDEX(tab_MinKomp[Komunikatywność],MATCH($B71,tab_MinKomp[[Stanowisko / Position ]:[Stanowisko / Position ]],0)))</f>
        <v>n/a</v>
      </c>
      <c r="FP72" s="349" t="str">
        <f>IF(INDEX(tab_MinKomp[Motywowanie i budowanie zaangażowania zespołu],MATCH($B71,tab_MinKomp[[Stanowisko / Position ]:[Stanowisko / Position ]],0))="n/a","n/a",FP71-INDEX(tab_MinKomp[Motywowanie i budowanie zaangażowania zespołu],MATCH($B71,tab_MinKomp[[Stanowisko / Position ]:[Stanowisko / Position ]],0)))</f>
        <v>n/a</v>
      </c>
      <c r="FQ72" s="388" t="str">
        <f>IFERROR(IF(INDEX(tab_MinKomp[BRAK / Keine],MATCH($B71,tab_MinKomp[[Stanowisko / Position ]:[Stanowisko / Position ]],0))="n/a","n/a",INDEX(tab_MinKomp[BRAK / Keine],MATCH($B71,tab_MinKomp[[Stanowisko / Position ]:[Stanowisko / Position ]],0))-FQ71),"")</f>
        <v>n/a</v>
      </c>
      <c r="FR72" s="349" t="str">
        <f>IF(INDEX(tab_MinKomp[MINIMUM 1 ROK / min. 1 Jahr],MATCH($B71,tab_MinKomp[[Stanowisko / Position ]:[Stanowisko / Position ]],0))="n/a","n/a",INDEX(tab_MinKomp[MINIMUM 1 ROK / min. 1 Jahr],MATCH($B71,tab_MinKomp[[Stanowisko / Position ]:[Stanowisko / Position ]],0)))</f>
        <v>n/a</v>
      </c>
      <c r="FS72" s="349" t="str">
        <f>IF(INDEX(tab_MinKomp[MINIMUM 2 LATA / min. 2 Jahre],MATCH($B71,tab_MinKomp[[Stanowisko / Position ]:[Stanowisko / Position ]],0))="n/a","n/a",INDEX(tab_MinKomp[MINIMUM 2 LATA / min. 2 Jahre],MATCH($B71,tab_MinKomp[[Stanowisko / Position ]:[Stanowisko / Position ]],0)))</f>
        <v>n/a</v>
      </c>
      <c r="FT72" s="349" t="str">
        <f>IF(INDEX(tab_MinKomp[MINIMUM 3 LATA / min. 3 Jahre],MATCH($B71,tab_MinKomp[[Stanowisko / Position ]:[Stanowisko / Position ]],0))="n/a","n/a",INDEX(tab_MinKomp[MINIMUM 3 LATA / min. 3 Jahre],MATCH($B71,tab_MinKomp[[Stanowisko / Position ]:[Stanowisko / Position ]],0)))</f>
        <v>n/a</v>
      </c>
      <c r="FU72" s="349" t="str">
        <f>IF(INDEX(tab_MinKomp[MINIMUM 4 LATA / min. 4 Jahre],MATCH($B71,tab_MinKomp[[Stanowisko / Position ]:[Stanowisko / Position ]],0))="n/a","n/a",INDEX(tab_MinKomp[MINIMUM 4 LATA / min. 4 Jahre],MATCH($B71,tab_MinKomp[[Stanowisko / Position ]:[Stanowisko / Position ]],0)))</f>
        <v>n/a</v>
      </c>
      <c r="FV72" s="389" t="str">
        <f>IF(INDEX(tab_MinKomp[MINIMUM 5 LAT / min. 5 Jahre],MATCH($B71,tab_MinKomp[[Stanowisko / Position ]:[Stanowisko / Position ]],0))="n/a","n/a",INDEX(tab_MinKomp[MINIMUM 5 LAT / min. 5 Jahre],MATCH($B71,tab_MinKomp[[Stanowisko / Position ]:[Stanowisko / Position ]],0)))</f>
        <v>n/a</v>
      </c>
      <c r="FW72" s="388" t="str">
        <f>IF(INDEX(tab_MinKomp[BRAK / Keine9],MATCH($B71,tab_MinKomp[[Stanowisko / Position ]:[Stanowisko / Position ]],0))="n/a","n/a",INDEX(tab_MinKomp[BRAK / Keine9],MATCH($B71,tab_MinKomp[[Stanowisko / Position ]:[Stanowisko / Position ]],0)))</f>
        <v>n/a</v>
      </c>
      <c r="FX72" s="349" t="str">
        <f>IF(INDEX(tab_MinKomp[ZAWODOWE / Berufsausbildung],MATCH($B71,tab_MinKomp[[Stanowisko / Position ]:[Stanowisko / Position ]],0))="n/a","n/a",INDEX(tab_MinKomp[ZAWODOWE / Berufsausbildung],MATCH($B71,tab_MinKomp[[Stanowisko / Position ]:[Stanowisko / Position ]],0)))</f>
        <v>n/a</v>
      </c>
      <c r="FY72" s="349" t="s">
        <v>387</v>
      </c>
      <c r="FZ72" s="349" t="str">
        <f>IF(INDEX(tab_MinKomp[ŚREDNIE KIERUNKOWE / berufliches Gymnasium],MATCH($B71,tab_MinKomp[[Stanowisko / Position ]:[Stanowisko / Position ]],0))="n/a","n/a",INDEX(tab_MinKomp[ŚREDNIE KIERUNKOWE / berufliches Gymnasium],MATCH($B71,tab_MinKomp[[Stanowisko / Position ]:[Stanowisko / Position ]],0)))</f>
        <v>n/a</v>
      </c>
      <c r="GA72" s="349" t="str">
        <f>IF(INDEX(tab_MinKomp[WYŻSZE OGÓLNE / Hochschule allgemeine],MATCH($B71,tab_MinKomp[[Stanowisko / Position ]:[Stanowisko / Position ]],0))="n/a","n/a",INDEX(tab_MinKomp[WYŻSZE OGÓLNE / Hochschule allgemeine],MATCH($B71,tab_MinKomp[[Stanowisko / Position ]:[Stanowisko / Position ]],0)))</f>
        <v>n/a</v>
      </c>
      <c r="GB72" s="389" t="str">
        <f>IF(INDEX(tab_MinKomp[WYŻSZE KIERUNKOWE / Hochschule berufliche],MATCH($B71,tab_MinKomp[[Stanowisko / Position ]:[Stanowisko / Position ]],0))="n/a","n/a",INDEX(tab_MinKomp[WYŻSZE KIERUNKOWE / Hochschule berufliche],MATCH($B71,tab_MinKomp[[Stanowisko / Position ]:[Stanowisko / Position ]],0)))</f>
        <v>n/a</v>
      </c>
      <c r="GC72" s="388" t="str">
        <f>IF(INDEX(tab_MinKomp[PIERWSZA POMOC / Erste Hilfe],MATCH($B71,tab_MinKomp[[Stanowisko / Position ]:[Stanowisko / Position ]],0))="n/a","n/a",INDEX(tab_MinKomp[PIERWSZA POMOC / Erste Hilfe],MATCH($B71,tab_MinKomp[[Stanowisko / Position ]:[Stanowisko / Position ]],0)))</f>
        <v>n/a</v>
      </c>
      <c r="GD72" s="349" t="str">
        <f>IF(INDEX(tab_MinKomp[Specjalista BHP / BHP Spezialist],MATCH($B71,tab_MinKomp[[Stanowisko / Position ]:[Stanowisko / Position ]],0))="n/a","n/a",INDEX(tab_MinKomp[Specjalista BHP / BHP Spezialist],MATCH($B71,tab_MinKomp[[Stanowisko / Position ]:[Stanowisko / Position ]],0)))</f>
        <v>n/a</v>
      </c>
      <c r="GE72" s="349" t="str">
        <f>IF(INDEX(tab_MinKomp[Specjalista BHP / BHP Spezialist],MATCH($B71,tab_MinKomp[[Stanowisko / Position ]:[Stanowisko / Position ]],0))="n/a","n/a",INDEX(tab_MinKomp[Specjalista BHP / BHP Spezialist],MATCH($B71,tab_MinKomp[[Stanowisko / Position ]:[Stanowisko / Position ]],0)))</f>
        <v>n/a</v>
      </c>
      <c r="GF72" s="349" t="str">
        <f>IF(INDEX(tab_MinKomp[WÓZKI JEZDNIOWE / Gebelstapler],MATCH($B71,tab_MinKomp[[Stanowisko / Position ]:[Stanowisko / Position ]],0))="n/a","n/a",INDEX(tab_MinKomp[WÓZKI JEZDNIOWE / Gebelstapler],MATCH($B71,tab_MinKomp[[Stanowisko / Position ]:[Stanowisko / Position ]],0)))</f>
        <v>x</v>
      </c>
      <c r="GG72" s="349" t="str">
        <f>IF(INDEX(tab_MinKomp[SEP],MATCH($B71,tab_MinKomp[[Stanowisko / Position ]:[Stanowisko / Position ]],0))="n/a","n/a",INDEX(tab_MinKomp[SEP],MATCH($B71,tab_MinKomp[[Stanowisko / Position ]:[Stanowisko / Position ]],0)))</f>
        <v>X</v>
      </c>
      <c r="GH72" s="349" t="str">
        <f>IF(INDEX(tab_MinKomp[SEP  DOZÓR / SEP Aufsicht],MATCH($B71,tab_MinKomp[[Stanowisko / Position ]:[Stanowisko / Position ]],0))="n/a","n/a",INDEX(tab_MinKomp[SEP  DOZÓR / SEP Aufsicht],MATCH($B71,tab_MinKomp[[Stanowisko / Position ]:[Stanowisko / Position ]],0)))</f>
        <v>x</v>
      </c>
      <c r="GI72" s="349" t="str">
        <f>IF(INDEX(tab_MinKomp[PODNOŚNIKI / Hebevorrichtung],MATCH($B71,tab_MinKomp[[Stanowisko / Position ]:[Stanowisko / Position ]],0))="n/a","n/a",INDEX(tab_MinKomp[PODNOŚNIKI / Hebevorrichtung],MATCH($B71,tab_MinKomp[[Stanowisko / Position ]:[Stanowisko / Position ]],0)))</f>
        <v>X</v>
      </c>
      <c r="GJ72" s="349" t="str">
        <f>IF(INDEX(tab_MinKomp[SUWNICE / Laufkran],MATCH($B71,tab_MinKomp[[Stanowisko / Position ]:[Stanowisko / Position ]],0))="n/a","n/a",INDEX(tab_MinKomp[SUWNICE / Laufkran],MATCH($B71,tab_MinKomp[[Stanowisko / Position ]:[Stanowisko / Position ]],0)))</f>
        <v>x</v>
      </c>
      <c r="GK72" s="389" t="str">
        <f>IF(INDEX(tab_MinKomp[WYSOKOŚCIOWE / Höhenberechtigungen],MATCH($B71,tab_MinKomp[[Stanowisko / Position ]:[Stanowisko / Position ]],0))="n/a","n/a",INDEX(tab_MinKomp[WYSOKOŚCIOWE / Höhenberechtigungen],MATCH($B71,tab_MinKomp[[Stanowisko / Position ]:[Stanowisko / Position ]],0)))</f>
        <v>x</v>
      </c>
      <c r="GL72" s="376">
        <f>SUM(G72:FP72)/(GL71-(SUM(G72:FP72)))</f>
        <v>-0.1797752808988764</v>
      </c>
      <c r="GM72" s="132"/>
    </row>
    <row r="73" spans="1:195" s="197" customFormat="1" ht="28.35" customHeight="1" x14ac:dyDescent="0.25">
      <c r="A73" s="135" t="s">
        <v>181</v>
      </c>
      <c r="B73" s="135" t="s">
        <v>252</v>
      </c>
      <c r="C73" s="135" t="s">
        <v>613</v>
      </c>
      <c r="D73" s="138">
        <v>2068</v>
      </c>
      <c r="E73" s="563" t="s">
        <v>743</v>
      </c>
      <c r="F73" s="452" t="s">
        <v>165</v>
      </c>
      <c r="G73" s="308">
        <v>1</v>
      </c>
      <c r="H73" s="308">
        <v>1</v>
      </c>
      <c r="I73" s="308">
        <v>1</v>
      </c>
      <c r="J73" s="308">
        <v>1</v>
      </c>
      <c r="K73" s="308">
        <v>1</v>
      </c>
      <c r="L73" s="308">
        <v>1</v>
      </c>
      <c r="M73" s="308" t="s">
        <v>176</v>
      </c>
      <c r="N73" s="308" t="s">
        <v>176</v>
      </c>
      <c r="O73" s="308">
        <v>1</v>
      </c>
      <c r="P73" s="308">
        <v>1</v>
      </c>
      <c r="Q73" s="308" t="s">
        <v>176</v>
      </c>
      <c r="R73" s="308" t="s">
        <v>176</v>
      </c>
      <c r="S73" s="308" t="s">
        <v>176</v>
      </c>
      <c r="T73" s="308" t="s">
        <v>176</v>
      </c>
      <c r="U73" s="308" t="s">
        <v>176</v>
      </c>
      <c r="V73" s="308" t="s">
        <v>176</v>
      </c>
      <c r="W73" s="308" t="s">
        <v>176</v>
      </c>
      <c r="X73" s="308" t="s">
        <v>176</v>
      </c>
      <c r="Y73" s="308" t="s">
        <v>176</v>
      </c>
      <c r="Z73" s="308" t="s">
        <v>176</v>
      </c>
      <c r="AA73" s="308" t="s">
        <v>176</v>
      </c>
      <c r="AB73" s="308" t="s">
        <v>176</v>
      </c>
      <c r="AC73" s="308" t="s">
        <v>176</v>
      </c>
      <c r="AD73" s="308" t="s">
        <v>176</v>
      </c>
      <c r="AE73" s="308" t="s">
        <v>176</v>
      </c>
      <c r="AF73" s="308" t="s">
        <v>176</v>
      </c>
      <c r="AG73" s="308" t="s">
        <v>176</v>
      </c>
      <c r="AH73" s="308" t="s">
        <v>176</v>
      </c>
      <c r="AI73" s="308" t="s">
        <v>176</v>
      </c>
      <c r="AJ73" s="308" t="s">
        <v>176</v>
      </c>
      <c r="AK73" s="308" t="s">
        <v>176</v>
      </c>
      <c r="AL73" s="308">
        <v>1</v>
      </c>
      <c r="AM73" s="308" t="s">
        <v>176</v>
      </c>
      <c r="AN73" s="308" t="s">
        <v>176</v>
      </c>
      <c r="AO73" s="308" t="s">
        <v>176</v>
      </c>
      <c r="AP73" s="308" t="s">
        <v>176</v>
      </c>
      <c r="AQ73" s="308" t="s">
        <v>176</v>
      </c>
      <c r="AR73" s="308" t="s">
        <v>176</v>
      </c>
      <c r="AS73" s="308" t="s">
        <v>176</v>
      </c>
      <c r="AT73" s="308" t="s">
        <v>176</v>
      </c>
      <c r="AU73" s="308" t="s">
        <v>176</v>
      </c>
      <c r="AV73" s="308">
        <v>1</v>
      </c>
      <c r="AW73" s="308"/>
      <c r="AX73" s="308"/>
      <c r="AY73" s="308" t="s">
        <v>176</v>
      </c>
      <c r="AZ73" s="308" t="s">
        <v>176</v>
      </c>
      <c r="BA73" s="308" t="s">
        <v>176</v>
      </c>
      <c r="BB73" s="308" t="s">
        <v>176</v>
      </c>
      <c r="BC73" s="308" t="s">
        <v>176</v>
      </c>
      <c r="BD73" s="308" t="s">
        <v>176</v>
      </c>
      <c r="BE73" s="308" t="s">
        <v>176</v>
      </c>
      <c r="BF73" s="308" t="s">
        <v>176</v>
      </c>
      <c r="BG73" s="308" t="s">
        <v>176</v>
      </c>
      <c r="BH73" s="308" t="s">
        <v>176</v>
      </c>
      <c r="BI73" s="308" t="s">
        <v>176</v>
      </c>
      <c r="BJ73" s="308" t="s">
        <v>176</v>
      </c>
      <c r="BK73" s="308" t="s">
        <v>176</v>
      </c>
      <c r="BL73" s="308" t="s">
        <v>176</v>
      </c>
      <c r="BM73" s="308" t="s">
        <v>176</v>
      </c>
      <c r="BN73" s="308"/>
      <c r="BO73" s="308"/>
      <c r="BP73" s="308">
        <v>1</v>
      </c>
      <c r="BQ73" s="308"/>
      <c r="BR73" s="308"/>
      <c r="BS73" s="308">
        <v>1</v>
      </c>
      <c r="BT73" s="308"/>
      <c r="BU73" s="308"/>
      <c r="BV73" s="308">
        <v>1</v>
      </c>
      <c r="BW73" s="308" t="s">
        <v>176</v>
      </c>
      <c r="BX73" s="308" t="s">
        <v>176</v>
      </c>
      <c r="BY73" s="308" t="s">
        <v>176</v>
      </c>
      <c r="BZ73" s="308" t="s">
        <v>176</v>
      </c>
      <c r="CA73" s="308" t="s">
        <v>176</v>
      </c>
      <c r="CB73" s="308" t="s">
        <v>176</v>
      </c>
      <c r="CC73" s="308" t="s">
        <v>176</v>
      </c>
      <c r="CD73" s="308" t="s">
        <v>176</v>
      </c>
      <c r="CE73" s="308" t="s">
        <v>176</v>
      </c>
      <c r="CF73" s="308" t="s">
        <v>176</v>
      </c>
      <c r="CG73" s="308" t="s">
        <v>176</v>
      </c>
      <c r="CH73" s="308" t="s">
        <v>176</v>
      </c>
      <c r="CI73" s="308"/>
      <c r="CJ73" s="308" t="s">
        <v>176</v>
      </c>
      <c r="CK73" s="308" t="s">
        <v>176</v>
      </c>
      <c r="CL73" s="308"/>
      <c r="CM73" s="308" t="s">
        <v>176</v>
      </c>
      <c r="CN73" s="308"/>
      <c r="CO73" s="308"/>
      <c r="CP73" s="308"/>
      <c r="CQ73" s="308" t="s">
        <v>176</v>
      </c>
      <c r="CR73" s="308" t="s">
        <v>176</v>
      </c>
      <c r="CS73" s="308" t="s">
        <v>176</v>
      </c>
      <c r="CT73" s="308" t="s">
        <v>176</v>
      </c>
      <c r="CU73" s="308">
        <v>1</v>
      </c>
      <c r="CV73" s="308" t="s">
        <v>176</v>
      </c>
      <c r="CW73" s="308" t="s">
        <v>176</v>
      </c>
      <c r="CX73" s="308" t="s">
        <v>176</v>
      </c>
      <c r="CY73" s="308" t="s">
        <v>176</v>
      </c>
      <c r="CZ73" s="308" t="s">
        <v>176</v>
      </c>
      <c r="DA73" s="308" t="s">
        <v>176</v>
      </c>
      <c r="DB73" s="308" t="s">
        <v>176</v>
      </c>
      <c r="DC73" s="308" t="s">
        <v>176</v>
      </c>
      <c r="DD73" s="308" t="s">
        <v>176</v>
      </c>
      <c r="DE73" s="308" t="s">
        <v>176</v>
      </c>
      <c r="DF73" s="308" t="s">
        <v>176</v>
      </c>
      <c r="DG73" s="308" t="s">
        <v>176</v>
      </c>
      <c r="DH73" s="308" t="s">
        <v>176</v>
      </c>
      <c r="DI73" s="308" t="s">
        <v>176</v>
      </c>
      <c r="DJ73" s="308" t="s">
        <v>176</v>
      </c>
      <c r="DK73" s="308" t="s">
        <v>176</v>
      </c>
      <c r="DL73" s="308" t="s">
        <v>176</v>
      </c>
      <c r="DM73" s="308" t="s">
        <v>176</v>
      </c>
      <c r="DN73" s="308" t="s">
        <v>176</v>
      </c>
      <c r="DO73" s="308" t="s">
        <v>176</v>
      </c>
      <c r="DP73" s="308" t="s">
        <v>176</v>
      </c>
      <c r="DQ73" s="308" t="s">
        <v>176</v>
      </c>
      <c r="DR73" s="308" t="s">
        <v>176</v>
      </c>
      <c r="DS73" s="308" t="s">
        <v>176</v>
      </c>
      <c r="DT73" s="308" t="s">
        <v>176</v>
      </c>
      <c r="DU73" s="308" t="s">
        <v>176</v>
      </c>
      <c r="DV73" s="308" t="s">
        <v>176</v>
      </c>
      <c r="DW73" s="308" t="s">
        <v>176</v>
      </c>
      <c r="DX73" s="308" t="s">
        <v>176</v>
      </c>
      <c r="DY73" s="308"/>
      <c r="DZ73" s="308"/>
      <c r="EA73" s="308"/>
      <c r="EB73" s="308"/>
      <c r="EC73" s="308"/>
      <c r="ED73" s="308"/>
      <c r="EE73" s="308"/>
      <c r="EF73" s="308"/>
      <c r="EG73" s="308">
        <v>1</v>
      </c>
      <c r="EH73" s="308">
        <v>1</v>
      </c>
      <c r="EI73" s="308"/>
      <c r="EJ73" s="308">
        <v>1</v>
      </c>
      <c r="EK73" s="308">
        <v>1</v>
      </c>
      <c r="EL73" s="308"/>
      <c r="EM73" s="308">
        <v>1</v>
      </c>
      <c r="EN73" s="308">
        <v>1</v>
      </c>
      <c r="EO73" s="308">
        <v>1</v>
      </c>
      <c r="EP73" s="308" t="s">
        <v>176</v>
      </c>
      <c r="EQ73" s="308" t="s">
        <v>176</v>
      </c>
      <c r="ER73" s="308" t="s">
        <v>176</v>
      </c>
      <c r="ES73" s="308" t="s">
        <v>176</v>
      </c>
      <c r="ET73" s="308" t="s">
        <v>176</v>
      </c>
      <c r="EU73" s="308" t="s">
        <v>176</v>
      </c>
      <c r="EV73" s="308" t="s">
        <v>176</v>
      </c>
      <c r="EW73" s="308" t="s">
        <v>176</v>
      </c>
      <c r="EX73" s="308" t="s">
        <v>176</v>
      </c>
      <c r="EY73" s="308">
        <v>1</v>
      </c>
      <c r="EZ73" s="308">
        <v>1</v>
      </c>
      <c r="FA73" s="308"/>
      <c r="FB73" s="308" t="s">
        <v>176</v>
      </c>
      <c r="FC73" s="308" t="s">
        <v>176</v>
      </c>
      <c r="FD73" s="308"/>
      <c r="FE73" s="308">
        <v>1</v>
      </c>
      <c r="FF73" s="308"/>
      <c r="FG73" s="308"/>
      <c r="FH73" s="308">
        <v>1</v>
      </c>
      <c r="FI73" s="308">
        <v>1</v>
      </c>
      <c r="FJ73" s="308">
        <v>1</v>
      </c>
      <c r="FK73" s="308">
        <v>1</v>
      </c>
      <c r="FL73" s="308" t="s">
        <v>176</v>
      </c>
      <c r="FM73" s="308"/>
      <c r="FN73" s="308"/>
      <c r="FO73" s="308"/>
      <c r="FP73" s="308" t="s">
        <v>176</v>
      </c>
      <c r="FQ73" s="308" t="s">
        <v>176</v>
      </c>
      <c r="FR73" s="308" t="s">
        <v>176</v>
      </c>
      <c r="FS73" s="308" t="s">
        <v>176</v>
      </c>
      <c r="FT73" s="308" t="s">
        <v>176</v>
      </c>
      <c r="FU73" s="308" t="s">
        <v>176</v>
      </c>
      <c r="FV73" s="308" t="s">
        <v>176</v>
      </c>
      <c r="FW73" s="308" t="s">
        <v>176</v>
      </c>
      <c r="FX73" s="308" t="s">
        <v>176</v>
      </c>
      <c r="FY73" s="308" t="s">
        <v>176</v>
      </c>
      <c r="FZ73" s="308" t="s">
        <v>176</v>
      </c>
      <c r="GA73" s="308" t="s">
        <v>176</v>
      </c>
      <c r="GB73" s="308" t="s">
        <v>176</v>
      </c>
      <c r="GC73" s="308" t="s">
        <v>176</v>
      </c>
      <c r="GD73" s="308" t="s">
        <v>176</v>
      </c>
      <c r="GE73" s="308" t="s">
        <v>176</v>
      </c>
      <c r="GF73" s="308"/>
      <c r="GG73" s="308"/>
      <c r="GH73" s="308" t="s">
        <v>176</v>
      </c>
      <c r="GI73" s="308"/>
      <c r="GJ73" s="308" t="s">
        <v>176</v>
      </c>
      <c r="GK73" s="308"/>
      <c r="GL73" s="390">
        <f>SUM(G73:FP73)</f>
        <v>28</v>
      </c>
      <c r="GM73" s="132"/>
    </row>
    <row r="74" spans="1:195" s="197" customFormat="1" ht="28.35" customHeight="1" thickBot="1" x14ac:dyDescent="0.3">
      <c r="A74" s="138" t="str">
        <f>A73</f>
        <v>Utrzymanie ruchu-Maintenance</v>
      </c>
      <c r="B74" s="138" t="str">
        <f>B73</f>
        <v>Elektromechanik</v>
      </c>
      <c r="C74" s="138" t="str">
        <f>C73</f>
        <v>KS</v>
      </c>
      <c r="D74" s="138">
        <v>2068</v>
      </c>
      <c r="E74" s="564"/>
      <c r="F74" s="312" t="s">
        <v>166</v>
      </c>
      <c r="G74" s="387">
        <f>IF(INDEX(tab_MinKomp[Przepisy BHP / BHP Vorschriften],MATCH($B73,tab_MinKomp[[Stanowisko / Position ]:[Stanowisko / Position ]],0))="n/a","n/a",G73-INDEX(tab_MinKomp[Przepisy BHP / BHP Vorschriften],MATCH($B73,tab_MinKomp[[Stanowisko / Position ]:[Stanowisko / Position ]],0)))</f>
        <v>-1</v>
      </c>
      <c r="H74" s="387">
        <f>IF(INDEX(tab_MinKomp[Przepisy PPOŻ / Brandschutzbestimmungen],MATCH($B73,tab_MinKomp[[Stanowisko / Position ]:[Stanowisko / Position ]],0))="n/a","n/a",H73-INDEX(tab_MinKomp[Przepisy PPOŻ / Brandschutzbestimmungen],MATCH($B73,tab_MinKomp[[Stanowisko / Position ]:[Stanowisko / Position ]],0)))</f>
        <v>-1</v>
      </c>
      <c r="I74" s="387">
        <f>IF(INDEX(tab_MinKomp[Ryzyko zawodowe na stanowiskach pracyv/ Berufliche Risiken an Arbeitsstellen],MATCH($B73,tab_MinKomp[[Stanowisko / Position ]:[Stanowisko / Position ]],0))="n/a","n/a",I73-INDEX(tab_MinKomp[Ryzyko zawodowe na stanowiskach pracyv/ Berufliche Risiken an Arbeitsstellen],MATCH($B73,tab_MinKomp[[Stanowisko / Position ]:[Stanowisko / Position ]],0)))</f>
        <v>-1</v>
      </c>
      <c r="J74" s="387">
        <f>IF(INDEX(tab_MinKomp[Gospodarka substancjami niebezpiecznymi / Gefahrstoffmanagement],MATCH($B73,tab_MinKomp[[Stanowisko / Position ]:[Stanowisko / Position ]],0))="n/a","n/a",J73-INDEX(tab_MinKomp[Gospodarka substancjami niebezpiecznymi / Gefahrstoffmanagement],MATCH($B73,tab_MinKomp[[Stanowisko / Position ]:[Stanowisko / Position ]],0)))</f>
        <v>-1</v>
      </c>
      <c r="K74" s="387">
        <f>IF(INDEX(tab_MinKomp[Gospodarka odpadami / Abfallwirtschaft],MATCH($B73,tab_MinKomp[[Stanowisko / Position ]:[Stanowisko / Position ]],0))="n/a","n/a",K73-INDEX(tab_MinKomp[Gospodarka odpadami / Abfallwirtschaft],MATCH($B73,tab_MinKomp[[Stanowisko / Position ]:[Stanowisko / Position ]],0)))</f>
        <v>-1</v>
      </c>
      <c r="L74" s="387">
        <f>IF(INDEX(tab_MinKomp[Przepisy kodeksu pracy / Bestimmungen des Arbeitsgesetzes],MATCH($B73,tab_MinKomp[[Stanowisko / Position ]:[Stanowisko / Position ]],0))="n/a","n/a",L73-INDEX(tab_MinKomp[Przepisy kodeksu pracy / Bestimmungen des Arbeitsgesetzes],MATCH($B73,tab_MinKomp[[Stanowisko / Position ]:[Stanowisko / Position ]],0)))</f>
        <v>0</v>
      </c>
      <c r="M74" s="387" t="str">
        <f>IF(INDEX(tab_MinKomp[Przepisy o ub.społ. ZUS  / Sozialversicherungsvorschriften],MATCH($B73,tab_MinKomp[[Stanowisko / Position ]:[Stanowisko / Position ]],0))="n/a","n/a",M73-INDEX(tab_MinKomp[Przepisy o ub.społ. ZUS  / Sozialversicherungsvorschriften],MATCH($B73,tab_MinKomp[[Stanowisko / Position ]:[Stanowisko / Position ]],0)))</f>
        <v>n/a</v>
      </c>
      <c r="N74" s="387" t="str">
        <f>IF(INDEX(tab_MinKomp[PRZEPISY O PDOF /persönlich Einkommensteuergesetz ],MATCH($B73,tab_MinKomp[[Stanowisko / Position ]:[Stanowisko / Position ]],0))="n/a","n/a",N73-INDEX(tab_MinKomp[PRZEPISY O PDOF /persönlich Einkommensteuergesetz ],MATCH($B73,tab_MinKomp[[Stanowisko / Position ]:[Stanowisko / Position ]],0)))</f>
        <v>n/a</v>
      </c>
      <c r="O74" s="387">
        <f>IF(INDEX(tab_MinKomp[Regulamin pracy / Arbeitsordnung],MATCH($B73,tab_MinKomp[[Stanowisko / Position ]:[Stanowisko / Position ]],0))="n/a","n/a",O73-INDEX(tab_MinKomp[Regulamin pracy / Arbeitsordnung],MATCH($B73,tab_MinKomp[[Stanowisko / Position ]:[Stanowisko / Position ]],0)))</f>
        <v>0</v>
      </c>
      <c r="P74" s="387">
        <f>IF(INDEX(tab_MinKomp[Regulamin wynagradzania / Vergütungsordnung],MATCH($B73,tab_MinKomp[[Stanowisko / Position ]:[Stanowisko / Position ]],0))="n/a","n/a",P73-INDEX(tab_MinKomp[Regulamin wynagradzania / Vergütungsordnung],MATCH($B73,tab_MinKomp[[Stanowisko / Position ]:[Stanowisko / Position ]],0)))</f>
        <v>0</v>
      </c>
      <c r="Q74" s="387" t="str">
        <f>IF(INDEX(tab_MinKomp[System R2PŁATNIK PRO: Płace / Lohnabrechnung],MATCH($B73,tab_MinKomp[[Stanowisko / Position ]:[Stanowisko / Position ]],0))="n/a","n/a",Q73-INDEX(tab_MinKomp[System R2PŁATNIK PRO: Płace / Lohnabrechnung],MATCH($B73,tab_MinKomp[[Stanowisko / Position ]:[Stanowisko / Position ]],0)))</f>
        <v>n/a</v>
      </c>
      <c r="R74" s="387" t="str">
        <f>IF(INDEX(tab_MinKomp[SystemR2PŁATNIK PRO: KADRY / Personaldaten],MATCH($B73,tab_MinKomp[[Stanowisko / Position ]:[Stanowisko / Position ]],0))="n/a","n/a",R73-INDEX(tab_MinKomp[SystemR2PŁATNIK PRO: KADRY / Personaldaten],MATCH($B73,tab_MinKomp[[Stanowisko / Position ]:[Stanowisko / Position ]],0)))</f>
        <v>n/a</v>
      </c>
      <c r="S74" s="387" t="str">
        <f>IF(INDEX(tab_MinKomp[SYSTEM R2PŁATNIK PRO: zarządzanie pracownikami / Arbeitsverwaltung],MATCH($B73,tab_MinKomp[[Stanowisko / Position ]:[Stanowisko / Position ]],0))="n/a","n/a",S73-INDEX(tab_MinKomp[SYSTEM R2PŁATNIK PRO: zarządzanie pracownikami / Arbeitsverwaltung],MATCH($B73,tab_MinKomp[[Stanowisko / Position ]:[Stanowisko / Position ]],0)))</f>
        <v>n/a</v>
      </c>
      <c r="T74" s="387" t="str">
        <f>IF(INDEX(tab_MinKomp[Doradztwo, wsparcie personalne / Personalberatung und Unterstützung],MATCH($B73,tab_MinKomp[[Stanowisko / Position ]:[Stanowisko / Position ]],0))="n/a","n/a",T73-INDEX(tab_MinKomp[Doradztwo, wsparcie personalne / Personalberatung und Unterstützung],MATCH($B73,tab_MinKomp[[Stanowisko / Position ]:[Stanowisko / Position ]],0)))</f>
        <v>n/a</v>
      </c>
      <c r="U74" s="387" t="str">
        <f>IF(INDEX(tab_MinKomp[Przepisy o podatku VAT / MwSt.- Gesetz],MATCH($B73,tab_MinKomp[[Stanowisko / Position ]:[Stanowisko / Position ]],0))="n/a","n/a",U73-INDEX(tab_MinKomp[Przepisy o podatku VAT / MwSt.- Gesetz],MATCH($B73,tab_MinKomp[[Stanowisko / Position ]:[Stanowisko / Position ]],0)))</f>
        <v>n/a</v>
      </c>
      <c r="V74" s="387" t="str">
        <f>IF(INDEX(tab_MinKomp[PrzepisyPDOP / geschäftlich Einkommensteuergesetz],MATCH($B73,tab_MinKomp[[Stanowisko / Position ]:[Stanowisko / Position ]],0))="n/a","n/a",V73-INDEX(tab_MinKomp[PrzepisyPDOP / geschäftlich Einkommensteuergesetz],MATCH($B73,tab_MinKomp[[Stanowisko / Position ]:[Stanowisko / Position ]],0)))</f>
        <v>n/a</v>
      </c>
      <c r="W74" s="387" t="str">
        <f>IF(INDEX(tab_MinKomp[System BAAN / FINANSE (FIBU)],MATCH($B73,tab_MinKomp[[Stanowisko / Position ]:[Stanowisko / Position ]],0))="n/a","n/a",W73-INDEX(tab_MinKomp[System BAAN / FINANSE (FIBU)],MATCH($B73,tab_MinKomp[[Stanowisko / Position ]:[Stanowisko / Position ]],0)))</f>
        <v>n/a</v>
      </c>
      <c r="X74" s="387" t="str">
        <f>IF(INDEX(tab_MinKomp[Systemy pomocnicze / Hilfssysteme(STOCKPROGRAM, KALK2000 etc.)],MATCH($B73,tab_MinKomp[[Stanowisko / Position ]:[Stanowisko / Position ]],0))="n/a","n/a",X73-INDEX(tab_MinKomp[Systemy pomocnicze / Hilfssysteme(STOCKPROGRAM, KALK2000 etc.)],MATCH($B73,tab_MinKomp[[Stanowisko / Position ]:[Stanowisko / Position ]],0)))</f>
        <v>n/a</v>
      </c>
      <c r="Y74" s="387" t="str">
        <f>IF(INDEX(tab_MinKomp[Polityka rachunkowości / Buchführungspolitik],MATCH($B73,tab_MinKomp[[Stanowisko / Position ]:[Stanowisko / Position ]],0))="n/a","n/a",Y73-INDEX(tab_MinKomp[Polityka rachunkowości / Buchführungspolitik],MATCH($B73,tab_MinKomp[[Stanowisko / Position ]:[Stanowisko / Position ]],0)))</f>
        <v>n/a</v>
      </c>
      <c r="Z74" s="387" t="str">
        <f>IF(INDEX(tab_MinKomp[Ustawa o rachunkowości / Rechnungslegungsgesetz],MATCH($B73,tab_MinKomp[[Stanowisko / Position ]:[Stanowisko / Position ]],0))="n/a","n/a",Z73-INDEX(tab_MinKomp[Ustawa o rachunkowości / Rechnungslegungsgesetz],MATCH($B73,tab_MinKomp[[Stanowisko / Position ]:[Stanowisko / Position ]],0)))</f>
        <v>n/a</v>
      </c>
      <c r="AA74" s="387" t="str">
        <f>IF(INDEX(tab_MinKomp[WORKFLOW - TS-100],MATCH($B73,tab_MinKomp[[Stanowisko / Position ]:[Stanowisko / Position ]],0))="n/a","n/a",AA73-INDEX(tab_MinKomp[WORKFLOW - TS-100],MATCH($B73,tab_MinKomp[[Stanowisko / Position ]:[Stanowisko / Position ]],0)))</f>
        <v>n/a</v>
      </c>
      <c r="AB74" s="387" t="str">
        <f>IF(INDEX(tab_MinKomp[WORKFLOW - SFMS],MATCH($B73,tab_MinKomp[[Stanowisko / Position ]:[Stanowisko / Position ]],0))="n/a","n/a",AB73-INDEX(tab_MinKomp[WORKFLOW - SFMS],MATCH($B73,tab_MinKomp[[Stanowisko / Position ]:[Stanowisko / Position ]],0)))</f>
        <v>n/a</v>
      </c>
      <c r="AC74" s="387" t="str">
        <f>IF(INDEX(tab_MinKomp[System ISO 9001:2015],MATCH($B73,tab_MinKomp[[Stanowisko / Position ]:[Stanowisko / Position ]],0))="n/a","n/a",AC73-INDEX(tab_MinKomp[System ISO 9001:2015],MATCH($B73,tab_MinKomp[[Stanowisko / Position ]:[Stanowisko / Position ]],0)))</f>
        <v>n/a</v>
      </c>
      <c r="AD74" s="387" t="str">
        <f>IF(INDEX(tab_MinKomp[System IATF 16949:2016],MATCH($B73,tab_MinKomp[[Stanowisko / Position ]:[Stanowisko / Position ]],0))="n/a","n/a",AD73-INDEX(tab_MinKomp[System IATF 16949:2016],MATCH($B73,tab_MinKomp[[Stanowisko / Position ]:[Stanowisko / Position ]],0)))</f>
        <v>n/a</v>
      </c>
      <c r="AE74" s="387" t="str">
        <f>IF(INDEX(tab_MinKomp[System ISO 14001:2015],MATCH($B73,tab_MinKomp[[Stanowisko / Position ]:[Stanowisko / Position ]],0))="n/a","n/a",AE73-INDEX(tab_MinKomp[System ISO 14001:2015],MATCH($B73,tab_MinKomp[[Stanowisko / Position ]:[Stanowisko / Position ]],0)))</f>
        <v>n/a</v>
      </c>
      <c r="AF74" s="387" t="str">
        <f>IF(INDEX(tab_MinKomp[System PN-N 18001:2004 / ISO 45001:2018],MATCH($B73,tab_MinKomp[[Stanowisko / Position ]:[Stanowisko / Position ]],0))="n/a","n/a",AF73-INDEX(tab_MinKomp[System PN-N 18001:2004 / ISO 45001:2018],MATCH($B73,tab_MinKomp[[Stanowisko / Position ]:[Stanowisko / Position ]],0)))</f>
        <v>n/a</v>
      </c>
      <c r="AG74" s="387" t="str">
        <f>IF(INDEX(tab_MinKomp[Wymagania VDA 6.3 Process / Forderungen],MATCH($B73,tab_MinKomp[[Stanowisko / Position ]:[Stanowisko / Position ]],0))="n/a","n/a",AG73-INDEX(tab_MinKomp[Wymagania VDA 6.3 Process / Forderungen],MATCH($B73,tab_MinKomp[[Stanowisko / Position ]:[Stanowisko / Position ]],0)))</f>
        <v>n/a</v>
      </c>
      <c r="AH74" s="387" t="str">
        <f>IF(INDEX(tab_MinKomp[Wymagania VDA 6.5 Product / Forderungen],MATCH($B73,tab_MinKomp[[Stanowisko / Position ]:[Stanowisko / Position ]],0))="n/a","n/a",AH73-INDEX(tab_MinKomp[Wymagania VDA 6.5 Product / Forderungen],MATCH($B73,tab_MinKomp[[Stanowisko / Position ]:[Stanowisko / Position ]],0)))</f>
        <v>n/a</v>
      </c>
      <c r="AI74" s="387" t="str">
        <f>IF(INDEX(tab_MinKomp[PSCR (VW Product Safety &amp; Conformity Representative)],MATCH($B73,tab_MinKomp[[Stanowisko / Position ]:[Stanowisko / Position ]],0))="n/a","n/a",AI73-INDEX(tab_MinKomp[PSCR (VW Product Safety &amp; Conformity Representative)],MATCH($B73,tab_MinKomp[[Stanowisko / Position ]:[Stanowisko / Position ]],0)))</f>
        <v>n/a</v>
      </c>
      <c r="AJ74" s="387" t="str">
        <f>IF(INDEX(tab_MinKomp[Auditor systemu ISO 17025:2018],MATCH($B73,tab_MinKomp[[Stanowisko / Position ]:[Stanowisko / Position ]],0))="n/a","n/a",AJ73-INDEX(tab_MinKomp[Auditor systemu ISO 17025:2018],MATCH($B73,tab_MinKomp[[Stanowisko / Position ]:[Stanowisko / Position ]],0)))</f>
        <v>n/a</v>
      </c>
      <c r="AK74" s="387" t="str">
        <f>IF(INDEX(tab_MinKomp[Pełnomocnik systemu / Systemvertreter],MATCH($B73,tab_MinKomp[[Stanowisko / Position ]:[Stanowisko / Position ]],0))="n/a","n/a",AK73-INDEX(tab_MinKomp[Pełnomocnik systemu / Systemvertreter],MATCH($B73,tab_MinKomp[[Stanowisko / Position ]:[Stanowisko / Position ]],0)))</f>
        <v>n/a</v>
      </c>
      <c r="AL74" s="387">
        <f>IF(INDEX(tab_MinKomp[Polityka Etyczna - Compliance],MATCH($B73,tab_MinKomp[[Stanowisko / Position ]:[Stanowisko / Position ]],0))="n/a","n/a",AL73-INDEX(tab_MinKomp[Polityka Etyczna - Compliance],MATCH($B73,tab_MinKomp[[Stanowisko / Position ]:[Stanowisko / Position ]],0)))</f>
        <v>0</v>
      </c>
      <c r="AM74" s="387" t="str">
        <f>IF(INDEX(tab_MinKomp[WDRAŻANIE NOWYCH PROJEKTÓW/ PROCEDURA CTM],MATCH($B73,tab_MinKomp[[Stanowisko / Position ]:[Stanowisko / Position ]],0))="n/a","n/a",AM73-INDEX(tab_MinKomp[WDRAŻANIE NOWYCH PROJEKTÓW/ PROCEDURA CTM],MATCH($B73,tab_MinKomp[[Stanowisko / Position ]:[Stanowisko / Position ]],0)))</f>
        <v>n/a</v>
      </c>
      <c r="AN74" s="387" t="str">
        <f>IF(INDEX(tab_MinKomp[KAMIENIE MILOWE MSL/PIFF],MATCH($B73,tab_MinKomp[[Stanowisko / Position ]:[Stanowisko / Position ]],0))="n/a","n/a",AN73-INDEX(tab_MinKomp[KAMIENIE MILOWE MSL/PIFF],MATCH($B73,tab_MinKomp[[Stanowisko / Position ]:[Stanowisko / Position ]],0)))</f>
        <v>n/a</v>
      </c>
      <c r="AO74" s="387" t="str">
        <f>IF(INDEX(tab_MinKomp[CP],MATCH($B73,tab_MinKomp[[Stanowisko / Position ]:[Stanowisko / Position ]],0))="n/a","n/a",AO73-INDEX(tab_MinKomp[CP],MATCH($B73,tab_MinKomp[[Stanowisko / Position ]:[Stanowisko / Position ]],0)))</f>
        <v>n/a</v>
      </c>
      <c r="AP74" s="387" t="str">
        <f>IF(INDEX(tab_MinKomp[FMEA],MATCH($B73,tab_MinKomp[[Stanowisko / Position ]:[Stanowisko / Position ]],0))="n/a","n/a",AP73-INDEX(tab_MinKomp[FMEA],MATCH($B73,tab_MinKomp[[Stanowisko / Position ]:[Stanowisko / Position ]],0)))</f>
        <v>n/a</v>
      </c>
      <c r="AQ74" s="387" t="str">
        <f>IF(INDEX(tab_MinKomp[FLOW CHART],MATCH($B73,tab_MinKomp[[Stanowisko / Position ]:[Stanowisko / Position ]],0))="n/a","n/a",AQ73-INDEX(tab_MinKomp[FLOW CHART],MATCH($B73,tab_MinKomp[[Stanowisko / Position ]:[Stanowisko / Position ]],0)))</f>
        <v>n/a</v>
      </c>
      <c r="AR74" s="387" t="str">
        <f>IF(INDEX(tab_MinKomp[APQP],MATCH($B73,tab_MinKomp[[Stanowisko / Position ]:[Stanowisko / Position ]],0))="n/a","n/a",AR73-INDEX(tab_MinKomp[APQP],MATCH($B73,tab_MinKomp[[Stanowisko / Position ]:[Stanowisko / Position ]],0)))</f>
        <v>n/a</v>
      </c>
      <c r="AS74" s="387" t="str">
        <f>IF(INDEX(tab_MinKomp[MSA],MATCH($B73,tab_MinKomp[[Stanowisko / Position ]:[Stanowisko / Position ]],0))="n/a","n/a",AS73-INDEX(tab_MinKomp[MSA],MATCH($B73,tab_MinKomp[[Stanowisko / Position ]:[Stanowisko / Position ]],0)))</f>
        <v>n/a</v>
      </c>
      <c r="AT74" s="387" t="str">
        <f>IF(INDEX(tab_MinKomp[SPC],MATCH($B73,tab_MinKomp[[Stanowisko / Position ]:[Stanowisko / Position ]],0))="n/a","n/a",AT73-INDEX(tab_MinKomp[SPC],MATCH($B73,tab_MinKomp[[Stanowisko / Position ]:[Stanowisko / Position ]],0)))</f>
        <v>n/a</v>
      </c>
      <c r="AU74" s="387" t="str">
        <f>IF(INDEX(tab_MinKomp[CSR (SPECYFICZNE WYMAGANIA KLIENTA)],MATCH($B73,tab_MinKomp[[Stanowisko / Position ]:[Stanowisko / Position ]],0))="n/a","n/a",AU73-INDEX(tab_MinKomp[CSR (SPECYFICZNE WYMAGANIA KLIENTA)],MATCH($B73,tab_MinKomp[[Stanowisko / Position ]:[Stanowisko / Position ]],0)))</f>
        <v>n/a</v>
      </c>
      <c r="AV74" s="387">
        <f>IF(INDEX(tab_MinKomp[5S],MATCH($B73,tab_MinKomp[[Stanowisko / Position ]:[Stanowisko / Position ]],0))="n/a","n/a",AV73-INDEX(tab_MinKomp[5S],MATCH($B73,tab_MinKomp[[Stanowisko / Position ]:[Stanowisko / Position ]],0)))</f>
        <v>-1</v>
      </c>
      <c r="AW74" s="387">
        <f>IF(INDEX(tab_MinKomp[LEAN MANAGEMENT],MATCH($B73,tab_MinKomp[[Stanowisko / Position ]:[Stanowisko / Position ]],0))="n/a","n/a",AW73-INDEX(tab_MinKomp[LEAN MANAGEMENT],MATCH($B73,tab_MinKomp[[Stanowisko / Position ]:[Stanowisko / Position ]],0)))</f>
        <v>-1</v>
      </c>
      <c r="AX74" s="387">
        <f>IF(INDEX(tab_MinKomp[5R],MATCH($B73,tab_MinKomp[[Stanowisko / Position ]:[Stanowisko / Position ]],0))="n/a","n/a",AX73-INDEX(tab_MinKomp[5R],MATCH($B73,tab_MinKomp[[Stanowisko / Position ]:[Stanowisko / Position ]],0)))</f>
        <v>-1</v>
      </c>
      <c r="AY74" s="387" t="str">
        <f>IF(INDEX(tab_MinKomp[Six Sigma],MATCH($B73,tab_MinKomp[[Stanowisko / Position ]:[Stanowisko / Position ]],0))="n/a","n/a",AY73-INDEX(tab_MinKomp[Six Sigma],MATCH($B73,tab_MinKomp[[Stanowisko / Position ]:[Stanowisko / Position ]],0)))</f>
        <v>n/a</v>
      </c>
      <c r="AZ74" s="387" t="str">
        <f>IF(INDEX(tab_MinKomp[System BAAN / Distribution &amp; Supply Chain],MATCH($B73,tab_MinKomp[[Stanowisko / Position ]:[Stanowisko / Position ]],0))="n/a","n/a",AZ73-INDEX(tab_MinKomp[System BAAN / Distribution &amp; Supply Chain],MATCH($B73,tab_MinKomp[[Stanowisko / Position ]:[Stanowisko / Position ]],0)))</f>
        <v>n/a</v>
      </c>
      <c r="BA74" s="387" t="str">
        <f>IF(INDEX(tab_MinKomp[Gospodarka magazynowa / Lagerverwaltung],MATCH($B73,tab_MinKomp[[Stanowisko / Position ]:[Stanowisko / Position ]],0))="n/a","n/a",BA73-INDEX(tab_MinKomp[Gospodarka magazynowa / Lagerverwaltung],MATCH($B73,tab_MinKomp[[Stanowisko / Position ]:[Stanowisko / Position ]],0)))</f>
        <v>n/a</v>
      </c>
      <c r="BB74" s="387" t="str">
        <f>IF(INDEX(tab_MinKomp[Inwentaryzacja - organizacja i przebieg / Inventurprozess],MATCH($B73,tab_MinKomp[[Stanowisko / Position ]:[Stanowisko / Position ]],0))="n/a","n/a",BB73-INDEX(tab_MinKomp[Inwentaryzacja - organizacja i przebieg / Inventurprozess],MATCH($B73,tab_MinKomp[[Stanowisko / Position ]:[Stanowisko / Position ]],0)))</f>
        <v>n/a</v>
      </c>
      <c r="BC74" s="387" t="str">
        <f>IF(INDEX(tab_MinKomp[Organizacja dostaw / Versorgungsorganisation],MATCH($B73,tab_MinKomp[[Stanowisko / Position ]:[Stanowisko / Position ]],0))="n/a","n/a",BC73-INDEX(tab_MinKomp[Organizacja dostaw / Versorgungsorganisation],MATCH($B73,tab_MinKomp[[Stanowisko / Position ]:[Stanowisko / Position ]],0)))</f>
        <v>n/a</v>
      </c>
      <c r="BD74" s="387" t="str">
        <f>IF(INDEX(tab_MinKomp[Organizacja wysyłek / Organisation von Lieferungen],MATCH($B73,tab_MinKomp[[Stanowisko / Position ]:[Stanowisko / Position ]],0))="n/a","n/a",BD73-INDEX(tab_MinKomp[Organizacja wysyłek / Organisation von Lieferungen],MATCH($B73,tab_MinKomp[[Stanowisko / Position ]:[Stanowisko / Position ]],0)))</f>
        <v>n/a</v>
      </c>
      <c r="BE74" s="387" t="str">
        <f>IF(INDEX(tab_MinKomp[Analiza magazynowa - Program Polen.mdb / Inventuranalyse],MATCH($B73,tab_MinKomp[[Stanowisko / Position ]:[Stanowisko / Position ]],0))="n/a","n/a",BE73-INDEX(tab_MinKomp[Analiza magazynowa - Program Polen.mdb / Inventuranalyse],MATCH($B73,tab_MinKomp[[Stanowisko / Position ]:[Stanowisko / Position ]],0)))</f>
        <v>n/a</v>
      </c>
      <c r="BF74" s="387" t="str">
        <f>IF(INDEX(tab_MinKomp[MMOG (Materials Management Operations Guidelines)],MATCH($B73,tab_MinKomp[[Stanowisko / Position ]:[Stanowisko / Position ]],0))="n/a","n/a",BF73-INDEX(tab_MinKomp[MMOG (Materials Management Operations Guidelines)],MATCH($B73,tab_MinKomp[[Stanowisko / Position ]:[Stanowisko / Position ]],0)))</f>
        <v>n/a</v>
      </c>
      <c r="BG74" s="387" t="str">
        <f>IF(INDEX(tab_MinKomp[DETC],MATCH($B73,tab_MinKomp[[Stanowisko / Position ]:[Stanowisko / Position ]],0))="n/a","n/a",BG73-INDEX(tab_MinKomp[DETC],MATCH($B73,tab_MinKomp[[Stanowisko / Position ]:[Stanowisko / Position ]],0)))</f>
        <v>n/a</v>
      </c>
      <c r="BH74" s="387" t="str">
        <f>IF(INDEX(tab_MinKomp[GPP],MATCH($B73,tab_MinKomp[[Stanowisko / Position ]:[Stanowisko / Position ]],0))="n/a","n/a",BH73-INDEX(tab_MinKomp[GPP],MATCH($B73,tab_MinKomp[[Stanowisko / Position ]:[Stanowisko / Position ]],0)))</f>
        <v>n/a</v>
      </c>
      <c r="BI74" s="387" t="str">
        <f>IF(INDEX(tab_MinKomp[AIAG (Automotive Industry Action Group)],MATCH($B73,tab_MinKomp[[Stanowisko / Position ]:[Stanowisko / Position ]],0))="n/a","n/a",BI73-INDEX(tab_MinKomp[AIAG (Automotive Industry Action Group)],MATCH($B73,tab_MinKomp[[Stanowisko / Position ]:[Stanowisko / Position ]],0)))</f>
        <v>n/a</v>
      </c>
      <c r="BJ74" s="387" t="str">
        <f>IF(INDEX(tab_MinKomp[Super-G disputes],MATCH($B73,tab_MinKomp[[Stanowisko / Position ]:[Stanowisko / Position ]],0))="n/a","n/a",BJ73-INDEX(tab_MinKomp[Super-G disputes],MATCH($B73,tab_MinKomp[[Stanowisko / Position ]:[Stanowisko / Position ]],0)))</f>
        <v>n/a</v>
      </c>
      <c r="BK74" s="387" t="str">
        <f>IF(INDEX(tab_MinKomp[CMMS3/eDDL (Direct Data Link)],MATCH($B73,tab_MinKomp[[Stanowisko / Position ]:[Stanowisko / Position ]],0))="n/a","n/a",BK73-INDEX(tab_MinKomp[CMMS3/eDDL (Direct Data Link)],MATCH($B73,tab_MinKomp[[Stanowisko / Position ]:[Stanowisko / Position ]],0)))</f>
        <v>n/a</v>
      </c>
      <c r="BL74" s="387" t="str">
        <f>IF(INDEX(tab_MinKomp[MP&amp;L (Material Planning and Logistics)],MATCH($B73,tab_MinKomp[[Stanowisko / Position ]:[Stanowisko / Position ]],0))="n/a","n/a",BL73-INDEX(tab_MinKomp[MP&amp;L (Material Planning and Logistics)],MATCH($B73,tab_MinKomp[[Stanowisko / Position ]:[Stanowisko / Position ]],0)))</f>
        <v>n/a</v>
      </c>
      <c r="BM74" s="387" t="str">
        <f>IF(INDEX(tab_MinKomp[Planowanie produkcji / Produktionsplanung],MATCH($B73,tab_MinKomp[[Stanowisko / Position ]:[Stanowisko / Position ]],0))="n/a","n/a",BM73-INDEX(tab_MinKomp[Planowanie produkcji / Produktionsplanung],MATCH($B73,tab_MinKomp[[Stanowisko / Position ]:[Stanowisko / Position ]],0)))</f>
        <v>n/a</v>
      </c>
      <c r="BN74" s="387">
        <f>IF(INDEX(tab_MinKomp[Obsługa maszyn Engel / Engel Maschinenbedienung],MATCH($B73,tab_MinKomp[[Stanowisko / Position ]:[Stanowisko / Position ]],0))="n/a","n/a",BN73-INDEX(tab_MinKomp[Obsługa maszyn Engel / Engel Maschinenbedienung],MATCH($B73,tab_MinKomp[[Stanowisko / Position ]:[Stanowisko / Position ]],0)))</f>
        <v>-1</v>
      </c>
      <c r="BO74" s="387">
        <f>IF(INDEX(tab_MinKomp[Obsługa maszyn Novapax / Novapax Maschinenbedienung],MATCH($B73,tab_MinKomp[[Stanowisko / Position ]:[Stanowisko / Position ]],0))="n/a","n/a",BO73-INDEX(tab_MinKomp[Obsługa maszyn Novapax / Novapax Maschinenbedienung],MATCH($B73,tab_MinKomp[[Stanowisko / Position ]:[Stanowisko / Position ]],0)))</f>
        <v>-1</v>
      </c>
      <c r="BP74" s="387">
        <f>IF(INDEX(tab_MinKomp[Obsługa maszyn KVT / KVT Maschinenbedienung],MATCH($B73,tab_MinKomp[[Stanowisko / Position ]:[Stanowisko / Position ]],0))="n/a","n/a",BP73-INDEX(tab_MinKomp[Obsługa maszyn KVT / KVT Maschinenbedienung],MATCH($B73,tab_MinKomp[[Stanowisko / Position ]:[Stanowisko / Position ]],0)))</f>
        <v>0</v>
      </c>
      <c r="BQ74" s="387">
        <f>IF(INDEX(tab_MinKomp[Obsługa maszyn ASL / ASL Maschinenbedienung],MATCH($B73,tab_MinKomp[[Stanowisko / Position ]:[Stanowisko / Position ]],0))="n/a","n/a",BQ73-INDEX(tab_MinKomp[Obsługa maszyn ASL / ASL Maschinenbedienung],MATCH($B73,tab_MinKomp[[Stanowisko / Position ]:[Stanowisko / Position ]],0)))</f>
        <v>-1</v>
      </c>
      <c r="BR74" s="387">
        <f>IF(INDEX(tab_MinKomp[Obsługa maszyn Branson / Branson Maschinenbedienung],MATCH($B73,tab_MinKomp[[Stanowisko / Position ]:[Stanowisko / Position ]],0))="n/a","n/a",BR73-INDEX(tab_MinKomp[Obsługa maszyn Branson / Branson Maschinenbedienung],MATCH($B73,tab_MinKomp[[Stanowisko / Position ]:[Stanowisko / Position ]],0)))</f>
        <v>-1</v>
      </c>
      <c r="BS74" s="387">
        <f>IF(INDEX(tab_MinKomp[Obsługa maszyn Kamtec / Kamtec Maschinenbedienung],MATCH($B73,tab_MinKomp[[Stanowisko / Position ]:[Stanowisko / Position ]],0))="n/a","n/a",BS73-INDEX(tab_MinKomp[Obsługa maszyn Kamtec / Kamtec Maschinenbedienung],MATCH($B73,tab_MinKomp[[Stanowisko / Position ]:[Stanowisko / Position ]],0)))</f>
        <v>0</v>
      </c>
      <c r="BT74" s="387">
        <f>IF(INDEX(tab_MinKomp[Obsługa maszyn Piovan / Piovan Maschinenbedienung],MATCH($B73,tab_MinKomp[[Stanowisko / Position ]:[Stanowisko / Position ]],0))="n/a","n/a",BT73-INDEX(tab_MinKomp[Obsługa maszyn Piovan / Piovan Maschinenbedienung],MATCH($B73,tab_MinKomp[[Stanowisko / Position ]:[Stanowisko / Position ]],0)))</f>
        <v>-1</v>
      </c>
      <c r="BU74" s="387">
        <f>IF(INDEX(tab_MinKomp[Obsługa maszyn REP / REP Maschinenbedienung],MATCH($B73,tab_MinKomp[[Stanowisko / Position ]:[Stanowisko / Position ]],0))="n/a","n/a",BU73-INDEX(tab_MinKomp[Obsługa maszyn REP / REP Maschinenbedienung],MATCH($B73,tab_MinKomp[[Stanowisko / Position ]:[Stanowisko / Position ]],0)))</f>
        <v>-1</v>
      </c>
      <c r="BV74" s="387">
        <f>IF(INDEX(tab_MinKomp[Eliminacja awarii / Beseitigung von Ausfällen],MATCH($B73,tab_MinKomp[[Stanowisko / Position ]:[Stanowisko / Position ]],0))="n/a","n/a",BV73-INDEX(tab_MinKomp[Eliminacja awarii / Beseitigung von Ausfällen],MATCH($B73,tab_MinKomp[[Stanowisko / Position ]:[Stanowisko / Position ]],0)))</f>
        <v>-1</v>
      </c>
      <c r="BW74" s="387" t="str">
        <f>IF(INDEX(tab_MinKomp[Informatyka ogólna (techniczne i systemowe) / Allgemeine IT (Technik und System)],MATCH($B73,tab_MinKomp[[Stanowisko / Position ]:[Stanowisko / Position ]],0))="n/a","n/a",BW73-INDEX(tab_MinKomp[Informatyka ogólna (techniczne i systemowe) / Allgemeine IT (Technik und System)],MATCH($B73,tab_MinKomp[[Stanowisko / Position ]:[Stanowisko / Position ]],0)))</f>
        <v>n/a</v>
      </c>
      <c r="BX74" s="387" t="str">
        <f>IF(INDEX(tab_MinKomp[Sieci komputerowe / Computernetzwerke],MATCH($B73,tab_MinKomp[[Stanowisko / Position ]:[Stanowisko / Position ]],0))="n/a","n/a",BX73-INDEX(tab_MinKomp[Sieci komputerowe / Computernetzwerke],MATCH($B73,tab_MinKomp[[Stanowisko / Position ]:[Stanowisko / Position ]],0)))</f>
        <v>n/a</v>
      </c>
      <c r="BY74" s="387" t="str">
        <f>IF(INDEX(tab_MinKomp[Hardware (komputery PC, drukarki biurowe i etykietowe, telefonia stacjonarna i mobilna) (PC, Drucker, Telefpne, Handys)],MATCH($B73,tab_MinKomp[[Stanowisko / Position ]:[Stanowisko / Position ]],0))="n/a","n/a",BY73-INDEX(tab_MinKomp[Hardware (komputery PC, drukarki biurowe i etykietowe, telefonia stacjonarna i mobilna) (PC, Drucker, Telefpne, Handys)],MATCH($B73,tab_MinKomp[[Stanowisko / Position ]:[Stanowisko / Position ]],0)))</f>
        <v>n/a</v>
      </c>
      <c r="BZ74" s="387" t="str">
        <f>IF(INDEX(tab_MinKomp[Software &amp; Systems (MS Office, MS Remote Desktop)],MATCH($B73,tab_MinKomp[[Stanowisko / Position ]:[Stanowisko / Position ]],0))="n/a","n/a",BZ73-INDEX(tab_MinKomp[Software &amp; Systems (MS Office, MS Remote Desktop)],MATCH($B73,tab_MinKomp[[Stanowisko / Position ]:[Stanowisko / Position ]],0)))</f>
        <v>n/a</v>
      </c>
      <c r="CA74" s="387" t="str">
        <f>IF(INDEX(tab_MinKomp[Programowanie obiektowe (PHP) / Objektprogrammierung],MATCH($B73,tab_MinKomp[[Stanowisko / Position ]:[Stanowisko / Position ]],0))="n/a","n/a",CA73-INDEX(tab_MinKomp[Programowanie obiektowe (PHP) / Objektprogrammierung],MATCH($B73,tab_MinKomp[[Stanowisko / Position ]:[Stanowisko / Position ]],0)))</f>
        <v>n/a</v>
      </c>
      <c r="CB74" s="387" t="str">
        <f>IF(INDEX(tab_MinKomp[Scrum],MATCH($B73,tab_MinKomp[[Stanowisko / Position ]:[Stanowisko / Position ]],0))="n/a","n/a",CB73-INDEX(tab_MinKomp[Scrum],MATCH($B73,tab_MinKomp[[Stanowisko / Position ]:[Stanowisko / Position ]],0)))</f>
        <v>n/a</v>
      </c>
      <c r="CC74" s="387" t="str">
        <f>IF(INDEX(tab_MinKomp[SQL (MySQL)],MATCH($B73,tab_MinKomp[[Stanowisko / Position ]:[Stanowisko / Position ]],0))="n/a","n/a",CC73-INDEX(tab_MinKomp[SQL (MySQL)],MATCH($B73,tab_MinKomp[[Stanowisko / Position ]:[Stanowisko / Position ]],0)))</f>
        <v>n/a</v>
      </c>
      <c r="CD74" s="387" t="str">
        <f>IF(INDEX(tab_MinKomp[Javascript],MATCH($B73,tab_MinKomp[[Stanowisko / Position ]:[Stanowisko / Position ]],0))="n/a","n/a",CD73-INDEX(tab_MinKomp[Javascript],MATCH($B73,tab_MinKomp[[Stanowisko / Position ]:[Stanowisko / Position ]],0)))</f>
        <v>n/a</v>
      </c>
      <c r="CE74" s="387" t="str">
        <f>IF(INDEX(tab_MinKomp[Joomla],MATCH($B73,tab_MinKomp[[Stanowisko / Position ]:[Stanowisko / Position ]],0))="n/a","n/a",CE73-INDEX(tab_MinKomp[Joomla],MATCH($B73,tab_MinKomp[[Stanowisko / Position ]:[Stanowisko / Position ]],0)))</f>
        <v>n/a</v>
      </c>
      <c r="CF74" s="387" t="str">
        <f>IF(INDEX(tab_MinKomp[Bash],MATCH($B73,tab_MinKomp[[Stanowisko / Position ]:[Stanowisko / Position ]],0))="n/a","n/a",CF73-INDEX(tab_MinKomp[Bash],MATCH($B73,tab_MinKomp[[Stanowisko / Position ]:[Stanowisko / Position ]],0)))</f>
        <v>n/a</v>
      </c>
      <c r="CG74" s="387" t="str">
        <f>IF(INDEX(tab_MinKomp[Systemy MES (HYDRA / SFMS)],MATCH($B73,tab_MinKomp[[Stanowisko / Position ]:[Stanowisko / Position ]],0))="n/a","n/a",CG73-INDEX(tab_MinKomp[Systemy MES (HYDRA / SFMS)],MATCH($B73,tab_MinKomp[[Stanowisko / Position ]:[Stanowisko / Position ]],0)))</f>
        <v>n/a</v>
      </c>
      <c r="CH74" s="387" t="str">
        <f>IF(INDEX(tab_MinKomp[HTML / CSS],MATCH($B73,tab_MinKomp[[Stanowisko / Position ]:[Stanowisko / Position ]],0))="n/a","n/a",CH73-INDEX(tab_MinKomp[HTML / CSS],MATCH($B73,tab_MinKomp[[Stanowisko / Position ]:[Stanowisko / Position ]],0)))</f>
        <v>n/a</v>
      </c>
      <c r="CI74" s="387">
        <f>IF(INDEX(tab_MinKomp[SYSTEM PR],MATCH($B73,tab_MinKomp[[Stanowisko / Position ]:[Stanowisko / Position ]],0))="n/a","n/a",CI73-INDEX(tab_MinKomp[SYSTEM PR],MATCH($B73,tab_MinKomp[[Stanowisko / Position ]:[Stanowisko / Position ]],0)))</f>
        <v>-1</v>
      </c>
      <c r="CJ74" s="387" t="str">
        <f>IF(INDEX(tab_MinKomp[System Einkauf XP / EBA],MATCH($B73,tab_MinKomp[[Stanowisko / Position ]:[Stanowisko / Position ]],0))="n/a","n/a",CJ73-INDEX(tab_MinKomp[System Einkauf XP / EBA],MATCH($B73,tab_MinKomp[[Stanowisko / Position ]:[Stanowisko / Position ]],0)))</f>
        <v>n/a</v>
      </c>
      <c r="CK74" s="387" t="str">
        <f>IF(INDEX(tab_MinKomp[Techniki negocjacyjne / Verhandlungstechniken],MATCH($B73,tab_MinKomp[[Stanowisko / Position ]:[Stanowisko / Position ]],0))="n/a","n/a",CK73-INDEX(tab_MinKomp[Techniki negocjacyjne / Verhandlungstechniken],MATCH($B73,tab_MinKomp[[Stanowisko / Position ]:[Stanowisko / Position ]],0)))</f>
        <v>n/a</v>
      </c>
      <c r="CL74" s="387">
        <f>IF(INDEX(tab_MinKomp[Znajomość rynku branżowego / Kenntnis des Industrie Marktes],MATCH($B73,tab_MinKomp[[Stanowisko / Position ]:[Stanowisko / Position ]],0))="n/a","n/a",CL73-INDEX(tab_MinKomp[Znajomość rynku branżowego / Kenntnis des Industrie Marktes],MATCH($B73,tab_MinKomp[[Stanowisko / Position ]:[Stanowisko / Position ]],0)))</f>
        <v>-1</v>
      </c>
      <c r="CM74" s="387" t="str">
        <f>IF(INDEX(tab_MinKomp[RAPORTY 8D / 8D Berichten],MATCH($B73,tab_MinKomp[[Stanowisko / Position ]:[Stanowisko / Position ]],0))="n/a","n/a",CM73-INDEX(tab_MinKomp[RAPORTY 8D / 8D Berichten],MATCH($B73,tab_MinKomp[[Stanowisko / Position ]:[Stanowisko / Position ]],0)))</f>
        <v>n/a</v>
      </c>
      <c r="CN74" s="387">
        <f>IF(INDEX(tab_MinKomp[NARZĘDZIA JAKOŚCIOWE (5WHY, Ishikawa, etc) / QS-Werkzeuge],MATCH($B73,tab_MinKomp[[Stanowisko / Position ]:[Stanowisko / Position ]],0))="n/a","n/a",CN73-INDEX(tab_MinKomp[NARZĘDZIA JAKOŚCIOWE (5WHY, Ishikawa, etc) / QS-Werkzeuge],MATCH($B73,tab_MinKomp[[Stanowisko / Position ]:[Stanowisko / Position ]],0)))</f>
        <v>-2</v>
      </c>
      <c r="CO74" s="387">
        <f>IF(INDEX(tab_MinKomp[PDCA],MATCH($B73,tab_MinKomp[[Stanowisko / Position ]:[Stanowisko / Position ]],0))="n/a","n/a",CO73-INDEX(tab_MinKomp[PDCA],MATCH($B73,tab_MinKomp[[Stanowisko / Position ]:[Stanowisko / Position ]],0)))</f>
        <v>-2</v>
      </c>
      <c r="CP74" s="387">
        <f>IF(INDEX(tab_MinKomp[Pareto],MATCH($B73,tab_MinKomp[[Stanowisko / Position ]:[Stanowisko / Position ]],0))="n/a","n/a",CP73-INDEX(tab_MinKomp[Pareto],MATCH($B73,tab_MinKomp[[Stanowisko / Position ]:[Stanowisko / Position ]],0)))</f>
        <v>-2</v>
      </c>
      <c r="CQ74" s="387" t="str">
        <f>IF(INDEX(tab_MinKomp[PPAP/PSW],MATCH($B73,tab_MinKomp[[Stanowisko / Position ]:[Stanowisko / Position ]],0))="n/a","n/a",CQ73-INDEX(tab_MinKomp[PPAP/PSW],MATCH($B73,tab_MinKomp[[Stanowisko / Position ]:[Stanowisko / Position ]],0)))</f>
        <v>n/a</v>
      </c>
      <c r="CR74" s="387" t="str">
        <f>IF(INDEX(tab_MinKomp[SUPPLIER MANAGEMENT],MATCH($B73,tab_MinKomp[[Stanowisko / Position ]:[Stanowisko / Position ]],0))="n/a","n/a",CR73-INDEX(tab_MinKomp[SUPPLIER MANAGEMENT],MATCH($B73,tab_MinKomp[[Stanowisko / Position ]:[Stanowisko / Position ]],0)))</f>
        <v>n/a</v>
      </c>
      <c r="CS74" s="387" t="str">
        <f>IF(INDEX(tab_MinKomp[OBSŁUGA PORTALI KLIENTA / Kundenportale],MATCH($B73,tab_MinKomp[[Stanowisko / Position ]:[Stanowisko / Position ]],0))="n/a","n/a",CS73-INDEX(tab_MinKomp[OBSŁUGA PORTALI KLIENTA / Kundenportale],MATCH($B73,tab_MinKomp[[Stanowisko / Position ]:[Stanowisko / Position ]],0)))</f>
        <v>n/a</v>
      </c>
      <c r="CT74" s="387" t="str">
        <f>IF(INDEX(tab_MinKomp[Obsługa systemu BABTECQ / BABTECQ System],MATCH($B73,tab_MinKomp[[Stanowisko / Position ]:[Stanowisko / Position ]],0))="n/a","n/a",CT73-INDEX(tab_MinKomp[Obsługa systemu BABTECQ / BABTECQ System],MATCH($B73,tab_MinKomp[[Stanowisko / Position ]:[Stanowisko / Position ]],0)))</f>
        <v>n/a</v>
      </c>
      <c r="CU74" s="387">
        <f>IF(INDEX(tab_MinKomp[Rysunek techniczny / technische Zeichnung],MATCH($B73,tab_MinKomp[[Stanowisko / Position ]:[Stanowisko / Position ]],0))="n/a","n/a",CU73-INDEX(tab_MinKomp[Rysunek techniczny / technische Zeichnung],MATCH($B73,tab_MinKomp[[Stanowisko / Position ]:[Stanowisko / Position ]],0)))</f>
        <v>-1</v>
      </c>
      <c r="CV74" s="387" t="str">
        <f>IF(INDEX(tab_MinKomp[Kalibracja / Kalibrierung],MATCH($B73,tab_MinKomp[[Stanowisko / Position ]:[Stanowisko / Position ]],0))="n/a","n/a",CV73-INDEX(tab_MinKomp[Kalibracja / Kalibrierung],MATCH($B73,tab_MinKomp[[Stanowisko / Position ]:[Stanowisko / Position ]],0)))</f>
        <v>n/a</v>
      </c>
      <c r="CW74" s="387" t="str">
        <f>IF(INDEX(tab_MinKomp[Rekwalifikacja / Requalifizierung],MATCH($B73,tab_MinKomp[[Stanowisko / Position ]:[Stanowisko / Position ]],0))="n/a","n/a",CW73-INDEX(tab_MinKomp[Rekwalifikacja / Requalifizierung],MATCH($B73,tab_MinKomp[[Stanowisko / Position ]:[Stanowisko / Position ]],0)))</f>
        <v>n/a</v>
      </c>
      <c r="CX74" s="387" t="str">
        <f>IF(INDEX(tab_MinKomp[Obsługa mikroskopu optycznego / Bedienung eines optischen Mikroskops],MATCH($B73,tab_MinKomp[[Stanowisko / Position ]:[Stanowisko / Position ]],0))="n/a","n/a",CX73-INDEX(tab_MinKomp[Obsługa mikroskopu optycznego / Bedienung eines optischen Mikroskops],MATCH($B73,tab_MinKomp[[Stanowisko / Position ]:[Stanowisko / Position ]],0)))</f>
        <v>n/a</v>
      </c>
      <c r="CY74" s="387" t="str">
        <f>IF(INDEX(tab_MinKomp[Wykonywanie pomiarów optycznych - ocena wizualna / Optische Messungen durchführen – visuelle Beurteilung],MATCH($B73,tab_MinKomp[[Stanowisko / Position ]:[Stanowisko / Position ]],0))="n/a","n/a",CY73-INDEX(tab_MinKomp[Wykonywanie pomiarów optycznych - ocena wizualna / Optische Messungen durchführen – visuelle Beurteilung],MATCH($B73,tab_MinKomp[[Stanowisko / Position ]:[Stanowisko / Position ]],0)))</f>
        <v>n/a</v>
      </c>
      <c r="CZ74" s="387" t="str">
        <f>IF(INDEX(tab_MinKomp[Obsługa Rheometra / Rheometra-Unterstützung],MATCH($B73,tab_MinKomp[[Stanowisko / Position ]:[Stanowisko / Position ]],0))="n/a","n/a",CZ73-INDEX(tab_MinKomp[Obsługa Rheometra / Rheometra-Unterstützung],MATCH($B73,tab_MinKomp[[Stanowisko / Position ]:[Stanowisko / Position ]],0)))</f>
        <v>n/a</v>
      </c>
      <c r="DA74" s="387" t="str">
        <f>IF(INDEX(tab_MinKomp[Testy właściwości Rheometra mieszanki gumy],MATCH($B73,tab_MinKomp[[Stanowisko / Position ]:[Stanowisko / Position ]],0))="n/a","n/a",DA73-INDEX(tab_MinKomp[Testy właściwości Rheometra mieszanki gumy],MATCH($B73,tab_MinKomp[[Stanowisko / Position ]:[Stanowisko / Position ]],0)))</f>
        <v>n/a</v>
      </c>
      <c r="DB74" s="387" t="str">
        <f>IF(INDEX(tab_MinKomp[CMM - Contura Zeiss],MATCH($B73,tab_MinKomp[[Stanowisko / Position ]:[Stanowisko / Position ]],0))="n/a","n/a",DB73-INDEX(tab_MinKomp[CMM - Contura Zeiss],MATCH($B73,tab_MinKomp[[Stanowisko / Position ]:[Stanowisko / Position ]],0)))</f>
        <v>n/a</v>
      </c>
      <c r="DC74" s="387" t="str">
        <f>IF(INDEX(tab_MinKomp[Wykonywanie precyzyjnych pomiarów metrycznych, pomiary 3D],MATCH($B73,tab_MinKomp[[Stanowisko / Position ]:[Stanowisko / Position ]],0))="n/a","n/a",DC73-INDEX(tab_MinKomp[Wykonywanie precyzyjnych pomiarów metrycznych, pomiary 3D],MATCH($B73,tab_MinKomp[[Stanowisko / Position ]:[Stanowisko / Position ]],0)))</f>
        <v>n/a</v>
      </c>
      <c r="DD74" s="387" t="str">
        <f>IF(INDEX(tab_MinKomp[Pisanie programów / Programme schreiben],MATCH($B73,tab_MinKomp[[Stanowisko / Position ]:[Stanowisko / Position ]],0))="n/a","n/a",DD73-INDEX(tab_MinKomp[Pisanie programów / Programme schreiben],MATCH($B73,tab_MinKomp[[Stanowisko / Position ]:[Stanowisko / Position ]],0)))</f>
        <v>n/a</v>
      </c>
      <c r="DE74" s="387" t="str">
        <f>IF(INDEX(tab_MinKomp[Obsługa wyposażenia do testów czystości (myjka + analizator) / Betrieb von Sauberkeitsprüfgeräten (Waschmaschine + Analysegerät)],MATCH($B73,tab_MinKomp[[Stanowisko / Position ]:[Stanowisko / Position ]],0))="n/a","n/a",DE73-INDEX(tab_MinKomp[Obsługa wyposażenia do testów czystości (myjka + analizator) / Betrieb von Sauberkeitsprüfgeräten (Waschmaschine + Analysegerät)],MATCH($B73,tab_MinKomp[[Stanowisko / Position ]:[Stanowisko / Position ]],0)))</f>
        <v>n/a</v>
      </c>
      <c r="DF74" s="387" t="str">
        <f>IF(INDEX(tab_MinKomp[Testy czystości / Reinheitstests],MATCH($B73,tab_MinKomp[[Stanowisko / Position ]:[Stanowisko / Position ]],0))="n/a","n/a",DF73-INDEX(tab_MinKomp[Testy czystości / Reinheitstests],MATCH($B73,tab_MinKomp[[Stanowisko / Position ]:[Stanowisko / Position ]],0)))</f>
        <v>n/a</v>
      </c>
      <c r="DG74" s="387" t="str">
        <f>IF(INDEX(tab_MinKomp[Obsługa wysokościomierza / Unterstützung für Höhenmesser],MATCH($B73,tab_MinKomp[[Stanowisko / Position ]:[Stanowisko / Position ]],0))="n/a","n/a",DG73-INDEX(tab_MinKomp[Obsługa wysokościomierza / Unterstützung für Höhenmesser],MATCH($B73,tab_MinKomp[[Stanowisko / Position ]:[Stanowisko / Position ]],0)))</f>
        <v>n/a</v>
      </c>
      <c r="DH74" s="387" t="str">
        <f>IF(INDEX(tab_MinKomp[Pomiary wysokości materiału / Materialhöhenmessungen],MATCH($B73,tab_MinKomp[[Stanowisko / Position ]:[Stanowisko / Position ]],0))="n/a","n/a",DH73-INDEX(tab_MinKomp[Pomiary wysokości materiału / Materialhöhenmessungen],MATCH($B73,tab_MinKomp[[Stanowisko / Position ]:[Stanowisko / Position ]],0)))</f>
        <v>n/a</v>
      </c>
      <c r="DI74" s="387" t="str">
        <f>IF(INDEX(tab_MinKomp[Obsługa okrągłościomierza / Unterstützung für Rundheitsmessgeräte],MATCH($B73,tab_MinKomp[[Stanowisko / Position ]:[Stanowisko / Position ]],0))="n/a","n/a",DI73-INDEX(tab_MinKomp[Obsługa okrągłościomierza / Unterstützung für Rundheitsmessgeräte],MATCH($B73,tab_MinKomp[[Stanowisko / Position ]:[Stanowisko / Position ]],0)))</f>
        <v>n/a</v>
      </c>
      <c r="DJ74" s="387" t="str">
        <f>IF(INDEX(tab_MinKomp[Wykonywania pomiarów owalności, srednicy materiału / Messung der Ovalität und des Durchmessers des Materials],MATCH($B73,tab_MinKomp[[Stanowisko / Position ]:[Stanowisko / Position ]],0))="n/a","n/a",DJ73-INDEX(tab_MinKomp[Wykonywania pomiarów owalności, srednicy materiału / Messung der Ovalität und des Durchmessers des Materials],MATCH($B73,tab_MinKomp[[Stanowisko / Position ]:[Stanowisko / Position ]],0)))</f>
        <v>n/a</v>
      </c>
      <c r="DK74" s="387" t="str">
        <f>IF(INDEX(tab_MinKomp[Obsługa urządzenia do pomiarów chropowoatości powierzchni materiału],MATCH($B73,tab_MinKomp[[Stanowisko / Position ]:[Stanowisko / Position ]],0))="n/a","n/a",DK73-INDEX(tab_MinKomp[Obsługa urządzenia do pomiarów chropowoatości powierzchni materiału],MATCH($B73,tab_MinKomp[[Stanowisko / Position ]:[Stanowisko / Position ]],0)))</f>
        <v>n/a</v>
      </c>
      <c r="DL74" s="387" t="str">
        <f>IF(INDEX(tab_MinKomp[Wykonywanie pomiarów chropowatości powierzchni materiału / Durchführung von Messungen der Materialoberflächenrauheit],MATCH($B73,tab_MinKomp[[Stanowisko / Position ]:[Stanowisko / Position ]],0))="n/a","n/a",DL73-INDEX(tab_MinKomp[Wykonywanie pomiarów chropowatości powierzchni materiału / Durchführung von Messungen der Materialoberflächenrauheit],MATCH($B73,tab_MinKomp[[Stanowisko / Position ]:[Stanowisko / Position ]],0)))</f>
        <v>n/a</v>
      </c>
      <c r="DM74" s="387" t="str">
        <f>IF(INDEX(tab_MinKomp[Obsługa urządzenia do pomiaru siły radialnej części - postępowanie z trzpieniami. / Funktionsweise des Geräts zur Messung der Radialkraft von Teilen – Handhabungsstifte.],MATCH($B73,tab_MinKomp[[Stanowisko / Position ]:[Stanowisko / Position ]],0))="n/a","n/a",DM73-INDEX(tab_MinKomp[Obsługa urządzenia do pomiaru siły radialnej części - postępowanie z trzpieniami. / Funktionsweise des Geräts zur Messung der Radialkraft von Teilen – Handhabungsstifte.],MATCH($B73,tab_MinKomp[[Stanowisko / Position ]:[Stanowisko / Position ]],0)))</f>
        <v>n/a</v>
      </c>
      <c r="DN74" s="387" t="str">
        <f>IF(INDEX(tab_MinKomp[Wykonywanie pomiarów siły radialnej części / Führen Sie Radialkraftmessungen an Teilen durch],MATCH($B73,tab_MinKomp[[Stanowisko / Position ]:[Stanowisko / Position ]],0))="n/a","n/a",DN73-INDEX(tab_MinKomp[Wykonywanie pomiarów siły radialnej części / Führen Sie Radialkraftmessungen an Teilen durch],MATCH($B73,tab_MinKomp[[Stanowisko / Position ]:[Stanowisko / Position ]],0)))</f>
        <v>n/a</v>
      </c>
      <c r="DO74" s="387" t="str">
        <f>IF(INDEX(tab_MinKomp[Obsługa komory do testów wybuchwych / Betrieb einer Explosionsprüfkammer],MATCH($B73,tab_MinKomp[[Stanowisko / Position ]:[Stanowisko / Position ]],0))="n/a","n/a",DO73-INDEX(tab_MinKomp[Obsługa komory do testów wybuchwych / Betrieb einer Explosionsprüfkammer],MATCH($B73,tab_MinKomp[[Stanowisko / Position ]:[Stanowisko / Position ]],0)))</f>
        <v>n/a</v>
      </c>
      <c r="DP74" s="387" t="str">
        <f>IF(INDEX(tab_MinKomp[Wykonywanie testów wybuchowych części / Durchführung von Explosionstests an Teilen],MATCH($B73,tab_MinKomp[[Stanowisko / Position ]:[Stanowisko / Position ]],0))="n/a","n/a",DP73-INDEX(tab_MinKomp[Wykonywanie testów wybuchowych części / Durchführung von Explosionstests an Teilen],MATCH($B73,tab_MinKomp[[Stanowisko / Position ]:[Stanowisko / Position ]],0)))</f>
        <v>n/a</v>
      </c>
      <c r="DQ74" s="387" t="str">
        <f>IF(INDEX(tab_MinKomp[Obsługa urządzeń do mierzenia siły trzymania i/lub rozciągania / Betrieb von Geräten zur Messung der Halte- und/oder Dehnkraft],MATCH($B73,tab_MinKomp[[Stanowisko / Position ]:[Stanowisko / Position ]],0))="n/a","n/a",DQ73-INDEX(tab_MinKomp[Obsługa urządzeń do mierzenia siły trzymania i/lub rozciągania / Betrieb von Geräten zur Messung der Halte- und/oder Dehnkraft],MATCH($B73,tab_MinKomp[[Stanowisko / Position ]:[Stanowisko / Position ]],0)))</f>
        <v>n/a</v>
      </c>
      <c r="DR74" s="387" t="str">
        <f>IF(INDEX(tab_MinKomp[Wykonywanie testów mierzenia siły trzymania i/lub rozciągania / Durchführung von Tests zur Messung der Halte- und/oder Streckkraft],MATCH($B73,tab_MinKomp[[Stanowisko / Position ]:[Stanowisko / Position ]],0))="n/a","n/a",DR73-INDEX(tab_MinKomp[Wykonywanie testów mierzenia siły trzymania i/lub rozciągania / Durchführung von Tests zur Messung der Halte- und/oder Streckkraft],MATCH($B73,tab_MinKomp[[Stanowisko / Position ]:[Stanowisko / Position ]],0)))</f>
        <v>n/a</v>
      </c>
      <c r="DS74" s="387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Luftstrom)],MATCH($B73,tab_MinKomp[[Stanowisko / Position ]:[Stanowisko / Position ]],0))="n/a","n/a",DS73-INDEX(tab_MinKomp[Obsługa multimetru do pomiarów środowiskowych (temperatura, wilgotność, hałas, oświetlenie, przepływ powietrza) / Betrieb eines Multimeters für Umweltmessungen (Temperatur, Luftfeuchtigkeit, Lärm, Beleuchtung, Luftstrom)],MATCH($B73,tab_MinKomp[[Stanowisko / Position ]:[Stanowisko / Position ]],0)))</f>
        <v>n/a</v>
      </c>
      <c r="DT74" s="387" t="str">
        <f>IF(INDEX(tab_MinKomp[Kontrola warunków środowiskowych pracy (temperatura, wilgotność, hałas, oświetlenie, przepływ powietrza) / Kontrolle der Arbeitsumgebungsbedingungen (Temperatur, Luftfeuchtigkeit, Lärm, Beleuchtung, Luftstrom)],MATCH($B73,tab_MinKomp[[Stanowisko / Position ]:[Stanowisko / Position ]],0))="n/a","n/a",DT73-INDEX(tab_MinKomp[Kontrola warunków środowiskowych pracy (temperatura, wilgotność, hałas, oświetlenie, przepływ powietrza) / Kontrolle der Arbeitsumgebungsbedingungen (Temperatur, Luftfeuchtigkeit, Lärm, Beleuchtung, Luftstrom)],MATCH($B73,tab_MinKomp[[Stanowisko / Position ]:[Stanowisko / Position ]],0)))</f>
        <v>n/a</v>
      </c>
      <c r="DU74" s="387" t="str">
        <f>IF(INDEX(tab_MinKomp[MSA i SPC],MATCH($B73,tab_MinKomp[[Stanowisko / Position ]:[Stanowisko / Position ]],0))="n/a","n/a",DU73-INDEX(tab_MinKomp[MSA i SPC],MATCH($B73,tab_MinKomp[[Stanowisko / Position ]:[Stanowisko / Position ]],0)))</f>
        <v>n/a</v>
      </c>
      <c r="DV74" s="387" t="str">
        <f>IF(INDEX(tab_MinKomp[Kontrola wejściowa komponentów/ Eingangskontrolle],MATCH($B73,tab_MinKomp[[Stanowisko / Position ]:[Stanowisko / Position ]],0))="n/a","n/a",DV73-INDEX(tab_MinKomp[Kontrola wejściowa komponentów/ Eingangskontrolle],MATCH($B73,tab_MinKomp[[Stanowisko / Position ]:[Stanowisko / Position ]],0)))</f>
        <v>n/a</v>
      </c>
      <c r="DW74" s="387" t="str">
        <f>IF(INDEX(tab_MinKomp[Kontrola wyjściowa produktu / Ausgangskontrolle],MATCH($B73,tab_MinKomp[[Stanowisko / Position ]:[Stanowisko / Position ]],0))="n/a","n/a",DW73-INDEX(tab_MinKomp[Kontrola wyjściowa produktu / Ausgangskontrolle],MATCH($B73,tab_MinKomp[[Stanowisko / Position ]:[Stanowisko / Position ]],0)))</f>
        <v>n/a</v>
      </c>
      <c r="DX74" s="387" t="str">
        <f>IF(INDEX(tab_MinKomp[Kontrola codzienna produkcji / Tägliche Produktionskontrolle],MATCH($B73,tab_MinKomp[[Stanowisko / Position ]:[Stanowisko / Position ]],0))="n/a","n/a",DX73-INDEX(tab_MinKomp[Kontrola codzienna produkcji / Tägliche Produktionskontrolle],MATCH($B73,tab_MinKomp[[Stanowisko / Position ]:[Stanowisko / Position ]],0)))</f>
        <v>n/a</v>
      </c>
      <c r="DY74" s="387">
        <f>IF(INDEX(tab_MinKomp[Konserwacja Rep],MATCH($B73,tab_MinKomp[[Stanowisko / Position ]:[Stanowisko / Position ]],0))="n/a","n/a",DY73-INDEX(tab_MinKomp[Konserwacja Rep],MATCH($B73,tab_MinKomp[[Stanowisko / Position ]:[Stanowisko / Position ]],0)))</f>
        <v>-2</v>
      </c>
      <c r="DZ74" s="387">
        <f>IF(INDEX(tab_MinKomp[[Konserwacja Engel ]],MATCH($B73,tab_MinKomp[[Stanowisko / Position ]:[Stanowisko / Position ]],0))="n/a","n/a",DZ73-INDEX(tab_MinKomp[[Konserwacja Engel ]],MATCH($B73,tab_MinKomp[[Stanowisko / Position ]:[Stanowisko / Position ]],0)))</f>
        <v>-2</v>
      </c>
      <c r="EA74" s="387">
        <f>IF(INDEX(tab_MinKomp[Konserwacja B 50],MATCH($B73,tab_MinKomp[[Stanowisko / Position ]:[Stanowisko / Position ]],0))="n/a","n/a",EA73-INDEX(tab_MinKomp[Konserwacja B 50],MATCH($B73,tab_MinKomp[[Stanowisko / Position ]:[Stanowisko / Position ]],0)))</f>
        <v>-2</v>
      </c>
      <c r="EB74" s="387">
        <f>IF(INDEX(tab_MinKomp[[Konserwacja EOL ]],MATCH($B73,tab_MinKomp[[Stanowisko / Position ]:[Stanowisko / Position ]],0))="n/a","n/a",EB73-INDEX(tab_MinKomp[[Konserwacja EOL ]],MATCH($B73,tab_MinKomp[[Stanowisko / Position ]:[Stanowisko / Position ]],0)))</f>
        <v>-2</v>
      </c>
      <c r="EC74" s="387">
        <f>IF(INDEX(tab_MinKomp[Konserwacja Branson],MATCH($B73,tab_MinKomp[[Stanowisko / Position ]:[Stanowisko / Position ]],0))="n/a","n/a",EC73-INDEX(tab_MinKomp[Konserwacja Branson],MATCH($B73,tab_MinKomp[[Stanowisko / Position ]:[Stanowisko / Position ]],0)))</f>
        <v>-2</v>
      </c>
      <c r="ED74" s="387">
        <f>IF(INDEX(tab_MinKomp[Konserwacja coolery],MATCH($B73,tab_MinKomp[[Stanowisko / Position ]:[Stanowisko / Position ]],0))="n/a","n/a",ED73-INDEX(tab_MinKomp[Konserwacja coolery],MATCH($B73,tab_MinKomp[[Stanowisko / Position ]:[Stanowisko / Position ]],0)))</f>
        <v>-2</v>
      </c>
      <c r="EE74" s="387">
        <f>IF(INDEX(tab_MinKomp[Konserwacja piecy],MATCH($B73,tab_MinKomp[[Stanowisko / Position ]:[Stanowisko / Position ]],0))="n/a","n/a",EE73-INDEX(tab_MinKomp[Konserwacja piecy],MATCH($B73,tab_MinKomp[[Stanowisko / Position ]:[Stanowisko / Position ]],0)))</f>
        <v>-2</v>
      </c>
      <c r="EF74" s="387">
        <f>IF(INDEX(tab_MinKomp[Rysunek techniczny- czytanie],MATCH($B73,tab_MinKomp[[Stanowisko / Position ]:[Stanowisko / Position ]],0))="n/a","n/a",EF73-INDEX(tab_MinKomp[Rysunek techniczny- czytanie],MATCH($B73,tab_MinKomp[[Stanowisko / Position ]:[Stanowisko / Position ]],0)))</f>
        <v>-2</v>
      </c>
      <c r="EG74" s="387">
        <f>IF(INDEX(tab_MinKomp[Elektryka],MATCH($B73,tab_MinKomp[[Stanowisko / Position ]:[Stanowisko / Position ]],0))="n/a","n/a",EG73-INDEX(tab_MinKomp[Elektryka],MATCH($B73,tab_MinKomp[[Stanowisko / Position ]:[Stanowisko / Position ]],0)))</f>
        <v>-1</v>
      </c>
      <c r="EH74" s="387">
        <f>IF(INDEX(tab_MinKomp[Pneumatyka],MATCH($B73,tab_MinKomp[[Stanowisko / Position ]:[Stanowisko / Position ]],0))="n/a","n/a",EH73-INDEX(tab_MinKomp[Pneumatyka],MATCH($B73,tab_MinKomp[[Stanowisko / Position ]:[Stanowisko / Position ]],0)))</f>
        <v>-1</v>
      </c>
      <c r="EI74" s="387">
        <f>IF(INDEX(tab_MinKomp[[Hydraulika ]],MATCH($B73,tab_MinKomp[[Stanowisko / Position ]:[Stanowisko / Position ]],0))="n/a","n/a",EI73-INDEX(tab_MinKomp[[Hydraulika ]],MATCH($B73,tab_MinKomp[[Stanowisko / Position ]:[Stanowisko / Position ]],0)))</f>
        <v>-2</v>
      </c>
      <c r="EJ74" s="387">
        <f>IF(INDEX(tab_MinKomp[Podciśnienie],MATCH($B73,tab_MinKomp[[Stanowisko / Position ]:[Stanowisko / Position ]],0))="n/a","n/a",EJ73-INDEX(tab_MinKomp[Podciśnienie],MATCH($B73,tab_MinKomp[[Stanowisko / Position ]:[Stanowisko / Position ]],0)))</f>
        <v>-1</v>
      </c>
      <c r="EK74" s="387">
        <f>IF(INDEX(tab_MinKomp[Usuwanie awarii],MATCH($B73,tab_MinKomp[[Stanowisko / Position ]:[Stanowisko / Position ]],0))="n/a","n/a",EK73-INDEX(tab_MinKomp[Usuwanie awarii],MATCH($B73,tab_MinKomp[[Stanowisko / Position ]:[Stanowisko / Position ]],0)))</f>
        <v>-1</v>
      </c>
      <c r="EL74" s="387">
        <f>IF(INDEX(tab_MinKomp[Obsługa robotów],MATCH($B73,tab_MinKomp[[Stanowisko / Position ]:[Stanowisko / Position ]],0))="n/a","n/a",EL73-INDEX(tab_MinKomp[Obsługa robotów],MATCH($B73,tab_MinKomp[[Stanowisko / Position ]:[Stanowisko / Position ]],0)))</f>
        <v>-2</v>
      </c>
      <c r="EM74" s="387">
        <f>IF(INDEX(tab_MinKomp[Obsługa sterowania maszyny],MATCH($B73,tab_MinKomp[[Stanowisko / Position ]:[Stanowisko / Position ]],0))="n/a","n/a",EM73-INDEX(tab_MinKomp[Obsługa sterowania maszyny],MATCH($B73,tab_MinKomp[[Stanowisko / Position ]:[Stanowisko / Position ]],0)))</f>
        <v>-1</v>
      </c>
      <c r="EN74" s="387">
        <f>IF(INDEX(tab_MinKomp[Usuwanie przyczyn żródłowych],MATCH($B73,tab_MinKomp[[Stanowisko / Position ]:[Stanowisko / Position ]],0))="n/a","n/a",EN73-INDEX(tab_MinKomp[Usuwanie przyczyn żródłowych],MATCH($B73,tab_MinKomp[[Stanowisko / Position ]:[Stanowisko / Position ]],0)))</f>
        <v>-2</v>
      </c>
      <c r="EO74" s="387">
        <f>IF(INDEX(tab_MinKomp[Cmms stosowanie],MATCH($B73,tab_MinKomp[[Stanowisko / Position ]:[Stanowisko / Position ]],0))="n/a","n/a",EO73-INDEX(tab_MinKomp[Cmms stosowanie],MATCH($B73,tab_MinKomp[[Stanowisko / Position ]:[Stanowisko / Position ]],0)))</f>
        <v>-1</v>
      </c>
      <c r="EP74" s="387" t="str">
        <f>IF(INDEX(tab_MinKomp[[Czyszczenie form gumowych ]],MATCH($B73,tab_MinKomp[[Stanowisko / Position ]:[Stanowisko / Position ]],0))="n/a","n/a",EP73-INDEX(tab_MinKomp[[Czyszczenie form gumowych ]],MATCH($B73,tab_MinKomp[[Stanowisko / Position ]:[Stanowisko / Position ]],0)))</f>
        <v>n/a</v>
      </c>
      <c r="EQ74" s="387" t="str">
        <f>IF(INDEX(tab_MinKomp[Czyszczenie form plastikowych],MATCH($B73,tab_MinKomp[[Stanowisko / Position ]:[Stanowisko / Position ]],0))="n/a","n/a",EQ73-INDEX(tab_MinKomp[Czyszczenie form plastikowych],MATCH($B73,tab_MinKomp[[Stanowisko / Position ]:[Stanowisko / Position ]],0)))</f>
        <v>n/a</v>
      </c>
      <c r="ER74" s="387" t="str">
        <f>IF(INDEX(tab_MinKomp[Wymiana form plastik],MATCH($B73,tab_MinKomp[[Stanowisko / Position ]:[Stanowisko / Position ]],0))="n/a","n/a",ER73-INDEX(tab_MinKomp[Wymiana form plastik],MATCH($B73,tab_MinKomp[[Stanowisko / Position ]:[Stanowisko / Position ]],0)))</f>
        <v>n/a</v>
      </c>
      <c r="ES74" s="387" t="str">
        <f>IF(INDEX(tab_MinKomp[Wymiana form guma],MATCH($B73,tab_MinKomp[[Stanowisko / Position ]:[Stanowisko / Position ]],0))="n/a","n/a",ES73-INDEX(tab_MinKomp[Wymiana form guma],MATCH($B73,tab_MinKomp[[Stanowisko / Position ]:[Stanowisko / Position ]],0)))</f>
        <v>n/a</v>
      </c>
      <c r="ET74" s="387" t="str">
        <f>IF(INDEX(tab_MinKomp[Konserwacja KK],MATCH($B73,tab_MinKomp[[Stanowisko / Position ]:[Stanowisko / Position ]],0))="n/a","n/a",ET73-INDEX(tab_MinKomp[Konserwacja KK],MATCH($B73,tab_MinKomp[[Stanowisko / Position ]:[Stanowisko / Position ]],0)))</f>
        <v>n/a</v>
      </c>
      <c r="EU74" s="387" t="str">
        <f>IF(INDEX(tab_MinKomp[Konserwacja form guma],MATCH($B73,tab_MinKomp[[Stanowisko / Position ]:[Stanowisko / Position ]],0))="n/a","n/a",EU73-INDEX(tab_MinKomp[Konserwacja form guma],MATCH($B73,tab_MinKomp[[Stanowisko / Position ]:[Stanowisko / Position ]],0)))</f>
        <v>n/a</v>
      </c>
      <c r="EV74" s="387" t="str">
        <f>IF(INDEX(tab_MinKomp[Konserwacja form plastiki],MATCH($B73,tab_MinKomp[[Stanowisko / Position ]:[Stanowisko / Position ]],0))="n/a","n/a",EV73-INDEX(tab_MinKomp[Konserwacja form plastiki],MATCH($B73,tab_MinKomp[[Stanowisko / Position ]:[Stanowisko / Position ]],0)))</f>
        <v>n/a</v>
      </c>
      <c r="EW74" s="330" t="str">
        <f>IF(INDEX(tab_MinKomp[Konserwacja form plastiki],MATCH($B73,tab_MinKomp[[Stanowisko / Position ]:[Stanowisko / Position ]],0))="n/a","n/a",EW73-INDEX(tab_MinKomp[Konserwacja form plastiki],MATCH($B73,tab_MinKomp[[Stanowisko / Position ]:[Stanowisko / Position ]],0)))</f>
        <v>n/a</v>
      </c>
      <c r="EX74" s="387" t="str">
        <f>IF(INDEX(tab_MinKomp[Konserwacja Gorącego Kanału],MATCH($B73,tab_MinKomp[[Stanowisko / Position ]:[Stanowisko / Position ]],0))="n/a","n/a",EX73-INDEX(tab_MinKomp[Konserwacja Gorącego Kanału],MATCH($B73,tab_MinKomp[[Stanowisko / Position ]:[Stanowisko / Position ]],0)))</f>
        <v>n/a</v>
      </c>
      <c r="EY74" s="387">
        <f>IF(INDEX(tab_MinKomp[MS Office (Excel)],MATCH($B73,tab_MinKomp[[Stanowisko / Position ]:[Stanowisko / Position ]],0))="n/a","n/a",EY73-INDEX(tab_MinKomp[MS Office (Excel)],MATCH($B73,tab_MinKomp[[Stanowisko / Position ]:[Stanowisko / Position ]],0)))</f>
        <v>0</v>
      </c>
      <c r="EZ74" s="387">
        <f>IF(INDEX(tab_MinKomp[MS Office (Word)],MATCH($B73,tab_MinKomp[[Stanowisko / Position ]:[Stanowisko / Position ]],0))="n/a","n/a",EZ73-INDEX(tab_MinKomp[MS Office (Word)],MATCH($B73,tab_MinKomp[[Stanowisko / Position ]:[Stanowisko / Position ]],0)))</f>
        <v>0</v>
      </c>
      <c r="FA74" s="387">
        <f>IF(INDEX(tab_MinKomp[MS Office (Power Point)],MATCH($B73,tab_MinKomp[[Stanowisko / Position ]:[Stanowisko / Position ]],0))="n/a","n/a",FA73-INDEX(tab_MinKomp[MS Office (Power Point)],MATCH($B73,tab_MinKomp[[Stanowisko / Position ]:[Stanowisko / Position ]],0)))</f>
        <v>-1</v>
      </c>
      <c r="FB74" s="387" t="str">
        <f>IF(INDEX(tab_MinKomp[Język angielski / Englisch],MATCH($B73,tab_MinKomp[[Stanowisko / Position ]:[Stanowisko / Position ]],0))="n/a","n/a",FB73-INDEX(tab_MinKomp[Język angielski / Englisch],MATCH($B73,tab_MinKomp[[Stanowisko / Position ]:[Stanowisko / Position ]],0)))</f>
        <v>n/a</v>
      </c>
      <c r="FC74" s="387" t="str">
        <f>IF(INDEX(tab_MinKomp[Język niemiecki / Deutsch],MATCH($B73,tab_MinKomp[[Stanowisko / Position ]:[Stanowisko / Position ]],0))="n/a","n/a",FC73-INDEX(tab_MinKomp[Język niemiecki / Deutsch],MATCH($B73,tab_MinKomp[[Stanowisko / Position ]:[Stanowisko / Position ]],0)))</f>
        <v>n/a</v>
      </c>
      <c r="FD74" s="387">
        <f>IF(INDEX(tab_MinKomp[Zarządzanie dokumentacją procesową / Process dokumentation management],MATCH($B73,tab_MinKomp[[Stanowisko / Position ]:[Stanowisko / Position ]],0))="n/a","n/a",FD73-INDEX(tab_MinKomp[Zarządzanie dokumentacją procesową / Process dokumentation management],MATCH($B73,tab_MinKomp[[Stanowisko / Position ]:[Stanowisko / Position ]],0)))</f>
        <v>-1</v>
      </c>
      <c r="FE74" s="387">
        <f>IF(INDEX(tab_MinKomp[Znajomość procesów z obszaru / Kenntiss der prozesse in dem Bereich],MATCH($B73,tab_MinKomp[[Stanowisko / Position ]:[Stanowisko / Position ]],0))="n/a","n/a",FE73-INDEX(tab_MinKomp[Znajomość procesów z obszaru / Kenntiss der prozesse in dem Bereich],MATCH($B73,tab_MinKomp[[Stanowisko / Position ]:[Stanowisko / Position ]],0)))</f>
        <v>-1</v>
      </c>
      <c r="FF74" s="387">
        <f>IF(INDEX(tab_MinKomp[optymalizacja procesów / Prozessoptymalisierung],MATCH($B73,tab_MinKomp[[Stanowisko / Position ]:[Stanowisko / Position ]],0))="n/a","n/a",FF73-INDEX(tab_MinKomp[optymalizacja procesów / Prozessoptymalisierung],MATCH($B73,tab_MinKomp[[Stanowisko / Position ]:[Stanowisko / Position ]],0)))</f>
        <v>-2</v>
      </c>
      <c r="FG74" s="387">
        <f>IF(INDEX(tab_MinKomp[Umiejętności szkoleniowe / Trainingsfähigkeiten],MATCH($B73,tab_MinKomp[[Stanowisko / Position ]:[Stanowisko / Position ]],0))="n/a","n/a",FG73-INDEX(tab_MinKomp[Umiejętności szkoleniowe / Trainingsfähigkeiten],MATCH($B73,tab_MinKomp[[Stanowisko / Position ]:[Stanowisko / Position ]],0)))</f>
        <v>-1</v>
      </c>
      <c r="FH74" s="387">
        <f>IF(INDEX(tab_MinKomp[Analityczne myślenie, podejście / Analitysches Denken, Einstellung],MATCH($B73,tab_MinKomp[[Stanowisko / Position ]:[Stanowisko / Position ]],0))="n/a","n/a",FH73-INDEX(tab_MinKomp[Analityczne myślenie, podejście / Analitysches Denken, Einstellung],MATCH($B73,tab_MinKomp[[Stanowisko / Position ]:[Stanowisko / Position ]],0)))</f>
        <v>-1</v>
      </c>
      <c r="FI74" s="387">
        <f>IF(INDEX(tab_MinKomp[Dokładność, precyzja w dzialaniu / Genauigkeit, Präzision in die Arbeit],MATCH($B73,tab_MinKomp[[Stanowisko / Position ]:[Stanowisko / Position ]],0))="n/a","n/a",FI73-INDEX(tab_MinKomp[Dokładność, precyzja w dzialaniu / Genauigkeit, Präzision in die Arbeit],MATCH($B73,tab_MinKomp[[Stanowisko / Position ]:[Stanowisko / Position ]],0)))</f>
        <v>-1</v>
      </c>
      <c r="FJ74" s="387">
        <f>IF(INDEX(tab_MinKomp[Dyspozycyjność / Verfügbarkeit],MATCH($B73,tab_MinKomp[[Stanowisko / Position ]:[Stanowisko / Position ]],0))="n/a","n/a",FJ73-INDEX(tab_MinKomp[Dyspozycyjność / Verfügbarkeit],MATCH($B73,tab_MinKomp[[Stanowisko / Position ]:[Stanowisko / Position ]],0)))</f>
        <v>-1</v>
      </c>
      <c r="FK74" s="387">
        <f>IF(INDEX(tab_MinKomp[Zaangażowanie / 
Engagement],MATCH($B73,tab_MinKomp[[Stanowisko / Position ]:[Stanowisko / Position ]],0))="n/a","n/a",FK73-INDEX(tab_MinKomp[Zaangażowanie / 
Engagement],MATCH($B73,tab_MinKomp[[Stanowisko / Position ]:[Stanowisko / Position ]],0)))</f>
        <v>-1</v>
      </c>
      <c r="FL74" s="387" t="str">
        <f>IF(INDEX(tab_MinKomp[Planowanie strategiczne / Strategische Planung],MATCH($B73,tab_MinKomp[[Stanowisko / Position ]:[Stanowisko / Position ]],0))="n/a","n/a",FL73-INDEX(tab_MinKomp[Planowanie strategiczne / Strategische Planung],MATCH($B73,tab_MinKomp[[Stanowisko / Position ]:[Stanowisko / Position ]],0)))</f>
        <v>n/a</v>
      </c>
      <c r="FM74" s="387">
        <f>IF(INDEX(tab_MinKomp[Konsekwentne i dynamiczne działanie],MATCH($B73,tab_MinKomp[[Stanowisko / Position ]:[Stanowisko / Position ]],0))="n/a","n/a",FM73-INDEX(tab_MinKomp[Konsekwentne i dynamiczne działanie],MATCH($B73,tab_MinKomp[[Stanowisko / Position ]:[Stanowisko / Position ]],0)))</f>
        <v>-2</v>
      </c>
      <c r="FN74" s="387">
        <f>IF(INDEX(tab_MinKomp[Elastyczność w działaniu],MATCH($B73,tab_MinKomp[[Stanowisko / Position ]:[Stanowisko / Position ]],0))="n/a","n/a",FN73-INDEX(tab_MinKomp[Elastyczność w działaniu],MATCH($B73,tab_MinKomp[[Stanowisko / Position ]:[Stanowisko / Position ]],0)))</f>
        <v>-2</v>
      </c>
      <c r="FO74" s="387">
        <f>IF(INDEX(tab_MinKomp[Komunikatywność],MATCH($B73,tab_MinKomp[[Stanowisko / Position ]:[Stanowisko / Position ]],0))="n/a","n/a",FO73-INDEX(tab_MinKomp[Komunikatywność],MATCH($B73,tab_MinKomp[[Stanowisko / Position ]:[Stanowisko / Position ]],0)))</f>
        <v>-2</v>
      </c>
      <c r="FP74" s="387" t="str">
        <f>IF(INDEX(tab_MinKomp[Motywowanie i budowanie zaangażowania zespołu],MATCH($B73,tab_MinKomp[[Stanowisko / Position ]:[Stanowisko / Position ]],0))="n/a","n/a",FP73-INDEX(tab_MinKomp[Motywowanie i budowanie zaangażowania zespołu],MATCH($B73,tab_MinKomp[[Stanowisko / Position ]:[Stanowisko / Position ]],0)))</f>
        <v>n/a</v>
      </c>
      <c r="FQ74" s="388" t="str">
        <f>IFERROR(IF(INDEX(tab_MinKomp[BRAK / Keine],MATCH($B73,tab_MinKomp[[Stanowisko / Position ]:[Stanowisko / Position ]],0))="n/a","n/a",INDEX(tab_MinKomp[BRAK / Keine],MATCH($B73,tab_MinKomp[[Stanowisko / Position ]:[Stanowisko / Position ]],0))-FQ73),"")</f>
        <v>n/a</v>
      </c>
      <c r="FR74" s="349" t="str">
        <f>IF(INDEX(tab_MinKomp[MINIMUM 1 ROK / min. 1 Jahr],MATCH($B73,tab_MinKomp[[Stanowisko / Position ]:[Stanowisko / Position ]],0))="n/a","n/a",INDEX(tab_MinKomp[MINIMUM 1 ROK / min. 1 Jahr],MATCH($B73,tab_MinKomp[[Stanowisko / Position ]:[Stanowisko / Position ]],0)))</f>
        <v>n/a</v>
      </c>
      <c r="FS74" s="349" t="str">
        <f>IF(INDEX(tab_MinKomp[MINIMUM 2 LATA / min. 2 Jahre],MATCH($B73,tab_MinKomp[[Stanowisko / Position ]:[Stanowisko / Position ]],0))="n/a","n/a",INDEX(tab_MinKomp[MINIMUM 2 LATA / min. 2 Jahre],MATCH($B73,tab_MinKomp[[Stanowisko / Position ]:[Stanowisko / Position ]],0)))</f>
        <v>n/a</v>
      </c>
      <c r="FT74" s="349" t="str">
        <f>IF(INDEX(tab_MinKomp[MINIMUM 3 LATA / min. 3 Jahre],MATCH($B73,tab_MinKomp[[Stanowisko / Position ]:[Stanowisko / Position ]],0))="n/a","n/a",INDEX(tab_MinKomp[MINIMUM 3 LATA / min. 3 Jahre],MATCH($B73,tab_MinKomp[[Stanowisko / Position ]:[Stanowisko / Position ]],0)))</f>
        <v>n/a</v>
      </c>
      <c r="FU74" s="349" t="str">
        <f>IF(INDEX(tab_MinKomp[MINIMUM 4 LATA / min. 4 Jahre],MATCH($B73,tab_MinKomp[[Stanowisko / Position ]:[Stanowisko / Position ]],0))="n/a","n/a",INDEX(tab_MinKomp[MINIMUM 4 LATA / min. 4 Jahre],MATCH($B73,tab_MinKomp[[Stanowisko / Position ]:[Stanowisko / Position ]],0)))</f>
        <v>n/a</v>
      </c>
      <c r="FV74" s="389" t="str">
        <f>IF(INDEX(tab_MinKomp[MINIMUM 5 LAT / min. 5 Jahre],MATCH($B73,tab_MinKomp[[Stanowisko / Position ]:[Stanowisko / Position ]],0))="n/a","n/a",INDEX(tab_MinKomp[MINIMUM 5 LAT / min. 5 Jahre],MATCH($B73,tab_MinKomp[[Stanowisko / Position ]:[Stanowisko / Position ]],0)))</f>
        <v>n/a</v>
      </c>
      <c r="FW74" s="388" t="str">
        <f>IF(INDEX(tab_MinKomp[BRAK / Keine9],MATCH($B73,tab_MinKomp[[Stanowisko / Position ]:[Stanowisko / Position ]],0))="n/a","n/a",INDEX(tab_MinKomp[BRAK / Keine9],MATCH($B73,tab_MinKomp[[Stanowisko / Position ]:[Stanowisko / Position ]],0)))</f>
        <v>n/a</v>
      </c>
      <c r="FX74" s="349" t="str">
        <f>IF(INDEX(tab_MinKomp[ZAWODOWE / Berufsausbildung],MATCH($B73,tab_MinKomp[[Stanowisko / Position ]:[Stanowisko / Position ]],0))="n/a","n/a",INDEX(tab_MinKomp[ZAWODOWE / Berufsausbildung],MATCH($B73,tab_MinKomp[[Stanowisko / Position ]:[Stanowisko / Position ]],0)))</f>
        <v>n/a</v>
      </c>
      <c r="FY74" s="349" t="str">
        <f>IF(INDEX(tab_MinKomp[ŚREDNIE OGÓLNE / Abitur allgemeine],MATCH($B73,tab_MinKomp[[Stanowisko / Position ]:[Stanowisko / Position ]],0))="n/a","n/a",INDEX(tab_MinKomp[ŚREDNIE OGÓLNE / Abitur allgemeine],MATCH($B73,tab_MinKomp[[Stanowisko / Position ]:[Stanowisko / Position ]],0)))</f>
        <v>n/a</v>
      </c>
      <c r="FZ74" s="349" t="str">
        <f>IF(INDEX(tab_MinKomp[ŚREDNIE KIERUNKOWE / berufliches Gymnasium],MATCH($B73,tab_MinKomp[[Stanowisko / Position ]:[Stanowisko / Position ]],0))="n/a","n/a",INDEX(tab_MinKomp[ŚREDNIE KIERUNKOWE / berufliches Gymnasium],MATCH($B73,tab_MinKomp[[Stanowisko / Position ]:[Stanowisko / Position ]],0)))</f>
        <v>n/a</v>
      </c>
      <c r="GA74" s="349" t="str">
        <f>IF(INDEX(tab_MinKomp[WYŻSZE OGÓLNE / Hochschule allgemeine],MATCH($B73,tab_MinKomp[[Stanowisko / Position ]:[Stanowisko / Position ]],0))="n/a","n/a",INDEX(tab_MinKomp[WYŻSZE OGÓLNE / Hochschule allgemeine],MATCH($B73,tab_MinKomp[[Stanowisko / Position ]:[Stanowisko / Position ]],0)))</f>
        <v>n/a</v>
      </c>
      <c r="GB74" s="389" t="str">
        <f>IF(INDEX(tab_MinKomp[WYŻSZE KIERUNKOWE / Hochschule berufliche],MATCH($B73,tab_MinKomp[[Stanowisko / Position ]:[Stanowisko / Position ]],0))="n/a","n/a",INDEX(tab_MinKomp[WYŻSZE KIERUNKOWE / Hochschule berufliche],MATCH($B73,tab_MinKomp[[Stanowisko / Position ]:[Stanowisko / Position ]],0)))</f>
        <v>n/a</v>
      </c>
      <c r="GC74" s="388" t="str">
        <f>IF(INDEX(tab_MinKomp[PIERWSZA POMOC / Erste Hilfe],MATCH($B73,tab_MinKomp[[Stanowisko / Position ]:[Stanowisko / Position ]],0))="n/a","n/a",INDEX(tab_MinKomp[PIERWSZA POMOC / Erste Hilfe],MATCH($B73,tab_MinKomp[[Stanowisko / Position ]:[Stanowisko / Position ]],0)))</f>
        <v>n/a</v>
      </c>
      <c r="GD74" s="349" t="str">
        <f>IF(INDEX(tab_MinKomp[Specjalista BHP / BHP Spezialist],MATCH($B73,tab_MinKomp[[Stanowisko / Position ]:[Stanowisko / Position ]],0))="n/a","n/a",INDEX(tab_MinKomp[Specjalista BHP / BHP Spezialist],MATCH($B73,tab_MinKomp[[Stanowisko / Position ]:[Stanowisko / Position ]],0)))</f>
        <v>n/a</v>
      </c>
      <c r="GE74" s="349" t="str">
        <f>IF(INDEX(tab_MinKomp[Inspektor ochrony PPOŻ / Brandschutzinspektor],MATCH($B73,tab_MinKomp[[Stanowisko / Position ]:[Stanowisko / Position ]],0))="n/a","n/a",INDEX(tab_MinKomp[Inspektor ochrony PPOŻ / Brandschutzinspektor],MATCH($B73,tab_MinKomp[[Stanowisko / Position ]:[Stanowisko / Position ]],0)))</f>
        <v>n/a</v>
      </c>
      <c r="GF74" s="349" t="str">
        <f>IF(INDEX(tab_MinKomp[WÓZKI JEZDNIOWE / Gebelstapler],MATCH($B73,tab_MinKomp[[Stanowisko / Position ]:[Stanowisko / Position ]],0))="n/a","n/a",INDEX(tab_MinKomp[WÓZKI JEZDNIOWE / Gebelstapler],MATCH($B73,tab_MinKomp[[Stanowisko / Position ]:[Stanowisko / Position ]],0)))</f>
        <v>x</v>
      </c>
      <c r="GG74" s="349" t="str">
        <f>IF(INDEX(tab_MinKomp[SEP],MATCH($B73,tab_MinKomp[[Stanowisko / Position ]:[Stanowisko / Position ]],0))="n/a","n/a",INDEX(tab_MinKomp[SEP],MATCH($B73,tab_MinKomp[[Stanowisko / Position ]:[Stanowisko / Position ]],0)))</f>
        <v>x</v>
      </c>
      <c r="GH74" s="349" t="str">
        <f>IF(INDEX(tab_MinKomp[SEP  DOZÓR / SEP Aufsicht],MATCH($B73,tab_MinKomp[[Stanowisko / Position ]:[Stanowisko / Position ]],0))="n/a","n/a",INDEX(tab_MinKomp[SEP  DOZÓR / SEP Aufsicht],MATCH($B73,tab_MinKomp[[Stanowisko / Position ]:[Stanowisko / Position ]],0)))</f>
        <v>n/a</v>
      </c>
      <c r="GI74" s="349" t="str">
        <f>IF(INDEX(tab_MinKomp[PODNOŚNIKI / Hebevorrichtung],MATCH($B73,tab_MinKomp[[Stanowisko / Position ]:[Stanowisko / Position ]],0))="n/a","n/a",INDEX(tab_MinKomp[PODNOŚNIKI / Hebevorrichtung],MATCH($B73,tab_MinKomp[[Stanowisko / Position ]:[Stanowisko / Position ]],0)))</f>
        <v>x</v>
      </c>
      <c r="GJ74" s="349" t="str">
        <f>IF(INDEX(tab_MinKomp[SUWNICE / Laufkran],MATCH($B73,tab_MinKomp[[Stanowisko / Position ]:[Stanowisko / Position ]],0))="n/a","n/a",INDEX(tab_MinKomp[SUWNICE / Laufkran],MATCH($B73,tab_MinKomp[[Stanowisko / Position ]:[Stanowisko / Position ]],0)))</f>
        <v>n/a</v>
      </c>
      <c r="GK74" s="389" t="str">
        <f>IF(INDEX(tab_MinKomp[WYSOKOŚCIOWE / Höhenberechtigungen],MATCH($B73,tab_MinKomp[[Stanowisko / Position ]:[Stanowisko / Position ]],0))="n/a","n/a",INDEX(tab_MinKomp[WYSOKOŚCIOWE / Höhenberechtigungen],MATCH($B73,tab_MinKomp[[Stanowisko / Position ]:[Stanowisko / Position ]],0)))</f>
        <v>x</v>
      </c>
      <c r="GL74" s="320">
        <f>SUM(G74:FP74)/(GL73-(SUM(G74:FP74)))</f>
        <v>-0.70833333333333337</v>
      </c>
      <c r="GM74" s="132"/>
    </row>
    <row r="75" spans="1:195" s="197" customFormat="1" ht="28.35" customHeight="1" x14ac:dyDescent="0.25">
      <c r="A75" s="135" t="s">
        <v>181</v>
      </c>
      <c r="B75" s="135" t="s">
        <v>252</v>
      </c>
      <c r="C75" s="135" t="s">
        <v>613</v>
      </c>
      <c r="D75" s="138"/>
      <c r="E75" s="563" t="s">
        <v>771</v>
      </c>
      <c r="F75" s="452" t="s">
        <v>165</v>
      </c>
      <c r="G75" s="323"/>
      <c r="H75" s="323"/>
      <c r="I75" s="323"/>
      <c r="J75" s="323"/>
      <c r="K75" s="323"/>
      <c r="L75" s="323"/>
      <c r="M75" s="323" t="s">
        <v>176</v>
      </c>
      <c r="N75" s="323" t="s">
        <v>176</v>
      </c>
      <c r="O75" s="323"/>
      <c r="P75" s="323"/>
      <c r="Q75" s="323" t="s">
        <v>176</v>
      </c>
      <c r="R75" s="323" t="s">
        <v>176</v>
      </c>
      <c r="S75" s="323" t="s">
        <v>176</v>
      </c>
      <c r="T75" s="323" t="s">
        <v>176</v>
      </c>
      <c r="U75" s="323" t="s">
        <v>176</v>
      </c>
      <c r="V75" s="323" t="s">
        <v>176</v>
      </c>
      <c r="W75" s="323" t="s">
        <v>176</v>
      </c>
      <c r="X75" s="323" t="s">
        <v>176</v>
      </c>
      <c r="Y75" s="323" t="s">
        <v>176</v>
      </c>
      <c r="Z75" s="323" t="s">
        <v>176</v>
      </c>
      <c r="AA75" s="323" t="s">
        <v>176</v>
      </c>
      <c r="AB75" s="323" t="s">
        <v>176</v>
      </c>
      <c r="AC75" s="323" t="s">
        <v>176</v>
      </c>
      <c r="AD75" s="323" t="s">
        <v>176</v>
      </c>
      <c r="AE75" s="323" t="s">
        <v>176</v>
      </c>
      <c r="AF75" s="323" t="s">
        <v>176</v>
      </c>
      <c r="AG75" s="323" t="s">
        <v>176</v>
      </c>
      <c r="AH75" s="323" t="s">
        <v>176</v>
      </c>
      <c r="AI75" s="323" t="s">
        <v>176</v>
      </c>
      <c r="AJ75" s="323" t="s">
        <v>176</v>
      </c>
      <c r="AK75" s="323" t="s">
        <v>176</v>
      </c>
      <c r="AL75" s="323"/>
      <c r="AM75" s="323" t="s">
        <v>176</v>
      </c>
      <c r="AN75" s="323" t="s">
        <v>176</v>
      </c>
      <c r="AO75" s="323" t="s">
        <v>176</v>
      </c>
      <c r="AP75" s="323" t="s">
        <v>176</v>
      </c>
      <c r="AQ75" s="323" t="s">
        <v>176</v>
      </c>
      <c r="AR75" s="323" t="s">
        <v>176</v>
      </c>
      <c r="AS75" s="323" t="s">
        <v>176</v>
      </c>
      <c r="AT75" s="323" t="s">
        <v>176</v>
      </c>
      <c r="AU75" s="323" t="s">
        <v>176</v>
      </c>
      <c r="AV75" s="323"/>
      <c r="AW75" s="323"/>
      <c r="AX75" s="323"/>
      <c r="AY75" s="323" t="s">
        <v>176</v>
      </c>
      <c r="AZ75" s="323" t="s">
        <v>176</v>
      </c>
      <c r="BA75" s="323" t="s">
        <v>176</v>
      </c>
      <c r="BB75" s="323" t="s">
        <v>176</v>
      </c>
      <c r="BC75" s="323" t="s">
        <v>176</v>
      </c>
      <c r="BD75" s="323" t="s">
        <v>176</v>
      </c>
      <c r="BE75" s="323" t="s">
        <v>176</v>
      </c>
      <c r="BF75" s="323" t="s">
        <v>176</v>
      </c>
      <c r="BG75" s="323" t="s">
        <v>176</v>
      </c>
      <c r="BH75" s="323" t="s">
        <v>176</v>
      </c>
      <c r="BI75" s="323" t="s">
        <v>176</v>
      </c>
      <c r="BJ75" s="323" t="s">
        <v>176</v>
      </c>
      <c r="BK75" s="323" t="s">
        <v>176</v>
      </c>
      <c r="BL75" s="323" t="s">
        <v>176</v>
      </c>
      <c r="BM75" s="323" t="s">
        <v>176</v>
      </c>
      <c r="BN75" s="323"/>
      <c r="BO75" s="323"/>
      <c r="BP75" s="323"/>
      <c r="BQ75" s="323"/>
      <c r="BR75" s="323"/>
      <c r="BS75" s="323"/>
      <c r="BT75" s="323"/>
      <c r="BU75" s="323"/>
      <c r="BV75" s="323"/>
      <c r="BW75" s="323" t="s">
        <v>176</v>
      </c>
      <c r="BX75" s="323" t="s">
        <v>176</v>
      </c>
      <c r="BY75" s="323" t="s">
        <v>176</v>
      </c>
      <c r="BZ75" s="323" t="s">
        <v>176</v>
      </c>
      <c r="CA75" s="323" t="s">
        <v>176</v>
      </c>
      <c r="CB75" s="323" t="s">
        <v>176</v>
      </c>
      <c r="CC75" s="323" t="s">
        <v>176</v>
      </c>
      <c r="CD75" s="323" t="s">
        <v>176</v>
      </c>
      <c r="CE75" s="323" t="s">
        <v>176</v>
      </c>
      <c r="CF75" s="323" t="s">
        <v>176</v>
      </c>
      <c r="CG75" s="323" t="s">
        <v>176</v>
      </c>
      <c r="CH75" s="323" t="s">
        <v>176</v>
      </c>
      <c r="CI75" s="323"/>
      <c r="CJ75" s="323" t="s">
        <v>176</v>
      </c>
      <c r="CK75" s="323" t="s">
        <v>176</v>
      </c>
      <c r="CL75" s="323"/>
      <c r="CM75" s="323" t="s">
        <v>176</v>
      </c>
      <c r="CN75" s="323"/>
      <c r="CO75" s="323"/>
      <c r="CP75" s="323"/>
      <c r="CQ75" s="323" t="s">
        <v>176</v>
      </c>
      <c r="CR75" s="323" t="s">
        <v>176</v>
      </c>
      <c r="CS75" s="323" t="s">
        <v>176</v>
      </c>
      <c r="CT75" s="323" t="s">
        <v>176</v>
      </c>
      <c r="CU75" s="323"/>
      <c r="CV75" s="323" t="s">
        <v>176</v>
      </c>
      <c r="CW75" s="323" t="s">
        <v>176</v>
      </c>
      <c r="CX75" s="323" t="s">
        <v>176</v>
      </c>
      <c r="CY75" s="323" t="s">
        <v>176</v>
      </c>
      <c r="CZ75" s="323" t="s">
        <v>176</v>
      </c>
      <c r="DA75" s="323" t="s">
        <v>176</v>
      </c>
      <c r="DB75" s="323" t="s">
        <v>176</v>
      </c>
      <c r="DC75" s="323" t="s">
        <v>176</v>
      </c>
      <c r="DD75" s="323" t="s">
        <v>176</v>
      </c>
      <c r="DE75" s="323" t="s">
        <v>176</v>
      </c>
      <c r="DF75" s="323" t="s">
        <v>176</v>
      </c>
      <c r="DG75" s="323" t="s">
        <v>176</v>
      </c>
      <c r="DH75" s="323" t="s">
        <v>176</v>
      </c>
      <c r="DI75" s="323" t="s">
        <v>176</v>
      </c>
      <c r="DJ75" s="323" t="s">
        <v>176</v>
      </c>
      <c r="DK75" s="323" t="s">
        <v>176</v>
      </c>
      <c r="DL75" s="323" t="s">
        <v>176</v>
      </c>
      <c r="DM75" s="323" t="s">
        <v>176</v>
      </c>
      <c r="DN75" s="323" t="s">
        <v>176</v>
      </c>
      <c r="DO75" s="323" t="s">
        <v>176</v>
      </c>
      <c r="DP75" s="323" t="s">
        <v>176</v>
      </c>
      <c r="DQ75" s="323" t="s">
        <v>176</v>
      </c>
      <c r="DR75" s="323" t="s">
        <v>176</v>
      </c>
      <c r="DS75" s="323" t="s">
        <v>176</v>
      </c>
      <c r="DT75" s="323" t="s">
        <v>176</v>
      </c>
      <c r="DU75" s="323" t="s">
        <v>176</v>
      </c>
      <c r="DV75" s="323" t="s">
        <v>176</v>
      </c>
      <c r="DW75" s="323" t="s">
        <v>176</v>
      </c>
      <c r="DX75" s="323" t="s">
        <v>176</v>
      </c>
      <c r="DY75" s="323"/>
      <c r="DZ75" s="323"/>
      <c r="EA75" s="323"/>
      <c r="EB75" s="323"/>
      <c r="EC75" s="323"/>
      <c r="ED75" s="323"/>
      <c r="EE75" s="323"/>
      <c r="EF75" s="323"/>
      <c r="EG75" s="323"/>
      <c r="EH75" s="323"/>
      <c r="EI75" s="323"/>
      <c r="EJ75" s="323"/>
      <c r="EK75" s="323"/>
      <c r="EL75" s="323"/>
      <c r="EM75" s="323"/>
      <c r="EN75" s="323"/>
      <c r="EO75" s="323"/>
      <c r="EP75" s="323" t="s">
        <v>176</v>
      </c>
      <c r="EQ75" s="323" t="s">
        <v>176</v>
      </c>
      <c r="ER75" s="323" t="s">
        <v>176</v>
      </c>
      <c r="ES75" s="323" t="s">
        <v>176</v>
      </c>
      <c r="ET75" s="323" t="s">
        <v>176</v>
      </c>
      <c r="EU75" s="323" t="s">
        <v>176</v>
      </c>
      <c r="EV75" s="323" t="s">
        <v>176</v>
      </c>
      <c r="EW75" s="308" t="s">
        <v>176</v>
      </c>
      <c r="EX75" s="323" t="s">
        <v>176</v>
      </c>
      <c r="EY75" s="323"/>
      <c r="EZ75" s="323"/>
      <c r="FA75" s="323"/>
      <c r="FB75" s="323" t="s">
        <v>176</v>
      </c>
      <c r="FC75" s="323" t="s">
        <v>176</v>
      </c>
      <c r="FD75" s="323"/>
      <c r="FE75" s="323"/>
      <c r="FF75" s="323"/>
      <c r="FG75" s="323"/>
      <c r="FH75" s="323"/>
      <c r="FI75" s="323"/>
      <c r="FJ75" s="323"/>
      <c r="FK75" s="323"/>
      <c r="FL75" s="323" t="s">
        <v>176</v>
      </c>
      <c r="FM75" s="323"/>
      <c r="FN75" s="323"/>
      <c r="FO75" s="323"/>
      <c r="FP75" s="323" t="s">
        <v>176</v>
      </c>
      <c r="FQ75" s="323" t="s">
        <v>176</v>
      </c>
      <c r="FR75" s="323" t="s">
        <v>176</v>
      </c>
      <c r="FS75" s="323" t="s">
        <v>176</v>
      </c>
      <c r="FT75" s="323" t="s">
        <v>176</v>
      </c>
      <c r="FU75" s="323" t="s">
        <v>176</v>
      </c>
      <c r="FV75" s="323" t="s">
        <v>176</v>
      </c>
      <c r="FW75" s="323" t="s">
        <v>176</v>
      </c>
      <c r="FX75" s="323" t="s">
        <v>176</v>
      </c>
      <c r="FY75" s="323" t="s">
        <v>176</v>
      </c>
      <c r="FZ75" s="323" t="s">
        <v>176</v>
      </c>
      <c r="GA75" s="323" t="s">
        <v>176</v>
      </c>
      <c r="GB75" s="323" t="s">
        <v>176</v>
      </c>
      <c r="GC75" s="323" t="s">
        <v>176</v>
      </c>
      <c r="GD75" s="323" t="s">
        <v>176</v>
      </c>
      <c r="GE75" s="323" t="s">
        <v>176</v>
      </c>
      <c r="GF75" s="323"/>
      <c r="GG75" s="323"/>
      <c r="GH75" s="323" t="s">
        <v>176</v>
      </c>
      <c r="GI75" s="323"/>
      <c r="GJ75" s="323" t="s">
        <v>176</v>
      </c>
      <c r="GK75" s="323"/>
      <c r="GL75" s="390">
        <f>SUM(G75:FP75)</f>
        <v>0</v>
      </c>
      <c r="GM75" s="132"/>
    </row>
    <row r="76" spans="1:195" s="197" customFormat="1" ht="28.35" customHeight="1" thickBot="1" x14ac:dyDescent="0.3">
      <c r="A76" s="138" t="str">
        <f>A75</f>
        <v>Utrzymanie ruchu-Maintenance</v>
      </c>
      <c r="B76" s="138" t="str">
        <f>B75</f>
        <v>Elektromechanik</v>
      </c>
      <c r="C76" s="138" t="str">
        <f>C75</f>
        <v>KS</v>
      </c>
      <c r="D76" s="138">
        <f>D75</f>
        <v>0</v>
      </c>
      <c r="E76" s="564"/>
      <c r="F76" s="312" t="s">
        <v>166</v>
      </c>
      <c r="G76" s="387">
        <f>IF(INDEX(tab_MinKomp[Przepisy BHP / BHP Vorschriften],MATCH($B75,tab_MinKomp[[Stanowisko / Position ]:[Stanowisko / Position ]],0))="n/a","n/a",G75-INDEX(tab_MinKomp[Przepisy BHP / BHP Vorschriften],MATCH($B75,tab_MinKomp[[Stanowisko / Position ]:[Stanowisko / Position ]],0)))</f>
        <v>-2</v>
      </c>
      <c r="H76" s="387">
        <f>IF(INDEX(tab_MinKomp[Przepisy PPOŻ / Brandschutzbestimmungen],MATCH($B75,tab_MinKomp[[Stanowisko / Position ]:[Stanowisko / Position ]],0))="n/a","n/a",H75-INDEX(tab_MinKomp[Przepisy PPOŻ / Brandschutzbestimmungen],MATCH($B75,tab_MinKomp[[Stanowisko / Position ]:[Stanowisko / Position ]],0)))</f>
        <v>-2</v>
      </c>
      <c r="I76" s="387">
        <f>IF(INDEX(tab_MinKomp[Ryzyko zawodowe na stanowiskach pracyv/ Berufliche Risiken an Arbeitsstellen],MATCH($B75,tab_MinKomp[[Stanowisko / Position ]:[Stanowisko / Position ]],0))="n/a","n/a",I75-INDEX(tab_MinKomp[Ryzyko zawodowe na stanowiskach pracyv/ Berufliche Risiken an Arbeitsstellen],MATCH($B75,tab_MinKomp[[Stanowisko / Position ]:[Stanowisko / Position ]],0)))</f>
        <v>-2</v>
      </c>
      <c r="J76" s="387">
        <f>IF(INDEX(tab_MinKomp[Gospodarka substancjami niebezpiecznymi / Gefahrstoffmanagement],MATCH($B75,tab_MinKomp[[Stanowisko / Position ]:[Stanowisko / Position ]],0))="n/a","n/a",J75-INDEX(tab_MinKomp[Gospodarka substancjami niebezpiecznymi / Gefahrstoffmanagement],MATCH($B75,tab_MinKomp[[Stanowisko / Position ]:[Stanowisko / Position ]],0)))</f>
        <v>-2</v>
      </c>
      <c r="K76" s="387">
        <f>IF(INDEX(tab_MinKomp[Gospodarka odpadami / Abfallwirtschaft],MATCH($B75,tab_MinKomp[[Stanowisko / Position ]:[Stanowisko / Position ]],0))="n/a","n/a",K75-INDEX(tab_MinKomp[Gospodarka odpadami / Abfallwirtschaft],MATCH($B75,tab_MinKomp[[Stanowisko / Position ]:[Stanowisko / Position ]],0)))</f>
        <v>-2</v>
      </c>
      <c r="L76" s="387">
        <f>IF(INDEX(tab_MinKomp[Przepisy kodeksu pracy / Bestimmungen des Arbeitsgesetzes],MATCH($B75,tab_MinKomp[[Stanowisko / Position ]:[Stanowisko / Position ]],0))="n/a","n/a",L75-INDEX(tab_MinKomp[Przepisy kodeksu pracy / Bestimmungen des Arbeitsgesetzes],MATCH($B75,tab_MinKomp[[Stanowisko / Position ]:[Stanowisko / Position ]],0)))</f>
        <v>-1</v>
      </c>
      <c r="M76" s="387" t="str">
        <f>IF(INDEX(tab_MinKomp[Przepisy o ub.społ. ZUS  / Sozialversicherungsvorschriften],MATCH($B75,tab_MinKomp[[Stanowisko / Position ]:[Stanowisko / Position ]],0))="n/a","n/a",M75-INDEX(tab_MinKomp[Przepisy o ub.społ. ZUS  / Sozialversicherungsvorschriften],MATCH($B75,tab_MinKomp[[Stanowisko / Position ]:[Stanowisko / Position ]],0)))</f>
        <v>n/a</v>
      </c>
      <c r="N76" s="387" t="str">
        <f>IF(INDEX(tab_MinKomp[PRZEPISY O PDOF /persönlich Einkommensteuergesetz ],MATCH($B75,tab_MinKomp[[Stanowisko / Position ]:[Stanowisko / Position ]],0))="n/a","n/a",N75-INDEX(tab_MinKomp[PRZEPISY O PDOF /persönlich Einkommensteuergesetz ],MATCH($B75,tab_MinKomp[[Stanowisko / Position ]:[Stanowisko / Position ]],0)))</f>
        <v>n/a</v>
      </c>
      <c r="O76" s="387">
        <f>IF(INDEX(tab_MinKomp[Regulamin pracy / Arbeitsordnung],MATCH($B75,tab_MinKomp[[Stanowisko / Position ]:[Stanowisko / Position ]],0))="n/a","n/a",O75-INDEX(tab_MinKomp[Regulamin pracy / Arbeitsordnung],MATCH($B75,tab_MinKomp[[Stanowisko / Position ]:[Stanowisko / Position ]],0)))</f>
        <v>-1</v>
      </c>
      <c r="P76" s="387">
        <f>IF(INDEX(tab_MinKomp[Regulamin wynagradzania / Vergütungsordnung],MATCH($B75,tab_MinKomp[[Stanowisko / Position ]:[Stanowisko / Position ]],0))="n/a","n/a",P75-INDEX(tab_MinKomp[Regulamin wynagradzania / Vergütungsordnung],MATCH($B75,tab_MinKomp[[Stanowisko / Position ]:[Stanowisko / Position ]],0)))</f>
        <v>-1</v>
      </c>
      <c r="Q76" s="387" t="str">
        <f>IF(INDEX(tab_MinKomp[System R2PŁATNIK PRO: Płace / Lohnabrechnung],MATCH($B75,tab_MinKomp[[Stanowisko / Position ]:[Stanowisko / Position ]],0))="n/a","n/a",Q75-INDEX(tab_MinKomp[System R2PŁATNIK PRO: Płace / Lohnabrechnung],MATCH($B75,tab_MinKomp[[Stanowisko / Position ]:[Stanowisko / Position ]],0)))</f>
        <v>n/a</v>
      </c>
      <c r="R76" s="387" t="str">
        <f>IF(INDEX(tab_MinKomp[SystemR2PŁATNIK PRO: KADRY / Personaldaten],MATCH($B75,tab_MinKomp[[Stanowisko / Position ]:[Stanowisko / Position ]],0))="n/a","n/a",R75-INDEX(tab_MinKomp[SystemR2PŁATNIK PRO: KADRY / Personaldaten],MATCH($B75,tab_MinKomp[[Stanowisko / Position ]:[Stanowisko / Position ]],0)))</f>
        <v>n/a</v>
      </c>
      <c r="S76" s="387" t="str">
        <f>IF(INDEX(tab_MinKomp[SYSTEM R2PŁATNIK PRO: zarządzanie pracownikami / Arbeitsverwaltung],MATCH($B75,tab_MinKomp[[Stanowisko / Position ]:[Stanowisko / Position ]],0))="n/a","n/a",S75-INDEX(tab_MinKomp[SYSTEM R2PŁATNIK PRO: zarządzanie pracownikami / Arbeitsverwaltung],MATCH($B75,tab_MinKomp[[Stanowisko / Position ]:[Stanowisko / Position ]],0)))</f>
        <v>n/a</v>
      </c>
      <c r="T76" s="387" t="str">
        <f>IF(INDEX(tab_MinKomp[Doradztwo, wsparcie personalne / Personalberatung und Unterstützung],MATCH($B75,tab_MinKomp[[Stanowisko / Position ]:[Stanowisko / Position ]],0))="n/a","n/a",T75-INDEX(tab_MinKomp[Doradztwo, wsparcie personalne / Personalberatung und Unterstützung],MATCH($B75,tab_MinKomp[[Stanowisko / Position ]:[Stanowisko / Position ]],0)))</f>
        <v>n/a</v>
      </c>
      <c r="U76" s="387" t="str">
        <f>IF(INDEX(tab_MinKomp[Przepisy o podatku VAT / MwSt.- Gesetz],MATCH($B75,tab_MinKomp[[Stanowisko / Position ]:[Stanowisko / Position ]],0))="n/a","n/a",U75-INDEX(tab_MinKomp[Przepisy o podatku VAT / MwSt.- Gesetz],MATCH($B75,tab_MinKomp[[Stanowisko / Position ]:[Stanowisko / Position ]],0)))</f>
        <v>n/a</v>
      </c>
      <c r="V76" s="387" t="str">
        <f>IF(INDEX(tab_MinKomp[PrzepisyPDOP / geschäftlich Einkommensteuergesetz],MATCH($B75,tab_MinKomp[[Stanowisko / Position ]:[Stanowisko / Position ]],0))="n/a","n/a",V75-INDEX(tab_MinKomp[PrzepisyPDOP / geschäftlich Einkommensteuergesetz],MATCH($B75,tab_MinKomp[[Stanowisko / Position ]:[Stanowisko / Position ]],0)))</f>
        <v>n/a</v>
      </c>
      <c r="W76" s="387" t="str">
        <f>IF(INDEX(tab_MinKomp[System BAAN / FINANSE (FIBU)],MATCH($B75,tab_MinKomp[[Stanowisko / Position ]:[Stanowisko / Position ]],0))="n/a","n/a",W75-INDEX(tab_MinKomp[System BAAN / FINANSE (FIBU)],MATCH($B75,tab_MinKomp[[Stanowisko / Position ]:[Stanowisko / Position ]],0)))</f>
        <v>n/a</v>
      </c>
      <c r="X76" s="387" t="str">
        <f>IF(INDEX(tab_MinKomp[Systemy pomocnicze / Hilfssysteme(STOCKPROGRAM, KALK2000 etc.)],MATCH($B75,tab_MinKomp[[Stanowisko / Position ]:[Stanowisko / Position ]],0))="n/a","n/a",X75-INDEX(tab_MinKomp[Systemy pomocnicze / Hilfssysteme(STOCKPROGRAM, KALK2000 etc.)],MATCH($B75,tab_MinKomp[[Stanowisko / Position ]:[Stanowisko / Position ]],0)))</f>
        <v>n/a</v>
      </c>
      <c r="Y76" s="387" t="str">
        <f>IF(INDEX(tab_MinKomp[Polityka rachunkowości / Buchführungspolitik],MATCH($B75,tab_MinKomp[[Stanowisko / Position ]:[Stanowisko / Position ]],0))="n/a","n/a",Y75-INDEX(tab_MinKomp[Polityka rachunkowości / Buchführungspolitik],MATCH($B75,tab_MinKomp[[Stanowisko / Position ]:[Stanowisko / Position ]],0)))</f>
        <v>n/a</v>
      </c>
      <c r="Z76" s="387" t="str">
        <f>IF(INDEX(tab_MinKomp[Ustawa o rachunkowości / Rechnungslegungsgesetz],MATCH($B75,tab_MinKomp[[Stanowisko / Position ]:[Stanowisko / Position ]],0))="n/a","n/a",Z75-INDEX(tab_MinKomp[Ustawa o rachunkowości / Rechnungslegungsgesetz],MATCH($B75,tab_MinKomp[[Stanowisko / Position ]:[Stanowisko / Position ]],0)))</f>
        <v>n/a</v>
      </c>
      <c r="AA76" s="387" t="str">
        <f>IF(INDEX(tab_MinKomp[WORKFLOW - TS-100],MATCH($B75,tab_MinKomp[[Stanowisko / Position ]:[Stanowisko / Position ]],0))="n/a","n/a",AA75-INDEX(tab_MinKomp[WORKFLOW - TS-100],MATCH($B75,tab_MinKomp[[Stanowisko / Position ]:[Stanowisko / Position ]],0)))</f>
        <v>n/a</v>
      </c>
      <c r="AB76" s="387" t="str">
        <f>IF(INDEX(tab_MinKomp[WORKFLOW - SFMS],MATCH($B75,tab_MinKomp[[Stanowisko / Position ]:[Stanowisko / Position ]],0))="n/a","n/a",AB75-INDEX(tab_MinKomp[WORKFLOW - SFMS],MATCH($B75,tab_MinKomp[[Stanowisko / Position ]:[Stanowisko / Position ]],0)))</f>
        <v>n/a</v>
      </c>
      <c r="AC76" s="387" t="str">
        <f>IF(INDEX(tab_MinKomp[System ISO 9001:2015],MATCH($B75,tab_MinKomp[[Stanowisko / Position ]:[Stanowisko / Position ]],0))="n/a","n/a",AC75-INDEX(tab_MinKomp[System ISO 9001:2015],MATCH($B75,tab_MinKomp[[Stanowisko / Position ]:[Stanowisko / Position ]],0)))</f>
        <v>n/a</v>
      </c>
      <c r="AD76" s="387" t="str">
        <f>IF(INDEX(tab_MinKomp[System IATF 16949:2016],MATCH($B75,tab_MinKomp[[Stanowisko / Position ]:[Stanowisko / Position ]],0))="n/a","n/a",AD75-INDEX(tab_MinKomp[System IATF 16949:2016],MATCH($B75,tab_MinKomp[[Stanowisko / Position ]:[Stanowisko / Position ]],0)))</f>
        <v>n/a</v>
      </c>
      <c r="AE76" s="387" t="str">
        <f>IF(INDEX(tab_MinKomp[System ISO 14001:2015],MATCH($B75,tab_MinKomp[[Stanowisko / Position ]:[Stanowisko / Position ]],0))="n/a","n/a",AE75-INDEX(tab_MinKomp[System ISO 14001:2015],MATCH($B75,tab_MinKomp[[Stanowisko / Position ]:[Stanowisko / Position ]],0)))</f>
        <v>n/a</v>
      </c>
      <c r="AF76" s="387" t="str">
        <f>IF(INDEX(tab_MinKomp[System PN-N 18001:2004 / ISO 45001:2018],MATCH($B75,tab_MinKomp[[Stanowisko / Position ]:[Stanowisko / Position ]],0))="n/a","n/a",AF75-INDEX(tab_MinKomp[System PN-N 18001:2004 / ISO 45001:2018],MATCH($B75,tab_MinKomp[[Stanowisko / Position ]:[Stanowisko / Position ]],0)))</f>
        <v>n/a</v>
      </c>
      <c r="AG76" s="387" t="str">
        <f>IF(INDEX(tab_MinKomp[Wymagania VDA 6.3 Process / Forderungen],MATCH($B75,tab_MinKomp[[Stanowisko / Position ]:[Stanowisko / Position ]],0))="n/a","n/a",AG75-INDEX(tab_MinKomp[Wymagania VDA 6.3 Process / Forderungen],MATCH($B75,tab_MinKomp[[Stanowisko / Position ]:[Stanowisko / Position ]],0)))</f>
        <v>n/a</v>
      </c>
      <c r="AH76" s="387" t="str">
        <f>IF(INDEX(tab_MinKomp[Wymagania VDA 6.5 Product / Forderungen],MATCH($B75,tab_MinKomp[[Stanowisko / Position ]:[Stanowisko / Position ]],0))="n/a","n/a",AH75-INDEX(tab_MinKomp[Wymagania VDA 6.5 Product / Forderungen],MATCH($B75,tab_MinKomp[[Stanowisko / Position ]:[Stanowisko / Position ]],0)))</f>
        <v>n/a</v>
      </c>
      <c r="AI76" s="387" t="str">
        <f>IF(INDEX(tab_MinKomp[PSCR (VW Product Safety &amp; Conformity Representative)],MATCH($B75,tab_MinKomp[[Stanowisko / Position ]:[Stanowisko / Position ]],0))="n/a","n/a",AI75-INDEX(tab_MinKomp[PSCR (VW Product Safety &amp; Conformity Representative)],MATCH($B75,tab_MinKomp[[Stanowisko / Position ]:[Stanowisko / Position ]],0)))</f>
        <v>n/a</v>
      </c>
      <c r="AJ76" s="387" t="str">
        <f>IF(INDEX(tab_MinKomp[Auditor systemu ISO 17025:2018],MATCH($B75,tab_MinKomp[[Stanowisko / Position ]:[Stanowisko / Position ]],0))="n/a","n/a",AJ75-INDEX(tab_MinKomp[Auditor systemu ISO 17025:2018],MATCH($B75,tab_MinKomp[[Stanowisko / Position ]:[Stanowisko / Position ]],0)))</f>
        <v>n/a</v>
      </c>
      <c r="AK76" s="387" t="str">
        <f>IF(INDEX(tab_MinKomp[Pełnomocnik systemu / Systemvertreter],MATCH($B75,tab_MinKomp[[Stanowisko / Position ]:[Stanowisko / Position ]],0))="n/a","n/a",AK75-INDEX(tab_MinKomp[Pełnomocnik systemu / Systemvertreter],MATCH($B75,tab_MinKomp[[Stanowisko / Position ]:[Stanowisko / Position ]],0)))</f>
        <v>n/a</v>
      </c>
      <c r="AL76" s="387">
        <f>IF(INDEX(tab_MinKomp[Polityka Etyczna - Compliance],MATCH($B75,tab_MinKomp[[Stanowisko / Position ]:[Stanowisko / Position ]],0))="n/a","n/a",AL75-INDEX(tab_MinKomp[Polityka Etyczna - Compliance],MATCH($B75,tab_MinKomp[[Stanowisko / Position ]:[Stanowisko / Position ]],0)))</f>
        <v>-1</v>
      </c>
      <c r="AM76" s="387" t="str">
        <f>IF(INDEX(tab_MinKomp[WDRAŻANIE NOWYCH PROJEKTÓW/ PROCEDURA CTM],MATCH($B75,tab_MinKomp[[Stanowisko / Position ]:[Stanowisko / Position ]],0))="n/a","n/a",AM75-INDEX(tab_MinKomp[WDRAŻANIE NOWYCH PROJEKTÓW/ PROCEDURA CTM],MATCH($B75,tab_MinKomp[[Stanowisko / Position ]:[Stanowisko / Position ]],0)))</f>
        <v>n/a</v>
      </c>
      <c r="AN76" s="387" t="str">
        <f>IF(INDEX(tab_MinKomp[KAMIENIE MILOWE MSL/PIFF],MATCH($B75,tab_MinKomp[[Stanowisko / Position ]:[Stanowisko / Position ]],0))="n/a","n/a",AN75-INDEX(tab_MinKomp[KAMIENIE MILOWE MSL/PIFF],MATCH($B75,tab_MinKomp[[Stanowisko / Position ]:[Stanowisko / Position ]],0)))</f>
        <v>n/a</v>
      </c>
      <c r="AO76" s="387" t="str">
        <f>IF(INDEX(tab_MinKomp[CP],MATCH($B75,tab_MinKomp[[Stanowisko / Position ]:[Stanowisko / Position ]],0))="n/a","n/a",AO75-INDEX(tab_MinKomp[CP],MATCH($B75,tab_MinKomp[[Stanowisko / Position ]:[Stanowisko / Position ]],0)))</f>
        <v>n/a</v>
      </c>
      <c r="AP76" s="387" t="str">
        <f>IF(INDEX(tab_MinKomp[FMEA],MATCH($B75,tab_MinKomp[[Stanowisko / Position ]:[Stanowisko / Position ]],0))="n/a","n/a",AP75-INDEX(tab_MinKomp[FMEA],MATCH($B75,tab_MinKomp[[Stanowisko / Position ]:[Stanowisko / Position ]],0)))</f>
        <v>n/a</v>
      </c>
      <c r="AQ76" s="387" t="str">
        <f>IF(INDEX(tab_MinKomp[FLOW CHART],MATCH($B75,tab_MinKomp[[Stanowisko / Position ]:[Stanowisko / Position ]],0))="n/a","n/a",AQ75-INDEX(tab_MinKomp[FLOW CHART],MATCH($B75,tab_MinKomp[[Stanowisko / Position ]:[Stanowisko / Position ]],0)))</f>
        <v>n/a</v>
      </c>
      <c r="AR76" s="387" t="str">
        <f>IF(INDEX(tab_MinKomp[APQP],MATCH($B75,tab_MinKomp[[Stanowisko / Position ]:[Stanowisko / Position ]],0))="n/a","n/a",AR75-INDEX(tab_MinKomp[APQP],MATCH($B75,tab_MinKomp[[Stanowisko / Position ]:[Stanowisko / Position ]],0)))</f>
        <v>n/a</v>
      </c>
      <c r="AS76" s="387" t="str">
        <f>IF(INDEX(tab_MinKomp[MSA],MATCH($B75,tab_MinKomp[[Stanowisko / Position ]:[Stanowisko / Position ]],0))="n/a","n/a",AS75-INDEX(tab_MinKomp[MSA],MATCH($B75,tab_MinKomp[[Stanowisko / Position ]:[Stanowisko / Position ]],0)))</f>
        <v>n/a</v>
      </c>
      <c r="AT76" s="387" t="str">
        <f>IF(INDEX(tab_MinKomp[SPC],MATCH($B75,tab_MinKomp[[Stanowisko / Position ]:[Stanowisko / Position ]],0))="n/a","n/a",AT75-INDEX(tab_MinKomp[SPC],MATCH($B75,tab_MinKomp[[Stanowisko / Position ]:[Stanowisko / Position ]],0)))</f>
        <v>n/a</v>
      </c>
      <c r="AU76" s="387" t="str">
        <f>IF(INDEX(tab_MinKomp[CSR (SPECYFICZNE WYMAGANIA KLIENTA)],MATCH($B75,tab_MinKomp[[Stanowisko / Position ]:[Stanowisko / Position ]],0))="n/a","n/a",AU75-INDEX(tab_MinKomp[CSR (SPECYFICZNE WYMAGANIA KLIENTA)],MATCH($B75,tab_MinKomp[[Stanowisko / Position ]:[Stanowisko / Position ]],0)))</f>
        <v>n/a</v>
      </c>
      <c r="AV76" s="387">
        <f>IF(INDEX(tab_MinKomp[5S],MATCH($B75,tab_MinKomp[[Stanowisko / Position ]:[Stanowisko / Position ]],0))="n/a","n/a",AV75-INDEX(tab_MinKomp[5S],MATCH($B75,tab_MinKomp[[Stanowisko / Position ]:[Stanowisko / Position ]],0)))</f>
        <v>-2</v>
      </c>
      <c r="AW76" s="387">
        <f>IF(INDEX(tab_MinKomp[LEAN MANAGEMENT],MATCH($B75,tab_MinKomp[[Stanowisko / Position ]:[Stanowisko / Position ]],0))="n/a","n/a",AW75-INDEX(tab_MinKomp[LEAN MANAGEMENT],MATCH($B75,tab_MinKomp[[Stanowisko / Position ]:[Stanowisko / Position ]],0)))</f>
        <v>-1</v>
      </c>
      <c r="AX76" s="387">
        <f>IF(INDEX(tab_MinKomp[5R],MATCH($B75,tab_MinKomp[[Stanowisko / Position ]:[Stanowisko / Position ]],0))="n/a","n/a",AX75-INDEX(tab_MinKomp[5R],MATCH($B75,tab_MinKomp[[Stanowisko / Position ]:[Stanowisko / Position ]],0)))</f>
        <v>-1</v>
      </c>
      <c r="AY76" s="387" t="str">
        <f>IF(INDEX(tab_MinKomp[Six Sigma],MATCH($B75,tab_MinKomp[[Stanowisko / Position ]:[Stanowisko / Position ]],0))="n/a","n/a",AY75-INDEX(tab_MinKomp[Six Sigma],MATCH($B75,tab_MinKomp[[Stanowisko / Position ]:[Stanowisko / Position ]],0)))</f>
        <v>n/a</v>
      </c>
      <c r="AZ76" s="387" t="str">
        <f>IF(INDEX(tab_MinKomp[System BAAN / Distribution &amp; Supply Chain],MATCH($B75,tab_MinKomp[[Stanowisko / Position ]:[Stanowisko / Position ]],0))="n/a","n/a",AZ75-INDEX(tab_MinKomp[System BAAN / Distribution &amp; Supply Chain],MATCH($B75,tab_MinKomp[[Stanowisko / Position ]:[Stanowisko / Position ]],0)))</f>
        <v>n/a</v>
      </c>
      <c r="BA76" s="387" t="str">
        <f>IF(INDEX(tab_MinKomp[Gospodarka magazynowa / Lagerverwaltung],MATCH($B75,tab_MinKomp[[Stanowisko / Position ]:[Stanowisko / Position ]],0))="n/a","n/a",BA75-INDEX(tab_MinKomp[Gospodarka magazynowa / Lagerverwaltung],MATCH($B75,tab_MinKomp[[Stanowisko / Position ]:[Stanowisko / Position ]],0)))</f>
        <v>n/a</v>
      </c>
      <c r="BB76" s="387" t="str">
        <f>IF(INDEX(tab_MinKomp[Inwentaryzacja - organizacja i przebieg / Inventurprozess],MATCH($B75,tab_MinKomp[[Stanowisko / Position ]:[Stanowisko / Position ]],0))="n/a","n/a",BB75-INDEX(tab_MinKomp[Inwentaryzacja - organizacja i przebieg / Inventurprozess],MATCH($B75,tab_MinKomp[[Stanowisko / Position ]:[Stanowisko / Position ]],0)))</f>
        <v>n/a</v>
      </c>
      <c r="BC76" s="387" t="str">
        <f>IF(INDEX(tab_MinKomp[Organizacja dostaw / Versorgungsorganisation],MATCH($B75,tab_MinKomp[[Stanowisko / Position ]:[Stanowisko / Position ]],0))="n/a","n/a",BC75-INDEX(tab_MinKomp[Organizacja dostaw / Versorgungsorganisation],MATCH($B75,tab_MinKomp[[Stanowisko / Position ]:[Stanowisko / Position ]],0)))</f>
        <v>n/a</v>
      </c>
      <c r="BD76" s="387" t="str">
        <f>IF(INDEX(tab_MinKomp[Organizacja wysyłek / Organisation von Lieferungen],MATCH($B75,tab_MinKomp[[Stanowisko / Position ]:[Stanowisko / Position ]],0))="n/a","n/a",BD75-INDEX(tab_MinKomp[Organizacja wysyłek / Organisation von Lieferungen],MATCH($B75,tab_MinKomp[[Stanowisko / Position ]:[Stanowisko / Position ]],0)))</f>
        <v>n/a</v>
      </c>
      <c r="BE76" s="387" t="str">
        <f>IF(INDEX(tab_MinKomp[Analiza magazynowa - Program Polen.mdb / Inventuranalyse],MATCH($B75,tab_MinKomp[[Stanowisko / Position ]:[Stanowisko / Position ]],0))="n/a","n/a",BE75-INDEX(tab_MinKomp[Analiza magazynowa - Program Polen.mdb / Inventuranalyse],MATCH($B75,tab_MinKomp[[Stanowisko / Position ]:[Stanowisko / Position ]],0)))</f>
        <v>n/a</v>
      </c>
      <c r="BF76" s="387" t="str">
        <f>IF(INDEX(tab_MinKomp[MMOG (Materials Management Operations Guidelines)],MATCH($B75,tab_MinKomp[[Stanowisko / Position ]:[Stanowisko / Position ]],0))="n/a","n/a",BF75-INDEX(tab_MinKomp[MMOG (Materials Management Operations Guidelines)],MATCH($B75,tab_MinKomp[[Stanowisko / Position ]:[Stanowisko / Position ]],0)))</f>
        <v>n/a</v>
      </c>
      <c r="BG76" s="387" t="str">
        <f>IF(INDEX(tab_MinKomp[DETC],MATCH($B75,tab_MinKomp[[Stanowisko / Position ]:[Stanowisko / Position ]],0))="n/a","n/a",BG75-INDEX(tab_MinKomp[DETC],MATCH($B75,tab_MinKomp[[Stanowisko / Position ]:[Stanowisko / Position ]],0)))</f>
        <v>n/a</v>
      </c>
      <c r="BH76" s="387" t="str">
        <f>IF(INDEX(tab_MinKomp[GPP],MATCH($B75,tab_MinKomp[[Stanowisko / Position ]:[Stanowisko / Position ]],0))="n/a","n/a",BH75-INDEX(tab_MinKomp[GPP],MATCH($B75,tab_MinKomp[[Stanowisko / Position ]:[Stanowisko / Position ]],0)))</f>
        <v>n/a</v>
      </c>
      <c r="BI76" s="387" t="str">
        <f>IF(INDEX(tab_MinKomp[AIAG (Automotive Industry Action Group)],MATCH($B75,tab_MinKomp[[Stanowisko / Position ]:[Stanowisko / Position ]],0))="n/a","n/a",BI75-INDEX(tab_MinKomp[AIAG (Automotive Industry Action Group)],MATCH($B75,tab_MinKomp[[Stanowisko / Position ]:[Stanowisko / Position ]],0)))</f>
        <v>n/a</v>
      </c>
      <c r="BJ76" s="387" t="str">
        <f>IF(INDEX(tab_MinKomp[Super-G disputes],MATCH($B75,tab_MinKomp[[Stanowisko / Position ]:[Stanowisko / Position ]],0))="n/a","n/a",BJ75-INDEX(tab_MinKomp[Super-G disputes],MATCH($B75,tab_MinKomp[[Stanowisko / Position ]:[Stanowisko / Position ]],0)))</f>
        <v>n/a</v>
      </c>
      <c r="BK76" s="387" t="str">
        <f>IF(INDEX(tab_MinKomp[CMMS3/eDDL (Direct Data Link)],MATCH($B75,tab_MinKomp[[Stanowisko / Position ]:[Stanowisko / Position ]],0))="n/a","n/a",BK75-INDEX(tab_MinKomp[CMMS3/eDDL (Direct Data Link)],MATCH($B75,tab_MinKomp[[Stanowisko / Position ]:[Stanowisko / Position ]],0)))</f>
        <v>n/a</v>
      </c>
      <c r="BL76" s="387" t="str">
        <f>IF(INDEX(tab_MinKomp[MP&amp;L (Material Planning and Logistics)],MATCH($B75,tab_MinKomp[[Stanowisko / Position ]:[Stanowisko / Position ]],0))="n/a","n/a",BL75-INDEX(tab_MinKomp[MP&amp;L (Material Planning and Logistics)],MATCH($B75,tab_MinKomp[[Stanowisko / Position ]:[Stanowisko / Position ]],0)))</f>
        <v>n/a</v>
      </c>
      <c r="BM76" s="387" t="str">
        <f>IF(INDEX(tab_MinKomp[Planowanie produkcji / Produktionsplanung],MATCH($B75,tab_MinKomp[[Stanowisko / Position ]:[Stanowisko / Position ]],0))="n/a","n/a",BM75-INDEX(tab_MinKomp[Planowanie produkcji / Produktionsplanung],MATCH($B75,tab_MinKomp[[Stanowisko / Position ]:[Stanowisko / Position ]],0)))</f>
        <v>n/a</v>
      </c>
      <c r="BN76" s="387">
        <f>IF(INDEX(tab_MinKomp[Obsługa maszyn Engel / Engel Maschinenbedienung],MATCH($B75,tab_MinKomp[[Stanowisko / Position ]:[Stanowisko / Position ]],0))="n/a","n/a",BN75-INDEX(tab_MinKomp[Obsługa maszyn Engel / Engel Maschinenbedienung],MATCH($B75,tab_MinKomp[[Stanowisko / Position ]:[Stanowisko / Position ]],0)))</f>
        <v>-1</v>
      </c>
      <c r="BO76" s="387">
        <f>IF(INDEX(tab_MinKomp[Obsługa maszyn Novapax / Novapax Maschinenbedienung],MATCH($B75,tab_MinKomp[[Stanowisko / Position ]:[Stanowisko / Position ]],0))="n/a","n/a",BO75-INDEX(tab_MinKomp[Obsługa maszyn Novapax / Novapax Maschinenbedienung],MATCH($B75,tab_MinKomp[[Stanowisko / Position ]:[Stanowisko / Position ]],0)))</f>
        <v>-1</v>
      </c>
      <c r="BP76" s="387">
        <f>IF(INDEX(tab_MinKomp[Obsługa maszyn KVT / KVT Maschinenbedienung],MATCH($B75,tab_MinKomp[[Stanowisko / Position ]:[Stanowisko / Position ]],0))="n/a","n/a",BP75-INDEX(tab_MinKomp[Obsługa maszyn KVT / KVT Maschinenbedienung],MATCH($B75,tab_MinKomp[[Stanowisko / Position ]:[Stanowisko / Position ]],0)))</f>
        <v>-1</v>
      </c>
      <c r="BQ76" s="387">
        <f>IF(INDEX(tab_MinKomp[Obsługa maszyn ASL / ASL Maschinenbedienung],MATCH($B75,tab_MinKomp[[Stanowisko / Position ]:[Stanowisko / Position ]],0))="n/a","n/a",BQ75-INDEX(tab_MinKomp[Obsługa maszyn ASL / ASL Maschinenbedienung],MATCH($B75,tab_MinKomp[[Stanowisko / Position ]:[Stanowisko / Position ]],0)))</f>
        <v>-1</v>
      </c>
      <c r="BR76" s="387">
        <f>IF(INDEX(tab_MinKomp[Obsługa maszyn Branson / Branson Maschinenbedienung],MATCH($B75,tab_MinKomp[[Stanowisko / Position ]:[Stanowisko / Position ]],0))="n/a","n/a",BR75-INDEX(tab_MinKomp[Obsługa maszyn Branson / Branson Maschinenbedienung],MATCH($B75,tab_MinKomp[[Stanowisko / Position ]:[Stanowisko / Position ]],0)))</f>
        <v>-1</v>
      </c>
      <c r="BS76" s="387">
        <f>IF(INDEX(tab_MinKomp[Obsługa maszyn Kamtec / Kamtec Maschinenbedienung],MATCH($B75,tab_MinKomp[[Stanowisko / Position ]:[Stanowisko / Position ]],0))="n/a","n/a",BS75-INDEX(tab_MinKomp[Obsługa maszyn Kamtec / Kamtec Maschinenbedienung],MATCH($B75,tab_MinKomp[[Stanowisko / Position ]:[Stanowisko / Position ]],0)))</f>
        <v>-1</v>
      </c>
      <c r="BT76" s="387">
        <f>IF(INDEX(tab_MinKomp[Obsługa maszyn Piovan / Piovan Maschinenbedienung],MATCH($B75,tab_MinKomp[[Stanowisko / Position ]:[Stanowisko / Position ]],0))="n/a","n/a",BT75-INDEX(tab_MinKomp[Obsługa maszyn Piovan / Piovan Maschinenbedienung],MATCH($B75,tab_MinKomp[[Stanowisko / Position ]:[Stanowisko / Position ]],0)))</f>
        <v>-1</v>
      </c>
      <c r="BU76" s="387">
        <f>IF(INDEX(tab_MinKomp[Obsługa maszyn REP / REP Maschinenbedienung],MATCH($B75,tab_MinKomp[[Stanowisko / Position ]:[Stanowisko / Position ]],0))="n/a","n/a",BU75-INDEX(tab_MinKomp[Obsługa maszyn REP / REP Maschinenbedienung],MATCH($B75,tab_MinKomp[[Stanowisko / Position ]:[Stanowisko / Position ]],0)))</f>
        <v>-1</v>
      </c>
      <c r="BV76" s="387">
        <f>IF(INDEX(tab_MinKomp[Eliminacja awarii / Beseitigung von Ausfällen],MATCH($B75,tab_MinKomp[[Stanowisko / Position ]:[Stanowisko / Position ]],0))="n/a","n/a",BV75-INDEX(tab_MinKomp[Eliminacja awarii / Beseitigung von Ausfällen],MATCH($B75,tab_MinKomp[[Stanowisko / Position ]:[Stanowisko / Position ]],0)))</f>
        <v>-2</v>
      </c>
      <c r="BW76" s="387" t="str">
        <f>IF(INDEX(tab_MinKomp[Informatyka ogólna (techniczne i systemowe) / Allgemeine IT (Technik und System)],MATCH($B75,tab_MinKomp[[Stanowisko / Position ]:[Stanowisko / Position ]],0))="n/a","n/a",BW75-INDEX(tab_MinKomp[Informatyka ogólna (techniczne i systemowe) / Allgemeine IT (Technik und System)],MATCH($B75,tab_MinKomp[[Stanowisko / Position ]:[Stanowisko / Position ]],0)))</f>
        <v>n/a</v>
      </c>
      <c r="BX76" s="387" t="str">
        <f>IF(INDEX(tab_MinKomp[Sieci komputerowe / Computernetzwerke],MATCH($B75,tab_MinKomp[[Stanowisko / Position ]:[Stanowisko / Position ]],0))="n/a","n/a",BX75-INDEX(tab_MinKomp[Sieci komputerowe / Computernetzwerke],MATCH($B75,tab_MinKomp[[Stanowisko / Position ]:[Stanowisko / Position ]],0)))</f>
        <v>n/a</v>
      </c>
      <c r="BY76" s="387" t="str">
        <f>IF(INDEX(tab_MinKomp[Hardware (komputery PC, drukarki biurowe i etykietowe, telefonia stacjonarna i mobilna) (PC, Drucker, Telefpne, Handys)],MATCH($B75,tab_MinKomp[[Stanowisko / Position ]:[Stanowisko / Position ]],0))="n/a","n/a",BY75-INDEX(tab_MinKomp[Hardware (komputery PC, drukarki biurowe i etykietowe, telefonia stacjonarna i mobilna) (PC, Drucker, Telefpne, Handys)],MATCH($B75,tab_MinKomp[[Stanowisko / Position ]:[Stanowisko / Position ]],0)))</f>
        <v>n/a</v>
      </c>
      <c r="BZ76" s="387" t="str">
        <f>IF(INDEX(tab_MinKomp[Software &amp; Systems (MS Office, MS Remote Desktop)],MATCH($B75,tab_MinKomp[[Stanowisko / Position ]:[Stanowisko / Position ]],0))="n/a","n/a",BZ75-INDEX(tab_MinKomp[Software &amp; Systems (MS Office, MS Remote Desktop)],MATCH($B75,tab_MinKomp[[Stanowisko / Position ]:[Stanowisko / Position ]],0)))</f>
        <v>n/a</v>
      </c>
      <c r="CA76" s="387" t="str">
        <f>IF(INDEX(tab_MinKomp[Programowanie obiektowe (PHP) / Objektprogrammierung],MATCH($B75,tab_MinKomp[[Stanowisko / Position ]:[Stanowisko / Position ]],0))="n/a","n/a",CA75-INDEX(tab_MinKomp[Programowanie obiektowe (PHP) / Objektprogrammierung],MATCH($B75,tab_MinKomp[[Stanowisko / Position ]:[Stanowisko / Position ]],0)))</f>
        <v>n/a</v>
      </c>
      <c r="CB76" s="387" t="str">
        <f>IF(INDEX(tab_MinKomp[Scrum],MATCH($B75,tab_MinKomp[[Stanowisko / Position ]:[Stanowisko / Position ]],0))="n/a","n/a",CB75-INDEX(tab_MinKomp[Scrum],MATCH($B75,tab_MinKomp[[Stanowisko / Position ]:[Stanowisko / Position ]],0)))</f>
        <v>n/a</v>
      </c>
      <c r="CC76" s="387" t="str">
        <f>IF(INDEX(tab_MinKomp[SQL (MySQL)],MATCH($B75,tab_MinKomp[[Stanowisko / Position ]:[Stanowisko / Position ]],0))="n/a","n/a",CC75-INDEX(tab_MinKomp[SQL (MySQL)],MATCH($B75,tab_MinKomp[[Stanowisko / Position ]:[Stanowisko / Position ]],0)))</f>
        <v>n/a</v>
      </c>
      <c r="CD76" s="387" t="str">
        <f>IF(INDEX(tab_MinKomp[Javascript],MATCH($B75,tab_MinKomp[[Stanowisko / Position ]:[Stanowisko / Position ]],0))="n/a","n/a",CD75-INDEX(tab_MinKomp[Javascript],MATCH($B75,tab_MinKomp[[Stanowisko / Position ]:[Stanowisko / Position ]],0)))</f>
        <v>n/a</v>
      </c>
      <c r="CE76" s="387" t="str">
        <f>IF(INDEX(tab_MinKomp[Joomla],MATCH($B75,tab_MinKomp[[Stanowisko / Position ]:[Stanowisko / Position ]],0))="n/a","n/a",CE75-INDEX(tab_MinKomp[Joomla],MATCH($B75,tab_MinKomp[[Stanowisko / Position ]:[Stanowisko / Position ]],0)))</f>
        <v>n/a</v>
      </c>
      <c r="CF76" s="387" t="str">
        <f>IF(INDEX(tab_MinKomp[Bash],MATCH($B75,tab_MinKomp[[Stanowisko / Position ]:[Stanowisko / Position ]],0))="n/a","n/a",CF75-INDEX(tab_MinKomp[Bash],MATCH($B75,tab_MinKomp[[Stanowisko / Position ]:[Stanowisko / Position ]],0)))</f>
        <v>n/a</v>
      </c>
      <c r="CG76" s="387" t="str">
        <f>IF(INDEX(tab_MinKomp[Systemy MES (HYDRA / SFMS)],MATCH($B75,tab_MinKomp[[Stanowisko / Position ]:[Stanowisko / Position ]],0))="n/a","n/a",CG75-INDEX(tab_MinKomp[Systemy MES (HYDRA / SFMS)],MATCH($B75,tab_MinKomp[[Stanowisko / Position ]:[Stanowisko / Position ]],0)))</f>
        <v>n/a</v>
      </c>
      <c r="CH76" s="387" t="str">
        <f>IF(INDEX(tab_MinKomp[HTML / CSS],MATCH($B75,tab_MinKomp[[Stanowisko / Position ]:[Stanowisko / Position ]],0))="n/a","n/a",CH75-INDEX(tab_MinKomp[HTML / CSS],MATCH($B75,tab_MinKomp[[Stanowisko / Position ]:[Stanowisko / Position ]],0)))</f>
        <v>n/a</v>
      </c>
      <c r="CI76" s="387">
        <f>IF(INDEX(tab_MinKomp[SYSTEM PR],MATCH($B75,tab_MinKomp[[Stanowisko / Position ]:[Stanowisko / Position ]],0))="n/a","n/a",CI75-INDEX(tab_MinKomp[SYSTEM PR],MATCH($B75,tab_MinKomp[[Stanowisko / Position ]:[Stanowisko / Position ]],0)))</f>
        <v>-1</v>
      </c>
      <c r="CJ76" s="387" t="str">
        <f>IF(INDEX(tab_MinKomp[System Einkauf XP / EBA],MATCH($B75,tab_MinKomp[[Stanowisko / Position ]:[Stanowisko / Position ]],0))="n/a","n/a",CJ75-INDEX(tab_MinKomp[System Einkauf XP / EBA],MATCH($B75,tab_MinKomp[[Stanowisko / Position ]:[Stanowisko / Position ]],0)))</f>
        <v>n/a</v>
      </c>
      <c r="CK76" s="387" t="str">
        <f>IF(INDEX(tab_MinKomp[Techniki negocjacyjne / Verhandlungstechniken],MATCH($B75,tab_MinKomp[[Stanowisko / Position ]:[Stanowisko / Position ]],0))="n/a","n/a",CK75-INDEX(tab_MinKomp[Techniki negocjacyjne / Verhandlungstechniken],MATCH($B75,tab_MinKomp[[Stanowisko / Position ]:[Stanowisko / Position ]],0)))</f>
        <v>n/a</v>
      </c>
      <c r="CL76" s="387">
        <f>IF(INDEX(tab_MinKomp[Znajomość rynku branżowego / Kenntnis des Industrie Marktes],MATCH($B75,tab_MinKomp[[Stanowisko / Position ]:[Stanowisko / Position ]],0))="n/a","n/a",CL75-INDEX(tab_MinKomp[Znajomość rynku branżowego / Kenntnis des Industrie Marktes],MATCH($B75,tab_MinKomp[[Stanowisko / Position ]:[Stanowisko / Position ]],0)))</f>
        <v>-1</v>
      </c>
      <c r="CM76" s="387" t="str">
        <f>IF(INDEX(tab_MinKomp[RAPORTY 8D / 8D Berichten],MATCH($B75,tab_MinKomp[[Stanowisko / Position ]:[Stanowisko / Position ]],0))="n/a","n/a",CM75-INDEX(tab_MinKomp[RAPORTY 8D / 8D Berichten],MATCH($B75,tab_MinKomp[[Stanowisko / Position ]:[Stanowisko / Position ]],0)))</f>
        <v>n/a</v>
      </c>
      <c r="CN76" s="387">
        <f>IF(INDEX(tab_MinKomp[NARZĘDZIA JAKOŚCIOWE (5WHY, Ishikawa, etc) / QS-Werkzeuge],MATCH($B75,tab_MinKomp[[Stanowisko / Position ]:[Stanowisko / Position ]],0))="n/a","n/a",CN75-INDEX(tab_MinKomp[NARZĘDZIA JAKOŚCIOWE (5WHY, Ishikawa, etc) / QS-Werkzeuge],MATCH($B75,tab_MinKomp[[Stanowisko / Position ]:[Stanowisko / Position ]],0)))</f>
        <v>-2</v>
      </c>
      <c r="CO76" s="387">
        <f>IF(INDEX(tab_MinKomp[PDCA],MATCH($B75,tab_MinKomp[[Stanowisko / Position ]:[Stanowisko / Position ]],0))="n/a","n/a",CO75-INDEX(tab_MinKomp[PDCA],MATCH($B75,tab_MinKomp[[Stanowisko / Position ]:[Stanowisko / Position ]],0)))</f>
        <v>-2</v>
      </c>
      <c r="CP76" s="387">
        <f>IF(INDEX(tab_MinKomp[Pareto],MATCH($B75,tab_MinKomp[[Stanowisko / Position ]:[Stanowisko / Position ]],0))="n/a","n/a",CP75-INDEX(tab_MinKomp[Pareto],MATCH($B75,tab_MinKomp[[Stanowisko / Position ]:[Stanowisko / Position ]],0)))</f>
        <v>-2</v>
      </c>
      <c r="CQ76" s="387" t="str">
        <f>IF(INDEX(tab_MinKomp[PPAP/PSW],MATCH($B75,tab_MinKomp[[Stanowisko / Position ]:[Stanowisko / Position ]],0))="n/a","n/a",CQ75-INDEX(tab_MinKomp[PPAP/PSW],MATCH($B75,tab_MinKomp[[Stanowisko / Position ]:[Stanowisko / Position ]],0)))</f>
        <v>n/a</v>
      </c>
      <c r="CR76" s="387" t="str">
        <f>IF(INDEX(tab_MinKomp[SUPPLIER MANAGEMENT],MATCH($B75,tab_MinKomp[[Stanowisko / Position ]:[Stanowisko / Position ]],0))="n/a","n/a",CR75-INDEX(tab_MinKomp[SUPPLIER MANAGEMENT],MATCH($B75,tab_MinKomp[[Stanowisko / Position ]:[Stanowisko / Position ]],0)))</f>
        <v>n/a</v>
      </c>
      <c r="CS76" s="387" t="str">
        <f>IF(INDEX(tab_MinKomp[OBSŁUGA PORTALI KLIENTA / Kundenportale],MATCH($B75,tab_MinKomp[[Stanowisko / Position ]:[Stanowisko / Position ]],0))="n/a","n/a",CS75-INDEX(tab_MinKomp[OBSŁUGA PORTALI KLIENTA / Kundenportale],MATCH($B75,tab_MinKomp[[Stanowisko / Position ]:[Stanowisko / Position ]],0)))</f>
        <v>n/a</v>
      </c>
      <c r="CT76" s="387" t="str">
        <f>IF(INDEX(tab_MinKomp[Obsługa systemu BABTECQ / BABTECQ System],MATCH($B75,tab_MinKomp[[Stanowisko / Position ]:[Stanowisko / Position ]],0))="n/a","n/a",CT75-INDEX(tab_MinKomp[Obsługa systemu BABTECQ / BABTECQ System],MATCH($B75,tab_MinKomp[[Stanowisko / Position ]:[Stanowisko / Position ]],0)))</f>
        <v>n/a</v>
      </c>
      <c r="CU76" s="387">
        <f>IF(INDEX(tab_MinKomp[Rysunek techniczny / technische Zeichnung],MATCH($B75,tab_MinKomp[[Stanowisko / Position ]:[Stanowisko / Position ]],0))="n/a","n/a",CU75-INDEX(tab_MinKomp[Rysunek techniczny / technische Zeichnung],MATCH($B75,tab_MinKomp[[Stanowisko / Position ]:[Stanowisko / Position ]],0)))</f>
        <v>-2</v>
      </c>
      <c r="CV76" s="387" t="str">
        <f>IF(INDEX(tab_MinKomp[Kalibracja / Kalibrierung],MATCH($B75,tab_MinKomp[[Stanowisko / Position ]:[Stanowisko / Position ]],0))="n/a","n/a",CV75-INDEX(tab_MinKomp[Kalibracja / Kalibrierung],MATCH($B75,tab_MinKomp[[Stanowisko / Position ]:[Stanowisko / Position ]],0)))</f>
        <v>n/a</v>
      </c>
      <c r="CW76" s="387" t="str">
        <f>IF(INDEX(tab_MinKomp[Rekwalifikacja / Requalifizierung],MATCH($B75,tab_MinKomp[[Stanowisko / Position ]:[Stanowisko / Position ]],0))="n/a","n/a",CW75-INDEX(tab_MinKomp[Rekwalifikacja / Requalifizierung],MATCH($B75,tab_MinKomp[[Stanowisko / Position ]:[Stanowisko / Position ]],0)))</f>
        <v>n/a</v>
      </c>
      <c r="CX76" s="387" t="str">
        <f>IF(INDEX(tab_MinKomp[Obsługa mikroskopu optycznego / Bedienung eines optischen Mikroskops],MATCH($B75,tab_MinKomp[[Stanowisko / Position ]:[Stanowisko / Position ]],0))="n/a","n/a",CX75-INDEX(tab_MinKomp[Obsługa mikroskopu optycznego / Bedienung eines optischen Mikroskops],MATCH($B75,tab_MinKomp[[Stanowisko / Position ]:[Stanowisko / Position ]],0)))</f>
        <v>n/a</v>
      </c>
      <c r="CY76" s="387" t="str">
        <f>IF(INDEX(tab_MinKomp[Wykonywanie pomiarów optycznych - ocena wizualna / Optische Messungen durchführen – visuelle Beurteilung],MATCH($B75,tab_MinKomp[[Stanowisko / Position ]:[Stanowisko / Position ]],0))="n/a","n/a",CY75-INDEX(tab_MinKomp[Wykonywanie pomiarów optycznych - ocena wizualna / Optische Messungen durchführen – visuelle Beurteilung],MATCH($B75,tab_MinKomp[[Stanowisko / Position ]:[Stanowisko / Position ]],0)))</f>
        <v>n/a</v>
      </c>
      <c r="CZ76" s="387" t="str">
        <f>IF(INDEX(tab_MinKomp[Obsługa Rheometra / Rheometra-Unterstützung],MATCH($B75,tab_MinKomp[[Stanowisko / Position ]:[Stanowisko / Position ]],0))="n/a","n/a",CZ75-INDEX(tab_MinKomp[Obsługa Rheometra / Rheometra-Unterstützung],MATCH($B75,tab_MinKomp[[Stanowisko / Position ]:[Stanowisko / Position ]],0)))</f>
        <v>n/a</v>
      </c>
      <c r="DA76" s="387" t="str">
        <f>IF(INDEX(tab_MinKomp[Testy właściwości Rheometra mieszanki gumy],MATCH($B75,tab_MinKomp[[Stanowisko / Position ]:[Stanowisko / Position ]],0))="n/a","n/a",DA75-INDEX(tab_MinKomp[Testy właściwości Rheometra mieszanki gumy],MATCH($B75,tab_MinKomp[[Stanowisko / Position ]:[Stanowisko / Position ]],0)))</f>
        <v>n/a</v>
      </c>
      <c r="DB76" s="387" t="str">
        <f>IF(INDEX(tab_MinKomp[CMM - Contura Zeiss],MATCH($B75,tab_MinKomp[[Stanowisko / Position ]:[Stanowisko / Position ]],0))="n/a","n/a",DB75-INDEX(tab_MinKomp[CMM - Contura Zeiss],MATCH($B75,tab_MinKomp[[Stanowisko / Position ]:[Stanowisko / Position ]],0)))</f>
        <v>n/a</v>
      </c>
      <c r="DC76" s="387" t="str">
        <f>IF(INDEX(tab_MinKomp[Wykonywanie precyzyjnych pomiarów metrycznych, pomiary 3D],MATCH($B75,tab_MinKomp[[Stanowisko / Position ]:[Stanowisko / Position ]],0))="n/a","n/a",DC75-INDEX(tab_MinKomp[Wykonywanie precyzyjnych pomiarów metrycznych, pomiary 3D],MATCH($B75,tab_MinKomp[[Stanowisko / Position ]:[Stanowisko / Position ]],0)))</f>
        <v>n/a</v>
      </c>
      <c r="DD76" s="387" t="str">
        <f>IF(INDEX(tab_MinKomp[Pisanie programów / Programme schreiben],MATCH($B75,tab_MinKomp[[Stanowisko / Position ]:[Stanowisko / Position ]],0))="n/a","n/a",DD75-INDEX(tab_MinKomp[Pisanie programów / Programme schreiben],MATCH($B75,tab_MinKomp[[Stanowisko / Position ]:[Stanowisko / Position ]],0)))</f>
        <v>n/a</v>
      </c>
      <c r="DE76" s="387" t="str">
        <f>IF(INDEX(tab_MinKomp[Obsługa wyposażenia do testów czystości (myjka + analizator) / Betrieb von Sauberkeitsprüfgeräten (Waschmaschine + Analysegerät)],MATCH($B75,tab_MinKomp[[Stanowisko / Position ]:[Stanowisko / Position ]],0))="n/a","n/a",DE75-INDEX(tab_MinKomp[Obsługa wyposażenia do testów czystości (myjka + analizator) / Betrieb von Sauberkeitsprüfgeräten (Waschmaschine + Analysegerät)],MATCH($B75,tab_MinKomp[[Stanowisko / Position ]:[Stanowisko / Position ]],0)))</f>
        <v>n/a</v>
      </c>
      <c r="DF76" s="387" t="str">
        <f>IF(INDEX(tab_MinKomp[Testy czystości / Reinheitstests],MATCH($B75,tab_MinKomp[[Stanowisko / Position ]:[Stanowisko / Position ]],0))="n/a","n/a",DF75-INDEX(tab_MinKomp[Testy czystości / Reinheitstests],MATCH($B75,tab_MinKomp[[Stanowisko / Position ]:[Stanowisko / Position ]],0)))</f>
        <v>n/a</v>
      </c>
      <c r="DG76" s="387" t="str">
        <f>IF(INDEX(tab_MinKomp[Obsługa wysokościomierza / Unterstützung für Höhenmesser],MATCH($B75,tab_MinKomp[[Stanowisko / Position ]:[Stanowisko / Position ]],0))="n/a","n/a",DG75-INDEX(tab_MinKomp[Obsługa wysokościomierza / Unterstützung für Höhenmesser],MATCH($B75,tab_MinKomp[[Stanowisko / Position ]:[Stanowisko / Position ]],0)))</f>
        <v>n/a</v>
      </c>
      <c r="DH76" s="387" t="str">
        <f>IF(INDEX(tab_MinKomp[Pomiary wysokości materiału / Materialhöhenmessungen],MATCH($B75,tab_MinKomp[[Stanowisko / Position ]:[Stanowisko / Position ]],0))="n/a","n/a",DH75-INDEX(tab_MinKomp[Pomiary wysokości materiału / Materialhöhenmessungen],MATCH($B75,tab_MinKomp[[Stanowisko / Position ]:[Stanowisko / Position ]],0)))</f>
        <v>n/a</v>
      </c>
      <c r="DI76" s="387" t="str">
        <f>IF(INDEX(tab_MinKomp[Obsługa okrągłościomierza / Unterstützung für Rundheitsmessgeräte],MATCH($B75,tab_MinKomp[[Stanowisko / Position ]:[Stanowisko / Position ]],0))="n/a","n/a",DI75-INDEX(tab_MinKomp[Obsługa okrągłościomierza / Unterstützung für Rundheitsmessgeräte],MATCH($B75,tab_MinKomp[[Stanowisko / Position ]:[Stanowisko / Position ]],0)))</f>
        <v>n/a</v>
      </c>
      <c r="DJ76" s="387" t="str">
        <f>IF(INDEX(tab_MinKomp[Wykonywania pomiarów owalności, srednicy materiału / Messung der Ovalität und des Durchmessers des Materials],MATCH($B75,tab_MinKomp[[Stanowisko / Position ]:[Stanowisko / Position ]],0))="n/a","n/a",DJ75-INDEX(tab_MinKomp[Wykonywania pomiarów owalności, srednicy materiału / Messung der Ovalität und des Durchmessers des Materials],MATCH($B75,tab_MinKomp[[Stanowisko / Position ]:[Stanowisko / Position ]],0)))</f>
        <v>n/a</v>
      </c>
      <c r="DK76" s="387" t="str">
        <f>IF(INDEX(tab_MinKomp[Obsługa urządzenia do pomiarów chropowoatości powierzchni materiału],MATCH($B75,tab_MinKomp[[Stanowisko / Position ]:[Stanowisko / Position ]],0))="n/a","n/a",DK75-INDEX(tab_MinKomp[Obsługa urządzenia do pomiarów chropowoatości powierzchni materiału],MATCH($B75,tab_MinKomp[[Stanowisko / Position ]:[Stanowisko / Position ]],0)))</f>
        <v>n/a</v>
      </c>
      <c r="DL76" s="387" t="str">
        <f>IF(INDEX(tab_MinKomp[Wykonywanie pomiarów chropowatości powierzchni materiału / Durchführung von Messungen der Materialoberflächenrauheit],MATCH($B75,tab_MinKomp[[Stanowisko / Position ]:[Stanowisko / Position ]],0))="n/a","n/a",DL75-INDEX(tab_MinKomp[Wykonywanie pomiarów chropowatości powierzchni materiału / Durchführung von Messungen der Materialoberflächenrauheit],MATCH($B75,tab_MinKomp[[Stanowisko / Position ]:[Stanowisko / Position ]],0)))</f>
        <v>n/a</v>
      </c>
      <c r="DM76" s="387" t="str">
        <f>IF(INDEX(tab_MinKomp[Obsługa urządzenia do pomiaru siły radialnej części - postępowanie z trzpieniami. / Funktionsweise des Geräts zur Messung der Radialkraft von Teilen – Handhabungsstifte.],MATCH($B75,tab_MinKomp[[Stanowisko / Position ]:[Stanowisko / Position ]],0))="n/a","n/a",DM75-INDEX(tab_MinKomp[Obsługa urządzenia do pomiaru siły radialnej części - postępowanie z trzpieniami. / Funktionsweise des Geräts zur Messung der Radialkraft von Teilen – Handhabungsstifte.],MATCH($B75,tab_MinKomp[[Stanowisko / Position ]:[Stanowisko / Position ]],0)))</f>
        <v>n/a</v>
      </c>
      <c r="DN76" s="387" t="str">
        <f>IF(INDEX(tab_MinKomp[Wykonywanie pomiarów siły radialnej części / Führen Sie Radialkraftmessungen an Teilen durch],MATCH($B75,tab_MinKomp[[Stanowisko / Position ]:[Stanowisko / Position ]],0))="n/a","n/a",DN75-INDEX(tab_MinKomp[Wykonywanie pomiarów siły radialnej części / Führen Sie Radialkraftmessungen an Teilen durch],MATCH($B75,tab_MinKomp[[Stanowisko / Position ]:[Stanowisko / Position ]],0)))</f>
        <v>n/a</v>
      </c>
      <c r="DO76" s="387" t="str">
        <f>IF(INDEX(tab_MinKomp[Obsługa komory do testów wybuchwych / Betrieb einer Explosionsprüfkammer],MATCH($B75,tab_MinKomp[[Stanowisko / Position ]:[Stanowisko / Position ]],0))="n/a","n/a",DO75-INDEX(tab_MinKomp[Obsługa komory do testów wybuchwych / Betrieb einer Explosionsprüfkammer],MATCH($B75,tab_MinKomp[[Stanowisko / Position ]:[Stanowisko / Position ]],0)))</f>
        <v>n/a</v>
      </c>
      <c r="DP76" s="387" t="str">
        <f>IF(INDEX(tab_MinKomp[Wykonywanie testów wybuchowych części / Durchführung von Explosionstests an Teilen],MATCH($B75,tab_MinKomp[[Stanowisko / Position ]:[Stanowisko / Position ]],0))="n/a","n/a",DP75-INDEX(tab_MinKomp[Wykonywanie testów wybuchowych części / Durchführung von Explosionstests an Teilen],MATCH($B75,tab_MinKomp[[Stanowisko / Position ]:[Stanowisko / Position ]],0)))</f>
        <v>n/a</v>
      </c>
      <c r="DQ76" s="387" t="str">
        <f>IF(INDEX(tab_MinKomp[Obsługa urządzeń do mierzenia siły trzymania i/lub rozciągania / Betrieb von Geräten zur Messung der Halte- und/oder Dehnkraft],MATCH($B75,tab_MinKomp[[Stanowisko / Position ]:[Stanowisko / Position ]],0))="n/a","n/a",DQ75-INDEX(tab_MinKomp[Obsługa urządzeń do mierzenia siły trzymania i/lub rozciągania / Betrieb von Geräten zur Messung der Halte- und/oder Dehnkraft],MATCH($B75,tab_MinKomp[[Stanowisko / Position ]:[Stanowisko / Position ]],0)))</f>
        <v>n/a</v>
      </c>
      <c r="DR76" s="387" t="str">
        <f>IF(INDEX(tab_MinKomp[Wykonywanie testów mierzenia siły trzymania i/lub rozciągania / Durchführung von Tests zur Messung der Halte- und/oder Streckkraft],MATCH($B75,tab_MinKomp[[Stanowisko / Position ]:[Stanowisko / Position ]],0))="n/a","n/a",DR75-INDEX(tab_MinKomp[Wykonywanie testów mierzenia siły trzymania i/lub rozciągania / Durchführung von Tests zur Messung der Halte- und/oder Streckkraft],MATCH($B75,tab_MinKomp[[Stanowisko / Position ]:[Stanowisko / Position ]],0)))</f>
        <v>n/a</v>
      </c>
      <c r="DS76" s="387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Luftstrom)],MATCH($B75,tab_MinKomp[[Stanowisko / Position ]:[Stanowisko / Position ]],0))="n/a","n/a",DS75-INDEX(tab_MinKomp[Obsługa multimetru do pomiarów środowiskowych (temperatura, wilgotność, hałas, oświetlenie, przepływ powietrza) / Betrieb eines Multimeters für Umweltmessungen (Temperatur, Luftfeuchtigkeit, Lärm, Beleuchtung, Luftstrom)],MATCH($B75,tab_MinKomp[[Stanowisko / Position ]:[Stanowisko / Position ]],0)))</f>
        <v>n/a</v>
      </c>
      <c r="DT76" s="387" t="str">
        <f>IF(INDEX(tab_MinKomp[Kontrola warunków środowiskowych pracy (temperatura, wilgotność, hałas, oświetlenie, przepływ powietrza) / Kontrolle der Arbeitsumgebungsbedingungen (Temperatur, Luftfeuchtigkeit, Lärm, Beleuchtung, Luftstrom)],MATCH($B75,tab_MinKomp[[Stanowisko / Position ]:[Stanowisko / Position ]],0))="n/a","n/a",DT75-INDEX(tab_MinKomp[Kontrola warunków środowiskowych pracy (temperatura, wilgotność, hałas, oświetlenie, przepływ powietrza) / Kontrolle der Arbeitsumgebungsbedingungen (Temperatur, Luftfeuchtigkeit, Lärm, Beleuchtung, Luftstrom)],MATCH($B75,tab_MinKomp[[Stanowisko / Position ]:[Stanowisko / Position ]],0)))</f>
        <v>n/a</v>
      </c>
      <c r="DU76" s="387" t="str">
        <f>IF(INDEX(tab_MinKomp[MSA i SPC],MATCH($B75,tab_MinKomp[[Stanowisko / Position ]:[Stanowisko / Position ]],0))="n/a","n/a",DU75-INDEX(tab_MinKomp[MSA i SPC],MATCH($B75,tab_MinKomp[[Stanowisko / Position ]:[Stanowisko / Position ]],0)))</f>
        <v>n/a</v>
      </c>
      <c r="DV76" s="387" t="str">
        <f>IF(INDEX(tab_MinKomp[Kontrola wejściowa komponentów/ Eingangskontrolle],MATCH($B75,tab_MinKomp[[Stanowisko / Position ]:[Stanowisko / Position ]],0))="n/a","n/a",DV75-INDEX(tab_MinKomp[Kontrola wejściowa komponentów/ Eingangskontrolle],MATCH($B75,tab_MinKomp[[Stanowisko / Position ]:[Stanowisko / Position ]],0)))</f>
        <v>n/a</v>
      </c>
      <c r="DW76" s="387" t="str">
        <f>IF(INDEX(tab_MinKomp[Kontrola wyjściowa produktu / Ausgangskontrolle],MATCH($B75,tab_MinKomp[[Stanowisko / Position ]:[Stanowisko / Position ]],0))="n/a","n/a",DW75-INDEX(tab_MinKomp[Kontrola wyjściowa produktu / Ausgangskontrolle],MATCH($B75,tab_MinKomp[[Stanowisko / Position ]:[Stanowisko / Position ]],0)))</f>
        <v>n/a</v>
      </c>
      <c r="DX76" s="387" t="str">
        <f>IF(INDEX(tab_MinKomp[Kontrola codzienna produkcji / Tägliche Produktionskontrolle],MATCH($B75,tab_MinKomp[[Stanowisko / Position ]:[Stanowisko / Position ]],0))="n/a","n/a",DX75-INDEX(tab_MinKomp[Kontrola codzienna produkcji / Tägliche Produktionskontrolle],MATCH($B75,tab_MinKomp[[Stanowisko / Position ]:[Stanowisko / Position ]],0)))</f>
        <v>n/a</v>
      </c>
      <c r="DY76" s="387">
        <f>IF(INDEX(tab_MinKomp[Konserwacja Rep],MATCH($B75,tab_MinKomp[[Stanowisko / Position ]:[Stanowisko / Position ]],0))="n/a","n/a",DY75-INDEX(tab_MinKomp[Konserwacja Rep],MATCH($B75,tab_MinKomp[[Stanowisko / Position ]:[Stanowisko / Position ]],0)))</f>
        <v>-2</v>
      </c>
      <c r="DZ76" s="387">
        <f>IF(INDEX(tab_MinKomp[[Konserwacja Engel ]],MATCH($B75,tab_MinKomp[[Stanowisko / Position ]:[Stanowisko / Position ]],0))="n/a","n/a",DZ75-INDEX(tab_MinKomp[[Konserwacja Engel ]],MATCH($B75,tab_MinKomp[[Stanowisko / Position ]:[Stanowisko / Position ]],0)))</f>
        <v>-2</v>
      </c>
      <c r="EA76" s="387">
        <f>IF(INDEX(tab_MinKomp[Konserwacja B 50],MATCH($B75,tab_MinKomp[[Stanowisko / Position ]:[Stanowisko / Position ]],0))="n/a","n/a",EA75-INDEX(tab_MinKomp[Konserwacja B 50],MATCH($B75,tab_MinKomp[[Stanowisko / Position ]:[Stanowisko / Position ]],0)))</f>
        <v>-2</v>
      </c>
      <c r="EB76" s="387">
        <f>IF(INDEX(tab_MinKomp[[Konserwacja EOL ]],MATCH($B75,tab_MinKomp[[Stanowisko / Position ]:[Stanowisko / Position ]],0))="n/a","n/a",EB75-INDEX(tab_MinKomp[[Konserwacja EOL ]],MATCH($B75,tab_MinKomp[[Stanowisko / Position ]:[Stanowisko / Position ]],0)))</f>
        <v>-2</v>
      </c>
      <c r="EC76" s="387">
        <f>IF(INDEX(tab_MinKomp[Konserwacja Branson],MATCH($B75,tab_MinKomp[[Stanowisko / Position ]:[Stanowisko / Position ]],0))="n/a","n/a",EC75-INDEX(tab_MinKomp[Konserwacja Branson],MATCH($B75,tab_MinKomp[[Stanowisko / Position ]:[Stanowisko / Position ]],0)))</f>
        <v>-2</v>
      </c>
      <c r="ED76" s="387">
        <f>IF(INDEX(tab_MinKomp[Konserwacja coolery],MATCH($B75,tab_MinKomp[[Stanowisko / Position ]:[Stanowisko / Position ]],0))="n/a","n/a",ED75-INDEX(tab_MinKomp[Konserwacja coolery],MATCH($B75,tab_MinKomp[[Stanowisko / Position ]:[Stanowisko / Position ]],0)))</f>
        <v>-2</v>
      </c>
      <c r="EE76" s="387">
        <f>IF(INDEX(tab_MinKomp[Konserwacja piecy],MATCH($B75,tab_MinKomp[[Stanowisko / Position ]:[Stanowisko / Position ]],0))="n/a","n/a",EE75-INDEX(tab_MinKomp[Konserwacja piecy],MATCH($B75,tab_MinKomp[[Stanowisko / Position ]:[Stanowisko / Position ]],0)))</f>
        <v>-2</v>
      </c>
      <c r="EF76" s="387">
        <f>IF(INDEX(tab_MinKomp[Rysunek techniczny- czytanie],MATCH($B75,tab_MinKomp[[Stanowisko / Position ]:[Stanowisko / Position ]],0))="n/a","n/a",EF75-INDEX(tab_MinKomp[Rysunek techniczny- czytanie],MATCH($B75,tab_MinKomp[[Stanowisko / Position ]:[Stanowisko / Position ]],0)))</f>
        <v>-2</v>
      </c>
      <c r="EG76" s="387">
        <f>IF(INDEX(tab_MinKomp[Elektryka],MATCH($B75,tab_MinKomp[[Stanowisko / Position ]:[Stanowisko / Position ]],0))="n/a","n/a",EG75-INDEX(tab_MinKomp[Elektryka],MATCH($B75,tab_MinKomp[[Stanowisko / Position ]:[Stanowisko / Position ]],0)))</f>
        <v>-2</v>
      </c>
      <c r="EH76" s="387">
        <f>IF(INDEX(tab_MinKomp[Pneumatyka],MATCH($B75,tab_MinKomp[[Stanowisko / Position ]:[Stanowisko / Position ]],0))="n/a","n/a",EH75-INDEX(tab_MinKomp[Pneumatyka],MATCH($B75,tab_MinKomp[[Stanowisko / Position ]:[Stanowisko / Position ]],0)))</f>
        <v>-2</v>
      </c>
      <c r="EI76" s="387">
        <f>IF(INDEX(tab_MinKomp[[Hydraulika ]],MATCH($B75,tab_MinKomp[[Stanowisko / Position ]:[Stanowisko / Position ]],0))="n/a","n/a",EI75-INDEX(tab_MinKomp[[Hydraulika ]],MATCH($B75,tab_MinKomp[[Stanowisko / Position ]:[Stanowisko / Position ]],0)))</f>
        <v>-2</v>
      </c>
      <c r="EJ76" s="387">
        <f>IF(INDEX(tab_MinKomp[Podciśnienie],MATCH($B75,tab_MinKomp[[Stanowisko / Position ]:[Stanowisko / Position ]],0))="n/a","n/a",EJ75-INDEX(tab_MinKomp[Podciśnienie],MATCH($B75,tab_MinKomp[[Stanowisko / Position ]:[Stanowisko / Position ]],0)))</f>
        <v>-2</v>
      </c>
      <c r="EK76" s="387">
        <f>IF(INDEX(tab_MinKomp[Usuwanie awarii],MATCH($B75,tab_MinKomp[[Stanowisko / Position ]:[Stanowisko / Position ]],0))="n/a","n/a",EK75-INDEX(tab_MinKomp[Usuwanie awarii],MATCH($B75,tab_MinKomp[[Stanowisko / Position ]:[Stanowisko / Position ]],0)))</f>
        <v>-2</v>
      </c>
      <c r="EL76" s="387">
        <f>IF(INDEX(tab_MinKomp[Obsługa robotów],MATCH($B75,tab_MinKomp[[Stanowisko / Position ]:[Stanowisko / Position ]],0))="n/a","n/a",EL75-INDEX(tab_MinKomp[Obsługa robotów],MATCH($B75,tab_MinKomp[[Stanowisko / Position ]:[Stanowisko / Position ]],0)))</f>
        <v>-2</v>
      </c>
      <c r="EM76" s="387">
        <f>IF(INDEX(tab_MinKomp[Obsługa sterowania maszyny],MATCH($B75,tab_MinKomp[[Stanowisko / Position ]:[Stanowisko / Position ]],0))="n/a","n/a",EM75-INDEX(tab_MinKomp[Obsługa sterowania maszyny],MATCH($B75,tab_MinKomp[[Stanowisko / Position ]:[Stanowisko / Position ]],0)))</f>
        <v>-2</v>
      </c>
      <c r="EN76" s="387">
        <f>IF(INDEX(tab_MinKomp[Usuwanie przyczyn żródłowych],MATCH($B75,tab_MinKomp[[Stanowisko / Position ]:[Stanowisko / Position ]],0))="n/a","n/a",EN75-INDEX(tab_MinKomp[Usuwanie przyczyn żródłowych],MATCH($B75,tab_MinKomp[[Stanowisko / Position ]:[Stanowisko / Position ]],0)))</f>
        <v>-3</v>
      </c>
      <c r="EO76" s="387">
        <f>IF(INDEX(tab_MinKomp[Cmms stosowanie],MATCH($B75,tab_MinKomp[[Stanowisko / Position ]:[Stanowisko / Position ]],0))="n/a","n/a",EO75-INDEX(tab_MinKomp[Cmms stosowanie],MATCH($B75,tab_MinKomp[[Stanowisko / Position ]:[Stanowisko / Position ]],0)))</f>
        <v>-2</v>
      </c>
      <c r="EP76" s="387" t="str">
        <f>IF(INDEX(tab_MinKomp[[Czyszczenie form gumowych ]],MATCH($B75,tab_MinKomp[[Stanowisko / Position ]:[Stanowisko / Position ]],0))="n/a","n/a",EP75-INDEX(tab_MinKomp[[Czyszczenie form gumowych ]],MATCH($B75,tab_MinKomp[[Stanowisko / Position ]:[Stanowisko / Position ]],0)))</f>
        <v>n/a</v>
      </c>
      <c r="EQ76" s="387" t="str">
        <f>IF(INDEX(tab_MinKomp[Czyszczenie form plastikowych],MATCH($B75,tab_MinKomp[[Stanowisko / Position ]:[Stanowisko / Position ]],0))="n/a","n/a",EQ75-INDEX(tab_MinKomp[Czyszczenie form plastikowych],MATCH($B75,tab_MinKomp[[Stanowisko / Position ]:[Stanowisko / Position ]],0)))</f>
        <v>n/a</v>
      </c>
      <c r="ER76" s="387" t="str">
        <f>IF(INDEX(tab_MinKomp[Wymiana form plastik],MATCH($B75,tab_MinKomp[[Stanowisko / Position ]:[Stanowisko / Position ]],0))="n/a","n/a",ER75-INDEX(tab_MinKomp[Wymiana form plastik],MATCH($B75,tab_MinKomp[[Stanowisko / Position ]:[Stanowisko / Position ]],0)))</f>
        <v>n/a</v>
      </c>
      <c r="ES76" s="387" t="str">
        <f>IF(INDEX(tab_MinKomp[Wymiana form guma],MATCH($B75,tab_MinKomp[[Stanowisko / Position ]:[Stanowisko / Position ]],0))="n/a","n/a",ES75-INDEX(tab_MinKomp[Wymiana form guma],MATCH($B75,tab_MinKomp[[Stanowisko / Position ]:[Stanowisko / Position ]],0)))</f>
        <v>n/a</v>
      </c>
      <c r="ET76" s="387" t="str">
        <f>IF(INDEX(tab_MinKomp[Konserwacja KK],MATCH($B75,tab_MinKomp[[Stanowisko / Position ]:[Stanowisko / Position ]],0))="n/a","n/a",ET75-INDEX(tab_MinKomp[Konserwacja KK],MATCH($B75,tab_MinKomp[[Stanowisko / Position ]:[Stanowisko / Position ]],0)))</f>
        <v>n/a</v>
      </c>
      <c r="EU76" s="387" t="str">
        <f>IF(INDEX(tab_MinKomp[Konserwacja form guma],MATCH($B75,tab_MinKomp[[Stanowisko / Position ]:[Stanowisko / Position ]],0))="n/a","n/a",EU75-INDEX(tab_MinKomp[Konserwacja form guma],MATCH($B75,tab_MinKomp[[Stanowisko / Position ]:[Stanowisko / Position ]],0)))</f>
        <v>n/a</v>
      </c>
      <c r="EV76" s="387" t="str">
        <f>IF(INDEX(tab_MinKomp[Konserwacja form plastiki],MATCH($B75,tab_MinKomp[[Stanowisko / Position ]:[Stanowisko / Position ]],0))="n/a","n/a",EV75-INDEX(tab_MinKomp[Konserwacja form plastiki],MATCH($B75,tab_MinKomp[[Stanowisko / Position ]:[Stanowisko / Position ]],0)))</f>
        <v>n/a</v>
      </c>
      <c r="EW76" s="330" t="str">
        <f>IF(INDEX(tab_MinKomp[Konserwacja form plastiki],MATCH($B75,tab_MinKomp[[Stanowisko / Position ]:[Stanowisko / Position ]],0))="n/a","n/a",EW75-INDEX(tab_MinKomp[Konserwacja form plastiki],MATCH($B75,tab_MinKomp[[Stanowisko / Position ]:[Stanowisko / Position ]],0)))</f>
        <v>n/a</v>
      </c>
      <c r="EX76" s="387" t="str">
        <f>IF(INDEX(tab_MinKomp[Konserwacja Gorącego Kanału],MATCH($B75,tab_MinKomp[[Stanowisko / Position ]:[Stanowisko / Position ]],0))="n/a","n/a",EX75-INDEX(tab_MinKomp[Konserwacja Gorącego Kanału],MATCH($B75,tab_MinKomp[[Stanowisko / Position ]:[Stanowisko / Position ]],0)))</f>
        <v>n/a</v>
      </c>
      <c r="EY76" s="387">
        <f>IF(INDEX(tab_MinKomp[MS Office (Excel)],MATCH($B75,tab_MinKomp[[Stanowisko / Position ]:[Stanowisko / Position ]],0))="n/a","n/a",EY75-INDEX(tab_MinKomp[MS Office (Excel)],MATCH($B75,tab_MinKomp[[Stanowisko / Position ]:[Stanowisko / Position ]],0)))</f>
        <v>-1</v>
      </c>
      <c r="EZ76" s="387">
        <f>IF(INDEX(tab_MinKomp[MS Office (Word)],MATCH($B75,tab_MinKomp[[Stanowisko / Position ]:[Stanowisko / Position ]],0))="n/a","n/a",EZ75-INDEX(tab_MinKomp[MS Office (Word)],MATCH($B75,tab_MinKomp[[Stanowisko / Position ]:[Stanowisko / Position ]],0)))</f>
        <v>-1</v>
      </c>
      <c r="FA76" s="387">
        <f>IF(INDEX(tab_MinKomp[MS Office (Power Point)],MATCH($B75,tab_MinKomp[[Stanowisko / Position ]:[Stanowisko / Position ]],0))="n/a","n/a",FA75-INDEX(tab_MinKomp[MS Office (Power Point)],MATCH($B75,tab_MinKomp[[Stanowisko / Position ]:[Stanowisko / Position ]],0)))</f>
        <v>-1</v>
      </c>
      <c r="FB76" s="387" t="str">
        <f>IF(INDEX(tab_MinKomp[Język angielski / Englisch],MATCH($B75,tab_MinKomp[[Stanowisko / Position ]:[Stanowisko / Position ]],0))="n/a","n/a",FB75-INDEX(tab_MinKomp[Język angielski / Englisch],MATCH($B75,tab_MinKomp[[Stanowisko / Position ]:[Stanowisko / Position ]],0)))</f>
        <v>n/a</v>
      </c>
      <c r="FC76" s="387" t="str">
        <f>IF(INDEX(tab_MinKomp[Język niemiecki / Deutsch],MATCH($B75,tab_MinKomp[[Stanowisko / Position ]:[Stanowisko / Position ]],0))="n/a","n/a",FC75-INDEX(tab_MinKomp[Język niemiecki / Deutsch],MATCH($B75,tab_MinKomp[[Stanowisko / Position ]:[Stanowisko / Position ]],0)))</f>
        <v>n/a</v>
      </c>
      <c r="FD76" s="387">
        <f>IF(INDEX(tab_MinKomp[Zarządzanie dokumentacją procesową / Process dokumentation management],MATCH($B75,tab_MinKomp[[Stanowisko / Position ]:[Stanowisko / Position ]],0))="n/a","n/a",FD75-INDEX(tab_MinKomp[Zarządzanie dokumentacją procesową / Process dokumentation management],MATCH($B75,tab_MinKomp[[Stanowisko / Position ]:[Stanowisko / Position ]],0)))</f>
        <v>-1</v>
      </c>
      <c r="FE76" s="387">
        <f>IF(INDEX(tab_MinKomp[Znajomość procesów z obszaru / Kenntiss der prozesse in dem Bereich],MATCH($B75,tab_MinKomp[[Stanowisko / Position ]:[Stanowisko / Position ]],0))="n/a","n/a",FE75-INDEX(tab_MinKomp[Znajomość procesów z obszaru / Kenntiss der prozesse in dem Bereich],MATCH($B75,tab_MinKomp[[Stanowisko / Position ]:[Stanowisko / Position ]],0)))</f>
        <v>-2</v>
      </c>
      <c r="FF76" s="387">
        <f>IF(INDEX(tab_MinKomp[optymalizacja procesów / Prozessoptymalisierung],MATCH($B75,tab_MinKomp[[Stanowisko / Position ]:[Stanowisko / Position ]],0))="n/a","n/a",FF75-INDEX(tab_MinKomp[optymalizacja procesów / Prozessoptymalisierung],MATCH($B75,tab_MinKomp[[Stanowisko / Position ]:[Stanowisko / Position ]],0)))</f>
        <v>-2</v>
      </c>
      <c r="FG76" s="387">
        <f>IF(INDEX(tab_MinKomp[Umiejętności szkoleniowe / Trainingsfähigkeiten],MATCH($B75,tab_MinKomp[[Stanowisko / Position ]:[Stanowisko / Position ]],0))="n/a","n/a",FG75-INDEX(tab_MinKomp[Umiejętności szkoleniowe / Trainingsfähigkeiten],MATCH($B75,tab_MinKomp[[Stanowisko / Position ]:[Stanowisko / Position ]],0)))</f>
        <v>-1</v>
      </c>
      <c r="FH76" s="387">
        <f>IF(INDEX(tab_MinKomp[Analityczne myślenie, podejście / Analitysches Denken, Einstellung],MATCH($B75,tab_MinKomp[[Stanowisko / Position ]:[Stanowisko / Position ]],0))="n/a","n/a",FH75-INDEX(tab_MinKomp[Analityczne myślenie, podejście / Analitysches Denken, Einstellung],MATCH($B75,tab_MinKomp[[Stanowisko / Position ]:[Stanowisko / Position ]],0)))</f>
        <v>-2</v>
      </c>
      <c r="FI76" s="387">
        <f>IF(INDEX(tab_MinKomp[Dokładność, precyzja w dzialaniu / Genauigkeit, Präzision in die Arbeit],MATCH($B75,tab_MinKomp[[Stanowisko / Position ]:[Stanowisko / Position ]],0))="n/a","n/a",FI75-INDEX(tab_MinKomp[Dokładność, precyzja w dzialaniu / Genauigkeit, Präzision in die Arbeit],MATCH($B75,tab_MinKomp[[Stanowisko / Position ]:[Stanowisko / Position ]],0)))</f>
        <v>-2</v>
      </c>
      <c r="FJ76" s="387">
        <f>IF(INDEX(tab_MinKomp[Dyspozycyjność / Verfügbarkeit],MATCH($B75,tab_MinKomp[[Stanowisko / Position ]:[Stanowisko / Position ]],0))="n/a","n/a",FJ75-INDEX(tab_MinKomp[Dyspozycyjność / Verfügbarkeit],MATCH($B75,tab_MinKomp[[Stanowisko / Position ]:[Stanowisko / Position ]],0)))</f>
        <v>-2</v>
      </c>
      <c r="FK76" s="387">
        <f>IF(INDEX(tab_MinKomp[Zaangażowanie / 
Engagement],MATCH($B75,tab_MinKomp[[Stanowisko / Position ]:[Stanowisko / Position ]],0))="n/a","n/a",FK75-INDEX(tab_MinKomp[Zaangażowanie / 
Engagement],MATCH($B75,tab_MinKomp[[Stanowisko / Position ]:[Stanowisko / Position ]],0)))</f>
        <v>-2</v>
      </c>
      <c r="FL76" s="387" t="str">
        <f>IF(INDEX(tab_MinKomp[Planowanie strategiczne / Strategische Planung],MATCH($B75,tab_MinKomp[[Stanowisko / Position ]:[Stanowisko / Position ]],0))="n/a","n/a",FL75-INDEX(tab_MinKomp[Planowanie strategiczne / Strategische Planung],MATCH($B75,tab_MinKomp[[Stanowisko / Position ]:[Stanowisko / Position ]],0)))</f>
        <v>n/a</v>
      </c>
      <c r="FM76" s="387">
        <f>IF(INDEX(tab_MinKomp[Konsekwentne i dynamiczne działanie],MATCH($B75,tab_MinKomp[[Stanowisko / Position ]:[Stanowisko / Position ]],0))="n/a","n/a",FM75-INDEX(tab_MinKomp[Konsekwentne i dynamiczne działanie],MATCH($B75,tab_MinKomp[[Stanowisko / Position ]:[Stanowisko / Position ]],0)))</f>
        <v>-2</v>
      </c>
      <c r="FN76" s="387">
        <f>IF(INDEX(tab_MinKomp[Elastyczność w działaniu],MATCH($B75,tab_MinKomp[[Stanowisko / Position ]:[Stanowisko / Position ]],0))="n/a","n/a",FN75-INDEX(tab_MinKomp[Elastyczność w działaniu],MATCH($B75,tab_MinKomp[[Stanowisko / Position ]:[Stanowisko / Position ]],0)))</f>
        <v>-2</v>
      </c>
      <c r="FO76" s="387">
        <f>IF(INDEX(tab_MinKomp[Komunikatywność],MATCH($B75,tab_MinKomp[[Stanowisko / Position ]:[Stanowisko / Position ]],0))="n/a","n/a",FO75-INDEX(tab_MinKomp[Komunikatywność],MATCH($B75,tab_MinKomp[[Stanowisko / Position ]:[Stanowisko / Position ]],0)))</f>
        <v>-2</v>
      </c>
      <c r="FP76" s="387" t="str">
        <f>IF(INDEX(tab_MinKomp[Motywowanie i budowanie zaangażowania zespołu],MATCH($B75,tab_MinKomp[[Stanowisko / Position ]:[Stanowisko / Position ]],0))="n/a","n/a",FP75-INDEX(tab_MinKomp[Motywowanie i budowanie zaangażowania zespołu],MATCH($B75,tab_MinKomp[[Stanowisko / Position ]:[Stanowisko / Position ]],0)))</f>
        <v>n/a</v>
      </c>
      <c r="FQ76" s="388" t="str">
        <f>IFERROR(IF(INDEX(tab_MinKomp[BRAK / Keine],MATCH($B75,tab_MinKomp[[Stanowisko / Position ]:[Stanowisko / Position ]],0))="n/a","n/a",INDEX(tab_MinKomp[BRAK / Keine],MATCH($B75,tab_MinKomp[[Stanowisko / Position ]:[Stanowisko / Position ]],0))-FQ75),"")</f>
        <v>n/a</v>
      </c>
      <c r="FR76" s="349" t="str">
        <f>IF(INDEX(tab_MinKomp[MINIMUM 1 ROK / min. 1 Jahr],MATCH($B75,tab_MinKomp[[Stanowisko / Position ]:[Stanowisko / Position ]],0))="n/a","n/a",INDEX(tab_MinKomp[MINIMUM 1 ROK / min. 1 Jahr],MATCH($B75,tab_MinKomp[[Stanowisko / Position ]:[Stanowisko / Position ]],0)))</f>
        <v>n/a</v>
      </c>
      <c r="FS76" s="349" t="str">
        <f>IF(INDEX(tab_MinKomp[MINIMUM 2 LATA / min. 2 Jahre],MATCH($B75,tab_MinKomp[[Stanowisko / Position ]:[Stanowisko / Position ]],0))="n/a","n/a",INDEX(tab_MinKomp[MINIMUM 2 LATA / min. 2 Jahre],MATCH($B75,tab_MinKomp[[Stanowisko / Position ]:[Stanowisko / Position ]],0)))</f>
        <v>n/a</v>
      </c>
      <c r="FT76" s="349" t="str">
        <f>IF(INDEX(tab_MinKomp[MINIMUM 3 LATA / min. 3 Jahre],MATCH($B75,tab_MinKomp[[Stanowisko / Position ]:[Stanowisko / Position ]],0))="n/a","n/a",INDEX(tab_MinKomp[MINIMUM 3 LATA / min. 3 Jahre],MATCH($B75,tab_MinKomp[[Stanowisko / Position ]:[Stanowisko / Position ]],0)))</f>
        <v>n/a</v>
      </c>
      <c r="FU76" s="349" t="str">
        <f>IF(INDEX(tab_MinKomp[MINIMUM 4 LATA / min. 4 Jahre],MATCH($B75,tab_MinKomp[[Stanowisko / Position ]:[Stanowisko / Position ]],0))="n/a","n/a",INDEX(tab_MinKomp[MINIMUM 4 LATA / min. 4 Jahre],MATCH($B75,tab_MinKomp[[Stanowisko / Position ]:[Stanowisko / Position ]],0)))</f>
        <v>n/a</v>
      </c>
      <c r="FV76" s="389" t="str">
        <f>IF(INDEX(tab_MinKomp[MINIMUM 5 LAT / min. 5 Jahre],MATCH($B75,tab_MinKomp[[Stanowisko / Position ]:[Stanowisko / Position ]],0))="n/a","n/a",INDEX(tab_MinKomp[MINIMUM 5 LAT / min. 5 Jahre],MATCH($B75,tab_MinKomp[[Stanowisko / Position ]:[Stanowisko / Position ]],0)))</f>
        <v>n/a</v>
      </c>
      <c r="FW76" s="388" t="str">
        <f>IF(INDEX(tab_MinKomp[BRAK / Keine9],MATCH($B75,tab_MinKomp[[Stanowisko / Position ]:[Stanowisko / Position ]],0))="n/a","n/a",INDEX(tab_MinKomp[BRAK / Keine9],MATCH($B75,tab_MinKomp[[Stanowisko / Position ]:[Stanowisko / Position ]],0)))</f>
        <v>n/a</v>
      </c>
      <c r="FX76" s="349" t="str">
        <f>IF(INDEX(tab_MinKomp[ZAWODOWE / Berufsausbildung],MATCH($B75,tab_MinKomp[[Stanowisko / Position ]:[Stanowisko / Position ]],0))="n/a","n/a",INDEX(tab_MinKomp[ZAWODOWE / Berufsausbildung],MATCH($B75,tab_MinKomp[[Stanowisko / Position ]:[Stanowisko / Position ]],0)))</f>
        <v>n/a</v>
      </c>
      <c r="FY76" s="349" t="str">
        <f>IF(INDEX(tab_MinKomp[ŚREDNIE OGÓLNE / Abitur allgemeine],MATCH($B75,tab_MinKomp[[Stanowisko / Position ]:[Stanowisko / Position ]],0))="n/a","n/a",INDEX(tab_MinKomp[ŚREDNIE OGÓLNE / Abitur allgemeine],MATCH($B75,tab_MinKomp[[Stanowisko / Position ]:[Stanowisko / Position ]],0)))</f>
        <v>n/a</v>
      </c>
      <c r="FZ76" s="349" t="str">
        <f>IF(INDEX(tab_MinKomp[ŚREDNIE KIERUNKOWE / berufliches Gymnasium],MATCH($B75,tab_MinKomp[[Stanowisko / Position ]:[Stanowisko / Position ]],0))="n/a","n/a",INDEX(tab_MinKomp[ŚREDNIE KIERUNKOWE / berufliches Gymnasium],MATCH($B75,tab_MinKomp[[Stanowisko / Position ]:[Stanowisko / Position ]],0)))</f>
        <v>n/a</v>
      </c>
      <c r="GA76" s="349" t="str">
        <f>IF(INDEX(tab_MinKomp[WYŻSZE OGÓLNE / Hochschule allgemeine],MATCH($B75,tab_MinKomp[[Stanowisko / Position ]:[Stanowisko / Position ]],0))="n/a","n/a",INDEX(tab_MinKomp[WYŻSZE OGÓLNE / Hochschule allgemeine],MATCH($B75,tab_MinKomp[[Stanowisko / Position ]:[Stanowisko / Position ]],0)))</f>
        <v>n/a</v>
      </c>
      <c r="GB76" s="389" t="str">
        <f>IF(INDEX(tab_MinKomp[WYŻSZE KIERUNKOWE / Hochschule berufliche],MATCH($B75,tab_MinKomp[[Stanowisko / Position ]:[Stanowisko / Position ]],0))="n/a","n/a",INDEX(tab_MinKomp[WYŻSZE KIERUNKOWE / Hochschule berufliche],MATCH($B75,tab_MinKomp[[Stanowisko / Position ]:[Stanowisko / Position ]],0)))</f>
        <v>n/a</v>
      </c>
      <c r="GC76" s="388" t="str">
        <f>IF(INDEX(tab_MinKomp[PIERWSZA POMOC / Erste Hilfe],MATCH($B75,tab_MinKomp[[Stanowisko / Position ]:[Stanowisko / Position ]],0))="n/a","n/a",INDEX(tab_MinKomp[PIERWSZA POMOC / Erste Hilfe],MATCH($B75,tab_MinKomp[[Stanowisko / Position ]:[Stanowisko / Position ]],0)))</f>
        <v>n/a</v>
      </c>
      <c r="GD76" s="349" t="str">
        <f>IF(INDEX(tab_MinKomp[Specjalista BHP / BHP Spezialist],MATCH($B75,tab_MinKomp[[Stanowisko / Position ]:[Stanowisko / Position ]],0))="n/a","n/a",INDEX(tab_MinKomp[Specjalista BHP / BHP Spezialist],MATCH($B75,tab_MinKomp[[Stanowisko / Position ]:[Stanowisko / Position ]],0)))</f>
        <v>n/a</v>
      </c>
      <c r="GE76" s="349" t="str">
        <f>IF(INDEX(tab_MinKomp[Inspektor ochrony PPOŻ / Brandschutzinspektor],MATCH($B75,tab_MinKomp[[Stanowisko / Position ]:[Stanowisko / Position ]],0))="n/a","n/a",INDEX(tab_MinKomp[Inspektor ochrony PPOŻ / Brandschutzinspektor],MATCH($B75,tab_MinKomp[[Stanowisko / Position ]:[Stanowisko / Position ]],0)))</f>
        <v>n/a</v>
      </c>
      <c r="GF76" s="349" t="str">
        <f>IF(INDEX(tab_MinKomp[WÓZKI JEZDNIOWE / Gebelstapler],MATCH($B75,tab_MinKomp[[Stanowisko / Position ]:[Stanowisko / Position ]],0))="n/a","n/a",INDEX(tab_MinKomp[WÓZKI JEZDNIOWE / Gebelstapler],MATCH($B75,tab_MinKomp[[Stanowisko / Position ]:[Stanowisko / Position ]],0)))</f>
        <v>x</v>
      </c>
      <c r="GG76" s="349" t="str">
        <f>IF(INDEX(tab_MinKomp[SEP],MATCH($B75,tab_MinKomp[[Stanowisko / Position ]:[Stanowisko / Position ]],0))="n/a","n/a",INDEX(tab_MinKomp[SEP],MATCH($B75,tab_MinKomp[[Stanowisko / Position ]:[Stanowisko / Position ]],0)))</f>
        <v>x</v>
      </c>
      <c r="GH76" s="349" t="str">
        <f>IF(INDEX(tab_MinKomp[SEP  DOZÓR / SEP Aufsicht],MATCH($B75,tab_MinKomp[[Stanowisko / Position ]:[Stanowisko / Position ]],0))="n/a","n/a",INDEX(tab_MinKomp[SEP  DOZÓR / SEP Aufsicht],MATCH($B75,tab_MinKomp[[Stanowisko / Position ]:[Stanowisko / Position ]],0)))</f>
        <v>n/a</v>
      </c>
      <c r="GI76" s="349" t="str">
        <f>IF(INDEX(tab_MinKomp[PODNOŚNIKI / Hebevorrichtung],MATCH($B75,tab_MinKomp[[Stanowisko / Position ]:[Stanowisko / Position ]],0))="n/a","n/a",INDEX(tab_MinKomp[PODNOŚNIKI / Hebevorrichtung],MATCH($B75,tab_MinKomp[[Stanowisko / Position ]:[Stanowisko / Position ]],0)))</f>
        <v>x</v>
      </c>
      <c r="GJ76" s="349" t="str">
        <f>IF(INDEX(tab_MinKomp[SUWNICE / Laufkran],MATCH($B75,tab_MinKomp[[Stanowisko / Position ]:[Stanowisko / Position ]],0))="n/a","n/a",INDEX(tab_MinKomp[SUWNICE / Laufkran],MATCH($B75,tab_MinKomp[[Stanowisko / Position ]:[Stanowisko / Position ]],0)))</f>
        <v>n/a</v>
      </c>
      <c r="GK76" s="389" t="str">
        <f>IF(INDEX(tab_MinKomp[WYSOKOŚCIOWE / Höhenberechtigungen],MATCH($B75,tab_MinKomp[[Stanowisko / Position ]:[Stanowisko / Position ]],0))="n/a","n/a",INDEX(tab_MinKomp[WYSOKOŚCIOWE / Höhenberechtigungen],MATCH($B75,tab_MinKomp[[Stanowisko / Position ]:[Stanowisko / Position ]],0)))</f>
        <v>x</v>
      </c>
      <c r="GL76" s="320">
        <f>SUM(G76:FP76)/(GL75-(SUM(G76:FP76)))</f>
        <v>-1</v>
      </c>
      <c r="GM76" s="132"/>
    </row>
    <row r="77" spans="1:195" s="197" customFormat="1" ht="28.35" customHeight="1" x14ac:dyDescent="0.25">
      <c r="A77" s="135" t="s">
        <v>181</v>
      </c>
      <c r="B77" s="135" t="s">
        <v>252</v>
      </c>
      <c r="C77" s="135" t="s">
        <v>613</v>
      </c>
      <c r="D77" s="138">
        <v>2118</v>
      </c>
      <c r="E77" s="563" t="s">
        <v>754</v>
      </c>
      <c r="F77" s="452" t="s">
        <v>165</v>
      </c>
      <c r="G77" s="323">
        <v>1</v>
      </c>
      <c r="H77" s="323">
        <v>1</v>
      </c>
      <c r="I77" s="323">
        <v>1</v>
      </c>
      <c r="J77" s="323"/>
      <c r="K77" s="323"/>
      <c r="L77" s="323"/>
      <c r="M77" s="323" t="s">
        <v>176</v>
      </c>
      <c r="N77" s="323" t="s">
        <v>176</v>
      </c>
      <c r="O77" s="323"/>
      <c r="P77" s="323"/>
      <c r="Q77" s="323" t="s">
        <v>176</v>
      </c>
      <c r="R77" s="323" t="s">
        <v>176</v>
      </c>
      <c r="S77" s="323" t="s">
        <v>176</v>
      </c>
      <c r="T77" s="323" t="s">
        <v>176</v>
      </c>
      <c r="U77" s="323" t="s">
        <v>176</v>
      </c>
      <c r="V77" s="323" t="s">
        <v>176</v>
      </c>
      <c r="W77" s="323" t="s">
        <v>176</v>
      </c>
      <c r="X77" s="323" t="s">
        <v>176</v>
      </c>
      <c r="Y77" s="323" t="s">
        <v>176</v>
      </c>
      <c r="Z77" s="323" t="s">
        <v>176</v>
      </c>
      <c r="AA77" s="323" t="s">
        <v>176</v>
      </c>
      <c r="AB77" s="323" t="s">
        <v>176</v>
      </c>
      <c r="AC77" s="323" t="s">
        <v>176</v>
      </c>
      <c r="AD77" s="323" t="s">
        <v>176</v>
      </c>
      <c r="AE77" s="323" t="s">
        <v>176</v>
      </c>
      <c r="AF77" s="323" t="s">
        <v>176</v>
      </c>
      <c r="AG77" s="323" t="s">
        <v>176</v>
      </c>
      <c r="AH77" s="323" t="s">
        <v>176</v>
      </c>
      <c r="AI77" s="323" t="s">
        <v>176</v>
      </c>
      <c r="AJ77" s="323" t="s">
        <v>176</v>
      </c>
      <c r="AK77" s="323" t="s">
        <v>176</v>
      </c>
      <c r="AL77" s="323"/>
      <c r="AM77" s="323" t="s">
        <v>176</v>
      </c>
      <c r="AN77" s="323" t="s">
        <v>176</v>
      </c>
      <c r="AO77" s="323" t="s">
        <v>176</v>
      </c>
      <c r="AP77" s="323" t="s">
        <v>176</v>
      </c>
      <c r="AQ77" s="323" t="s">
        <v>176</v>
      </c>
      <c r="AR77" s="323" t="s">
        <v>176</v>
      </c>
      <c r="AS77" s="323" t="s">
        <v>176</v>
      </c>
      <c r="AT77" s="323" t="s">
        <v>176</v>
      </c>
      <c r="AU77" s="323" t="s">
        <v>176</v>
      </c>
      <c r="AV77" s="323"/>
      <c r="AW77" s="323"/>
      <c r="AX77" s="323"/>
      <c r="AY77" s="323" t="s">
        <v>176</v>
      </c>
      <c r="AZ77" s="323" t="s">
        <v>176</v>
      </c>
      <c r="BA77" s="323" t="s">
        <v>176</v>
      </c>
      <c r="BB77" s="323" t="s">
        <v>176</v>
      </c>
      <c r="BC77" s="323" t="s">
        <v>176</v>
      </c>
      <c r="BD77" s="323" t="s">
        <v>176</v>
      </c>
      <c r="BE77" s="323" t="s">
        <v>176</v>
      </c>
      <c r="BF77" s="323" t="s">
        <v>176</v>
      </c>
      <c r="BG77" s="323" t="s">
        <v>176</v>
      </c>
      <c r="BH77" s="323" t="s">
        <v>176</v>
      </c>
      <c r="BI77" s="323" t="s">
        <v>176</v>
      </c>
      <c r="BJ77" s="323" t="s">
        <v>176</v>
      </c>
      <c r="BK77" s="323" t="s">
        <v>176</v>
      </c>
      <c r="BL77" s="323" t="s">
        <v>176</v>
      </c>
      <c r="BM77" s="323" t="s">
        <v>176</v>
      </c>
      <c r="BN77" s="323"/>
      <c r="BO77" s="323"/>
      <c r="BP77" s="323"/>
      <c r="BQ77" s="323"/>
      <c r="BR77" s="323"/>
      <c r="BS77" s="323"/>
      <c r="BT77" s="323"/>
      <c r="BU77" s="323"/>
      <c r="BV77" s="323"/>
      <c r="BW77" s="323" t="s">
        <v>176</v>
      </c>
      <c r="BX77" s="323" t="s">
        <v>176</v>
      </c>
      <c r="BY77" s="323" t="s">
        <v>176</v>
      </c>
      <c r="BZ77" s="323" t="s">
        <v>176</v>
      </c>
      <c r="CA77" s="323" t="s">
        <v>176</v>
      </c>
      <c r="CB77" s="323" t="s">
        <v>176</v>
      </c>
      <c r="CC77" s="323" t="s">
        <v>176</v>
      </c>
      <c r="CD77" s="323" t="s">
        <v>176</v>
      </c>
      <c r="CE77" s="323" t="s">
        <v>176</v>
      </c>
      <c r="CF77" s="323" t="s">
        <v>176</v>
      </c>
      <c r="CG77" s="323" t="s">
        <v>176</v>
      </c>
      <c r="CH77" s="323" t="s">
        <v>176</v>
      </c>
      <c r="CI77" s="323"/>
      <c r="CJ77" s="323" t="s">
        <v>176</v>
      </c>
      <c r="CK77" s="323" t="s">
        <v>176</v>
      </c>
      <c r="CL77" s="323"/>
      <c r="CM77" s="323" t="s">
        <v>176</v>
      </c>
      <c r="CN77" s="323"/>
      <c r="CO77" s="323"/>
      <c r="CP77" s="323"/>
      <c r="CQ77" s="323" t="s">
        <v>176</v>
      </c>
      <c r="CR77" s="323" t="s">
        <v>176</v>
      </c>
      <c r="CS77" s="323" t="s">
        <v>176</v>
      </c>
      <c r="CT77" s="323" t="s">
        <v>176</v>
      </c>
      <c r="CU77" s="323"/>
      <c r="CV77" s="323" t="s">
        <v>176</v>
      </c>
      <c r="CW77" s="323" t="s">
        <v>176</v>
      </c>
      <c r="CX77" s="323" t="s">
        <v>176</v>
      </c>
      <c r="CY77" s="323" t="s">
        <v>176</v>
      </c>
      <c r="CZ77" s="323" t="s">
        <v>176</v>
      </c>
      <c r="DA77" s="323" t="s">
        <v>176</v>
      </c>
      <c r="DB77" s="323" t="s">
        <v>176</v>
      </c>
      <c r="DC77" s="323" t="s">
        <v>176</v>
      </c>
      <c r="DD77" s="323" t="s">
        <v>176</v>
      </c>
      <c r="DE77" s="323" t="s">
        <v>176</v>
      </c>
      <c r="DF77" s="323" t="s">
        <v>176</v>
      </c>
      <c r="DG77" s="323" t="s">
        <v>176</v>
      </c>
      <c r="DH77" s="323" t="s">
        <v>176</v>
      </c>
      <c r="DI77" s="323" t="s">
        <v>176</v>
      </c>
      <c r="DJ77" s="323" t="s">
        <v>176</v>
      </c>
      <c r="DK77" s="323" t="s">
        <v>176</v>
      </c>
      <c r="DL77" s="323" t="s">
        <v>176</v>
      </c>
      <c r="DM77" s="323" t="s">
        <v>176</v>
      </c>
      <c r="DN77" s="323" t="s">
        <v>176</v>
      </c>
      <c r="DO77" s="323" t="s">
        <v>176</v>
      </c>
      <c r="DP77" s="323" t="s">
        <v>176</v>
      </c>
      <c r="DQ77" s="323" t="s">
        <v>176</v>
      </c>
      <c r="DR77" s="323" t="s">
        <v>176</v>
      </c>
      <c r="DS77" s="323" t="s">
        <v>176</v>
      </c>
      <c r="DT77" s="323" t="s">
        <v>176</v>
      </c>
      <c r="DU77" s="323" t="s">
        <v>176</v>
      </c>
      <c r="DV77" s="323" t="s">
        <v>176</v>
      </c>
      <c r="DW77" s="323" t="s">
        <v>176</v>
      </c>
      <c r="DX77" s="323" t="s">
        <v>176</v>
      </c>
      <c r="DY77" s="323"/>
      <c r="DZ77" s="323"/>
      <c r="EA77" s="323"/>
      <c r="EB77" s="323"/>
      <c r="EC77" s="323"/>
      <c r="ED77" s="323"/>
      <c r="EE77" s="323"/>
      <c r="EF77" s="323"/>
      <c r="EG77" s="323"/>
      <c r="EH77" s="323"/>
      <c r="EI77" s="323"/>
      <c r="EJ77" s="323"/>
      <c r="EK77" s="323"/>
      <c r="EL77" s="323"/>
      <c r="EM77" s="323"/>
      <c r="EN77" s="323"/>
      <c r="EO77" s="323"/>
      <c r="EP77" s="323" t="s">
        <v>176</v>
      </c>
      <c r="EQ77" s="323" t="s">
        <v>176</v>
      </c>
      <c r="ER77" s="323" t="s">
        <v>176</v>
      </c>
      <c r="ES77" s="323" t="s">
        <v>176</v>
      </c>
      <c r="ET77" s="323" t="s">
        <v>176</v>
      </c>
      <c r="EU77" s="323" t="s">
        <v>176</v>
      </c>
      <c r="EV77" s="323" t="s">
        <v>176</v>
      </c>
      <c r="EW77" s="308" t="s">
        <v>176</v>
      </c>
      <c r="EX77" s="323" t="s">
        <v>176</v>
      </c>
      <c r="EY77" s="323"/>
      <c r="EZ77" s="323">
        <v>1</v>
      </c>
      <c r="FA77" s="323"/>
      <c r="FB77" s="323" t="s">
        <v>176</v>
      </c>
      <c r="FC77" s="323" t="s">
        <v>176</v>
      </c>
      <c r="FD77" s="323"/>
      <c r="FE77" s="323"/>
      <c r="FF77" s="323"/>
      <c r="FG77" s="323"/>
      <c r="FH77" s="323"/>
      <c r="FI77" s="323"/>
      <c r="FJ77" s="323"/>
      <c r="FK77" s="323"/>
      <c r="FL77" s="323" t="s">
        <v>176</v>
      </c>
      <c r="FM77" s="323"/>
      <c r="FN77" s="323"/>
      <c r="FO77" s="323"/>
      <c r="FP77" s="323" t="s">
        <v>176</v>
      </c>
      <c r="FQ77" s="323" t="s">
        <v>176</v>
      </c>
      <c r="FR77" s="323" t="s">
        <v>176</v>
      </c>
      <c r="FS77" s="323" t="s">
        <v>176</v>
      </c>
      <c r="FT77" s="323" t="s">
        <v>176</v>
      </c>
      <c r="FU77" s="323" t="s">
        <v>176</v>
      </c>
      <c r="FV77" s="323" t="s">
        <v>176</v>
      </c>
      <c r="FW77" s="323" t="s">
        <v>176</v>
      </c>
      <c r="FX77" s="323" t="s">
        <v>176</v>
      </c>
      <c r="FY77" s="323" t="s">
        <v>176</v>
      </c>
      <c r="FZ77" s="323" t="s">
        <v>176</v>
      </c>
      <c r="GA77" s="323" t="s">
        <v>176</v>
      </c>
      <c r="GB77" s="323" t="s">
        <v>176</v>
      </c>
      <c r="GC77" s="323" t="s">
        <v>176</v>
      </c>
      <c r="GD77" s="323" t="s">
        <v>176</v>
      </c>
      <c r="GE77" s="323" t="s">
        <v>176</v>
      </c>
      <c r="GF77" s="323"/>
      <c r="GG77" s="323"/>
      <c r="GH77" s="323" t="s">
        <v>176</v>
      </c>
      <c r="GI77" s="323"/>
      <c r="GJ77" s="323" t="s">
        <v>176</v>
      </c>
      <c r="GK77" s="323"/>
      <c r="GL77" s="390">
        <f>SUM(G77:FP77)</f>
        <v>4</v>
      </c>
      <c r="GM77" s="132"/>
    </row>
    <row r="78" spans="1:195" s="197" customFormat="1" ht="28.35" customHeight="1" thickBot="1" x14ac:dyDescent="0.3">
      <c r="A78" s="138" t="str">
        <f>A77</f>
        <v>Utrzymanie ruchu-Maintenance</v>
      </c>
      <c r="B78" s="138" t="str">
        <f>B77</f>
        <v>Elektromechanik</v>
      </c>
      <c r="C78" s="138" t="str">
        <f>C77</f>
        <v>KS</v>
      </c>
      <c r="D78" s="138">
        <f>D77</f>
        <v>2118</v>
      </c>
      <c r="E78" s="564"/>
      <c r="F78" s="312" t="s">
        <v>166</v>
      </c>
      <c r="G78" s="387">
        <f>IF(INDEX(tab_MinKomp[Przepisy BHP / BHP Vorschriften],MATCH($B77,tab_MinKomp[[Stanowisko / Position ]:[Stanowisko / Position ]],0))="n/a","n/a",G77-INDEX(tab_MinKomp[Przepisy BHP / BHP Vorschriften],MATCH($B77,tab_MinKomp[[Stanowisko / Position ]:[Stanowisko / Position ]],0)))</f>
        <v>-1</v>
      </c>
      <c r="H78" s="387">
        <f>IF(INDEX(tab_MinKomp[Przepisy PPOŻ / Brandschutzbestimmungen],MATCH($B77,tab_MinKomp[[Stanowisko / Position ]:[Stanowisko / Position ]],0))="n/a","n/a",H77-INDEX(tab_MinKomp[Przepisy PPOŻ / Brandschutzbestimmungen],MATCH($B77,tab_MinKomp[[Stanowisko / Position ]:[Stanowisko / Position ]],0)))</f>
        <v>-1</v>
      </c>
      <c r="I78" s="387">
        <f>IF(INDEX(tab_MinKomp[Ryzyko zawodowe na stanowiskach pracyv/ Berufliche Risiken an Arbeitsstellen],MATCH($B77,tab_MinKomp[[Stanowisko / Position ]:[Stanowisko / Position ]],0))="n/a","n/a",I77-INDEX(tab_MinKomp[Ryzyko zawodowe na stanowiskach pracyv/ Berufliche Risiken an Arbeitsstellen],MATCH($B77,tab_MinKomp[[Stanowisko / Position ]:[Stanowisko / Position ]],0)))</f>
        <v>-1</v>
      </c>
      <c r="J78" s="387">
        <f>IF(INDEX(tab_MinKomp[Gospodarka substancjami niebezpiecznymi / Gefahrstoffmanagement],MATCH($B77,tab_MinKomp[[Stanowisko / Position ]:[Stanowisko / Position ]],0))="n/a","n/a",J77-INDEX(tab_MinKomp[Gospodarka substancjami niebezpiecznymi / Gefahrstoffmanagement],MATCH($B77,tab_MinKomp[[Stanowisko / Position ]:[Stanowisko / Position ]],0)))</f>
        <v>-2</v>
      </c>
      <c r="K78" s="387">
        <f>IF(INDEX(tab_MinKomp[Gospodarka odpadami / Abfallwirtschaft],MATCH($B77,tab_MinKomp[[Stanowisko / Position ]:[Stanowisko / Position ]],0))="n/a","n/a",K77-INDEX(tab_MinKomp[Gospodarka odpadami / Abfallwirtschaft],MATCH($B77,tab_MinKomp[[Stanowisko / Position ]:[Stanowisko / Position ]],0)))</f>
        <v>-2</v>
      </c>
      <c r="L78" s="387">
        <f>IF(INDEX(tab_MinKomp[Przepisy kodeksu pracy / Bestimmungen des Arbeitsgesetzes],MATCH($B77,tab_MinKomp[[Stanowisko / Position ]:[Stanowisko / Position ]],0))="n/a","n/a",L77-INDEX(tab_MinKomp[Przepisy kodeksu pracy / Bestimmungen des Arbeitsgesetzes],MATCH($B77,tab_MinKomp[[Stanowisko / Position ]:[Stanowisko / Position ]],0)))</f>
        <v>-1</v>
      </c>
      <c r="M78" s="387" t="str">
        <f>IF(INDEX(tab_MinKomp[Przepisy o ub.społ. ZUS  / Sozialversicherungsvorschriften],MATCH($B77,tab_MinKomp[[Stanowisko / Position ]:[Stanowisko / Position ]],0))="n/a","n/a",M77-INDEX(tab_MinKomp[Przepisy o ub.społ. ZUS  / Sozialversicherungsvorschriften],MATCH($B77,tab_MinKomp[[Stanowisko / Position ]:[Stanowisko / Position ]],0)))</f>
        <v>n/a</v>
      </c>
      <c r="N78" s="387" t="str">
        <f>IF(INDEX(tab_MinKomp[PRZEPISY O PDOF /persönlich Einkommensteuergesetz ],MATCH($B77,tab_MinKomp[[Stanowisko / Position ]:[Stanowisko / Position ]],0))="n/a","n/a",N77-INDEX(tab_MinKomp[PRZEPISY O PDOF /persönlich Einkommensteuergesetz ],MATCH($B77,tab_MinKomp[[Stanowisko / Position ]:[Stanowisko / Position ]],0)))</f>
        <v>n/a</v>
      </c>
      <c r="O78" s="387">
        <f>IF(INDEX(tab_MinKomp[Regulamin pracy / Arbeitsordnung],MATCH($B77,tab_MinKomp[[Stanowisko / Position ]:[Stanowisko / Position ]],0))="n/a","n/a",O77-INDEX(tab_MinKomp[Regulamin pracy / Arbeitsordnung],MATCH($B77,tab_MinKomp[[Stanowisko / Position ]:[Stanowisko / Position ]],0)))</f>
        <v>-1</v>
      </c>
      <c r="P78" s="387">
        <f>IF(INDEX(tab_MinKomp[Regulamin wynagradzania / Vergütungsordnung],MATCH($B77,tab_MinKomp[[Stanowisko / Position ]:[Stanowisko / Position ]],0))="n/a","n/a",P77-INDEX(tab_MinKomp[Regulamin wynagradzania / Vergütungsordnung],MATCH($B77,tab_MinKomp[[Stanowisko / Position ]:[Stanowisko / Position ]],0)))</f>
        <v>-1</v>
      </c>
      <c r="Q78" s="387" t="str">
        <f>IF(INDEX(tab_MinKomp[System R2PŁATNIK PRO: Płace / Lohnabrechnung],MATCH($B77,tab_MinKomp[[Stanowisko / Position ]:[Stanowisko / Position ]],0))="n/a","n/a",Q77-INDEX(tab_MinKomp[System R2PŁATNIK PRO: Płace / Lohnabrechnung],MATCH($B77,tab_MinKomp[[Stanowisko / Position ]:[Stanowisko / Position ]],0)))</f>
        <v>n/a</v>
      </c>
      <c r="R78" s="387" t="str">
        <f>IF(INDEX(tab_MinKomp[SystemR2PŁATNIK PRO: KADRY / Personaldaten],MATCH($B77,tab_MinKomp[[Stanowisko / Position ]:[Stanowisko / Position ]],0))="n/a","n/a",R77-INDEX(tab_MinKomp[SystemR2PŁATNIK PRO: KADRY / Personaldaten],MATCH($B77,tab_MinKomp[[Stanowisko / Position ]:[Stanowisko / Position ]],0)))</f>
        <v>n/a</v>
      </c>
      <c r="S78" s="387" t="str">
        <f>IF(INDEX(tab_MinKomp[SYSTEM R2PŁATNIK PRO: zarządzanie pracownikami / Arbeitsverwaltung],MATCH($B77,tab_MinKomp[[Stanowisko / Position ]:[Stanowisko / Position ]],0))="n/a","n/a",S77-INDEX(tab_MinKomp[SYSTEM R2PŁATNIK PRO: zarządzanie pracownikami / Arbeitsverwaltung],MATCH($B77,tab_MinKomp[[Stanowisko / Position ]:[Stanowisko / Position ]],0)))</f>
        <v>n/a</v>
      </c>
      <c r="T78" s="387" t="str">
        <f>IF(INDEX(tab_MinKomp[Doradztwo, wsparcie personalne / Personalberatung und Unterstützung],MATCH($B77,tab_MinKomp[[Stanowisko / Position ]:[Stanowisko / Position ]],0))="n/a","n/a",T77-INDEX(tab_MinKomp[Doradztwo, wsparcie personalne / Personalberatung und Unterstützung],MATCH($B77,tab_MinKomp[[Stanowisko / Position ]:[Stanowisko / Position ]],0)))</f>
        <v>n/a</v>
      </c>
      <c r="U78" s="387" t="str">
        <f>IF(INDEX(tab_MinKomp[Przepisy o podatku VAT / MwSt.- Gesetz],MATCH($B77,tab_MinKomp[[Stanowisko / Position ]:[Stanowisko / Position ]],0))="n/a","n/a",U77-INDEX(tab_MinKomp[Przepisy o podatku VAT / MwSt.- Gesetz],MATCH($B77,tab_MinKomp[[Stanowisko / Position ]:[Stanowisko / Position ]],0)))</f>
        <v>n/a</v>
      </c>
      <c r="V78" s="387" t="str">
        <f>IF(INDEX(tab_MinKomp[PrzepisyPDOP / geschäftlich Einkommensteuergesetz],MATCH($B77,tab_MinKomp[[Stanowisko / Position ]:[Stanowisko / Position ]],0))="n/a","n/a",V77-INDEX(tab_MinKomp[PrzepisyPDOP / geschäftlich Einkommensteuergesetz],MATCH($B77,tab_MinKomp[[Stanowisko / Position ]:[Stanowisko / Position ]],0)))</f>
        <v>n/a</v>
      </c>
      <c r="W78" s="387" t="str">
        <f>IF(INDEX(tab_MinKomp[System BAAN / FINANSE (FIBU)],MATCH($B77,tab_MinKomp[[Stanowisko / Position ]:[Stanowisko / Position ]],0))="n/a","n/a",W77-INDEX(tab_MinKomp[System BAAN / FINANSE (FIBU)],MATCH($B77,tab_MinKomp[[Stanowisko / Position ]:[Stanowisko / Position ]],0)))</f>
        <v>n/a</v>
      </c>
      <c r="X78" s="387" t="str">
        <f>IF(INDEX(tab_MinKomp[Systemy pomocnicze / Hilfssysteme(STOCKPROGRAM, KALK2000 etc.)],MATCH($B77,tab_MinKomp[[Stanowisko / Position ]:[Stanowisko / Position ]],0))="n/a","n/a",X77-INDEX(tab_MinKomp[Systemy pomocnicze / Hilfssysteme(STOCKPROGRAM, KALK2000 etc.)],MATCH($B77,tab_MinKomp[[Stanowisko / Position ]:[Stanowisko / Position ]],0)))</f>
        <v>n/a</v>
      </c>
      <c r="Y78" s="387" t="str">
        <f>IF(INDEX(tab_MinKomp[Polityka rachunkowości / Buchführungspolitik],MATCH($B77,tab_MinKomp[[Stanowisko / Position ]:[Stanowisko / Position ]],0))="n/a","n/a",Y77-INDEX(tab_MinKomp[Polityka rachunkowości / Buchführungspolitik],MATCH($B77,tab_MinKomp[[Stanowisko / Position ]:[Stanowisko / Position ]],0)))</f>
        <v>n/a</v>
      </c>
      <c r="Z78" s="387" t="str">
        <f>IF(INDEX(tab_MinKomp[Ustawa o rachunkowości / Rechnungslegungsgesetz],MATCH($B77,tab_MinKomp[[Stanowisko / Position ]:[Stanowisko / Position ]],0))="n/a","n/a",Z77-INDEX(tab_MinKomp[Ustawa o rachunkowości / Rechnungslegungsgesetz],MATCH($B77,tab_MinKomp[[Stanowisko / Position ]:[Stanowisko / Position ]],0)))</f>
        <v>n/a</v>
      </c>
      <c r="AA78" s="387" t="str">
        <f>IF(INDEX(tab_MinKomp[WORKFLOW - TS-100],MATCH($B77,tab_MinKomp[[Stanowisko / Position ]:[Stanowisko / Position ]],0))="n/a","n/a",AA77-INDEX(tab_MinKomp[WORKFLOW - TS-100],MATCH($B77,tab_MinKomp[[Stanowisko / Position ]:[Stanowisko / Position ]],0)))</f>
        <v>n/a</v>
      </c>
      <c r="AB78" s="387" t="str">
        <f>IF(INDEX(tab_MinKomp[WORKFLOW - SFMS],MATCH($B77,tab_MinKomp[[Stanowisko / Position ]:[Stanowisko / Position ]],0))="n/a","n/a",AB77-INDEX(tab_MinKomp[WORKFLOW - SFMS],MATCH($B77,tab_MinKomp[[Stanowisko / Position ]:[Stanowisko / Position ]],0)))</f>
        <v>n/a</v>
      </c>
      <c r="AC78" s="387" t="str">
        <f>IF(INDEX(tab_MinKomp[System ISO 9001:2015],MATCH($B77,tab_MinKomp[[Stanowisko / Position ]:[Stanowisko / Position ]],0))="n/a","n/a",AC77-INDEX(tab_MinKomp[System ISO 9001:2015],MATCH($B77,tab_MinKomp[[Stanowisko / Position ]:[Stanowisko / Position ]],0)))</f>
        <v>n/a</v>
      </c>
      <c r="AD78" s="387" t="str">
        <f>IF(INDEX(tab_MinKomp[System IATF 16949:2016],MATCH($B77,tab_MinKomp[[Stanowisko / Position ]:[Stanowisko / Position ]],0))="n/a","n/a",AD77-INDEX(tab_MinKomp[System IATF 16949:2016],MATCH($B77,tab_MinKomp[[Stanowisko / Position ]:[Stanowisko / Position ]],0)))</f>
        <v>n/a</v>
      </c>
      <c r="AE78" s="387" t="str">
        <f>IF(INDEX(tab_MinKomp[System ISO 14001:2015],MATCH($B77,tab_MinKomp[[Stanowisko / Position ]:[Stanowisko / Position ]],0))="n/a","n/a",AE77-INDEX(tab_MinKomp[System ISO 14001:2015],MATCH($B77,tab_MinKomp[[Stanowisko / Position ]:[Stanowisko / Position ]],0)))</f>
        <v>n/a</v>
      </c>
      <c r="AF78" s="387" t="str">
        <f>IF(INDEX(tab_MinKomp[System PN-N 18001:2004 / ISO 45001:2018],MATCH($B77,tab_MinKomp[[Stanowisko / Position ]:[Stanowisko / Position ]],0))="n/a","n/a",AF77-INDEX(tab_MinKomp[System PN-N 18001:2004 / ISO 45001:2018],MATCH($B77,tab_MinKomp[[Stanowisko / Position ]:[Stanowisko / Position ]],0)))</f>
        <v>n/a</v>
      </c>
      <c r="AG78" s="387" t="str">
        <f>IF(INDEX(tab_MinKomp[Wymagania VDA 6.3 Process / Forderungen],MATCH($B77,tab_MinKomp[[Stanowisko / Position ]:[Stanowisko / Position ]],0))="n/a","n/a",AG77-INDEX(tab_MinKomp[Wymagania VDA 6.3 Process / Forderungen],MATCH($B77,tab_MinKomp[[Stanowisko / Position ]:[Stanowisko / Position ]],0)))</f>
        <v>n/a</v>
      </c>
      <c r="AH78" s="387" t="str">
        <f>IF(INDEX(tab_MinKomp[Wymagania VDA 6.5 Product / Forderungen],MATCH($B77,tab_MinKomp[[Stanowisko / Position ]:[Stanowisko / Position ]],0))="n/a","n/a",AH77-INDEX(tab_MinKomp[Wymagania VDA 6.5 Product / Forderungen],MATCH($B77,tab_MinKomp[[Stanowisko / Position ]:[Stanowisko / Position ]],0)))</f>
        <v>n/a</v>
      </c>
      <c r="AI78" s="387" t="str">
        <f>IF(INDEX(tab_MinKomp[PSCR (VW Product Safety &amp; Conformity Representative)],MATCH($B77,tab_MinKomp[[Stanowisko / Position ]:[Stanowisko / Position ]],0))="n/a","n/a",AI77-INDEX(tab_MinKomp[PSCR (VW Product Safety &amp; Conformity Representative)],MATCH($B77,tab_MinKomp[[Stanowisko / Position ]:[Stanowisko / Position ]],0)))</f>
        <v>n/a</v>
      </c>
      <c r="AJ78" s="387" t="str">
        <f>IF(INDEX(tab_MinKomp[Auditor systemu ISO 17025:2018],MATCH($B77,tab_MinKomp[[Stanowisko / Position ]:[Stanowisko / Position ]],0))="n/a","n/a",AJ77-INDEX(tab_MinKomp[Auditor systemu ISO 17025:2018],MATCH($B77,tab_MinKomp[[Stanowisko / Position ]:[Stanowisko / Position ]],0)))</f>
        <v>n/a</v>
      </c>
      <c r="AK78" s="387" t="str">
        <f>IF(INDEX(tab_MinKomp[Pełnomocnik systemu / Systemvertreter],MATCH($B77,tab_MinKomp[[Stanowisko / Position ]:[Stanowisko / Position ]],0))="n/a","n/a",AK77-INDEX(tab_MinKomp[Pełnomocnik systemu / Systemvertreter],MATCH($B77,tab_MinKomp[[Stanowisko / Position ]:[Stanowisko / Position ]],0)))</f>
        <v>n/a</v>
      </c>
      <c r="AL78" s="387">
        <f>IF(INDEX(tab_MinKomp[Polityka Etyczna - Compliance],MATCH($B77,tab_MinKomp[[Stanowisko / Position ]:[Stanowisko / Position ]],0))="n/a","n/a",AL77-INDEX(tab_MinKomp[Polityka Etyczna - Compliance],MATCH($B77,tab_MinKomp[[Stanowisko / Position ]:[Stanowisko / Position ]],0)))</f>
        <v>-1</v>
      </c>
      <c r="AM78" s="387" t="str">
        <f>IF(INDEX(tab_MinKomp[WDRAŻANIE NOWYCH PROJEKTÓW/ PROCEDURA CTM],MATCH($B77,tab_MinKomp[[Stanowisko / Position ]:[Stanowisko / Position ]],0))="n/a","n/a",AM77-INDEX(tab_MinKomp[WDRAŻANIE NOWYCH PROJEKTÓW/ PROCEDURA CTM],MATCH($B77,tab_MinKomp[[Stanowisko / Position ]:[Stanowisko / Position ]],0)))</f>
        <v>n/a</v>
      </c>
      <c r="AN78" s="387" t="str">
        <f>IF(INDEX(tab_MinKomp[KAMIENIE MILOWE MSL/PIFF],MATCH($B77,tab_MinKomp[[Stanowisko / Position ]:[Stanowisko / Position ]],0))="n/a","n/a",AN77-INDEX(tab_MinKomp[KAMIENIE MILOWE MSL/PIFF],MATCH($B77,tab_MinKomp[[Stanowisko / Position ]:[Stanowisko / Position ]],0)))</f>
        <v>n/a</v>
      </c>
      <c r="AO78" s="387" t="str">
        <f>IF(INDEX(tab_MinKomp[CP],MATCH($B77,tab_MinKomp[[Stanowisko / Position ]:[Stanowisko / Position ]],0))="n/a","n/a",AO77-INDEX(tab_MinKomp[CP],MATCH($B77,tab_MinKomp[[Stanowisko / Position ]:[Stanowisko / Position ]],0)))</f>
        <v>n/a</v>
      </c>
      <c r="AP78" s="387" t="str">
        <f>IF(INDEX(tab_MinKomp[FMEA],MATCH($B77,tab_MinKomp[[Stanowisko / Position ]:[Stanowisko / Position ]],0))="n/a","n/a",AP77-INDEX(tab_MinKomp[FMEA],MATCH($B77,tab_MinKomp[[Stanowisko / Position ]:[Stanowisko / Position ]],0)))</f>
        <v>n/a</v>
      </c>
      <c r="AQ78" s="387" t="str">
        <f>IF(INDEX(tab_MinKomp[FLOW CHART],MATCH($B77,tab_MinKomp[[Stanowisko / Position ]:[Stanowisko / Position ]],0))="n/a","n/a",AQ77-INDEX(tab_MinKomp[FLOW CHART],MATCH($B77,tab_MinKomp[[Stanowisko / Position ]:[Stanowisko / Position ]],0)))</f>
        <v>n/a</v>
      </c>
      <c r="AR78" s="387" t="str">
        <f>IF(INDEX(tab_MinKomp[APQP],MATCH($B77,tab_MinKomp[[Stanowisko / Position ]:[Stanowisko / Position ]],0))="n/a","n/a",AR77-INDEX(tab_MinKomp[APQP],MATCH($B77,tab_MinKomp[[Stanowisko / Position ]:[Stanowisko / Position ]],0)))</f>
        <v>n/a</v>
      </c>
      <c r="AS78" s="387" t="str">
        <f>IF(INDEX(tab_MinKomp[MSA],MATCH($B77,tab_MinKomp[[Stanowisko / Position ]:[Stanowisko / Position ]],0))="n/a","n/a",AS77-INDEX(tab_MinKomp[MSA],MATCH($B77,tab_MinKomp[[Stanowisko / Position ]:[Stanowisko / Position ]],0)))</f>
        <v>n/a</v>
      </c>
      <c r="AT78" s="387" t="str">
        <f>IF(INDEX(tab_MinKomp[SPC],MATCH($B77,tab_MinKomp[[Stanowisko / Position ]:[Stanowisko / Position ]],0))="n/a","n/a",AT77-INDEX(tab_MinKomp[SPC],MATCH($B77,tab_MinKomp[[Stanowisko / Position ]:[Stanowisko / Position ]],0)))</f>
        <v>n/a</v>
      </c>
      <c r="AU78" s="387" t="str">
        <f>IF(INDEX(tab_MinKomp[CSR (SPECYFICZNE WYMAGANIA KLIENTA)],MATCH($B77,tab_MinKomp[[Stanowisko / Position ]:[Stanowisko / Position ]],0))="n/a","n/a",AU77-INDEX(tab_MinKomp[CSR (SPECYFICZNE WYMAGANIA KLIENTA)],MATCH($B77,tab_MinKomp[[Stanowisko / Position ]:[Stanowisko / Position ]],0)))</f>
        <v>n/a</v>
      </c>
      <c r="AV78" s="387">
        <f>IF(INDEX(tab_MinKomp[5S],MATCH($B77,tab_MinKomp[[Stanowisko / Position ]:[Stanowisko / Position ]],0))="n/a","n/a",AV77-INDEX(tab_MinKomp[5S],MATCH($B77,tab_MinKomp[[Stanowisko / Position ]:[Stanowisko / Position ]],0)))</f>
        <v>-2</v>
      </c>
      <c r="AW78" s="387">
        <f>IF(INDEX(tab_MinKomp[LEAN MANAGEMENT],MATCH($B77,tab_MinKomp[[Stanowisko / Position ]:[Stanowisko / Position ]],0))="n/a","n/a",AW77-INDEX(tab_MinKomp[LEAN MANAGEMENT],MATCH($B77,tab_MinKomp[[Stanowisko / Position ]:[Stanowisko / Position ]],0)))</f>
        <v>-1</v>
      </c>
      <c r="AX78" s="387">
        <f>IF(INDEX(tab_MinKomp[5R],MATCH($B77,tab_MinKomp[[Stanowisko / Position ]:[Stanowisko / Position ]],0))="n/a","n/a",AX77-INDEX(tab_MinKomp[5R],MATCH($B77,tab_MinKomp[[Stanowisko / Position ]:[Stanowisko / Position ]],0)))</f>
        <v>-1</v>
      </c>
      <c r="AY78" s="387" t="str">
        <f>IF(INDEX(tab_MinKomp[Six Sigma],MATCH($B77,tab_MinKomp[[Stanowisko / Position ]:[Stanowisko / Position ]],0))="n/a","n/a",AY77-INDEX(tab_MinKomp[Six Sigma],MATCH($B77,tab_MinKomp[[Stanowisko / Position ]:[Stanowisko / Position ]],0)))</f>
        <v>n/a</v>
      </c>
      <c r="AZ78" s="387" t="str">
        <f>IF(INDEX(tab_MinKomp[System BAAN / Distribution &amp; Supply Chain],MATCH($B77,tab_MinKomp[[Stanowisko / Position ]:[Stanowisko / Position ]],0))="n/a","n/a",AZ77-INDEX(tab_MinKomp[System BAAN / Distribution &amp; Supply Chain],MATCH($B77,tab_MinKomp[[Stanowisko / Position ]:[Stanowisko / Position ]],0)))</f>
        <v>n/a</v>
      </c>
      <c r="BA78" s="387" t="str">
        <f>IF(INDEX(tab_MinKomp[Gospodarka magazynowa / Lagerverwaltung],MATCH($B77,tab_MinKomp[[Stanowisko / Position ]:[Stanowisko / Position ]],0))="n/a","n/a",BA77-INDEX(tab_MinKomp[Gospodarka magazynowa / Lagerverwaltung],MATCH($B77,tab_MinKomp[[Stanowisko / Position ]:[Stanowisko / Position ]],0)))</f>
        <v>n/a</v>
      </c>
      <c r="BB78" s="387" t="str">
        <f>IF(INDEX(tab_MinKomp[Inwentaryzacja - organizacja i przebieg / Inventurprozess],MATCH($B77,tab_MinKomp[[Stanowisko / Position ]:[Stanowisko / Position ]],0))="n/a","n/a",BB77-INDEX(tab_MinKomp[Inwentaryzacja - organizacja i przebieg / Inventurprozess],MATCH($B77,tab_MinKomp[[Stanowisko / Position ]:[Stanowisko / Position ]],0)))</f>
        <v>n/a</v>
      </c>
      <c r="BC78" s="387" t="str">
        <f>IF(INDEX(tab_MinKomp[Organizacja dostaw / Versorgungsorganisation],MATCH($B77,tab_MinKomp[[Stanowisko / Position ]:[Stanowisko / Position ]],0))="n/a","n/a",BC77-INDEX(tab_MinKomp[Organizacja dostaw / Versorgungsorganisation],MATCH($B77,tab_MinKomp[[Stanowisko / Position ]:[Stanowisko / Position ]],0)))</f>
        <v>n/a</v>
      </c>
      <c r="BD78" s="387" t="str">
        <f>IF(INDEX(tab_MinKomp[Organizacja wysyłek / Organisation von Lieferungen],MATCH($B77,tab_MinKomp[[Stanowisko / Position ]:[Stanowisko / Position ]],0))="n/a","n/a",BD77-INDEX(tab_MinKomp[Organizacja wysyłek / Organisation von Lieferungen],MATCH($B77,tab_MinKomp[[Stanowisko / Position ]:[Stanowisko / Position ]],0)))</f>
        <v>n/a</v>
      </c>
      <c r="BE78" s="387" t="str">
        <f>IF(INDEX(tab_MinKomp[Analiza magazynowa - Program Polen.mdb / Inventuranalyse],MATCH($B77,tab_MinKomp[[Stanowisko / Position ]:[Stanowisko / Position ]],0))="n/a","n/a",BE77-INDEX(tab_MinKomp[Analiza magazynowa - Program Polen.mdb / Inventuranalyse],MATCH($B77,tab_MinKomp[[Stanowisko / Position ]:[Stanowisko / Position ]],0)))</f>
        <v>n/a</v>
      </c>
      <c r="BF78" s="387" t="str">
        <f>IF(INDEX(tab_MinKomp[MMOG (Materials Management Operations Guidelines)],MATCH($B77,tab_MinKomp[[Stanowisko / Position ]:[Stanowisko / Position ]],0))="n/a","n/a",BF77-INDEX(tab_MinKomp[MMOG (Materials Management Operations Guidelines)],MATCH($B77,tab_MinKomp[[Stanowisko / Position ]:[Stanowisko / Position ]],0)))</f>
        <v>n/a</v>
      </c>
      <c r="BG78" s="387" t="str">
        <f>IF(INDEX(tab_MinKomp[DETC],MATCH($B77,tab_MinKomp[[Stanowisko / Position ]:[Stanowisko / Position ]],0))="n/a","n/a",BG77-INDEX(tab_MinKomp[DETC],MATCH($B77,tab_MinKomp[[Stanowisko / Position ]:[Stanowisko / Position ]],0)))</f>
        <v>n/a</v>
      </c>
      <c r="BH78" s="387" t="str">
        <f>IF(INDEX(tab_MinKomp[GPP],MATCH($B77,tab_MinKomp[[Stanowisko / Position ]:[Stanowisko / Position ]],0))="n/a","n/a",BH77-INDEX(tab_MinKomp[GPP],MATCH($B77,tab_MinKomp[[Stanowisko / Position ]:[Stanowisko / Position ]],0)))</f>
        <v>n/a</v>
      </c>
      <c r="BI78" s="387" t="str">
        <f>IF(INDEX(tab_MinKomp[AIAG (Automotive Industry Action Group)],MATCH($B77,tab_MinKomp[[Stanowisko / Position ]:[Stanowisko / Position ]],0))="n/a","n/a",BI77-INDEX(tab_MinKomp[AIAG (Automotive Industry Action Group)],MATCH($B77,tab_MinKomp[[Stanowisko / Position ]:[Stanowisko / Position ]],0)))</f>
        <v>n/a</v>
      </c>
      <c r="BJ78" s="387" t="str">
        <f>IF(INDEX(tab_MinKomp[Super-G disputes],MATCH($B77,tab_MinKomp[[Stanowisko / Position ]:[Stanowisko / Position ]],0))="n/a","n/a",BJ77-INDEX(tab_MinKomp[Super-G disputes],MATCH($B77,tab_MinKomp[[Stanowisko / Position ]:[Stanowisko / Position ]],0)))</f>
        <v>n/a</v>
      </c>
      <c r="BK78" s="387" t="str">
        <f>IF(INDEX(tab_MinKomp[CMMS3/eDDL (Direct Data Link)],MATCH($B77,tab_MinKomp[[Stanowisko / Position ]:[Stanowisko / Position ]],0))="n/a","n/a",BK77-INDEX(tab_MinKomp[CMMS3/eDDL (Direct Data Link)],MATCH($B77,tab_MinKomp[[Stanowisko / Position ]:[Stanowisko / Position ]],0)))</f>
        <v>n/a</v>
      </c>
      <c r="BL78" s="387" t="str">
        <f>IF(INDEX(tab_MinKomp[MP&amp;L (Material Planning and Logistics)],MATCH($B77,tab_MinKomp[[Stanowisko / Position ]:[Stanowisko / Position ]],0))="n/a","n/a",BL77-INDEX(tab_MinKomp[MP&amp;L (Material Planning and Logistics)],MATCH($B77,tab_MinKomp[[Stanowisko / Position ]:[Stanowisko / Position ]],0)))</f>
        <v>n/a</v>
      </c>
      <c r="BM78" s="387" t="str">
        <f>IF(INDEX(tab_MinKomp[Planowanie produkcji / Produktionsplanung],MATCH($B77,tab_MinKomp[[Stanowisko / Position ]:[Stanowisko / Position ]],0))="n/a","n/a",BM77-INDEX(tab_MinKomp[Planowanie produkcji / Produktionsplanung],MATCH($B77,tab_MinKomp[[Stanowisko / Position ]:[Stanowisko / Position ]],0)))</f>
        <v>n/a</v>
      </c>
      <c r="BN78" s="387">
        <f>IF(INDEX(tab_MinKomp[Obsługa maszyn Engel / Engel Maschinenbedienung],MATCH($B77,tab_MinKomp[[Stanowisko / Position ]:[Stanowisko / Position ]],0))="n/a","n/a",BN77-INDEX(tab_MinKomp[Obsługa maszyn Engel / Engel Maschinenbedienung],MATCH($B77,tab_MinKomp[[Stanowisko / Position ]:[Stanowisko / Position ]],0)))</f>
        <v>-1</v>
      </c>
      <c r="BO78" s="387">
        <f>IF(INDEX(tab_MinKomp[Obsługa maszyn Novapax / Novapax Maschinenbedienung],MATCH($B77,tab_MinKomp[[Stanowisko / Position ]:[Stanowisko / Position ]],0))="n/a","n/a",BO77-INDEX(tab_MinKomp[Obsługa maszyn Novapax / Novapax Maschinenbedienung],MATCH($B77,tab_MinKomp[[Stanowisko / Position ]:[Stanowisko / Position ]],0)))</f>
        <v>-1</v>
      </c>
      <c r="BP78" s="387">
        <f>IF(INDEX(tab_MinKomp[Obsługa maszyn KVT / KVT Maschinenbedienung],MATCH($B77,tab_MinKomp[[Stanowisko / Position ]:[Stanowisko / Position ]],0))="n/a","n/a",BP77-INDEX(tab_MinKomp[Obsługa maszyn KVT / KVT Maschinenbedienung],MATCH($B77,tab_MinKomp[[Stanowisko / Position ]:[Stanowisko / Position ]],0)))</f>
        <v>-1</v>
      </c>
      <c r="BQ78" s="387">
        <f>IF(INDEX(tab_MinKomp[Obsługa maszyn ASL / ASL Maschinenbedienung],MATCH($B77,tab_MinKomp[[Stanowisko / Position ]:[Stanowisko / Position ]],0))="n/a","n/a",BQ77-INDEX(tab_MinKomp[Obsługa maszyn ASL / ASL Maschinenbedienung],MATCH($B77,tab_MinKomp[[Stanowisko / Position ]:[Stanowisko / Position ]],0)))</f>
        <v>-1</v>
      </c>
      <c r="BR78" s="387">
        <f>IF(INDEX(tab_MinKomp[Obsługa maszyn Branson / Branson Maschinenbedienung],MATCH($B77,tab_MinKomp[[Stanowisko / Position ]:[Stanowisko / Position ]],0))="n/a","n/a",BR77-INDEX(tab_MinKomp[Obsługa maszyn Branson / Branson Maschinenbedienung],MATCH($B77,tab_MinKomp[[Stanowisko / Position ]:[Stanowisko / Position ]],0)))</f>
        <v>-1</v>
      </c>
      <c r="BS78" s="387">
        <f>IF(INDEX(tab_MinKomp[Obsługa maszyn Kamtec / Kamtec Maschinenbedienung],MATCH($B77,tab_MinKomp[[Stanowisko / Position ]:[Stanowisko / Position ]],0))="n/a","n/a",BS77-INDEX(tab_MinKomp[Obsługa maszyn Kamtec / Kamtec Maschinenbedienung],MATCH($B77,tab_MinKomp[[Stanowisko / Position ]:[Stanowisko / Position ]],0)))</f>
        <v>-1</v>
      </c>
      <c r="BT78" s="387">
        <f>IF(INDEX(tab_MinKomp[Obsługa maszyn Piovan / Piovan Maschinenbedienung],MATCH($B77,tab_MinKomp[[Stanowisko / Position ]:[Stanowisko / Position ]],0))="n/a","n/a",BT77-INDEX(tab_MinKomp[Obsługa maszyn Piovan / Piovan Maschinenbedienung],MATCH($B77,tab_MinKomp[[Stanowisko / Position ]:[Stanowisko / Position ]],0)))</f>
        <v>-1</v>
      </c>
      <c r="BU78" s="387">
        <f>IF(INDEX(tab_MinKomp[Obsługa maszyn REP / REP Maschinenbedienung],MATCH($B77,tab_MinKomp[[Stanowisko / Position ]:[Stanowisko / Position ]],0))="n/a","n/a",BU77-INDEX(tab_MinKomp[Obsługa maszyn REP / REP Maschinenbedienung],MATCH($B77,tab_MinKomp[[Stanowisko / Position ]:[Stanowisko / Position ]],0)))</f>
        <v>-1</v>
      </c>
      <c r="BV78" s="387">
        <f>IF(INDEX(tab_MinKomp[Eliminacja awarii / Beseitigung von Ausfällen],MATCH($B77,tab_MinKomp[[Stanowisko / Position ]:[Stanowisko / Position ]],0))="n/a","n/a",BV77-INDEX(tab_MinKomp[Eliminacja awarii / Beseitigung von Ausfällen],MATCH($B77,tab_MinKomp[[Stanowisko / Position ]:[Stanowisko / Position ]],0)))</f>
        <v>-2</v>
      </c>
      <c r="BW78" s="387" t="str">
        <f>IF(INDEX(tab_MinKomp[Informatyka ogólna (techniczne i systemowe) / Allgemeine IT (Technik und System)],MATCH($B77,tab_MinKomp[[Stanowisko / Position ]:[Stanowisko / Position ]],0))="n/a","n/a",BW77-INDEX(tab_MinKomp[Informatyka ogólna (techniczne i systemowe) / Allgemeine IT (Technik und System)],MATCH($B77,tab_MinKomp[[Stanowisko / Position ]:[Stanowisko / Position ]],0)))</f>
        <v>n/a</v>
      </c>
      <c r="BX78" s="387" t="str">
        <f>IF(INDEX(tab_MinKomp[Sieci komputerowe / Computernetzwerke],MATCH($B77,tab_MinKomp[[Stanowisko / Position ]:[Stanowisko / Position ]],0))="n/a","n/a",BX77-INDEX(tab_MinKomp[Sieci komputerowe / Computernetzwerke],MATCH($B77,tab_MinKomp[[Stanowisko / Position ]:[Stanowisko / Position ]],0)))</f>
        <v>n/a</v>
      </c>
      <c r="BY78" s="387" t="str">
        <f>IF(INDEX(tab_MinKomp[Hardware (komputery PC, drukarki biurowe i etykietowe, telefonia stacjonarna i mobilna) (PC, Drucker, Telefpne, Handys)],MATCH($B77,tab_MinKomp[[Stanowisko / Position ]:[Stanowisko / Position ]],0))="n/a","n/a",BY77-INDEX(tab_MinKomp[Hardware (komputery PC, drukarki biurowe i etykietowe, telefonia stacjonarna i mobilna) (PC, Drucker, Telefpne, Handys)],MATCH($B77,tab_MinKomp[[Stanowisko / Position ]:[Stanowisko / Position ]],0)))</f>
        <v>n/a</v>
      </c>
      <c r="BZ78" s="387" t="str">
        <f>IF(INDEX(tab_MinKomp[Software &amp; Systems (MS Office, MS Remote Desktop)],MATCH($B77,tab_MinKomp[[Stanowisko / Position ]:[Stanowisko / Position ]],0))="n/a","n/a",BZ77-INDEX(tab_MinKomp[Software &amp; Systems (MS Office, MS Remote Desktop)],MATCH($B77,tab_MinKomp[[Stanowisko / Position ]:[Stanowisko / Position ]],0)))</f>
        <v>n/a</v>
      </c>
      <c r="CA78" s="387" t="str">
        <f>IF(INDEX(tab_MinKomp[Programowanie obiektowe (PHP) / Objektprogrammierung],MATCH($B77,tab_MinKomp[[Stanowisko / Position ]:[Stanowisko / Position ]],0))="n/a","n/a",CA77-INDEX(tab_MinKomp[Programowanie obiektowe (PHP) / Objektprogrammierung],MATCH($B77,tab_MinKomp[[Stanowisko / Position ]:[Stanowisko / Position ]],0)))</f>
        <v>n/a</v>
      </c>
      <c r="CB78" s="387" t="str">
        <f>IF(INDEX(tab_MinKomp[Scrum],MATCH($B77,tab_MinKomp[[Stanowisko / Position ]:[Stanowisko / Position ]],0))="n/a","n/a",CB77-INDEX(tab_MinKomp[Scrum],MATCH($B77,tab_MinKomp[[Stanowisko / Position ]:[Stanowisko / Position ]],0)))</f>
        <v>n/a</v>
      </c>
      <c r="CC78" s="387" t="str">
        <f>IF(INDEX(tab_MinKomp[SQL (MySQL)],MATCH($B77,tab_MinKomp[[Stanowisko / Position ]:[Stanowisko / Position ]],0))="n/a","n/a",CC77-INDEX(tab_MinKomp[SQL (MySQL)],MATCH($B77,tab_MinKomp[[Stanowisko / Position ]:[Stanowisko / Position ]],0)))</f>
        <v>n/a</v>
      </c>
      <c r="CD78" s="387" t="str">
        <f>IF(INDEX(tab_MinKomp[Javascript],MATCH($B77,tab_MinKomp[[Stanowisko / Position ]:[Stanowisko / Position ]],0))="n/a","n/a",CD77-INDEX(tab_MinKomp[Javascript],MATCH($B77,tab_MinKomp[[Stanowisko / Position ]:[Stanowisko / Position ]],0)))</f>
        <v>n/a</v>
      </c>
      <c r="CE78" s="387" t="str">
        <f>IF(INDEX(tab_MinKomp[Joomla],MATCH($B77,tab_MinKomp[[Stanowisko / Position ]:[Stanowisko / Position ]],0))="n/a","n/a",CE77-INDEX(tab_MinKomp[Joomla],MATCH($B77,tab_MinKomp[[Stanowisko / Position ]:[Stanowisko / Position ]],0)))</f>
        <v>n/a</v>
      </c>
      <c r="CF78" s="387" t="str">
        <f>IF(INDEX(tab_MinKomp[Bash],MATCH($B77,tab_MinKomp[[Stanowisko / Position ]:[Stanowisko / Position ]],0))="n/a","n/a",CF77-INDEX(tab_MinKomp[Bash],MATCH($B77,tab_MinKomp[[Stanowisko / Position ]:[Stanowisko / Position ]],0)))</f>
        <v>n/a</v>
      </c>
      <c r="CG78" s="387" t="str">
        <f>IF(INDEX(tab_MinKomp[Systemy MES (HYDRA / SFMS)],MATCH($B77,tab_MinKomp[[Stanowisko / Position ]:[Stanowisko / Position ]],0))="n/a","n/a",CG77-INDEX(tab_MinKomp[Systemy MES (HYDRA / SFMS)],MATCH($B77,tab_MinKomp[[Stanowisko / Position ]:[Stanowisko / Position ]],0)))</f>
        <v>n/a</v>
      </c>
      <c r="CH78" s="387" t="str">
        <f>IF(INDEX(tab_MinKomp[HTML / CSS],MATCH($B77,tab_MinKomp[[Stanowisko / Position ]:[Stanowisko / Position ]],0))="n/a","n/a",CH77-INDEX(tab_MinKomp[HTML / CSS],MATCH($B77,tab_MinKomp[[Stanowisko / Position ]:[Stanowisko / Position ]],0)))</f>
        <v>n/a</v>
      </c>
      <c r="CI78" s="387">
        <f>IF(INDEX(tab_MinKomp[SYSTEM PR],MATCH($B77,tab_MinKomp[[Stanowisko / Position ]:[Stanowisko / Position ]],0))="n/a","n/a",CI77-INDEX(tab_MinKomp[SYSTEM PR],MATCH($B77,tab_MinKomp[[Stanowisko / Position ]:[Stanowisko / Position ]],0)))</f>
        <v>-1</v>
      </c>
      <c r="CJ78" s="387" t="str">
        <f>IF(INDEX(tab_MinKomp[System Einkauf XP / EBA],MATCH($B77,tab_MinKomp[[Stanowisko / Position ]:[Stanowisko / Position ]],0))="n/a","n/a",CJ77-INDEX(tab_MinKomp[System Einkauf XP / EBA],MATCH($B77,tab_MinKomp[[Stanowisko / Position ]:[Stanowisko / Position ]],0)))</f>
        <v>n/a</v>
      </c>
      <c r="CK78" s="387" t="str">
        <f>IF(INDEX(tab_MinKomp[Techniki negocjacyjne / Verhandlungstechniken],MATCH($B77,tab_MinKomp[[Stanowisko / Position ]:[Stanowisko / Position ]],0))="n/a","n/a",CK77-INDEX(tab_MinKomp[Techniki negocjacyjne / Verhandlungstechniken],MATCH($B77,tab_MinKomp[[Stanowisko / Position ]:[Stanowisko / Position ]],0)))</f>
        <v>n/a</v>
      </c>
      <c r="CL78" s="387">
        <f>IF(INDEX(tab_MinKomp[Znajomość rynku branżowego / Kenntnis des Industrie Marktes],MATCH($B77,tab_MinKomp[[Stanowisko / Position ]:[Stanowisko / Position ]],0))="n/a","n/a",CL77-INDEX(tab_MinKomp[Znajomość rynku branżowego / Kenntnis des Industrie Marktes],MATCH($B77,tab_MinKomp[[Stanowisko / Position ]:[Stanowisko / Position ]],0)))</f>
        <v>-1</v>
      </c>
      <c r="CM78" s="387" t="str">
        <f>IF(INDEX(tab_MinKomp[RAPORTY 8D / 8D Berichten],MATCH($B77,tab_MinKomp[[Stanowisko / Position ]:[Stanowisko / Position ]],0))="n/a","n/a",CM77-INDEX(tab_MinKomp[RAPORTY 8D / 8D Berichten],MATCH($B77,tab_MinKomp[[Stanowisko / Position ]:[Stanowisko / Position ]],0)))</f>
        <v>n/a</v>
      </c>
      <c r="CN78" s="387">
        <f>IF(INDEX(tab_MinKomp[NARZĘDZIA JAKOŚCIOWE (5WHY, Ishikawa, etc) / QS-Werkzeuge],MATCH($B77,tab_MinKomp[[Stanowisko / Position ]:[Stanowisko / Position ]],0))="n/a","n/a",CN77-INDEX(tab_MinKomp[NARZĘDZIA JAKOŚCIOWE (5WHY, Ishikawa, etc) / QS-Werkzeuge],MATCH($B77,tab_MinKomp[[Stanowisko / Position ]:[Stanowisko / Position ]],0)))</f>
        <v>-2</v>
      </c>
      <c r="CO78" s="387">
        <f>IF(INDEX(tab_MinKomp[PDCA],MATCH($B77,tab_MinKomp[[Stanowisko / Position ]:[Stanowisko / Position ]],0))="n/a","n/a",CO77-INDEX(tab_MinKomp[PDCA],MATCH($B77,tab_MinKomp[[Stanowisko / Position ]:[Stanowisko / Position ]],0)))</f>
        <v>-2</v>
      </c>
      <c r="CP78" s="387">
        <f>IF(INDEX(tab_MinKomp[Pareto],MATCH($B77,tab_MinKomp[[Stanowisko / Position ]:[Stanowisko / Position ]],0))="n/a","n/a",CP77-INDEX(tab_MinKomp[Pareto],MATCH($B77,tab_MinKomp[[Stanowisko / Position ]:[Stanowisko / Position ]],0)))</f>
        <v>-2</v>
      </c>
      <c r="CQ78" s="387" t="str">
        <f>IF(INDEX(tab_MinKomp[PPAP/PSW],MATCH($B77,tab_MinKomp[[Stanowisko / Position ]:[Stanowisko / Position ]],0))="n/a","n/a",CQ77-INDEX(tab_MinKomp[PPAP/PSW],MATCH($B77,tab_MinKomp[[Stanowisko / Position ]:[Stanowisko / Position ]],0)))</f>
        <v>n/a</v>
      </c>
      <c r="CR78" s="387" t="str">
        <f>IF(INDEX(tab_MinKomp[SUPPLIER MANAGEMENT],MATCH($B77,tab_MinKomp[[Stanowisko / Position ]:[Stanowisko / Position ]],0))="n/a","n/a",CR77-INDEX(tab_MinKomp[SUPPLIER MANAGEMENT],MATCH($B77,tab_MinKomp[[Stanowisko / Position ]:[Stanowisko / Position ]],0)))</f>
        <v>n/a</v>
      </c>
      <c r="CS78" s="387" t="str">
        <f>IF(INDEX(tab_MinKomp[OBSŁUGA PORTALI KLIENTA / Kundenportale],MATCH($B77,tab_MinKomp[[Stanowisko / Position ]:[Stanowisko / Position ]],0))="n/a","n/a",CS77-INDEX(tab_MinKomp[OBSŁUGA PORTALI KLIENTA / Kundenportale],MATCH($B77,tab_MinKomp[[Stanowisko / Position ]:[Stanowisko / Position ]],0)))</f>
        <v>n/a</v>
      </c>
      <c r="CT78" s="387" t="str">
        <f>IF(INDEX(tab_MinKomp[Obsługa systemu BABTECQ / BABTECQ System],MATCH($B77,tab_MinKomp[[Stanowisko / Position ]:[Stanowisko / Position ]],0))="n/a","n/a",CT77-INDEX(tab_MinKomp[Obsługa systemu BABTECQ / BABTECQ System],MATCH($B77,tab_MinKomp[[Stanowisko / Position ]:[Stanowisko / Position ]],0)))</f>
        <v>n/a</v>
      </c>
      <c r="CU78" s="387">
        <f>IF(INDEX(tab_MinKomp[Rysunek techniczny / technische Zeichnung],MATCH($B77,tab_MinKomp[[Stanowisko / Position ]:[Stanowisko / Position ]],0))="n/a","n/a",CU77-INDEX(tab_MinKomp[Rysunek techniczny / technische Zeichnung],MATCH($B77,tab_MinKomp[[Stanowisko / Position ]:[Stanowisko / Position ]],0)))</f>
        <v>-2</v>
      </c>
      <c r="CV78" s="387" t="str">
        <f>IF(INDEX(tab_MinKomp[Kalibracja / Kalibrierung],MATCH($B77,tab_MinKomp[[Stanowisko / Position ]:[Stanowisko / Position ]],0))="n/a","n/a",CV77-INDEX(tab_MinKomp[Kalibracja / Kalibrierung],MATCH($B77,tab_MinKomp[[Stanowisko / Position ]:[Stanowisko / Position ]],0)))</f>
        <v>n/a</v>
      </c>
      <c r="CW78" s="387" t="str">
        <f>IF(INDEX(tab_MinKomp[Rekwalifikacja / Requalifizierung],MATCH($B77,tab_MinKomp[[Stanowisko / Position ]:[Stanowisko / Position ]],0))="n/a","n/a",CW77-INDEX(tab_MinKomp[Rekwalifikacja / Requalifizierung],MATCH($B77,tab_MinKomp[[Stanowisko / Position ]:[Stanowisko / Position ]],0)))</f>
        <v>n/a</v>
      </c>
      <c r="CX78" s="387" t="str">
        <f>IF(INDEX(tab_MinKomp[Obsługa mikroskopu optycznego / Bedienung eines optischen Mikroskops],MATCH($B77,tab_MinKomp[[Stanowisko / Position ]:[Stanowisko / Position ]],0))="n/a","n/a",CX77-INDEX(tab_MinKomp[Obsługa mikroskopu optycznego / Bedienung eines optischen Mikroskops],MATCH($B77,tab_MinKomp[[Stanowisko / Position ]:[Stanowisko / Position ]],0)))</f>
        <v>n/a</v>
      </c>
      <c r="CY78" s="387" t="str">
        <f>IF(INDEX(tab_MinKomp[Wykonywanie pomiarów optycznych - ocena wizualna / Optische Messungen durchführen – visuelle Beurteilung],MATCH($B77,tab_MinKomp[[Stanowisko / Position ]:[Stanowisko / Position ]],0))="n/a","n/a",CY77-INDEX(tab_MinKomp[Wykonywanie pomiarów optycznych - ocena wizualna / Optische Messungen durchführen – visuelle Beurteilung],MATCH($B77,tab_MinKomp[[Stanowisko / Position ]:[Stanowisko / Position ]],0)))</f>
        <v>n/a</v>
      </c>
      <c r="CZ78" s="387" t="str">
        <f>IF(INDEX(tab_MinKomp[Obsługa Rheometra / Rheometra-Unterstützung],MATCH($B77,tab_MinKomp[[Stanowisko / Position ]:[Stanowisko / Position ]],0))="n/a","n/a",CZ77-INDEX(tab_MinKomp[Obsługa Rheometra / Rheometra-Unterstützung],MATCH($B77,tab_MinKomp[[Stanowisko / Position ]:[Stanowisko / Position ]],0)))</f>
        <v>n/a</v>
      </c>
      <c r="DA78" s="387" t="str">
        <f>IF(INDEX(tab_MinKomp[Testy właściwości Rheometra mieszanki gumy],MATCH($B77,tab_MinKomp[[Stanowisko / Position ]:[Stanowisko / Position ]],0))="n/a","n/a",DA77-INDEX(tab_MinKomp[Testy właściwości Rheometra mieszanki gumy],MATCH($B77,tab_MinKomp[[Stanowisko / Position ]:[Stanowisko / Position ]],0)))</f>
        <v>n/a</v>
      </c>
      <c r="DB78" s="387" t="str">
        <f>IF(INDEX(tab_MinKomp[CMM - Contura Zeiss],MATCH($B77,tab_MinKomp[[Stanowisko / Position ]:[Stanowisko / Position ]],0))="n/a","n/a",DB77-INDEX(tab_MinKomp[CMM - Contura Zeiss],MATCH($B77,tab_MinKomp[[Stanowisko / Position ]:[Stanowisko / Position ]],0)))</f>
        <v>n/a</v>
      </c>
      <c r="DC78" s="387" t="str">
        <f>IF(INDEX(tab_MinKomp[Wykonywanie precyzyjnych pomiarów metrycznych, pomiary 3D],MATCH($B77,tab_MinKomp[[Stanowisko / Position ]:[Stanowisko / Position ]],0))="n/a","n/a",DC77-INDEX(tab_MinKomp[Wykonywanie precyzyjnych pomiarów metrycznych, pomiary 3D],MATCH($B77,tab_MinKomp[[Stanowisko / Position ]:[Stanowisko / Position ]],0)))</f>
        <v>n/a</v>
      </c>
      <c r="DD78" s="387" t="str">
        <f>IF(INDEX(tab_MinKomp[Pisanie programów / Programme schreiben],MATCH($B77,tab_MinKomp[[Stanowisko / Position ]:[Stanowisko / Position ]],0))="n/a","n/a",DD77-INDEX(tab_MinKomp[Pisanie programów / Programme schreiben],MATCH($B77,tab_MinKomp[[Stanowisko / Position ]:[Stanowisko / Position ]],0)))</f>
        <v>n/a</v>
      </c>
      <c r="DE78" s="387" t="str">
        <f>IF(INDEX(tab_MinKomp[Obsługa wyposażenia do testów czystości (myjka + analizator) / Betrieb von Sauberkeitsprüfgeräten (Waschmaschine + Analysegerät)],MATCH($B77,tab_MinKomp[[Stanowisko / Position ]:[Stanowisko / Position ]],0))="n/a","n/a",DE77-INDEX(tab_MinKomp[Obsługa wyposażenia do testów czystości (myjka + analizator) / Betrieb von Sauberkeitsprüfgeräten (Waschmaschine + Analysegerät)],MATCH($B77,tab_MinKomp[[Stanowisko / Position ]:[Stanowisko / Position ]],0)))</f>
        <v>n/a</v>
      </c>
      <c r="DF78" s="387" t="str">
        <f>IF(INDEX(tab_MinKomp[Testy czystości / Reinheitstests],MATCH($B77,tab_MinKomp[[Stanowisko / Position ]:[Stanowisko / Position ]],0))="n/a","n/a",DF77-INDEX(tab_MinKomp[Testy czystości / Reinheitstests],MATCH($B77,tab_MinKomp[[Stanowisko / Position ]:[Stanowisko / Position ]],0)))</f>
        <v>n/a</v>
      </c>
      <c r="DG78" s="387" t="str">
        <f>IF(INDEX(tab_MinKomp[Obsługa wysokościomierza / Unterstützung für Höhenmesser],MATCH($B77,tab_MinKomp[[Stanowisko / Position ]:[Stanowisko / Position ]],0))="n/a","n/a",DG77-INDEX(tab_MinKomp[Obsługa wysokościomierza / Unterstützung für Höhenmesser],MATCH($B77,tab_MinKomp[[Stanowisko / Position ]:[Stanowisko / Position ]],0)))</f>
        <v>n/a</v>
      </c>
      <c r="DH78" s="387" t="str">
        <f>IF(INDEX(tab_MinKomp[Pomiary wysokości materiału / Materialhöhenmessungen],MATCH($B77,tab_MinKomp[[Stanowisko / Position ]:[Stanowisko / Position ]],0))="n/a","n/a",DH77-INDEX(tab_MinKomp[Pomiary wysokości materiału / Materialhöhenmessungen],MATCH($B77,tab_MinKomp[[Stanowisko / Position ]:[Stanowisko / Position ]],0)))</f>
        <v>n/a</v>
      </c>
      <c r="DI78" s="387" t="str">
        <f>IF(INDEX(tab_MinKomp[Obsługa okrągłościomierza / Unterstützung für Rundheitsmessgeräte],MATCH($B77,tab_MinKomp[[Stanowisko / Position ]:[Stanowisko / Position ]],0))="n/a","n/a",DI77-INDEX(tab_MinKomp[Obsługa okrągłościomierza / Unterstützung für Rundheitsmessgeräte],MATCH($B77,tab_MinKomp[[Stanowisko / Position ]:[Stanowisko / Position ]],0)))</f>
        <v>n/a</v>
      </c>
      <c r="DJ78" s="387" t="str">
        <f>IF(INDEX(tab_MinKomp[Wykonywania pomiarów owalności, srednicy materiału / Messung der Ovalität und des Durchmessers des Materials],MATCH($B77,tab_MinKomp[[Stanowisko / Position ]:[Stanowisko / Position ]],0))="n/a","n/a",DJ77-INDEX(tab_MinKomp[Wykonywania pomiarów owalności, srednicy materiału / Messung der Ovalität und des Durchmessers des Materials],MATCH($B77,tab_MinKomp[[Stanowisko / Position ]:[Stanowisko / Position ]],0)))</f>
        <v>n/a</v>
      </c>
      <c r="DK78" s="387" t="str">
        <f>IF(INDEX(tab_MinKomp[Obsługa urządzenia do pomiarów chropowoatości powierzchni materiału],MATCH($B77,tab_MinKomp[[Stanowisko / Position ]:[Stanowisko / Position ]],0))="n/a","n/a",DK77-INDEX(tab_MinKomp[Obsługa urządzenia do pomiarów chropowoatości powierzchni materiału],MATCH($B77,tab_MinKomp[[Stanowisko / Position ]:[Stanowisko / Position ]],0)))</f>
        <v>n/a</v>
      </c>
      <c r="DL78" s="387" t="str">
        <f>IF(INDEX(tab_MinKomp[Wykonywanie pomiarów chropowatości powierzchni materiału / Durchführung von Messungen der Materialoberflächenrauheit],MATCH($B77,tab_MinKomp[[Stanowisko / Position ]:[Stanowisko / Position ]],0))="n/a","n/a",DL77-INDEX(tab_MinKomp[Wykonywanie pomiarów chropowatości powierzchni materiału / Durchführung von Messungen der Materialoberflächenrauheit],MATCH($B77,tab_MinKomp[[Stanowisko / Position ]:[Stanowisko / Position ]],0)))</f>
        <v>n/a</v>
      </c>
      <c r="DM78" s="387" t="str">
        <f>IF(INDEX(tab_MinKomp[Obsługa urządzenia do pomiaru siły radialnej części - postępowanie z trzpieniami. / Funktionsweise des Geräts zur Messung der Radialkraft von Teilen – Handhabungsstifte.],MATCH($B77,tab_MinKomp[[Stanowisko / Position ]:[Stanowisko / Position ]],0))="n/a","n/a",DM77-INDEX(tab_MinKomp[Obsługa urządzenia do pomiaru siły radialnej części - postępowanie z trzpieniami. / Funktionsweise des Geräts zur Messung der Radialkraft von Teilen – Handhabungsstifte.],MATCH($B77,tab_MinKomp[[Stanowisko / Position ]:[Stanowisko / Position ]],0)))</f>
        <v>n/a</v>
      </c>
      <c r="DN78" s="387" t="str">
        <f>IF(INDEX(tab_MinKomp[Wykonywanie pomiarów siły radialnej części / Führen Sie Radialkraftmessungen an Teilen durch],MATCH($B77,tab_MinKomp[[Stanowisko / Position ]:[Stanowisko / Position ]],0))="n/a","n/a",DN77-INDEX(tab_MinKomp[Wykonywanie pomiarów siły radialnej części / Führen Sie Radialkraftmessungen an Teilen durch],MATCH($B77,tab_MinKomp[[Stanowisko / Position ]:[Stanowisko / Position ]],0)))</f>
        <v>n/a</v>
      </c>
      <c r="DO78" s="387" t="str">
        <f>IF(INDEX(tab_MinKomp[Obsługa komory do testów wybuchwych / Betrieb einer Explosionsprüfkammer],MATCH($B77,tab_MinKomp[[Stanowisko / Position ]:[Stanowisko / Position ]],0))="n/a","n/a",DO77-INDEX(tab_MinKomp[Obsługa komory do testów wybuchwych / Betrieb einer Explosionsprüfkammer],MATCH($B77,tab_MinKomp[[Stanowisko / Position ]:[Stanowisko / Position ]],0)))</f>
        <v>n/a</v>
      </c>
      <c r="DP78" s="387" t="str">
        <f>IF(INDEX(tab_MinKomp[Wykonywanie testów wybuchowych części / Durchführung von Explosionstests an Teilen],MATCH($B77,tab_MinKomp[[Stanowisko / Position ]:[Stanowisko / Position ]],0))="n/a","n/a",DP77-INDEX(tab_MinKomp[Wykonywanie testów wybuchowych części / Durchführung von Explosionstests an Teilen],MATCH($B77,tab_MinKomp[[Stanowisko / Position ]:[Stanowisko / Position ]],0)))</f>
        <v>n/a</v>
      </c>
      <c r="DQ78" s="387" t="str">
        <f>IF(INDEX(tab_MinKomp[Obsługa urządzeń do mierzenia siły trzymania i/lub rozciągania / Betrieb von Geräten zur Messung der Halte- und/oder Dehnkraft],MATCH($B77,tab_MinKomp[[Stanowisko / Position ]:[Stanowisko / Position ]],0))="n/a","n/a",DQ77-INDEX(tab_MinKomp[Obsługa urządzeń do mierzenia siły trzymania i/lub rozciągania / Betrieb von Geräten zur Messung der Halte- und/oder Dehnkraft],MATCH($B77,tab_MinKomp[[Stanowisko / Position ]:[Stanowisko / Position ]],0)))</f>
        <v>n/a</v>
      </c>
      <c r="DR78" s="387" t="str">
        <f>IF(INDEX(tab_MinKomp[Wykonywanie testów mierzenia siły trzymania i/lub rozciągania / Durchführung von Tests zur Messung der Halte- und/oder Streckkraft],MATCH($B77,tab_MinKomp[[Stanowisko / Position ]:[Stanowisko / Position ]],0))="n/a","n/a",DR77-INDEX(tab_MinKomp[Wykonywanie testów mierzenia siły trzymania i/lub rozciągania / Durchführung von Tests zur Messung der Halte- und/oder Streckkraft],MATCH($B77,tab_MinKomp[[Stanowisko / Position ]:[Stanowisko / Position ]],0)))</f>
        <v>n/a</v>
      </c>
      <c r="DS78" s="387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Luftstrom)],MATCH($B77,tab_MinKomp[[Stanowisko / Position ]:[Stanowisko / Position ]],0))="n/a","n/a",DS77-INDEX(tab_MinKomp[Obsługa multimetru do pomiarów środowiskowych (temperatura, wilgotność, hałas, oświetlenie, przepływ powietrza) / Betrieb eines Multimeters für Umweltmessungen (Temperatur, Luftfeuchtigkeit, Lärm, Beleuchtung, Luftstrom)],MATCH($B77,tab_MinKomp[[Stanowisko / Position ]:[Stanowisko / Position ]],0)))</f>
        <v>n/a</v>
      </c>
      <c r="DT78" s="387" t="str">
        <f>IF(INDEX(tab_MinKomp[Kontrola warunków środowiskowych pracy (temperatura, wilgotność, hałas, oświetlenie, przepływ powietrza) / Kontrolle der Arbeitsumgebungsbedingungen (Temperatur, Luftfeuchtigkeit, Lärm, Beleuchtung, Luftstrom)],MATCH($B77,tab_MinKomp[[Stanowisko / Position ]:[Stanowisko / Position ]],0))="n/a","n/a",DT77-INDEX(tab_MinKomp[Kontrola warunków środowiskowych pracy (temperatura, wilgotność, hałas, oświetlenie, przepływ powietrza) / Kontrolle der Arbeitsumgebungsbedingungen (Temperatur, Luftfeuchtigkeit, Lärm, Beleuchtung, Luftstrom)],MATCH($B77,tab_MinKomp[[Stanowisko / Position ]:[Stanowisko / Position ]],0)))</f>
        <v>n/a</v>
      </c>
      <c r="DU78" s="387" t="str">
        <f>IF(INDEX(tab_MinKomp[MSA i SPC],MATCH($B77,tab_MinKomp[[Stanowisko / Position ]:[Stanowisko / Position ]],0))="n/a","n/a",DU77-INDEX(tab_MinKomp[MSA i SPC],MATCH($B77,tab_MinKomp[[Stanowisko / Position ]:[Stanowisko / Position ]],0)))</f>
        <v>n/a</v>
      </c>
      <c r="DV78" s="387" t="str">
        <f>IF(INDEX(tab_MinKomp[Kontrola wejściowa komponentów/ Eingangskontrolle],MATCH($B77,tab_MinKomp[[Stanowisko / Position ]:[Stanowisko / Position ]],0))="n/a","n/a",DV77-INDEX(tab_MinKomp[Kontrola wejściowa komponentów/ Eingangskontrolle],MATCH($B77,tab_MinKomp[[Stanowisko / Position ]:[Stanowisko / Position ]],0)))</f>
        <v>n/a</v>
      </c>
      <c r="DW78" s="387" t="str">
        <f>IF(INDEX(tab_MinKomp[Kontrola wyjściowa produktu / Ausgangskontrolle],MATCH($B77,tab_MinKomp[[Stanowisko / Position ]:[Stanowisko / Position ]],0))="n/a","n/a",DW77-INDEX(tab_MinKomp[Kontrola wyjściowa produktu / Ausgangskontrolle],MATCH($B77,tab_MinKomp[[Stanowisko / Position ]:[Stanowisko / Position ]],0)))</f>
        <v>n/a</v>
      </c>
      <c r="DX78" s="387" t="str">
        <f>IF(INDEX(tab_MinKomp[Kontrola codzienna produkcji / Tägliche Produktionskontrolle],MATCH($B77,tab_MinKomp[[Stanowisko / Position ]:[Stanowisko / Position ]],0))="n/a","n/a",DX77-INDEX(tab_MinKomp[Kontrola codzienna produkcji / Tägliche Produktionskontrolle],MATCH($B77,tab_MinKomp[[Stanowisko / Position ]:[Stanowisko / Position ]],0)))</f>
        <v>n/a</v>
      </c>
      <c r="DY78" s="387">
        <f>IF(INDEX(tab_MinKomp[Konserwacja Rep],MATCH($B77,tab_MinKomp[[Stanowisko / Position ]:[Stanowisko / Position ]],0))="n/a","n/a",DY77-INDEX(tab_MinKomp[Konserwacja Rep],MATCH($B77,tab_MinKomp[[Stanowisko / Position ]:[Stanowisko / Position ]],0)))</f>
        <v>-2</v>
      </c>
      <c r="DZ78" s="387">
        <f>IF(INDEX(tab_MinKomp[[Konserwacja Engel ]],MATCH($B77,tab_MinKomp[[Stanowisko / Position ]:[Stanowisko / Position ]],0))="n/a","n/a",DZ77-INDEX(tab_MinKomp[[Konserwacja Engel ]],MATCH($B77,tab_MinKomp[[Stanowisko / Position ]:[Stanowisko / Position ]],0)))</f>
        <v>-2</v>
      </c>
      <c r="EA78" s="387">
        <f>IF(INDEX(tab_MinKomp[Konserwacja B 50],MATCH($B77,tab_MinKomp[[Stanowisko / Position ]:[Stanowisko / Position ]],0))="n/a","n/a",EA77-INDEX(tab_MinKomp[Konserwacja B 50],MATCH($B77,tab_MinKomp[[Stanowisko / Position ]:[Stanowisko / Position ]],0)))</f>
        <v>-2</v>
      </c>
      <c r="EB78" s="387">
        <f>IF(INDEX(tab_MinKomp[[Konserwacja EOL ]],MATCH($B77,tab_MinKomp[[Stanowisko / Position ]:[Stanowisko / Position ]],0))="n/a","n/a",EB77-INDEX(tab_MinKomp[[Konserwacja EOL ]],MATCH($B77,tab_MinKomp[[Stanowisko / Position ]:[Stanowisko / Position ]],0)))</f>
        <v>-2</v>
      </c>
      <c r="EC78" s="387">
        <f>IF(INDEX(tab_MinKomp[Konserwacja Branson],MATCH($B77,tab_MinKomp[[Stanowisko / Position ]:[Stanowisko / Position ]],0))="n/a","n/a",EC77-INDEX(tab_MinKomp[Konserwacja Branson],MATCH($B77,tab_MinKomp[[Stanowisko / Position ]:[Stanowisko / Position ]],0)))</f>
        <v>-2</v>
      </c>
      <c r="ED78" s="387">
        <f>IF(INDEX(tab_MinKomp[Konserwacja coolery],MATCH($B77,tab_MinKomp[[Stanowisko / Position ]:[Stanowisko / Position ]],0))="n/a","n/a",ED77-INDEX(tab_MinKomp[Konserwacja coolery],MATCH($B77,tab_MinKomp[[Stanowisko / Position ]:[Stanowisko / Position ]],0)))</f>
        <v>-2</v>
      </c>
      <c r="EE78" s="387">
        <f>IF(INDEX(tab_MinKomp[Konserwacja piecy],MATCH($B77,tab_MinKomp[[Stanowisko / Position ]:[Stanowisko / Position ]],0))="n/a","n/a",EE77-INDEX(tab_MinKomp[Konserwacja piecy],MATCH($B77,tab_MinKomp[[Stanowisko / Position ]:[Stanowisko / Position ]],0)))</f>
        <v>-2</v>
      </c>
      <c r="EF78" s="387">
        <f>IF(INDEX(tab_MinKomp[Rysunek techniczny- czytanie],MATCH($B77,tab_MinKomp[[Stanowisko / Position ]:[Stanowisko / Position ]],0))="n/a","n/a",EF77-INDEX(tab_MinKomp[Rysunek techniczny- czytanie],MATCH($B77,tab_MinKomp[[Stanowisko / Position ]:[Stanowisko / Position ]],0)))</f>
        <v>-2</v>
      </c>
      <c r="EG78" s="387">
        <f>IF(INDEX(tab_MinKomp[Elektryka],MATCH($B77,tab_MinKomp[[Stanowisko / Position ]:[Stanowisko / Position ]],0))="n/a","n/a",EG77-INDEX(tab_MinKomp[Elektryka],MATCH($B77,tab_MinKomp[[Stanowisko / Position ]:[Stanowisko / Position ]],0)))</f>
        <v>-2</v>
      </c>
      <c r="EH78" s="387">
        <f>IF(INDEX(tab_MinKomp[Pneumatyka],MATCH($B77,tab_MinKomp[[Stanowisko / Position ]:[Stanowisko / Position ]],0))="n/a","n/a",EH77-INDEX(tab_MinKomp[Pneumatyka],MATCH($B77,tab_MinKomp[[Stanowisko / Position ]:[Stanowisko / Position ]],0)))</f>
        <v>-2</v>
      </c>
      <c r="EI78" s="387">
        <f>IF(INDEX(tab_MinKomp[[Hydraulika ]],MATCH($B77,tab_MinKomp[[Stanowisko / Position ]:[Stanowisko / Position ]],0))="n/a","n/a",EI77-INDEX(tab_MinKomp[[Hydraulika ]],MATCH($B77,tab_MinKomp[[Stanowisko / Position ]:[Stanowisko / Position ]],0)))</f>
        <v>-2</v>
      </c>
      <c r="EJ78" s="387">
        <f>IF(INDEX(tab_MinKomp[Podciśnienie],MATCH($B77,tab_MinKomp[[Stanowisko / Position ]:[Stanowisko / Position ]],0))="n/a","n/a",EJ77-INDEX(tab_MinKomp[Podciśnienie],MATCH($B77,tab_MinKomp[[Stanowisko / Position ]:[Stanowisko / Position ]],0)))</f>
        <v>-2</v>
      </c>
      <c r="EK78" s="387">
        <f>IF(INDEX(tab_MinKomp[Usuwanie awarii],MATCH($B77,tab_MinKomp[[Stanowisko / Position ]:[Stanowisko / Position ]],0))="n/a","n/a",EK77-INDEX(tab_MinKomp[Usuwanie awarii],MATCH($B77,tab_MinKomp[[Stanowisko / Position ]:[Stanowisko / Position ]],0)))</f>
        <v>-2</v>
      </c>
      <c r="EL78" s="387">
        <f>IF(INDEX(tab_MinKomp[Obsługa robotów],MATCH($B77,tab_MinKomp[[Stanowisko / Position ]:[Stanowisko / Position ]],0))="n/a","n/a",EL77-INDEX(tab_MinKomp[Obsługa robotów],MATCH($B77,tab_MinKomp[[Stanowisko / Position ]:[Stanowisko / Position ]],0)))</f>
        <v>-2</v>
      </c>
      <c r="EM78" s="387">
        <f>IF(INDEX(tab_MinKomp[Obsługa sterowania maszyny],MATCH($B77,tab_MinKomp[[Stanowisko / Position ]:[Stanowisko / Position ]],0))="n/a","n/a",EM77-INDEX(tab_MinKomp[Obsługa sterowania maszyny],MATCH($B77,tab_MinKomp[[Stanowisko / Position ]:[Stanowisko / Position ]],0)))</f>
        <v>-2</v>
      </c>
      <c r="EN78" s="387">
        <f>IF(INDEX(tab_MinKomp[Usuwanie przyczyn żródłowych],MATCH($B77,tab_MinKomp[[Stanowisko / Position ]:[Stanowisko / Position ]],0))="n/a","n/a",EN77-INDEX(tab_MinKomp[Usuwanie przyczyn żródłowych],MATCH($B77,tab_MinKomp[[Stanowisko / Position ]:[Stanowisko / Position ]],0)))</f>
        <v>-3</v>
      </c>
      <c r="EO78" s="387">
        <f>IF(INDEX(tab_MinKomp[Cmms stosowanie],MATCH($B77,tab_MinKomp[[Stanowisko / Position ]:[Stanowisko / Position ]],0))="n/a","n/a",EO77-INDEX(tab_MinKomp[Cmms stosowanie],MATCH($B77,tab_MinKomp[[Stanowisko / Position ]:[Stanowisko / Position ]],0)))</f>
        <v>-2</v>
      </c>
      <c r="EP78" s="387" t="str">
        <f>IF(INDEX(tab_MinKomp[[Czyszczenie form gumowych ]],MATCH($B77,tab_MinKomp[[Stanowisko / Position ]:[Stanowisko / Position ]],0))="n/a","n/a",EP77-INDEX(tab_MinKomp[[Czyszczenie form gumowych ]],MATCH($B77,tab_MinKomp[[Stanowisko / Position ]:[Stanowisko / Position ]],0)))</f>
        <v>n/a</v>
      </c>
      <c r="EQ78" s="387" t="str">
        <f>IF(INDEX(tab_MinKomp[Czyszczenie form plastikowych],MATCH($B77,tab_MinKomp[[Stanowisko / Position ]:[Stanowisko / Position ]],0))="n/a","n/a",EQ77-INDEX(tab_MinKomp[Czyszczenie form plastikowych],MATCH($B77,tab_MinKomp[[Stanowisko / Position ]:[Stanowisko / Position ]],0)))</f>
        <v>n/a</v>
      </c>
      <c r="ER78" s="387" t="str">
        <f>IF(INDEX(tab_MinKomp[Wymiana form plastik],MATCH($B77,tab_MinKomp[[Stanowisko / Position ]:[Stanowisko / Position ]],0))="n/a","n/a",ER77-INDEX(tab_MinKomp[Wymiana form plastik],MATCH($B77,tab_MinKomp[[Stanowisko / Position ]:[Stanowisko / Position ]],0)))</f>
        <v>n/a</v>
      </c>
      <c r="ES78" s="387" t="str">
        <f>IF(INDEX(tab_MinKomp[Wymiana form guma],MATCH($B77,tab_MinKomp[[Stanowisko / Position ]:[Stanowisko / Position ]],0))="n/a","n/a",ES77-INDEX(tab_MinKomp[Wymiana form guma],MATCH($B77,tab_MinKomp[[Stanowisko / Position ]:[Stanowisko / Position ]],0)))</f>
        <v>n/a</v>
      </c>
      <c r="ET78" s="387" t="str">
        <f>IF(INDEX(tab_MinKomp[Konserwacja KK],MATCH($B77,tab_MinKomp[[Stanowisko / Position ]:[Stanowisko / Position ]],0))="n/a","n/a",ET77-INDEX(tab_MinKomp[Konserwacja KK],MATCH($B77,tab_MinKomp[[Stanowisko / Position ]:[Stanowisko / Position ]],0)))</f>
        <v>n/a</v>
      </c>
      <c r="EU78" s="387" t="str">
        <f>IF(INDEX(tab_MinKomp[Konserwacja form guma],MATCH($B77,tab_MinKomp[[Stanowisko / Position ]:[Stanowisko / Position ]],0))="n/a","n/a",EU77-INDEX(tab_MinKomp[Konserwacja form guma],MATCH($B77,tab_MinKomp[[Stanowisko / Position ]:[Stanowisko / Position ]],0)))</f>
        <v>n/a</v>
      </c>
      <c r="EV78" s="387" t="str">
        <f>IF(INDEX(tab_MinKomp[Konserwacja form plastiki],MATCH($B77,tab_MinKomp[[Stanowisko / Position ]:[Stanowisko / Position ]],0))="n/a","n/a",EV77-INDEX(tab_MinKomp[Konserwacja form plastiki],MATCH($B77,tab_MinKomp[[Stanowisko / Position ]:[Stanowisko / Position ]],0)))</f>
        <v>n/a</v>
      </c>
      <c r="EW78" s="330" t="str">
        <f>IF(INDEX(tab_MinKomp[Konserwacja form plastiki],MATCH($B77,tab_MinKomp[[Stanowisko / Position ]:[Stanowisko / Position ]],0))="n/a","n/a",EW77-INDEX(tab_MinKomp[Konserwacja form plastiki],MATCH($B77,tab_MinKomp[[Stanowisko / Position ]:[Stanowisko / Position ]],0)))</f>
        <v>n/a</v>
      </c>
      <c r="EX78" s="387" t="str">
        <f>IF(INDEX(tab_MinKomp[Konserwacja Gorącego Kanału],MATCH($B77,tab_MinKomp[[Stanowisko / Position ]:[Stanowisko / Position ]],0))="n/a","n/a",EX77-INDEX(tab_MinKomp[Konserwacja Gorącego Kanału],MATCH($B77,tab_MinKomp[[Stanowisko / Position ]:[Stanowisko / Position ]],0)))</f>
        <v>n/a</v>
      </c>
      <c r="EY78" s="387">
        <f>IF(INDEX(tab_MinKomp[MS Office (Excel)],MATCH($B77,tab_MinKomp[[Stanowisko / Position ]:[Stanowisko / Position ]],0))="n/a","n/a",EY77-INDEX(tab_MinKomp[MS Office (Excel)],MATCH($B77,tab_MinKomp[[Stanowisko / Position ]:[Stanowisko / Position ]],0)))</f>
        <v>-1</v>
      </c>
      <c r="EZ78" s="387">
        <f>IF(INDEX(tab_MinKomp[MS Office (Word)],MATCH($B77,tab_MinKomp[[Stanowisko / Position ]:[Stanowisko / Position ]],0))="n/a","n/a",EZ77-INDEX(tab_MinKomp[MS Office (Word)],MATCH($B77,tab_MinKomp[[Stanowisko / Position ]:[Stanowisko / Position ]],0)))</f>
        <v>0</v>
      </c>
      <c r="FA78" s="387">
        <f>IF(INDEX(tab_MinKomp[MS Office (Power Point)],MATCH($B77,tab_MinKomp[[Stanowisko / Position ]:[Stanowisko / Position ]],0))="n/a","n/a",FA77-INDEX(tab_MinKomp[MS Office (Power Point)],MATCH($B77,tab_MinKomp[[Stanowisko / Position ]:[Stanowisko / Position ]],0)))</f>
        <v>-1</v>
      </c>
      <c r="FB78" s="387" t="str">
        <f>IF(INDEX(tab_MinKomp[Język angielski / Englisch],MATCH($B77,tab_MinKomp[[Stanowisko / Position ]:[Stanowisko / Position ]],0))="n/a","n/a",FB77-INDEX(tab_MinKomp[Język angielski / Englisch],MATCH($B77,tab_MinKomp[[Stanowisko / Position ]:[Stanowisko / Position ]],0)))</f>
        <v>n/a</v>
      </c>
      <c r="FC78" s="387" t="str">
        <f>IF(INDEX(tab_MinKomp[Język niemiecki / Deutsch],MATCH($B77,tab_MinKomp[[Stanowisko / Position ]:[Stanowisko / Position ]],0))="n/a","n/a",FC77-INDEX(tab_MinKomp[Język niemiecki / Deutsch],MATCH($B77,tab_MinKomp[[Stanowisko / Position ]:[Stanowisko / Position ]],0)))</f>
        <v>n/a</v>
      </c>
      <c r="FD78" s="387">
        <f>IF(INDEX(tab_MinKomp[Zarządzanie dokumentacją procesową / Process dokumentation management],MATCH($B77,tab_MinKomp[[Stanowisko / Position ]:[Stanowisko / Position ]],0))="n/a","n/a",FD77-INDEX(tab_MinKomp[Zarządzanie dokumentacją procesową / Process dokumentation management],MATCH($B77,tab_MinKomp[[Stanowisko / Position ]:[Stanowisko / Position ]],0)))</f>
        <v>-1</v>
      </c>
      <c r="FE78" s="387">
        <f>IF(INDEX(tab_MinKomp[Znajomość procesów z obszaru / Kenntiss der prozesse in dem Bereich],MATCH($B77,tab_MinKomp[[Stanowisko / Position ]:[Stanowisko / Position ]],0))="n/a","n/a",FE77-INDEX(tab_MinKomp[Znajomość procesów z obszaru / Kenntiss der prozesse in dem Bereich],MATCH($B77,tab_MinKomp[[Stanowisko / Position ]:[Stanowisko / Position ]],0)))</f>
        <v>-2</v>
      </c>
      <c r="FF78" s="387">
        <f>IF(INDEX(tab_MinKomp[optymalizacja procesów / Prozessoptymalisierung],MATCH($B77,tab_MinKomp[[Stanowisko / Position ]:[Stanowisko / Position ]],0))="n/a","n/a",FF77-INDEX(tab_MinKomp[optymalizacja procesów / Prozessoptymalisierung],MATCH($B77,tab_MinKomp[[Stanowisko / Position ]:[Stanowisko / Position ]],0)))</f>
        <v>-2</v>
      </c>
      <c r="FG78" s="387">
        <f>IF(INDEX(tab_MinKomp[Umiejętności szkoleniowe / Trainingsfähigkeiten],MATCH($B77,tab_MinKomp[[Stanowisko / Position ]:[Stanowisko / Position ]],0))="n/a","n/a",FG77-INDEX(tab_MinKomp[Umiejętności szkoleniowe / Trainingsfähigkeiten],MATCH($B77,tab_MinKomp[[Stanowisko / Position ]:[Stanowisko / Position ]],0)))</f>
        <v>-1</v>
      </c>
      <c r="FH78" s="387">
        <f>IF(INDEX(tab_MinKomp[Analityczne myślenie, podejście / Analitysches Denken, Einstellung],MATCH($B77,tab_MinKomp[[Stanowisko / Position ]:[Stanowisko / Position ]],0))="n/a","n/a",FH77-INDEX(tab_MinKomp[Analityczne myślenie, podejście / Analitysches Denken, Einstellung],MATCH($B77,tab_MinKomp[[Stanowisko / Position ]:[Stanowisko / Position ]],0)))</f>
        <v>-2</v>
      </c>
      <c r="FI78" s="387">
        <f>IF(INDEX(tab_MinKomp[Dokładność, precyzja w dzialaniu / Genauigkeit, Präzision in die Arbeit],MATCH($B77,tab_MinKomp[[Stanowisko / Position ]:[Stanowisko / Position ]],0))="n/a","n/a",FI77-INDEX(tab_MinKomp[Dokładność, precyzja w dzialaniu / Genauigkeit, Präzision in die Arbeit],MATCH($B77,tab_MinKomp[[Stanowisko / Position ]:[Stanowisko / Position ]],0)))</f>
        <v>-2</v>
      </c>
      <c r="FJ78" s="387">
        <f>IF(INDEX(tab_MinKomp[Dyspozycyjność / Verfügbarkeit],MATCH($B77,tab_MinKomp[[Stanowisko / Position ]:[Stanowisko / Position ]],0))="n/a","n/a",FJ77-INDEX(tab_MinKomp[Dyspozycyjność / Verfügbarkeit],MATCH($B77,tab_MinKomp[[Stanowisko / Position ]:[Stanowisko / Position ]],0)))</f>
        <v>-2</v>
      </c>
      <c r="FK78" s="387">
        <f>IF(INDEX(tab_MinKomp[Zaangażowanie / 
Engagement],MATCH($B77,tab_MinKomp[[Stanowisko / Position ]:[Stanowisko / Position ]],0))="n/a","n/a",FK77-INDEX(tab_MinKomp[Zaangażowanie / 
Engagement],MATCH($B77,tab_MinKomp[[Stanowisko / Position ]:[Stanowisko / Position ]],0)))</f>
        <v>-2</v>
      </c>
      <c r="FL78" s="387" t="str">
        <f>IF(INDEX(tab_MinKomp[Planowanie strategiczne / Strategische Planung],MATCH($B77,tab_MinKomp[[Stanowisko / Position ]:[Stanowisko / Position ]],0))="n/a","n/a",FL77-INDEX(tab_MinKomp[Planowanie strategiczne / Strategische Planung],MATCH($B77,tab_MinKomp[[Stanowisko / Position ]:[Stanowisko / Position ]],0)))</f>
        <v>n/a</v>
      </c>
      <c r="FM78" s="387">
        <f>IF(INDEX(tab_MinKomp[Konsekwentne i dynamiczne działanie],MATCH($B77,tab_MinKomp[[Stanowisko / Position ]:[Stanowisko / Position ]],0))="n/a","n/a",FM77-INDEX(tab_MinKomp[Konsekwentne i dynamiczne działanie],MATCH($B77,tab_MinKomp[[Stanowisko / Position ]:[Stanowisko / Position ]],0)))</f>
        <v>-2</v>
      </c>
      <c r="FN78" s="387">
        <f>IF(INDEX(tab_MinKomp[Elastyczność w działaniu],MATCH($B77,tab_MinKomp[[Stanowisko / Position ]:[Stanowisko / Position ]],0))="n/a","n/a",FN77-INDEX(tab_MinKomp[Elastyczność w działaniu],MATCH($B77,tab_MinKomp[[Stanowisko / Position ]:[Stanowisko / Position ]],0)))</f>
        <v>-2</v>
      </c>
      <c r="FO78" s="387">
        <f>IF(INDEX(tab_MinKomp[Komunikatywność],MATCH($B77,tab_MinKomp[[Stanowisko / Position ]:[Stanowisko / Position ]],0))="n/a","n/a",FO77-INDEX(tab_MinKomp[Komunikatywność],MATCH($B77,tab_MinKomp[[Stanowisko / Position ]:[Stanowisko / Position ]],0)))</f>
        <v>-2</v>
      </c>
      <c r="FP78" s="387" t="str">
        <f>IF(INDEX(tab_MinKomp[Motywowanie i budowanie zaangażowania zespołu],MATCH($B77,tab_MinKomp[[Stanowisko / Position ]:[Stanowisko / Position ]],0))="n/a","n/a",FP77-INDEX(tab_MinKomp[Motywowanie i budowanie zaangażowania zespołu],MATCH($B77,tab_MinKomp[[Stanowisko / Position ]:[Stanowisko / Position ]],0)))</f>
        <v>n/a</v>
      </c>
      <c r="FQ78" s="388" t="str">
        <f>IFERROR(IF(INDEX(tab_MinKomp[BRAK / Keine],MATCH($B77,tab_MinKomp[[Stanowisko / Position ]:[Stanowisko / Position ]],0))="n/a","n/a",INDEX(tab_MinKomp[BRAK / Keine],MATCH($B77,tab_MinKomp[[Stanowisko / Position ]:[Stanowisko / Position ]],0))-FQ77),"")</f>
        <v>n/a</v>
      </c>
      <c r="FR78" s="349" t="str">
        <f>IF(INDEX(tab_MinKomp[MINIMUM 1 ROK / min. 1 Jahr],MATCH($B77,tab_MinKomp[[Stanowisko / Position ]:[Stanowisko / Position ]],0))="n/a","n/a",INDEX(tab_MinKomp[MINIMUM 1 ROK / min. 1 Jahr],MATCH($B77,tab_MinKomp[[Stanowisko / Position ]:[Stanowisko / Position ]],0)))</f>
        <v>n/a</v>
      </c>
      <c r="FS78" s="349" t="str">
        <f>IF(INDEX(tab_MinKomp[MINIMUM 2 LATA / min. 2 Jahre],MATCH($B77,tab_MinKomp[[Stanowisko / Position ]:[Stanowisko / Position ]],0))="n/a","n/a",INDEX(tab_MinKomp[MINIMUM 2 LATA / min. 2 Jahre],MATCH($B77,tab_MinKomp[[Stanowisko / Position ]:[Stanowisko / Position ]],0)))</f>
        <v>n/a</v>
      </c>
      <c r="FT78" s="349" t="str">
        <f>IF(INDEX(tab_MinKomp[MINIMUM 3 LATA / min. 3 Jahre],MATCH($B77,tab_MinKomp[[Stanowisko / Position ]:[Stanowisko / Position ]],0))="n/a","n/a",INDEX(tab_MinKomp[MINIMUM 3 LATA / min. 3 Jahre],MATCH($B77,tab_MinKomp[[Stanowisko / Position ]:[Stanowisko / Position ]],0)))</f>
        <v>n/a</v>
      </c>
      <c r="FU78" s="349" t="str">
        <f>IF(INDEX(tab_MinKomp[MINIMUM 4 LATA / min. 4 Jahre],MATCH($B77,tab_MinKomp[[Stanowisko / Position ]:[Stanowisko / Position ]],0))="n/a","n/a",INDEX(tab_MinKomp[MINIMUM 4 LATA / min. 4 Jahre],MATCH($B77,tab_MinKomp[[Stanowisko / Position ]:[Stanowisko / Position ]],0)))</f>
        <v>n/a</v>
      </c>
      <c r="FV78" s="389" t="str">
        <f>IF(INDEX(tab_MinKomp[MINIMUM 5 LAT / min. 5 Jahre],MATCH($B77,tab_MinKomp[[Stanowisko / Position ]:[Stanowisko / Position ]],0))="n/a","n/a",INDEX(tab_MinKomp[MINIMUM 5 LAT / min. 5 Jahre],MATCH($B77,tab_MinKomp[[Stanowisko / Position ]:[Stanowisko / Position ]],0)))</f>
        <v>n/a</v>
      </c>
      <c r="FW78" s="388" t="str">
        <f>IF(INDEX(tab_MinKomp[BRAK / Keine9],MATCH($B77,tab_MinKomp[[Stanowisko / Position ]:[Stanowisko / Position ]],0))="n/a","n/a",INDEX(tab_MinKomp[BRAK / Keine9],MATCH($B77,tab_MinKomp[[Stanowisko / Position ]:[Stanowisko / Position ]],0)))</f>
        <v>n/a</v>
      </c>
      <c r="FX78" s="349" t="str">
        <f>IF(INDEX(tab_MinKomp[ZAWODOWE / Berufsausbildung],MATCH($B77,tab_MinKomp[[Stanowisko / Position ]:[Stanowisko / Position ]],0))="n/a","n/a",INDEX(tab_MinKomp[ZAWODOWE / Berufsausbildung],MATCH($B77,tab_MinKomp[[Stanowisko / Position ]:[Stanowisko / Position ]],0)))</f>
        <v>n/a</v>
      </c>
      <c r="FY78" s="349" t="str">
        <f>IF(INDEX(tab_MinKomp[ŚREDNIE OGÓLNE / Abitur allgemeine],MATCH($B77,tab_MinKomp[[Stanowisko / Position ]:[Stanowisko / Position ]],0))="n/a","n/a",INDEX(tab_MinKomp[ŚREDNIE OGÓLNE / Abitur allgemeine],MATCH($B77,tab_MinKomp[[Stanowisko / Position ]:[Stanowisko / Position ]],0)))</f>
        <v>n/a</v>
      </c>
      <c r="FZ78" s="349" t="str">
        <f>IF(INDEX(tab_MinKomp[ŚREDNIE KIERUNKOWE / berufliches Gymnasium],MATCH($B77,tab_MinKomp[[Stanowisko / Position ]:[Stanowisko / Position ]],0))="n/a","n/a",INDEX(tab_MinKomp[ŚREDNIE KIERUNKOWE / berufliches Gymnasium],MATCH($B77,tab_MinKomp[[Stanowisko / Position ]:[Stanowisko / Position ]],0)))</f>
        <v>n/a</v>
      </c>
      <c r="GA78" s="349" t="str">
        <f>IF(INDEX(tab_MinKomp[WYŻSZE OGÓLNE / Hochschule allgemeine],MATCH($B77,tab_MinKomp[[Stanowisko / Position ]:[Stanowisko / Position ]],0))="n/a","n/a",INDEX(tab_MinKomp[WYŻSZE OGÓLNE / Hochschule allgemeine],MATCH($B77,tab_MinKomp[[Stanowisko / Position ]:[Stanowisko / Position ]],0)))</f>
        <v>n/a</v>
      </c>
      <c r="GB78" s="389" t="str">
        <f>IF(INDEX(tab_MinKomp[WYŻSZE KIERUNKOWE / Hochschule berufliche],MATCH($B77,tab_MinKomp[[Stanowisko / Position ]:[Stanowisko / Position ]],0))="n/a","n/a",INDEX(tab_MinKomp[WYŻSZE KIERUNKOWE / Hochschule berufliche],MATCH($B77,tab_MinKomp[[Stanowisko / Position ]:[Stanowisko / Position ]],0)))</f>
        <v>n/a</v>
      </c>
      <c r="GC78" s="388" t="str">
        <f>IF(INDEX(tab_MinKomp[PIERWSZA POMOC / Erste Hilfe],MATCH($B77,tab_MinKomp[[Stanowisko / Position ]:[Stanowisko / Position ]],0))="n/a","n/a",INDEX(tab_MinKomp[PIERWSZA POMOC / Erste Hilfe],MATCH($B77,tab_MinKomp[[Stanowisko / Position ]:[Stanowisko / Position ]],0)))</f>
        <v>n/a</v>
      </c>
      <c r="GD78" s="349" t="str">
        <f>IF(INDEX(tab_MinKomp[Specjalista BHP / BHP Spezialist],MATCH($B77,tab_MinKomp[[Stanowisko / Position ]:[Stanowisko / Position ]],0))="n/a","n/a",INDEX(tab_MinKomp[Specjalista BHP / BHP Spezialist],MATCH($B77,tab_MinKomp[[Stanowisko / Position ]:[Stanowisko / Position ]],0)))</f>
        <v>n/a</v>
      </c>
      <c r="GE78" s="349" t="str">
        <f>IF(INDEX(tab_MinKomp[Inspektor ochrony PPOŻ / Brandschutzinspektor],MATCH($B77,tab_MinKomp[[Stanowisko / Position ]:[Stanowisko / Position ]],0))="n/a","n/a",INDEX(tab_MinKomp[Inspektor ochrony PPOŻ / Brandschutzinspektor],MATCH($B77,tab_MinKomp[[Stanowisko / Position ]:[Stanowisko / Position ]],0)))</f>
        <v>n/a</v>
      </c>
      <c r="GF78" s="349" t="str">
        <f>IF(INDEX(tab_MinKomp[WÓZKI JEZDNIOWE / Gebelstapler],MATCH($B77,tab_MinKomp[[Stanowisko / Position ]:[Stanowisko / Position ]],0))="n/a","n/a",INDEX(tab_MinKomp[WÓZKI JEZDNIOWE / Gebelstapler],MATCH($B77,tab_MinKomp[[Stanowisko / Position ]:[Stanowisko / Position ]],0)))</f>
        <v>x</v>
      </c>
      <c r="GG78" s="349" t="str">
        <f>IF(INDEX(tab_MinKomp[SEP],MATCH($B77,tab_MinKomp[[Stanowisko / Position ]:[Stanowisko / Position ]],0))="n/a","n/a",INDEX(tab_MinKomp[SEP],MATCH($B77,tab_MinKomp[[Stanowisko / Position ]:[Stanowisko / Position ]],0)))</f>
        <v>x</v>
      </c>
      <c r="GH78" s="349" t="str">
        <f>IF(INDEX(tab_MinKomp[SEP  DOZÓR / SEP Aufsicht],MATCH($B77,tab_MinKomp[[Stanowisko / Position ]:[Stanowisko / Position ]],0))="n/a","n/a",INDEX(tab_MinKomp[SEP  DOZÓR / SEP Aufsicht],MATCH($B77,tab_MinKomp[[Stanowisko / Position ]:[Stanowisko / Position ]],0)))</f>
        <v>n/a</v>
      </c>
      <c r="GI78" s="349" t="str">
        <f>IF(INDEX(tab_MinKomp[PODNOŚNIKI / Hebevorrichtung],MATCH($B77,tab_MinKomp[[Stanowisko / Position ]:[Stanowisko / Position ]],0))="n/a","n/a",INDEX(tab_MinKomp[PODNOŚNIKI / Hebevorrichtung],MATCH($B77,tab_MinKomp[[Stanowisko / Position ]:[Stanowisko / Position ]],0)))</f>
        <v>x</v>
      </c>
      <c r="GJ78" s="349" t="str">
        <f>IF(INDEX(tab_MinKomp[SUWNICE / Laufkran],MATCH($B77,tab_MinKomp[[Stanowisko / Position ]:[Stanowisko / Position ]],0))="n/a","n/a",INDEX(tab_MinKomp[SUWNICE / Laufkran],MATCH($B77,tab_MinKomp[[Stanowisko / Position ]:[Stanowisko / Position ]],0)))</f>
        <v>n/a</v>
      </c>
      <c r="GK78" s="389" t="str">
        <f>IF(INDEX(tab_MinKomp[WYSOKOŚCIOWE / Höhenberechtigungen],MATCH($B77,tab_MinKomp[[Stanowisko / Position ]:[Stanowisko / Position ]],0))="n/a","n/a",INDEX(tab_MinKomp[WYSOKOŚCIOWE / Höhenberechtigungen],MATCH($B77,tab_MinKomp[[Stanowisko / Position ]:[Stanowisko / Position ]],0)))</f>
        <v>x</v>
      </c>
      <c r="GL78" s="320">
        <f>SUM(G78:FP78)/(GL77-(SUM(G78:FP78)))</f>
        <v>-0.95833333333333337</v>
      </c>
      <c r="GM78" s="132"/>
    </row>
    <row r="79" spans="1:195" s="197" customFormat="1" ht="28.35" customHeight="1" x14ac:dyDescent="0.25">
      <c r="A79" s="135" t="s">
        <v>181</v>
      </c>
      <c r="B79" s="135" t="s">
        <v>214</v>
      </c>
      <c r="C79" s="135" t="s">
        <v>613</v>
      </c>
      <c r="D79" s="135">
        <v>1375</v>
      </c>
      <c r="E79" s="563" t="s">
        <v>589</v>
      </c>
      <c r="F79" s="452" t="s">
        <v>165</v>
      </c>
      <c r="G79" s="323"/>
      <c r="H79" s="323"/>
      <c r="I79" s="323"/>
      <c r="J79" s="323"/>
      <c r="K79" s="323"/>
      <c r="L79" s="323"/>
      <c r="M79" s="323" t="s">
        <v>176</v>
      </c>
      <c r="N79" s="323" t="s">
        <v>176</v>
      </c>
      <c r="O79" s="323"/>
      <c r="P79" s="323"/>
      <c r="Q79" s="323" t="s">
        <v>176</v>
      </c>
      <c r="R79" s="323" t="s">
        <v>176</v>
      </c>
      <c r="S79" s="323"/>
      <c r="T79" s="323"/>
      <c r="U79" s="323" t="s">
        <v>176</v>
      </c>
      <c r="V79" s="323" t="s">
        <v>176</v>
      </c>
      <c r="W79" s="323" t="s">
        <v>176</v>
      </c>
      <c r="X79" s="323" t="s">
        <v>176</v>
      </c>
      <c r="Y79" s="323" t="s">
        <v>176</v>
      </c>
      <c r="Z79" s="323" t="s">
        <v>176</v>
      </c>
      <c r="AA79" s="323" t="s">
        <v>176</v>
      </c>
      <c r="AB79" s="323"/>
      <c r="AC79" s="323"/>
      <c r="AD79" s="323"/>
      <c r="AE79" s="323"/>
      <c r="AF79" s="323"/>
      <c r="AG79" s="323" t="s">
        <v>176</v>
      </c>
      <c r="AH79" s="323" t="s">
        <v>176</v>
      </c>
      <c r="AI79" s="323" t="s">
        <v>176</v>
      </c>
      <c r="AJ79" s="323" t="s">
        <v>176</v>
      </c>
      <c r="AK79" s="323" t="s">
        <v>176</v>
      </c>
      <c r="AL79" s="323"/>
      <c r="AM79" s="323"/>
      <c r="AN79" s="323" t="s">
        <v>176</v>
      </c>
      <c r="AO79" s="323" t="s">
        <v>176</v>
      </c>
      <c r="AP79" s="323" t="s">
        <v>176</v>
      </c>
      <c r="AQ79" s="323" t="s">
        <v>176</v>
      </c>
      <c r="AR79" s="323" t="s">
        <v>176</v>
      </c>
      <c r="AS79" s="323" t="s">
        <v>176</v>
      </c>
      <c r="AT79" s="323" t="s">
        <v>176</v>
      </c>
      <c r="AU79" s="323" t="s">
        <v>176</v>
      </c>
      <c r="AV79" s="323"/>
      <c r="AW79" s="323"/>
      <c r="AX79" s="323"/>
      <c r="AY79" s="323" t="s">
        <v>176</v>
      </c>
      <c r="AZ79" s="323" t="s">
        <v>176</v>
      </c>
      <c r="BA79" s="323" t="s">
        <v>176</v>
      </c>
      <c r="BB79" s="323"/>
      <c r="BC79" s="323" t="s">
        <v>176</v>
      </c>
      <c r="BD79" s="323" t="s">
        <v>176</v>
      </c>
      <c r="BE79" s="323" t="s">
        <v>176</v>
      </c>
      <c r="BF79" s="323" t="s">
        <v>176</v>
      </c>
      <c r="BG79" s="323" t="s">
        <v>176</v>
      </c>
      <c r="BH79" s="323" t="s">
        <v>176</v>
      </c>
      <c r="BI79" s="323" t="s">
        <v>176</v>
      </c>
      <c r="BJ79" s="323" t="s">
        <v>176</v>
      </c>
      <c r="BK79" s="323" t="s">
        <v>176</v>
      </c>
      <c r="BL79" s="323" t="s">
        <v>176</v>
      </c>
      <c r="BM79" s="323"/>
      <c r="BN79" s="323"/>
      <c r="BO79" s="323"/>
      <c r="BP79" s="323"/>
      <c r="BQ79" s="323"/>
      <c r="BR79" s="323"/>
      <c r="BS79" s="323"/>
      <c r="BT79" s="323"/>
      <c r="BU79" s="323"/>
      <c r="BV79" s="323"/>
      <c r="BW79" s="323" t="s">
        <v>176</v>
      </c>
      <c r="BX79" s="323" t="s">
        <v>176</v>
      </c>
      <c r="BY79" s="323" t="s">
        <v>176</v>
      </c>
      <c r="BZ79" s="323" t="s">
        <v>176</v>
      </c>
      <c r="CA79" s="323" t="s">
        <v>176</v>
      </c>
      <c r="CB79" s="323" t="s">
        <v>176</v>
      </c>
      <c r="CC79" s="323" t="s">
        <v>176</v>
      </c>
      <c r="CD79" s="323" t="s">
        <v>176</v>
      </c>
      <c r="CE79" s="323" t="s">
        <v>176</v>
      </c>
      <c r="CF79" s="323" t="s">
        <v>176</v>
      </c>
      <c r="CG79" s="323" t="s">
        <v>176</v>
      </c>
      <c r="CH79" s="323" t="s">
        <v>176</v>
      </c>
      <c r="CI79" s="323"/>
      <c r="CJ79" s="323" t="s">
        <v>176</v>
      </c>
      <c r="CK79" s="323" t="s">
        <v>176</v>
      </c>
      <c r="CL79" s="323"/>
      <c r="CM79" s="323" t="s">
        <v>176</v>
      </c>
      <c r="CN79" s="323"/>
      <c r="CO79" s="323"/>
      <c r="CP79" s="323"/>
      <c r="CQ79" s="323" t="s">
        <v>176</v>
      </c>
      <c r="CR79" s="323"/>
      <c r="CS79" s="323" t="s">
        <v>176</v>
      </c>
      <c r="CT79" s="323" t="s">
        <v>176</v>
      </c>
      <c r="CU79" s="323"/>
      <c r="CV79" s="323" t="s">
        <v>176</v>
      </c>
      <c r="CW79" s="323" t="s">
        <v>176</v>
      </c>
      <c r="CX79" s="323" t="s">
        <v>176</v>
      </c>
      <c r="CY79" s="323" t="s">
        <v>176</v>
      </c>
      <c r="CZ79" s="323" t="s">
        <v>176</v>
      </c>
      <c r="DA79" s="323" t="s">
        <v>176</v>
      </c>
      <c r="DB79" s="323" t="s">
        <v>176</v>
      </c>
      <c r="DC79" s="323" t="s">
        <v>176</v>
      </c>
      <c r="DD79" s="323" t="s">
        <v>176</v>
      </c>
      <c r="DE79" s="323" t="s">
        <v>176</v>
      </c>
      <c r="DF79" s="323" t="s">
        <v>176</v>
      </c>
      <c r="DG79" s="323" t="s">
        <v>176</v>
      </c>
      <c r="DH79" s="323" t="s">
        <v>176</v>
      </c>
      <c r="DI79" s="323" t="s">
        <v>176</v>
      </c>
      <c r="DJ79" s="323" t="s">
        <v>176</v>
      </c>
      <c r="DK79" s="323" t="s">
        <v>176</v>
      </c>
      <c r="DL79" s="323" t="s">
        <v>176</v>
      </c>
      <c r="DM79" s="323" t="s">
        <v>176</v>
      </c>
      <c r="DN79" s="323" t="s">
        <v>176</v>
      </c>
      <c r="DO79" s="323" t="s">
        <v>176</v>
      </c>
      <c r="DP79" s="323" t="s">
        <v>176</v>
      </c>
      <c r="DQ79" s="323" t="s">
        <v>176</v>
      </c>
      <c r="DR79" s="323" t="s">
        <v>176</v>
      </c>
      <c r="DS79" s="323" t="s">
        <v>176</v>
      </c>
      <c r="DT79" s="323" t="s">
        <v>176</v>
      </c>
      <c r="DU79" s="323"/>
      <c r="DV79" s="323" t="s">
        <v>176</v>
      </c>
      <c r="DW79" s="323" t="s">
        <v>176</v>
      </c>
      <c r="DX79" s="323" t="s">
        <v>176</v>
      </c>
      <c r="DY79" s="323"/>
      <c r="DZ79" s="323"/>
      <c r="EA79" s="323"/>
      <c r="EB79" s="323"/>
      <c r="EC79" s="323"/>
      <c r="ED79" s="323"/>
      <c r="EE79" s="323"/>
      <c r="EF79" s="323"/>
      <c r="EG79" s="323"/>
      <c r="EH79" s="323"/>
      <c r="EI79" s="323"/>
      <c r="EJ79" s="323"/>
      <c r="EK79" s="323"/>
      <c r="EL79" s="323"/>
      <c r="EM79" s="323"/>
      <c r="EN79" s="323"/>
      <c r="EO79" s="323"/>
      <c r="EP79" s="323" t="s">
        <v>176</v>
      </c>
      <c r="EQ79" s="323" t="s">
        <v>176</v>
      </c>
      <c r="ER79" s="323" t="s">
        <v>176</v>
      </c>
      <c r="ES79" s="323" t="s">
        <v>176</v>
      </c>
      <c r="ET79" s="323" t="s">
        <v>176</v>
      </c>
      <c r="EU79" s="323" t="s">
        <v>176</v>
      </c>
      <c r="EV79" s="323" t="s">
        <v>176</v>
      </c>
      <c r="EW79" s="308" t="s">
        <v>176</v>
      </c>
      <c r="EX79" s="323" t="s">
        <v>176</v>
      </c>
      <c r="EY79" s="323"/>
      <c r="EZ79" s="323"/>
      <c r="FA79" s="323"/>
      <c r="FB79" s="323" t="s">
        <v>176</v>
      </c>
      <c r="FC79" s="323" t="s">
        <v>176</v>
      </c>
      <c r="FD79" s="323"/>
      <c r="FE79" s="323"/>
      <c r="FF79" s="323"/>
      <c r="FG79" s="323"/>
      <c r="FH79" s="323"/>
      <c r="FI79" s="323"/>
      <c r="FJ79" s="323"/>
      <c r="FK79" s="323"/>
      <c r="FL79" s="323"/>
      <c r="FM79" s="323"/>
      <c r="FN79" s="323"/>
      <c r="FO79" s="323"/>
      <c r="FP79" s="323"/>
      <c r="FQ79" s="308" t="s">
        <v>176</v>
      </c>
      <c r="FR79" s="308" t="s">
        <v>176</v>
      </c>
      <c r="FS79" s="308" t="s">
        <v>176</v>
      </c>
      <c r="FT79" s="308" t="s">
        <v>176</v>
      </c>
      <c r="FU79" s="308" t="s">
        <v>176</v>
      </c>
      <c r="FV79" s="308" t="s">
        <v>176</v>
      </c>
      <c r="FW79" s="308" t="s">
        <v>176</v>
      </c>
      <c r="FX79" s="443"/>
      <c r="FY79" s="308" t="s">
        <v>176</v>
      </c>
      <c r="FZ79" s="308" t="s">
        <v>176</v>
      </c>
      <c r="GA79" s="308" t="s">
        <v>176</v>
      </c>
      <c r="GB79" s="308" t="s">
        <v>176</v>
      </c>
      <c r="GC79" s="308" t="s">
        <v>176</v>
      </c>
      <c r="GD79" s="308" t="s">
        <v>176</v>
      </c>
      <c r="GE79" s="308" t="s">
        <v>176</v>
      </c>
      <c r="GF79" s="443"/>
      <c r="GG79" s="443"/>
      <c r="GH79" s="308" t="s">
        <v>176</v>
      </c>
      <c r="GI79" s="308" t="s">
        <v>176</v>
      </c>
      <c r="GJ79" s="443"/>
      <c r="GK79" s="308" t="s">
        <v>176</v>
      </c>
      <c r="GL79" s="390">
        <f>SUM(G79:FP79)</f>
        <v>0</v>
      </c>
      <c r="GM79" s="132"/>
    </row>
    <row r="80" spans="1:195" s="197" customFormat="1" ht="28.35" customHeight="1" thickBot="1" x14ac:dyDescent="0.3">
      <c r="A80" s="138" t="str">
        <f>A79</f>
        <v>Utrzymanie ruchu-Maintenance</v>
      </c>
      <c r="B80" s="138" t="str">
        <f>B79</f>
        <v>Teamleader Utrzymania Ruchu</v>
      </c>
      <c r="C80" s="138" t="str">
        <f>C79</f>
        <v>KS</v>
      </c>
      <c r="D80" s="138">
        <f>D79</f>
        <v>1375</v>
      </c>
      <c r="E80" s="564"/>
      <c r="F80" s="312" t="s">
        <v>166</v>
      </c>
      <c r="G80" s="341">
        <f>IF(INDEX(tab_MinKomp[Przepisy BHP / BHP Vorschriften],MATCH($B79,tab_MinKomp[[Stanowisko / Position ]:[Stanowisko / Position ]],0))="n/a","n/a",G79-INDEX(tab_MinKomp[Przepisy BHP / BHP Vorschriften],MATCH($B79,tab_MinKomp[[Stanowisko / Position ]:[Stanowisko / Position ]],0)))</f>
        <v>-2</v>
      </c>
      <c r="H80" s="342">
        <f>IF(INDEX(tab_MinKomp[Przepisy PPOŻ / Brandschutzbestimmungen],MATCH($B79,tab_MinKomp[[Stanowisko / Position ]:[Stanowisko / Position ]],0))="n/a","n/a",H79-INDEX(tab_MinKomp[Przepisy PPOŻ / Brandschutzbestimmungen],MATCH($B79,tab_MinKomp[[Stanowisko / Position ]:[Stanowisko / Position ]],0)))</f>
        <v>-2</v>
      </c>
      <c r="I80" s="342">
        <f>IF(INDEX(tab_MinKomp[Ryzyko zawodowe na stanowiskach pracyv/ Berufliche Risiken an Arbeitsstellen],MATCH($B79,tab_MinKomp[[Stanowisko / Position ]:[Stanowisko / Position ]],0))="n/a","n/a",I79-INDEX(tab_MinKomp[Ryzyko zawodowe na stanowiskach pracyv/ Berufliche Risiken an Arbeitsstellen],MATCH($B79,tab_MinKomp[[Stanowisko / Position ]:[Stanowisko / Position ]],0)))</f>
        <v>-2</v>
      </c>
      <c r="J80" s="342">
        <f>IF(INDEX(tab_MinKomp[Gospodarka substancjami niebezpiecznymi / Gefahrstoffmanagement],MATCH($B79,tab_MinKomp[[Stanowisko / Position ]:[Stanowisko / Position ]],0))="n/a","n/a",J79-INDEX(tab_MinKomp[Gospodarka substancjami niebezpiecznymi / Gefahrstoffmanagement],MATCH($B79,tab_MinKomp[[Stanowisko / Position ]:[Stanowisko / Position ]],0)))</f>
        <v>-2</v>
      </c>
      <c r="K80" s="342">
        <f>IF(INDEX(tab_MinKomp[Gospodarka odpadami / Abfallwirtschaft],MATCH($B79,tab_MinKomp[[Stanowisko / Position ]:[Stanowisko / Position ]],0))="n/a","n/a",K79-INDEX(tab_MinKomp[Gospodarka odpadami / Abfallwirtschaft],MATCH($B79,tab_MinKomp[[Stanowisko / Position ]:[Stanowisko / Position ]],0)))</f>
        <v>-2</v>
      </c>
      <c r="L80" s="343">
        <f>IF(INDEX(tab_MinKomp[Przepisy kodeksu pracy / Bestimmungen des Arbeitsgesetzes],MATCH($B79,tab_MinKomp[[Stanowisko / Position ]:[Stanowisko / Position ]],0))="n/a","n/a",L79-INDEX(tab_MinKomp[Przepisy kodeksu pracy / Bestimmungen des Arbeitsgesetzes],MATCH($B79,tab_MinKomp[[Stanowisko / Position ]:[Stanowisko / Position ]],0)))</f>
        <v>-1</v>
      </c>
      <c r="M80" s="343" t="str">
        <f>IF(INDEX(tab_MinKomp[Przepisy o ub.społ. ZUS  / Sozialversicherungsvorschriften],MATCH($B79,tab_MinKomp[[Stanowisko / Position ]:[Stanowisko / Position ]],0))="n/a","n/a",M79-INDEX(tab_MinKomp[Przepisy o ub.społ. ZUS  / Sozialversicherungsvorschriften],MATCH($B79,tab_MinKomp[[Stanowisko / Position ]:[Stanowisko / Position ]],0)))</f>
        <v>n/a</v>
      </c>
      <c r="N80" s="343" t="str">
        <f>IF(INDEX(tab_MinKomp[PRZEPISY O PDOF /persönlich Einkommensteuergesetz ],MATCH($B79,tab_MinKomp[[Stanowisko / Position ]:[Stanowisko / Position ]],0))="n/a","n/a",N79-INDEX(tab_MinKomp[PRZEPISY O PDOF /persönlich Einkommensteuergesetz ],MATCH($B79,tab_MinKomp[[Stanowisko / Position ]:[Stanowisko / Position ]],0)))</f>
        <v>n/a</v>
      </c>
      <c r="O80" s="343">
        <f>IF(INDEX(tab_MinKomp[Regulamin pracy / Arbeitsordnung],MATCH($B79,tab_MinKomp[[Stanowisko / Position ]:[Stanowisko / Position ]],0))="n/a","n/a",O79-INDEX(tab_MinKomp[Regulamin pracy / Arbeitsordnung],MATCH($B79,tab_MinKomp[[Stanowisko / Position ]:[Stanowisko / Position ]],0)))</f>
        <v>-2</v>
      </c>
      <c r="P80" s="343">
        <f>IF(INDEX(tab_MinKomp[Regulamin wynagradzania / Vergütungsordnung],MATCH($B79,tab_MinKomp[[Stanowisko / Position ]:[Stanowisko / Position ]],0))="n/a","n/a",P79-INDEX(tab_MinKomp[Regulamin wynagradzania / Vergütungsordnung],MATCH($B79,tab_MinKomp[[Stanowisko / Position ]:[Stanowisko / Position ]],0)))</f>
        <v>-1</v>
      </c>
      <c r="Q80" s="343" t="str">
        <f>IF(INDEX(tab_MinKomp[System R2PŁATNIK PRO: Płace / Lohnabrechnung],MATCH($B79,tab_MinKomp[[Stanowisko / Position ]:[Stanowisko / Position ]],0))="n/a","n/a",Q79-INDEX(tab_MinKomp[System R2PŁATNIK PRO: Płace / Lohnabrechnung],MATCH($B79,tab_MinKomp[[Stanowisko / Position ]:[Stanowisko / Position ]],0)))</f>
        <v>n/a</v>
      </c>
      <c r="R80" s="343" t="str">
        <f>IF(INDEX(tab_MinKomp[SystemR2PŁATNIK PRO: KADRY / Personaldaten],MATCH($B79,tab_MinKomp[[Stanowisko / Position ]:[Stanowisko / Position ]],0))="n/a","n/a",R79-INDEX(tab_MinKomp[SystemR2PŁATNIK PRO: KADRY / Personaldaten],MATCH($B79,tab_MinKomp[[Stanowisko / Position ]:[Stanowisko / Position ]],0)))</f>
        <v>n/a</v>
      </c>
      <c r="S80" s="343">
        <f>IF(INDEX(tab_MinKomp[SYSTEM R2PŁATNIK PRO: zarządzanie pracownikami / Arbeitsverwaltung],MATCH($B79,tab_MinKomp[[Stanowisko / Position ]:[Stanowisko / Position ]],0))="n/a","n/a",S79-INDEX(tab_MinKomp[SYSTEM R2PŁATNIK PRO: zarządzanie pracownikami / Arbeitsverwaltung],MATCH($B79,tab_MinKomp[[Stanowisko / Position ]:[Stanowisko / Position ]],0)))</f>
        <v>-1</v>
      </c>
      <c r="T80" s="343">
        <f>IF(INDEX(tab_MinKomp[Doradztwo, wsparcie personalne / Personalberatung und Unterstützung],MATCH($B79,tab_MinKomp[[Stanowisko / Position ]:[Stanowisko / Position ]],0))="n/a","n/a",T79-INDEX(tab_MinKomp[Doradztwo, wsparcie personalne / Personalberatung und Unterstützung],MATCH($B79,tab_MinKomp[[Stanowisko / Position ]:[Stanowisko / Position ]],0)))</f>
        <v>-1</v>
      </c>
      <c r="U80" s="343" t="str">
        <f>IF(INDEX(tab_MinKomp[Przepisy o podatku VAT / MwSt.- Gesetz],MATCH($B79,tab_MinKomp[[Stanowisko / Position ]:[Stanowisko / Position ]],0))="n/a","n/a",U79-INDEX(tab_MinKomp[Przepisy o podatku VAT / MwSt.- Gesetz],MATCH($B79,tab_MinKomp[[Stanowisko / Position ]:[Stanowisko / Position ]],0)))</f>
        <v>n/a</v>
      </c>
      <c r="V80" s="343" t="str">
        <f>IF(INDEX(tab_MinKomp[PrzepisyPDOP / geschäftlich Einkommensteuergesetz],MATCH($B79,tab_MinKomp[[Stanowisko / Position ]:[Stanowisko / Position ]],0))="n/a","n/a",V79-INDEX(tab_MinKomp[PrzepisyPDOP / geschäftlich Einkommensteuergesetz],MATCH($B79,tab_MinKomp[[Stanowisko / Position ]:[Stanowisko / Position ]],0)))</f>
        <v>n/a</v>
      </c>
      <c r="W80" s="343" t="str">
        <f>IF(INDEX(tab_MinKomp[System BAAN / FINANSE (FIBU)],MATCH($B79,tab_MinKomp[[Stanowisko / Position ]:[Stanowisko / Position ]],0))="n/a","n/a",W79-INDEX(tab_MinKomp[System BAAN / FINANSE (FIBU)],MATCH($B79,tab_MinKomp[[Stanowisko / Position ]:[Stanowisko / Position ]],0)))</f>
        <v>n/a</v>
      </c>
      <c r="X80" s="343" t="str">
        <f>IF(INDEX(tab_MinKomp[Systemy pomocnicze / Hilfssysteme(STOCKPROGRAM, KALK2000 etc.)],MATCH($B79,tab_MinKomp[[Stanowisko / Position ]:[Stanowisko / Position ]],0))="n/a","n/a",X79-INDEX(tab_MinKomp[Systemy pomocnicze / Hilfssysteme(STOCKPROGRAM, KALK2000 etc.)],MATCH($B79,tab_MinKomp[[Stanowisko / Position ]:[Stanowisko / Position ]],0)))</f>
        <v>n/a</v>
      </c>
      <c r="Y80" s="343" t="str">
        <f>IF(INDEX(tab_MinKomp[Polityka rachunkowości / Buchführungspolitik],MATCH($B79,tab_MinKomp[[Stanowisko / Position ]:[Stanowisko / Position ]],0))="n/a","n/a",Y79-INDEX(tab_MinKomp[Polityka rachunkowości / Buchführungspolitik],MATCH($B79,tab_MinKomp[[Stanowisko / Position ]:[Stanowisko / Position ]],0)))</f>
        <v>n/a</v>
      </c>
      <c r="Z80" s="343" t="str">
        <f>IF(INDEX(tab_MinKomp[Ustawa o rachunkowości / Rechnungslegungsgesetz],MATCH($B79,tab_MinKomp[[Stanowisko / Position ]:[Stanowisko / Position ]],0))="n/a","n/a",Z79-INDEX(tab_MinKomp[Ustawa o rachunkowości / Rechnungslegungsgesetz],MATCH($B79,tab_MinKomp[[Stanowisko / Position ]:[Stanowisko / Position ]],0)))</f>
        <v>n/a</v>
      </c>
      <c r="AA80" s="343" t="str">
        <f>IF(INDEX(tab_MinKomp[WORKFLOW - TS-100],MATCH($B79,tab_MinKomp[[Stanowisko / Position ]:[Stanowisko / Position ]],0))="n/a","n/a",AA79-INDEX(tab_MinKomp[WORKFLOW - TS-100],MATCH($B79,tab_MinKomp[[Stanowisko / Position ]:[Stanowisko / Position ]],0)))</f>
        <v>n/a</v>
      </c>
      <c r="AB80" s="343">
        <f>IF(INDEX(tab_MinKomp[WORKFLOW - SFMS],MATCH($B79,tab_MinKomp[[Stanowisko / Position ]:[Stanowisko / Position ]],0))="n/a","n/a",AB79-INDEX(tab_MinKomp[WORKFLOW - SFMS],MATCH($B79,tab_MinKomp[[Stanowisko / Position ]:[Stanowisko / Position ]],0)))</f>
        <v>-2</v>
      </c>
      <c r="AC80" s="343">
        <f>IF(INDEX(tab_MinKomp[System ISO 9001:2015],MATCH($B79,tab_MinKomp[[Stanowisko / Position ]:[Stanowisko / Position ]],0))="n/a","n/a",AC79-INDEX(tab_MinKomp[System ISO 9001:2015],MATCH($B79,tab_MinKomp[[Stanowisko / Position ]:[Stanowisko / Position ]],0)))</f>
        <v>-1</v>
      </c>
      <c r="AD80" s="343">
        <f>IF(INDEX(tab_MinKomp[System IATF 16949:2016],MATCH($B79,tab_MinKomp[[Stanowisko / Position ]:[Stanowisko / Position ]],0))="n/a","n/a",AD79-INDEX(tab_MinKomp[System IATF 16949:2016],MATCH($B79,tab_MinKomp[[Stanowisko / Position ]:[Stanowisko / Position ]],0)))</f>
        <v>-1</v>
      </c>
      <c r="AE80" s="343">
        <f>IF(INDEX(tab_MinKomp[System ISO 14001:2015],MATCH($B79,tab_MinKomp[[Stanowisko / Position ]:[Stanowisko / Position ]],0))="n/a","n/a",AE79-INDEX(tab_MinKomp[System ISO 14001:2015],MATCH($B79,tab_MinKomp[[Stanowisko / Position ]:[Stanowisko / Position ]],0)))</f>
        <v>-1</v>
      </c>
      <c r="AF80" s="343">
        <f>IF(INDEX(tab_MinKomp[System PN-N 18001:2004 / ISO 45001:2018],MATCH($B79,tab_MinKomp[[Stanowisko / Position ]:[Stanowisko / Position ]],0))="n/a","n/a",AF79-INDEX(tab_MinKomp[System PN-N 18001:2004 / ISO 45001:2018],MATCH($B79,tab_MinKomp[[Stanowisko / Position ]:[Stanowisko / Position ]],0)))</f>
        <v>-1</v>
      </c>
      <c r="AG80" s="343" t="str">
        <f>IF(INDEX(tab_MinKomp[Wymagania VDA 6.3 Process / Forderungen],MATCH($B79,tab_MinKomp[[Stanowisko / Position ]:[Stanowisko / Position ]],0))="n/a","n/a",AG79-INDEX(tab_MinKomp[Wymagania VDA 6.3 Process / Forderungen],MATCH($B79,tab_MinKomp[[Stanowisko / Position ]:[Stanowisko / Position ]],0)))</f>
        <v>n/a</v>
      </c>
      <c r="AH80" s="343" t="str">
        <f>IF(INDEX(tab_MinKomp[Wymagania VDA 6.5 Product / Forderungen],MATCH($B79,tab_MinKomp[[Stanowisko / Position ]:[Stanowisko / Position ]],0))="n/a","n/a",AH79-INDEX(tab_MinKomp[Wymagania VDA 6.5 Product / Forderungen],MATCH($B79,tab_MinKomp[[Stanowisko / Position ]:[Stanowisko / Position ]],0)))</f>
        <v>n/a</v>
      </c>
      <c r="AI80" s="343" t="str">
        <f>IF(INDEX(tab_MinKomp[PSCR (VW Product Safety &amp; Conformity Representative)],MATCH($B79,tab_MinKomp[[Stanowisko / Position ]:[Stanowisko / Position ]],0))="n/a","n/a",AI79-INDEX(tab_MinKomp[PSCR (VW Product Safety &amp; Conformity Representative)],MATCH($B79,tab_MinKomp[[Stanowisko / Position ]:[Stanowisko / Position ]],0)))</f>
        <v>n/a</v>
      </c>
      <c r="AJ80" s="343" t="str">
        <f>IF(INDEX(tab_MinKomp[Auditor systemu ISO 17025:2018],MATCH($B79,tab_MinKomp[[Stanowisko / Position ]:[Stanowisko / Position ]],0))="n/a","n/a",AJ79-INDEX(tab_MinKomp[Auditor systemu ISO 17025:2018],MATCH($B79,tab_MinKomp[[Stanowisko / Position ]:[Stanowisko / Position ]],0)))</f>
        <v>n/a</v>
      </c>
      <c r="AK80" s="343" t="str">
        <f>IF(INDEX(tab_MinKomp[Pełnomocnik systemu / Systemvertreter],MATCH($B79,tab_MinKomp[[Stanowisko / Position ]:[Stanowisko / Position ]],0))="n/a","n/a",AK79-INDEX(tab_MinKomp[Pełnomocnik systemu / Systemvertreter],MATCH($B79,tab_MinKomp[[Stanowisko / Position ]:[Stanowisko / Position ]],0)))</f>
        <v>n/a</v>
      </c>
      <c r="AL80" s="343">
        <f>IF(INDEX(tab_MinKomp[Polityka Etyczna - Compliance],MATCH($B79,tab_MinKomp[[Stanowisko / Position ]:[Stanowisko / Position ]],0))="n/a","n/a",AL79-INDEX(tab_MinKomp[Polityka Etyczna - Compliance],MATCH($B79,tab_MinKomp[[Stanowisko / Position ]:[Stanowisko / Position ]],0)))</f>
        <v>-2</v>
      </c>
      <c r="AM80" s="343">
        <f>IF(INDEX(tab_MinKomp[WDRAŻANIE NOWYCH PROJEKTÓW/ PROCEDURA CTM],MATCH($B79,tab_MinKomp[[Stanowisko / Position ]:[Stanowisko / Position ]],0))="n/a","n/a",AM79-INDEX(tab_MinKomp[WDRAŻANIE NOWYCH PROJEKTÓW/ PROCEDURA CTM],MATCH($B79,tab_MinKomp[[Stanowisko / Position ]:[Stanowisko / Position ]],0)))</f>
        <v>-1</v>
      </c>
      <c r="AN80" s="343" t="str">
        <f>IF(INDEX(tab_MinKomp[KAMIENIE MILOWE MSL/PIFF],MATCH($B79,tab_MinKomp[[Stanowisko / Position ]:[Stanowisko / Position ]],0))="n/a","n/a",AN79-INDEX(tab_MinKomp[KAMIENIE MILOWE MSL/PIFF],MATCH($B79,tab_MinKomp[[Stanowisko / Position ]:[Stanowisko / Position ]],0)))</f>
        <v>n/a</v>
      </c>
      <c r="AO80" s="343" t="str">
        <f>IF(INDEX(tab_MinKomp[CP],MATCH($B79,tab_MinKomp[[Stanowisko / Position ]:[Stanowisko / Position ]],0))="n/a","n/a",AO79-INDEX(tab_MinKomp[CP],MATCH($B79,tab_MinKomp[[Stanowisko / Position ]:[Stanowisko / Position ]],0)))</f>
        <v>n/a</v>
      </c>
      <c r="AP80" s="343" t="str">
        <f>IF(INDEX(tab_MinKomp[FMEA],MATCH($B79,tab_MinKomp[[Stanowisko / Position ]:[Stanowisko / Position ]],0))="n/a","n/a",AP79-INDEX(tab_MinKomp[FMEA],MATCH($B79,tab_MinKomp[[Stanowisko / Position ]:[Stanowisko / Position ]],0)))</f>
        <v>n/a</v>
      </c>
      <c r="AQ80" s="343" t="str">
        <f>IF(INDEX(tab_MinKomp[FLOW CHART],MATCH($B79,tab_MinKomp[[Stanowisko / Position ]:[Stanowisko / Position ]],0))="n/a","n/a",AQ79-INDEX(tab_MinKomp[FLOW CHART],MATCH($B79,tab_MinKomp[[Stanowisko / Position ]:[Stanowisko / Position ]],0)))</f>
        <v>n/a</v>
      </c>
      <c r="AR80" s="343" t="str">
        <f>IF(INDEX(tab_MinKomp[APQP],MATCH($B79,tab_MinKomp[[Stanowisko / Position ]:[Stanowisko / Position ]],0))="n/a","n/a",AR79-INDEX(tab_MinKomp[APQP],MATCH($B79,tab_MinKomp[[Stanowisko / Position ]:[Stanowisko / Position ]],0)))</f>
        <v>n/a</v>
      </c>
      <c r="AS80" s="343" t="str">
        <f>IF(INDEX(tab_MinKomp[MSA],MATCH($B79,tab_MinKomp[[Stanowisko / Position ]:[Stanowisko / Position ]],0))="n/a","n/a",AS79-INDEX(tab_MinKomp[MSA],MATCH($B79,tab_MinKomp[[Stanowisko / Position ]:[Stanowisko / Position ]],0)))</f>
        <v>n/a</v>
      </c>
      <c r="AT80" s="343" t="str">
        <f>IF(INDEX(tab_MinKomp[SPC],MATCH($B79,tab_MinKomp[[Stanowisko / Position ]:[Stanowisko / Position ]],0))="n/a","n/a",AT79-INDEX(tab_MinKomp[SPC],MATCH($B79,tab_MinKomp[[Stanowisko / Position ]:[Stanowisko / Position ]],0)))</f>
        <v>n/a</v>
      </c>
      <c r="AU80" s="343" t="str">
        <f>IF(INDEX(tab_MinKomp[CSR (SPECYFICZNE WYMAGANIA KLIENTA)],MATCH($B79,tab_MinKomp[[Stanowisko / Position ]:[Stanowisko / Position ]],0))="n/a","n/a",AU79-INDEX(tab_MinKomp[CSR (SPECYFICZNE WYMAGANIA KLIENTA)],MATCH($B79,tab_MinKomp[[Stanowisko / Position ]:[Stanowisko / Position ]],0)))</f>
        <v>n/a</v>
      </c>
      <c r="AV80" s="343">
        <f>IF(INDEX(tab_MinKomp[5S],MATCH($B79,tab_MinKomp[[Stanowisko / Position ]:[Stanowisko / Position ]],0))="n/a","n/a",AV79-INDEX(tab_MinKomp[5S],MATCH($B79,tab_MinKomp[[Stanowisko / Position ]:[Stanowisko / Position ]],0)))</f>
        <v>-2</v>
      </c>
      <c r="AW80" s="343">
        <f>IF(INDEX(tab_MinKomp[LEAN MANAGEMENT],MATCH($B79,tab_MinKomp[[Stanowisko / Position ]:[Stanowisko / Position ]],0))="n/a","n/a",AW79-INDEX(tab_MinKomp[LEAN MANAGEMENT],MATCH($B79,tab_MinKomp[[Stanowisko / Position ]:[Stanowisko / Position ]],0)))</f>
        <v>-1</v>
      </c>
      <c r="AX80" s="343">
        <f>IF(INDEX(tab_MinKomp[5R],MATCH($B79,tab_MinKomp[[Stanowisko / Position ]:[Stanowisko / Position ]],0))="n/a","n/a",AX79-INDEX(tab_MinKomp[5R],MATCH($B79,tab_MinKomp[[Stanowisko / Position ]:[Stanowisko / Position ]],0)))</f>
        <v>-1</v>
      </c>
      <c r="AY80" s="343" t="str">
        <f>IF(INDEX(tab_MinKomp[Six Sigma],MATCH($B79,tab_MinKomp[[Stanowisko / Position ]:[Stanowisko / Position ]],0))="n/a","n/a",AY79-INDEX(tab_MinKomp[Six Sigma],MATCH($B79,tab_MinKomp[[Stanowisko / Position ]:[Stanowisko / Position ]],0)))</f>
        <v>n/a</v>
      </c>
      <c r="AZ80" s="343" t="str">
        <f>IF(INDEX(tab_MinKomp[System BAAN / Distribution &amp; Supply Chain],MATCH($B79,tab_MinKomp[[Stanowisko / Position ]:[Stanowisko / Position ]],0))="n/a","n/a",AZ79-INDEX(tab_MinKomp[System BAAN / Distribution &amp; Supply Chain],MATCH($B79,tab_MinKomp[[Stanowisko / Position ]:[Stanowisko / Position ]],0)))</f>
        <v>n/a</v>
      </c>
      <c r="BA80" s="343" t="str">
        <f>IF(INDEX(tab_MinKomp[Gospodarka magazynowa / Lagerverwaltung],MATCH($B79,tab_MinKomp[[Stanowisko / Position ]:[Stanowisko / Position ]],0))="n/a","n/a",BA79-INDEX(tab_MinKomp[Gospodarka magazynowa / Lagerverwaltung],MATCH($B79,tab_MinKomp[[Stanowisko / Position ]:[Stanowisko / Position ]],0)))</f>
        <v>n/a</v>
      </c>
      <c r="BB80" s="343">
        <f>IF(INDEX(tab_MinKomp[Inwentaryzacja - organizacja i przebieg / Inventurprozess],MATCH($B79,tab_MinKomp[[Stanowisko / Position ]:[Stanowisko / Position ]],0))="n/a","n/a",BB79-INDEX(tab_MinKomp[Inwentaryzacja - organizacja i przebieg / Inventurprozess],MATCH($B79,tab_MinKomp[[Stanowisko / Position ]:[Stanowisko / Position ]],0)))</f>
        <v>-1</v>
      </c>
      <c r="BC80" s="343" t="str">
        <f>IF(INDEX(tab_MinKomp[Organizacja dostaw / Versorgungsorganisation],MATCH($B79,tab_MinKomp[[Stanowisko / Position ]:[Stanowisko / Position ]],0))="n/a","n/a",BC79-INDEX(tab_MinKomp[Organizacja dostaw / Versorgungsorganisation],MATCH($B79,tab_MinKomp[[Stanowisko / Position ]:[Stanowisko / Position ]],0)))</f>
        <v>n/a</v>
      </c>
      <c r="BD80" s="343" t="str">
        <f>IF(INDEX(tab_MinKomp[Organizacja wysyłek / Organisation von Lieferungen],MATCH($B79,tab_MinKomp[[Stanowisko / Position ]:[Stanowisko / Position ]],0))="n/a","n/a",BD79-INDEX(tab_MinKomp[Organizacja wysyłek / Organisation von Lieferungen],MATCH($B79,tab_MinKomp[[Stanowisko / Position ]:[Stanowisko / Position ]],0)))</f>
        <v>n/a</v>
      </c>
      <c r="BE80" s="343" t="str">
        <f>IF(INDEX(tab_MinKomp[Analiza magazynowa - Program Polen.mdb / Inventuranalyse],MATCH($B79,tab_MinKomp[[Stanowisko / Position ]:[Stanowisko / Position ]],0))="n/a","n/a",BE79-INDEX(tab_MinKomp[Analiza magazynowa - Program Polen.mdb / Inventuranalyse],MATCH($B79,tab_MinKomp[[Stanowisko / Position ]:[Stanowisko / Position ]],0)))</f>
        <v>n/a</v>
      </c>
      <c r="BF80" s="343" t="str">
        <f>IF(INDEX(tab_MinKomp[MMOG (Materials Management Operations Guidelines)],MATCH($B79,tab_MinKomp[[Stanowisko / Position ]:[Stanowisko / Position ]],0))="n/a","n/a",BF79-INDEX(tab_MinKomp[MMOG (Materials Management Operations Guidelines)],MATCH($B79,tab_MinKomp[[Stanowisko / Position ]:[Stanowisko / Position ]],0)))</f>
        <v>n/a</v>
      </c>
      <c r="BG80" s="343" t="str">
        <f>IF(INDEX(tab_MinKomp[DETC],MATCH($B79,tab_MinKomp[[Stanowisko / Position ]:[Stanowisko / Position ]],0))="n/a","n/a",BG79-INDEX(tab_MinKomp[DETC],MATCH($B79,tab_MinKomp[[Stanowisko / Position ]:[Stanowisko / Position ]],0)))</f>
        <v>n/a</v>
      </c>
      <c r="BH80" s="343" t="str">
        <f>IF(INDEX(tab_MinKomp[GPP],MATCH($B79,tab_MinKomp[[Stanowisko / Position ]:[Stanowisko / Position ]],0))="n/a","n/a",BH79-INDEX(tab_MinKomp[GPP],MATCH($B79,tab_MinKomp[[Stanowisko / Position ]:[Stanowisko / Position ]],0)))</f>
        <v>n/a</v>
      </c>
      <c r="BI80" s="343" t="str">
        <f>IF(INDEX(tab_MinKomp[AIAG (Automotive Industry Action Group)],MATCH($B79,tab_MinKomp[[Stanowisko / Position ]:[Stanowisko / Position ]],0))="n/a","n/a",BI79-INDEX(tab_MinKomp[AIAG (Automotive Industry Action Group)],MATCH($B79,tab_MinKomp[[Stanowisko / Position ]:[Stanowisko / Position ]],0)))</f>
        <v>n/a</v>
      </c>
      <c r="BJ80" s="343" t="str">
        <f>IF(INDEX(tab_MinKomp[Super-G disputes],MATCH($B79,tab_MinKomp[[Stanowisko / Position ]:[Stanowisko / Position ]],0))="n/a","n/a",BJ79-INDEX(tab_MinKomp[Super-G disputes],MATCH($B79,tab_MinKomp[[Stanowisko / Position ]:[Stanowisko / Position ]],0)))</f>
        <v>n/a</v>
      </c>
      <c r="BK80" s="343" t="str">
        <f>IF(INDEX(tab_MinKomp[CMMS3/eDDL (Direct Data Link)],MATCH($B79,tab_MinKomp[[Stanowisko / Position ]:[Stanowisko / Position ]],0))="n/a","n/a",BK79-INDEX(tab_MinKomp[CMMS3/eDDL (Direct Data Link)],MATCH($B79,tab_MinKomp[[Stanowisko / Position ]:[Stanowisko / Position ]],0)))</f>
        <v>n/a</v>
      </c>
      <c r="BL80" s="343" t="str">
        <f>IF(INDEX(tab_MinKomp[MP&amp;L (Material Planning and Logistics)],MATCH($B79,tab_MinKomp[[Stanowisko / Position ]:[Stanowisko / Position ]],0))="n/a","n/a",BL79-INDEX(tab_MinKomp[MP&amp;L (Material Planning and Logistics)],MATCH($B79,tab_MinKomp[[Stanowisko / Position ]:[Stanowisko / Position ]],0)))</f>
        <v>n/a</v>
      </c>
      <c r="BM80" s="343">
        <f>IF(INDEX(tab_MinKomp[Planowanie produkcji / Produktionsplanung],MATCH($B79,tab_MinKomp[[Stanowisko / Position ]:[Stanowisko / Position ]],0))="n/a","n/a",BM79-INDEX(tab_MinKomp[Planowanie produkcji / Produktionsplanung],MATCH($B79,tab_MinKomp[[Stanowisko / Position ]:[Stanowisko / Position ]],0)))</f>
        <v>-1</v>
      </c>
      <c r="BN80" s="343">
        <f>IF(INDEX(tab_MinKomp[Obsługa maszyn Engel / Engel Maschinenbedienung],MATCH($B79,tab_MinKomp[[Stanowisko / Position ]:[Stanowisko / Position ]],0))="n/a","n/a",BN79-INDEX(tab_MinKomp[Obsługa maszyn Engel / Engel Maschinenbedienung],MATCH($B79,tab_MinKomp[[Stanowisko / Position ]:[Stanowisko / Position ]],0)))</f>
        <v>-1</v>
      </c>
      <c r="BO80" s="343">
        <f>IF(INDEX(tab_MinKomp[Obsługa maszyn Novapax / Novapax Maschinenbedienung],MATCH($B79,tab_MinKomp[[Stanowisko / Position ]:[Stanowisko / Position ]],0))="n/a","n/a",BO79-INDEX(tab_MinKomp[Obsługa maszyn Novapax / Novapax Maschinenbedienung],MATCH($B79,tab_MinKomp[[Stanowisko / Position ]:[Stanowisko / Position ]],0)))</f>
        <v>-1</v>
      </c>
      <c r="BP80" s="343">
        <f>IF(INDEX(tab_MinKomp[Obsługa maszyn KVT / KVT Maschinenbedienung],MATCH($B79,tab_MinKomp[[Stanowisko / Position ]:[Stanowisko / Position ]],0))="n/a","n/a",BP79-INDEX(tab_MinKomp[Obsługa maszyn KVT / KVT Maschinenbedienung],MATCH($B79,tab_MinKomp[[Stanowisko / Position ]:[Stanowisko / Position ]],0)))</f>
        <v>-1</v>
      </c>
      <c r="BQ80" s="343">
        <f>IF(INDEX(tab_MinKomp[Obsługa maszyn ASL / ASL Maschinenbedienung],MATCH($B79,tab_MinKomp[[Stanowisko / Position ]:[Stanowisko / Position ]],0))="n/a","n/a",BQ79-INDEX(tab_MinKomp[Obsługa maszyn ASL / ASL Maschinenbedienung],MATCH($B79,tab_MinKomp[[Stanowisko / Position ]:[Stanowisko / Position ]],0)))</f>
        <v>-1</v>
      </c>
      <c r="BR80" s="343">
        <f>IF(INDEX(tab_MinKomp[Obsługa maszyn Branson / Branson Maschinenbedienung],MATCH($B79,tab_MinKomp[[Stanowisko / Position ]:[Stanowisko / Position ]],0))="n/a","n/a",BR79-INDEX(tab_MinKomp[Obsługa maszyn Branson / Branson Maschinenbedienung],MATCH($B79,tab_MinKomp[[Stanowisko / Position ]:[Stanowisko / Position ]],0)))</f>
        <v>-1</v>
      </c>
      <c r="BS80" s="343">
        <f>IF(INDEX(tab_MinKomp[Obsługa maszyn Kamtec / Kamtec Maschinenbedienung],MATCH($B79,tab_MinKomp[[Stanowisko / Position ]:[Stanowisko / Position ]],0))="n/a","n/a",BS79-INDEX(tab_MinKomp[Obsługa maszyn Kamtec / Kamtec Maschinenbedienung],MATCH($B79,tab_MinKomp[[Stanowisko / Position ]:[Stanowisko / Position ]],0)))</f>
        <v>-1</v>
      </c>
      <c r="BT80" s="343">
        <f>IF(INDEX(tab_MinKomp[Obsługa maszyn Piovan / Piovan Maschinenbedienung],MATCH($B79,tab_MinKomp[[Stanowisko / Position ]:[Stanowisko / Position ]],0))="n/a","n/a",BT79-INDEX(tab_MinKomp[Obsługa maszyn Piovan / Piovan Maschinenbedienung],MATCH($B79,tab_MinKomp[[Stanowisko / Position ]:[Stanowisko / Position ]],0)))</f>
        <v>-1</v>
      </c>
      <c r="BU80" s="343">
        <f>IF(INDEX(tab_MinKomp[Obsługa maszyn REP / REP Maschinenbedienung],MATCH($B79,tab_MinKomp[[Stanowisko / Position ]:[Stanowisko / Position ]],0))="n/a","n/a",BU79-INDEX(tab_MinKomp[Obsługa maszyn REP / REP Maschinenbedienung],MATCH($B79,tab_MinKomp[[Stanowisko / Position ]:[Stanowisko / Position ]],0)))</f>
        <v>-1</v>
      </c>
      <c r="BV80" s="343">
        <f>IF(INDEX(tab_MinKomp[Eliminacja awarii / Beseitigung von Ausfällen],MATCH($B79,tab_MinKomp[[Stanowisko / Position ]:[Stanowisko / Position ]],0))="n/a","n/a",BV79-INDEX(tab_MinKomp[Eliminacja awarii / Beseitigung von Ausfällen],MATCH($B79,tab_MinKomp[[Stanowisko / Position ]:[Stanowisko / Position ]],0)))</f>
        <v>-2</v>
      </c>
      <c r="BW80" s="343" t="str">
        <f>IF(INDEX(tab_MinKomp[Informatyka ogólna (techniczne i systemowe) / Allgemeine IT (Technik und System)],MATCH($B79,tab_MinKomp[[Stanowisko / Position ]:[Stanowisko / Position ]],0))="n/a","n/a",BW79-INDEX(tab_MinKomp[Informatyka ogólna (techniczne i systemowe) / Allgemeine IT (Technik und System)],MATCH($B79,tab_MinKomp[[Stanowisko / Position ]:[Stanowisko / Position ]],0)))</f>
        <v>n/a</v>
      </c>
      <c r="BX80" s="343" t="str">
        <f>IF(INDEX(tab_MinKomp[Sieci komputerowe / Computernetzwerke],MATCH($B79,tab_MinKomp[[Stanowisko / Position ]:[Stanowisko / Position ]],0))="n/a","n/a",BX79-INDEX(tab_MinKomp[Sieci komputerowe / Computernetzwerke],MATCH($B79,tab_MinKomp[[Stanowisko / Position ]:[Stanowisko / Position ]],0)))</f>
        <v>n/a</v>
      </c>
      <c r="BY80" s="343" t="str">
        <f>IF(INDEX(tab_MinKomp[Hardware (komputery PC, drukarki biurowe i etykietowe, telefonia stacjonarna i mobilna) (PC, Drucker, Telefpne, Handys)],MATCH($B79,tab_MinKomp[[Stanowisko / Position ]:[Stanowisko / Position ]],0))="n/a","n/a",BY79-INDEX(tab_MinKomp[Hardware (komputery PC, drukarki biurowe i etykietowe, telefonia stacjonarna i mobilna) (PC, Drucker, Telefpne, Handys)],MATCH($B79,tab_MinKomp[[Stanowisko / Position ]:[Stanowisko / Position ]],0)))</f>
        <v>n/a</v>
      </c>
      <c r="BZ80" s="343" t="str">
        <f>IF(INDEX(tab_MinKomp[Software &amp; Systems (MS Office, MS Remote Desktop)],MATCH($B79,tab_MinKomp[[Stanowisko / Position ]:[Stanowisko / Position ]],0))="n/a","n/a",BZ79-INDEX(tab_MinKomp[Software &amp; Systems (MS Office, MS Remote Desktop)],MATCH($B79,tab_MinKomp[[Stanowisko / Position ]:[Stanowisko / Position ]],0)))</f>
        <v>n/a</v>
      </c>
      <c r="CA80" s="343" t="str">
        <f>IF(INDEX(tab_MinKomp[Programowanie obiektowe (PHP) / Objektprogrammierung],MATCH($B79,tab_MinKomp[[Stanowisko / Position ]:[Stanowisko / Position ]],0))="n/a","n/a",CA79-INDEX(tab_MinKomp[Programowanie obiektowe (PHP) / Objektprogrammierung],MATCH($B79,tab_MinKomp[[Stanowisko / Position ]:[Stanowisko / Position ]],0)))</f>
        <v>n/a</v>
      </c>
      <c r="CB80" s="343" t="str">
        <f>IF(INDEX(tab_MinKomp[Scrum],MATCH($B79,tab_MinKomp[[Stanowisko / Position ]:[Stanowisko / Position ]],0))="n/a","n/a",CB79-INDEX(tab_MinKomp[Scrum],MATCH($B79,tab_MinKomp[[Stanowisko / Position ]:[Stanowisko / Position ]],0)))</f>
        <v>n/a</v>
      </c>
      <c r="CC80" s="343" t="str">
        <f>IF(INDEX(tab_MinKomp[SQL (MySQL)],MATCH($B79,tab_MinKomp[[Stanowisko / Position ]:[Stanowisko / Position ]],0))="n/a","n/a",CC79-INDEX(tab_MinKomp[SQL (MySQL)],MATCH($B79,tab_MinKomp[[Stanowisko / Position ]:[Stanowisko / Position ]],0)))</f>
        <v>n/a</v>
      </c>
      <c r="CD80" s="343" t="str">
        <f>IF(INDEX(tab_MinKomp[Javascript],MATCH($B79,tab_MinKomp[[Stanowisko / Position ]:[Stanowisko / Position ]],0))="n/a","n/a",CD79-INDEX(tab_MinKomp[Javascript],MATCH($B79,tab_MinKomp[[Stanowisko / Position ]:[Stanowisko / Position ]],0)))</f>
        <v>n/a</v>
      </c>
      <c r="CE80" s="343" t="str">
        <f>IF(INDEX(tab_MinKomp[Joomla],MATCH($B79,tab_MinKomp[[Stanowisko / Position ]:[Stanowisko / Position ]],0))="n/a","n/a",CE79-INDEX(tab_MinKomp[Joomla],MATCH($B79,tab_MinKomp[[Stanowisko / Position ]:[Stanowisko / Position ]],0)))</f>
        <v>n/a</v>
      </c>
      <c r="CF80" s="343" t="str">
        <f>IF(INDEX(tab_MinKomp[Bash],MATCH($B79,tab_MinKomp[[Stanowisko / Position ]:[Stanowisko / Position ]],0))="n/a","n/a",CF79-INDEX(tab_MinKomp[Bash],MATCH($B79,tab_MinKomp[[Stanowisko / Position ]:[Stanowisko / Position ]],0)))</f>
        <v>n/a</v>
      </c>
      <c r="CG80" s="343" t="str">
        <f>IF(INDEX(tab_MinKomp[Systemy MES (HYDRA / SFMS)],MATCH($B79,tab_MinKomp[[Stanowisko / Position ]:[Stanowisko / Position ]],0))="n/a","n/a",CG79-INDEX(tab_MinKomp[Systemy MES (HYDRA / SFMS)],MATCH($B79,tab_MinKomp[[Stanowisko / Position ]:[Stanowisko / Position ]],0)))</f>
        <v>n/a</v>
      </c>
      <c r="CH80" s="343" t="str">
        <f>IF(INDEX(tab_MinKomp[HTML / CSS],MATCH($B79,tab_MinKomp[[Stanowisko / Position ]:[Stanowisko / Position ]],0))="n/a","n/a",CH79-INDEX(tab_MinKomp[HTML / CSS],MATCH($B79,tab_MinKomp[[Stanowisko / Position ]:[Stanowisko / Position ]],0)))</f>
        <v>n/a</v>
      </c>
      <c r="CI80" s="343">
        <f>IF(INDEX(tab_MinKomp[SYSTEM PR],MATCH($B79,tab_MinKomp[[Stanowisko / Position ]:[Stanowisko / Position ]],0))="n/a","n/a",CI79-INDEX(tab_MinKomp[SYSTEM PR],MATCH($B79,tab_MinKomp[[Stanowisko / Position ]:[Stanowisko / Position ]],0)))</f>
        <v>-2</v>
      </c>
      <c r="CJ80" s="343" t="str">
        <f>IF(INDEX(tab_MinKomp[System Einkauf XP / EBA],MATCH($B79,tab_MinKomp[[Stanowisko / Position ]:[Stanowisko / Position ]],0))="n/a","n/a",CJ79-INDEX(tab_MinKomp[System Einkauf XP / EBA],MATCH($B79,tab_MinKomp[[Stanowisko / Position ]:[Stanowisko / Position ]],0)))</f>
        <v>n/a</v>
      </c>
      <c r="CK80" s="343" t="str">
        <f>IF(INDEX(tab_MinKomp[Techniki negocjacyjne / Verhandlungstechniken],MATCH($B79,tab_MinKomp[[Stanowisko / Position ]:[Stanowisko / Position ]],0))="n/a","n/a",CK79-INDEX(tab_MinKomp[Techniki negocjacyjne / Verhandlungstechniken],MATCH($B79,tab_MinKomp[[Stanowisko / Position ]:[Stanowisko / Position ]],0)))</f>
        <v>n/a</v>
      </c>
      <c r="CL80" s="343">
        <f>IF(INDEX(tab_MinKomp[Znajomość rynku branżowego / Kenntnis des Industrie Marktes],MATCH($B79,tab_MinKomp[[Stanowisko / Position ]:[Stanowisko / Position ]],0))="n/a","n/a",CL79-INDEX(tab_MinKomp[Znajomość rynku branżowego / Kenntnis des Industrie Marktes],MATCH($B79,tab_MinKomp[[Stanowisko / Position ]:[Stanowisko / Position ]],0)))</f>
        <v>-1</v>
      </c>
      <c r="CM80" s="343" t="str">
        <f>IF(INDEX(tab_MinKomp[RAPORTY 8D / 8D Berichten],MATCH($B79,tab_MinKomp[[Stanowisko / Position ]:[Stanowisko / Position ]],0))="n/a","n/a",CM79-INDEX(tab_MinKomp[RAPORTY 8D / 8D Berichten],MATCH($B79,tab_MinKomp[[Stanowisko / Position ]:[Stanowisko / Position ]],0)))</f>
        <v>n/a</v>
      </c>
      <c r="CN80" s="343">
        <f>IF(INDEX(tab_MinKomp[NARZĘDZIA JAKOŚCIOWE (5WHY, Ishikawa, etc) / QS-Werkzeuge],MATCH($B79,tab_MinKomp[[Stanowisko / Position ]:[Stanowisko / Position ]],0))="n/a","n/a",CN79-INDEX(tab_MinKomp[NARZĘDZIA JAKOŚCIOWE (5WHY, Ishikawa, etc) / QS-Werkzeuge],MATCH($B79,tab_MinKomp[[Stanowisko / Position ]:[Stanowisko / Position ]],0)))</f>
        <v>-2</v>
      </c>
      <c r="CO80" s="343">
        <f>IF(INDEX(tab_MinKomp[PDCA],MATCH($B79,tab_MinKomp[[Stanowisko / Position ]:[Stanowisko / Position ]],0))="n/a","n/a",CO79-INDEX(tab_MinKomp[PDCA],MATCH($B79,tab_MinKomp[[Stanowisko / Position ]:[Stanowisko / Position ]],0)))</f>
        <v>-2</v>
      </c>
      <c r="CP80" s="343">
        <f>IF(INDEX(tab_MinKomp[Pareto],MATCH($B79,tab_MinKomp[[Stanowisko / Position ]:[Stanowisko / Position ]],0))="n/a","n/a",CP79-INDEX(tab_MinKomp[Pareto],MATCH($B79,tab_MinKomp[[Stanowisko / Position ]:[Stanowisko / Position ]],0)))</f>
        <v>-2</v>
      </c>
      <c r="CQ80" s="343" t="str">
        <f>IF(INDEX(tab_MinKomp[PPAP/PSW],MATCH($B79,tab_MinKomp[[Stanowisko / Position ]:[Stanowisko / Position ]],0))="n/a","n/a",CQ79-INDEX(tab_MinKomp[PPAP/PSW],MATCH($B79,tab_MinKomp[[Stanowisko / Position ]:[Stanowisko / Position ]],0)))</f>
        <v>n/a</v>
      </c>
      <c r="CR80" s="343">
        <f>IF(INDEX(tab_MinKomp[SUPPLIER MANAGEMENT],MATCH($B79,tab_MinKomp[[Stanowisko / Position ]:[Stanowisko / Position ]],0))="n/a","n/a",CR79-INDEX(tab_MinKomp[SUPPLIER MANAGEMENT],MATCH($B79,tab_MinKomp[[Stanowisko / Position ]:[Stanowisko / Position ]],0)))</f>
        <v>-1</v>
      </c>
      <c r="CS80" s="343" t="str">
        <f>IF(INDEX(tab_MinKomp[OBSŁUGA PORTALI KLIENTA / Kundenportale],MATCH($B79,tab_MinKomp[[Stanowisko / Position ]:[Stanowisko / Position ]],0))="n/a","n/a",CS79-INDEX(tab_MinKomp[OBSŁUGA PORTALI KLIENTA / Kundenportale],MATCH($B79,tab_MinKomp[[Stanowisko / Position ]:[Stanowisko / Position ]],0)))</f>
        <v>n/a</v>
      </c>
      <c r="CT80" s="343" t="str">
        <f>IF(INDEX(tab_MinKomp[Obsługa systemu BABTECQ / BABTECQ System],MATCH($B79,tab_MinKomp[[Stanowisko / Position ]:[Stanowisko / Position ]],0))="n/a","n/a",CT79-INDEX(tab_MinKomp[Obsługa systemu BABTECQ / BABTECQ System],MATCH($B79,tab_MinKomp[[Stanowisko / Position ]:[Stanowisko / Position ]],0)))</f>
        <v>n/a</v>
      </c>
      <c r="CU80" s="343">
        <f>IF(INDEX(tab_MinKomp[Rysunek techniczny / technische Zeichnung],MATCH($B79,tab_MinKomp[[Stanowisko / Position ]:[Stanowisko / Position ]],0))="n/a","n/a",CU79-INDEX(tab_MinKomp[Rysunek techniczny / technische Zeichnung],MATCH($B79,tab_MinKomp[[Stanowisko / Position ]:[Stanowisko / Position ]],0)))</f>
        <v>-2</v>
      </c>
      <c r="CV80" s="343" t="str">
        <f>IF(INDEX(tab_MinKomp[Kalibracja / Kalibrierung],MATCH($B79,tab_MinKomp[[Stanowisko / Position ]:[Stanowisko / Position ]],0))="n/a","n/a",CV79-INDEX(tab_MinKomp[Kalibracja / Kalibrierung],MATCH($B79,tab_MinKomp[[Stanowisko / Position ]:[Stanowisko / Position ]],0)))</f>
        <v>n/a</v>
      </c>
      <c r="CW80" s="343" t="str">
        <f>IF(INDEX(tab_MinKomp[Rekwalifikacja / Requalifizierung],MATCH($B79,tab_MinKomp[[Stanowisko / Position ]:[Stanowisko / Position ]],0))="n/a","n/a",CW79-INDEX(tab_MinKomp[Rekwalifikacja / Requalifizierung],MATCH($B79,tab_MinKomp[[Stanowisko / Position ]:[Stanowisko / Position ]],0)))</f>
        <v>n/a</v>
      </c>
      <c r="CX80" s="343" t="str">
        <f>IF(INDEX(tab_MinKomp[Obsługa mikroskopu optycznego / Bedienung eines optischen Mikroskops],MATCH($B79,tab_MinKomp[[Stanowisko / Position ]:[Stanowisko / Position ]],0))="n/a","n/a",CX79-INDEX(tab_MinKomp[Obsługa mikroskopu optycznego / Bedienung eines optischen Mikroskops],MATCH($B79,tab_MinKomp[[Stanowisko / Position ]:[Stanowisko / Position ]],0)))</f>
        <v>n/a</v>
      </c>
      <c r="CY80" s="343" t="str">
        <f>IF(INDEX(tab_MinKomp[Wykonywanie pomiarów optycznych - ocena wizualna / Optische Messungen durchführen – visuelle Beurteilung],MATCH($B79,tab_MinKomp[[Stanowisko / Position ]:[Stanowisko / Position ]],0))="n/a","n/a",CY79-INDEX(tab_MinKomp[Wykonywanie pomiarów optycznych - ocena wizualna / Optische Messungen durchführen – visuelle Beurteilung],MATCH($B79,tab_MinKomp[[Stanowisko / Position ]:[Stanowisko / Position ]],0)))</f>
        <v>n/a</v>
      </c>
      <c r="CZ80" s="343" t="str">
        <f>IF(INDEX(tab_MinKomp[Obsługa Rheometra / Rheometra-Unterstützung],MATCH($B79,tab_MinKomp[[Stanowisko / Position ]:[Stanowisko / Position ]],0))="n/a","n/a",CZ79-INDEX(tab_MinKomp[Obsługa Rheometra / Rheometra-Unterstützung],MATCH($B79,tab_MinKomp[[Stanowisko / Position ]:[Stanowisko / Position ]],0)))</f>
        <v>n/a</v>
      </c>
      <c r="DA80" s="343" t="str">
        <f>IF(INDEX(tab_MinKomp[Testy właściwości Rheometra mieszanki gumy],MATCH($B79,tab_MinKomp[[Stanowisko / Position ]:[Stanowisko / Position ]],0))="n/a","n/a",DA79-INDEX(tab_MinKomp[Testy właściwości Rheometra mieszanki gumy],MATCH($B79,tab_MinKomp[[Stanowisko / Position ]:[Stanowisko / Position ]],0)))</f>
        <v>n/a</v>
      </c>
      <c r="DB80" s="343" t="str">
        <f>IF(INDEX(tab_MinKomp[CMM - Contura Zeiss],MATCH($B79,tab_MinKomp[[Stanowisko / Position ]:[Stanowisko / Position ]],0))="n/a","n/a",DB79-INDEX(tab_MinKomp[CMM - Contura Zeiss],MATCH($B79,tab_MinKomp[[Stanowisko / Position ]:[Stanowisko / Position ]],0)))</f>
        <v>n/a</v>
      </c>
      <c r="DC80" s="343" t="str">
        <f>IF(INDEX(tab_MinKomp[Wykonywanie precyzyjnych pomiarów metrycznych, pomiary 3D],MATCH($B79,tab_MinKomp[[Stanowisko / Position ]:[Stanowisko / Position ]],0))="n/a","n/a",DC79-INDEX(tab_MinKomp[Wykonywanie precyzyjnych pomiarów metrycznych, pomiary 3D],MATCH($B79,tab_MinKomp[[Stanowisko / Position ]:[Stanowisko / Position ]],0)))</f>
        <v>n/a</v>
      </c>
      <c r="DD80" s="343" t="str">
        <f>IF(INDEX(tab_MinKomp[Pisanie programów / Programme schreiben],MATCH($B79,tab_MinKomp[[Stanowisko / Position ]:[Stanowisko / Position ]],0))="n/a","n/a",DD79-INDEX(tab_MinKomp[Pisanie programów / Programme schreiben],MATCH($B79,tab_MinKomp[[Stanowisko / Position ]:[Stanowisko / Position ]],0)))</f>
        <v>n/a</v>
      </c>
      <c r="DE80" s="343" t="str">
        <f>IF(INDEX(tab_MinKomp[Obsługa wyposażenia do testów czystości (myjka + analizator) / Betrieb von Sauberkeitsprüfgeräten (Waschmaschine + Analysegerät)],MATCH($B79,tab_MinKomp[[Stanowisko / Position ]:[Stanowisko / Position ]],0))="n/a","n/a",DE79-INDEX(tab_MinKomp[Obsługa wyposażenia do testów czystości (myjka + analizator) / Betrieb von Sauberkeitsprüfgeräten (Waschmaschine + Analysegerät)],MATCH($B79,tab_MinKomp[[Stanowisko / Position ]:[Stanowisko / Position ]],0)))</f>
        <v>n/a</v>
      </c>
      <c r="DF80" s="343" t="str">
        <f>IF(INDEX(tab_MinKomp[Testy czystości / Reinheitstests],MATCH($B79,tab_MinKomp[[Stanowisko / Position ]:[Stanowisko / Position ]],0))="n/a","n/a",DF79-INDEX(tab_MinKomp[Testy czystości / Reinheitstests],MATCH($B79,tab_MinKomp[[Stanowisko / Position ]:[Stanowisko / Position ]],0)))</f>
        <v>n/a</v>
      </c>
      <c r="DG80" s="343" t="str">
        <f>IF(INDEX(tab_MinKomp[Obsługa wysokościomierza / Unterstützung für Höhenmesser],MATCH($B79,tab_MinKomp[[Stanowisko / Position ]:[Stanowisko / Position ]],0))="n/a","n/a",DG79-INDEX(tab_MinKomp[Obsługa wysokościomierza / Unterstützung für Höhenmesser],MATCH($B79,tab_MinKomp[[Stanowisko / Position ]:[Stanowisko / Position ]],0)))</f>
        <v>n/a</v>
      </c>
      <c r="DH80" s="343" t="str">
        <f>IF(INDEX(tab_MinKomp[Pomiary wysokości materiału / Materialhöhenmessungen],MATCH($B79,tab_MinKomp[[Stanowisko / Position ]:[Stanowisko / Position ]],0))="n/a","n/a",DH79-INDEX(tab_MinKomp[Pomiary wysokości materiału / Materialhöhenmessungen],MATCH($B79,tab_MinKomp[[Stanowisko / Position ]:[Stanowisko / Position ]],0)))</f>
        <v>n/a</v>
      </c>
      <c r="DI80" s="343" t="str">
        <f>IF(INDEX(tab_MinKomp[Obsługa okrągłościomierza / Unterstützung für Rundheitsmessgeräte],MATCH($B79,tab_MinKomp[[Stanowisko / Position ]:[Stanowisko / Position ]],0))="n/a","n/a",DI79-INDEX(tab_MinKomp[Obsługa okrągłościomierza / Unterstützung für Rundheitsmessgeräte],MATCH($B79,tab_MinKomp[[Stanowisko / Position ]:[Stanowisko / Position ]],0)))</f>
        <v>n/a</v>
      </c>
      <c r="DJ80" s="343" t="str">
        <f>IF(INDEX(tab_MinKomp[Wykonywania pomiarów owalności, srednicy materiału / Messung der Ovalität und des Durchmessers des Materials],MATCH($B79,tab_MinKomp[[Stanowisko / Position ]:[Stanowisko / Position ]],0))="n/a","n/a",DJ79-INDEX(tab_MinKomp[Wykonywania pomiarów owalności, srednicy materiału / Messung der Ovalität und des Durchmessers des Materials],MATCH($B79,tab_MinKomp[[Stanowisko / Position ]:[Stanowisko / Position ]],0)))</f>
        <v>n/a</v>
      </c>
      <c r="DK80" s="343" t="str">
        <f>IF(INDEX(tab_MinKomp[Obsługa urządzenia do pomiarów chropowoatości powierzchni materiału],MATCH($B79,tab_MinKomp[[Stanowisko / Position ]:[Stanowisko / Position ]],0))="n/a","n/a",DK79-INDEX(tab_MinKomp[Obsługa urządzenia do pomiarów chropowoatości powierzchni materiału],MATCH($B79,tab_MinKomp[[Stanowisko / Position ]:[Stanowisko / Position ]],0)))</f>
        <v>n/a</v>
      </c>
      <c r="DL80" s="343" t="str">
        <f>IF(INDEX(tab_MinKomp[Wykonywanie pomiarów chropowatości powierzchni materiału / Durchführung von Messungen der Materialoberflächenrauheit],MATCH($B79,tab_MinKomp[[Stanowisko / Position ]:[Stanowisko / Position ]],0))="n/a","n/a",DL79-INDEX(tab_MinKomp[Wykonywanie pomiarów chropowatości powierzchni materiału / Durchführung von Messungen der Materialoberflächenrauheit],MATCH($B79,tab_MinKomp[[Stanowisko / Position ]:[Stanowisko / Position ]],0)))</f>
        <v>n/a</v>
      </c>
      <c r="DM80" s="343" t="str">
        <f>IF(INDEX(tab_MinKomp[Obsługa urządzenia do pomiaru siły radialnej części - postępowanie z trzpieniami. / Funktionsweise des Geräts zur Messung der Radialkraft von Teilen – Handhabungsstifte.],MATCH($B79,tab_MinKomp[[Stanowisko / Position ]:[Stanowisko / Position ]],0))="n/a","n/a",DM79-INDEX(tab_MinKomp[Obsługa urządzenia do pomiaru siły radialnej części - postępowanie z trzpieniami. / Funktionsweise des Geräts zur Messung der Radialkraft von Teilen – Handhabungsstifte.],MATCH($B79,tab_MinKomp[[Stanowisko / Position ]:[Stanowisko / Position ]],0)))</f>
        <v>n/a</v>
      </c>
      <c r="DN80" s="343" t="str">
        <f>IF(INDEX(tab_MinKomp[Wykonywanie pomiarów siły radialnej części / Führen Sie Radialkraftmessungen an Teilen durch],MATCH($B79,tab_MinKomp[[Stanowisko / Position ]:[Stanowisko / Position ]],0))="n/a","n/a",DN79-INDEX(tab_MinKomp[Wykonywanie pomiarów siły radialnej części / Führen Sie Radialkraftmessungen an Teilen durch],MATCH($B79,tab_MinKomp[[Stanowisko / Position ]:[Stanowisko / Position ]],0)))</f>
        <v>n/a</v>
      </c>
      <c r="DO80" s="343" t="str">
        <f>IF(INDEX(tab_MinKomp[Obsługa komory do testów wybuchwych / Betrieb einer Explosionsprüfkammer],MATCH($B79,tab_MinKomp[[Stanowisko / Position ]:[Stanowisko / Position ]],0))="n/a","n/a",DO79-INDEX(tab_MinKomp[Obsługa komory do testów wybuchwych / Betrieb einer Explosionsprüfkammer],MATCH($B79,tab_MinKomp[[Stanowisko / Position ]:[Stanowisko / Position ]],0)))</f>
        <v>n/a</v>
      </c>
      <c r="DP80" s="343" t="str">
        <f>IF(INDEX(tab_MinKomp[Wykonywanie testów wybuchowych części / Durchführung von Explosionstests an Teilen],MATCH($B79,tab_MinKomp[[Stanowisko / Position ]:[Stanowisko / Position ]],0))="n/a","n/a",DP79-INDEX(tab_MinKomp[Wykonywanie testów wybuchowych części / Durchführung von Explosionstests an Teilen],MATCH($B79,tab_MinKomp[[Stanowisko / Position ]:[Stanowisko / Position ]],0)))</f>
        <v>n/a</v>
      </c>
      <c r="DQ80" s="343" t="str">
        <f>IF(INDEX(tab_MinKomp[Obsługa urządzeń do mierzenia siły trzymania i/lub rozciągania / Betrieb von Geräten zur Messung der Halte- und/oder Dehnkraft],MATCH($B79,tab_MinKomp[[Stanowisko / Position ]:[Stanowisko / Position ]],0))="n/a","n/a",DQ79-INDEX(tab_MinKomp[Obsługa urządzeń do mierzenia siły trzymania i/lub rozciągania / Betrieb von Geräten zur Messung der Halte- und/oder Dehnkraft],MATCH($B79,tab_MinKomp[[Stanowisko / Position ]:[Stanowisko / Position ]],0)))</f>
        <v>n/a</v>
      </c>
      <c r="DR80" s="343" t="str">
        <f>IF(INDEX(tab_MinKomp[Wykonywanie testów mierzenia siły trzymania i/lub rozciągania / Durchführung von Tests zur Messung der Halte- und/oder Streckkraft],MATCH($B79,tab_MinKomp[[Stanowisko / Position ]:[Stanowisko / Position ]],0))="n/a","n/a",DR79-INDEX(tab_MinKomp[Wykonywanie testów mierzenia siły trzymania i/lub rozciągania / Durchführung von Tests zur Messung der Halte- und/oder Streckkraft],MATCH($B79,tab_MinKomp[[Stanowisko / Position ]:[Stanowisko / Position ]],0)))</f>
        <v>n/a</v>
      </c>
      <c r="DS80" s="343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Luftstrom)],MATCH($B79,tab_MinKomp[[Stanowisko / Position ]:[Stanowisko / Position ]],0))="n/a","n/a",DS79-INDEX(tab_MinKomp[Obsługa multimetru do pomiarów środowiskowych (temperatura, wilgotność, hałas, oświetlenie, przepływ powietrza) / Betrieb eines Multimeters für Umweltmessungen (Temperatur, Luftfeuchtigkeit, Lärm, Beleuchtung, Luftstrom)],MATCH($B79,tab_MinKomp[[Stanowisko / Position ]:[Stanowisko / Position ]],0)))</f>
        <v>n/a</v>
      </c>
      <c r="DT80" s="343" t="str">
        <f>IF(INDEX(tab_MinKomp[Kontrola warunków środowiskowych pracy (temperatura, wilgotność, hałas, oświetlenie, przepływ powietrza) / Kontrolle der Arbeitsumgebungsbedingungen (Temperatur, Luftfeuchtigkeit, Lärm, Beleuchtung, Luftstrom)],MATCH($B79,tab_MinKomp[[Stanowisko / Position ]:[Stanowisko / Position ]],0))="n/a","n/a",DT79-INDEX(tab_MinKomp[Kontrola warunków środowiskowych pracy (temperatura, wilgotność, hałas, oświetlenie, przepływ powietrza) / Kontrolle der Arbeitsumgebungsbedingungen (Temperatur, Luftfeuchtigkeit, Lärm, Beleuchtung, Luftstrom)],MATCH($B79,tab_MinKomp[[Stanowisko / Position ]:[Stanowisko / Position ]],0)))</f>
        <v>n/a</v>
      </c>
      <c r="DU80" s="343">
        <f>IF(INDEX(tab_MinKomp[MSA i SPC],MATCH($B79,tab_MinKomp[[Stanowisko / Position ]:[Stanowisko / Position ]],0))="n/a","n/a",DU79-INDEX(tab_MinKomp[MSA i SPC],MATCH($B79,tab_MinKomp[[Stanowisko / Position ]:[Stanowisko / Position ]],0)))</f>
        <v>-1</v>
      </c>
      <c r="DV80" s="343" t="str">
        <f>IF(INDEX(tab_MinKomp[Kontrola wejściowa komponentów/ Eingangskontrolle],MATCH($B79,tab_MinKomp[[Stanowisko / Position ]:[Stanowisko / Position ]],0))="n/a","n/a",DV79-INDEX(tab_MinKomp[Kontrola wejściowa komponentów/ Eingangskontrolle],MATCH($B79,tab_MinKomp[[Stanowisko / Position ]:[Stanowisko / Position ]],0)))</f>
        <v>n/a</v>
      </c>
      <c r="DW80" s="343" t="str">
        <f>IF(INDEX(tab_MinKomp[Kontrola wyjściowa produktu / Ausgangskontrolle],MATCH($B79,tab_MinKomp[[Stanowisko / Position ]:[Stanowisko / Position ]],0))="n/a","n/a",DW79-INDEX(tab_MinKomp[Kontrola wyjściowa produktu / Ausgangskontrolle],MATCH($B79,tab_MinKomp[[Stanowisko / Position ]:[Stanowisko / Position ]],0)))</f>
        <v>n/a</v>
      </c>
      <c r="DX80" s="343" t="str">
        <f>IF(INDEX(tab_MinKomp[Kontrola codzienna produkcji / Tägliche Produktionskontrolle],MATCH($B79,tab_MinKomp[[Stanowisko / Position ]:[Stanowisko / Position ]],0))="n/a","n/a",DX79-INDEX(tab_MinKomp[Kontrola codzienna produkcji / Tägliche Produktionskontrolle],MATCH($B79,tab_MinKomp[[Stanowisko / Position ]:[Stanowisko / Position ]],0)))</f>
        <v>n/a</v>
      </c>
      <c r="DY80" s="343">
        <f>IF(INDEX(tab_MinKomp[[Konserwacja Engel ]],MATCH($B79,tab_MinKomp[[Stanowisko / Position ]:[Stanowisko / Position ]],0))="n/a","n/a",DY79-INDEX(tab_MinKomp[[Konserwacja Engel ]],MATCH($B79,tab_MinKomp[[Stanowisko / Position ]:[Stanowisko / Position ]],0)))</f>
        <v>-2</v>
      </c>
      <c r="DZ80" s="343">
        <f>IF(INDEX(tab_MinKomp[[Konserwacja Engel ]],MATCH($B79,tab_MinKomp[[Stanowisko / Position ]:[Stanowisko / Position ]],0))="n/a","n/a",DZ79-INDEX(tab_MinKomp[[Konserwacja Engel ]],MATCH($B79,tab_MinKomp[[Stanowisko / Position ]:[Stanowisko / Position ]],0)))</f>
        <v>-2</v>
      </c>
      <c r="EA80" s="343">
        <f>IF(INDEX(tab_MinKomp[Konserwacja B 50],MATCH($B79,tab_MinKomp[[Stanowisko / Position ]:[Stanowisko / Position ]],0))="n/a","n/a",EA79-INDEX(tab_MinKomp[Konserwacja B 50],MATCH($B79,tab_MinKomp[[Stanowisko / Position ]:[Stanowisko / Position ]],0)))</f>
        <v>-2</v>
      </c>
      <c r="EB80" s="343">
        <f>IF(INDEX(tab_MinKomp[[Konserwacja EOL ]],MATCH($B79,tab_MinKomp[[Stanowisko / Position ]:[Stanowisko / Position ]],0))="n/a","n/a",EB79-INDEX(tab_MinKomp[[Konserwacja EOL ]],MATCH($B79,tab_MinKomp[[Stanowisko / Position ]:[Stanowisko / Position ]],0)))</f>
        <v>-2</v>
      </c>
      <c r="EC80" s="343">
        <f>IF(INDEX(tab_MinKomp[Konserwacja Branson],MATCH($B79,tab_MinKomp[[Stanowisko / Position ]:[Stanowisko / Position ]],0))="n/a","n/a",EC79-INDEX(tab_MinKomp[Konserwacja Branson],MATCH($B79,tab_MinKomp[[Stanowisko / Position ]:[Stanowisko / Position ]],0)))</f>
        <v>-2</v>
      </c>
      <c r="ED80" s="343">
        <f>IF(INDEX(tab_MinKomp[Konserwacja coolery],MATCH($B79,tab_MinKomp[[Stanowisko / Position ]:[Stanowisko / Position ]],0))="n/a","n/a",ED79-INDEX(tab_MinKomp[Konserwacja coolery],MATCH($B79,tab_MinKomp[[Stanowisko / Position ]:[Stanowisko / Position ]],0)))</f>
        <v>-2</v>
      </c>
      <c r="EE80" s="343">
        <f>IF(INDEX(tab_MinKomp[Konserwacja piecy],MATCH($B79,tab_MinKomp[[Stanowisko / Position ]:[Stanowisko / Position ]],0))="n/a","n/a",EE79-INDEX(tab_MinKomp[Konserwacja piecy],MATCH($B79,tab_MinKomp[[Stanowisko / Position ]:[Stanowisko / Position ]],0)))</f>
        <v>-2</v>
      </c>
      <c r="EF80" s="343">
        <f>IF(INDEX(tab_MinKomp[Rysunek techniczny- czytanie],MATCH($B79,tab_MinKomp[[Stanowisko / Position ]:[Stanowisko / Position ]],0))="n/a","n/a",EF79-INDEX(tab_MinKomp[Rysunek techniczny- czytanie],MATCH($B79,tab_MinKomp[[Stanowisko / Position ]:[Stanowisko / Position ]],0)))</f>
        <v>-2</v>
      </c>
      <c r="EG80" s="343">
        <f>IF(INDEX(tab_MinKomp[Elektryka],MATCH($B79,tab_MinKomp[[Stanowisko / Position ]:[Stanowisko / Position ]],0))="n/a","n/a",EG79-INDEX(tab_MinKomp[Elektryka],MATCH($B79,tab_MinKomp[[Stanowisko / Position ]:[Stanowisko / Position ]],0)))</f>
        <v>-2</v>
      </c>
      <c r="EH80" s="343">
        <f>IF(INDEX(tab_MinKomp[Pneumatyka],MATCH($B79,tab_MinKomp[[Stanowisko / Position ]:[Stanowisko / Position ]],0))="n/a","n/a",EH79-INDEX(tab_MinKomp[Pneumatyka],MATCH($B79,tab_MinKomp[[Stanowisko / Position ]:[Stanowisko / Position ]],0)))</f>
        <v>-2</v>
      </c>
      <c r="EI80" s="343">
        <f>IF(INDEX(tab_MinKomp[[Hydraulika ]],MATCH($B79,tab_MinKomp[[Stanowisko / Position ]:[Stanowisko / Position ]],0))="n/a","n/a",EI79-INDEX(tab_MinKomp[[Hydraulika ]],MATCH($B79,tab_MinKomp[[Stanowisko / Position ]:[Stanowisko / Position ]],0)))</f>
        <v>-2</v>
      </c>
      <c r="EJ80" s="343">
        <f>IF(INDEX(tab_MinKomp[Podciśnienie],MATCH($B79,tab_MinKomp[[Stanowisko / Position ]:[Stanowisko / Position ]],0))="n/a","n/a",EJ79-INDEX(tab_MinKomp[Podciśnienie],MATCH($B79,tab_MinKomp[[Stanowisko / Position ]:[Stanowisko / Position ]],0)))</f>
        <v>-2</v>
      </c>
      <c r="EK80" s="343">
        <f>IF(INDEX(tab_MinKomp[Usuwanie awarii],MATCH($B79,tab_MinKomp[[Stanowisko / Position ]:[Stanowisko / Position ]],0))="n/a","n/a",EK79-INDEX(tab_MinKomp[Usuwanie awarii],MATCH($B79,tab_MinKomp[[Stanowisko / Position ]:[Stanowisko / Position ]],0)))</f>
        <v>-2</v>
      </c>
      <c r="EL80" s="343">
        <f>IF(INDEX(tab_MinKomp[Obsługa robotów],MATCH($B79,tab_MinKomp[[Stanowisko / Position ]:[Stanowisko / Position ]],0))="n/a","n/a",EL79-INDEX(tab_MinKomp[Obsługa robotów],MATCH($B79,tab_MinKomp[[Stanowisko / Position ]:[Stanowisko / Position ]],0)))</f>
        <v>-2</v>
      </c>
      <c r="EM80" s="343">
        <f>IF(INDEX(tab_MinKomp[Obsługa sterowania maszyny],MATCH($B79,tab_MinKomp[[Stanowisko / Position ]:[Stanowisko / Position ]],0))="n/a","n/a",EM79-INDEX(tab_MinKomp[Obsługa sterowania maszyny],MATCH($B79,tab_MinKomp[[Stanowisko / Position ]:[Stanowisko / Position ]],0)))</f>
        <v>-2</v>
      </c>
      <c r="EN80" s="343">
        <f>IF(INDEX(tab_MinKomp[Usuwanie przyczyn żródłowych],MATCH($B79,tab_MinKomp[[Stanowisko / Position ]:[Stanowisko / Position ]],0))="n/a","n/a",EN79-INDEX(tab_MinKomp[Usuwanie przyczyn żródłowych],MATCH($B79,tab_MinKomp[[Stanowisko / Position ]:[Stanowisko / Position ]],0)))</f>
        <v>-3</v>
      </c>
      <c r="EO80" s="343">
        <f>IF(INDEX(tab_MinKomp[Cmms stosowanie],MATCH($B79,tab_MinKomp[[Stanowisko / Position ]:[Stanowisko / Position ]],0))="n/a","n/a",EO79-INDEX(tab_MinKomp[Cmms stosowanie],MATCH($B79,tab_MinKomp[[Stanowisko / Position ]:[Stanowisko / Position ]],0)))</f>
        <v>-2</v>
      </c>
      <c r="EP80" s="343" t="str">
        <f>IF(INDEX(tab_MinKomp[[Czyszczenie form gumowych ]],MATCH($B79,tab_MinKomp[[Stanowisko / Position ]:[Stanowisko / Position ]],0))="n/a","n/a",EP79-INDEX(tab_MinKomp[[Czyszczenie form gumowych ]],MATCH($B79,tab_MinKomp[[Stanowisko / Position ]:[Stanowisko / Position ]],0)))</f>
        <v>n/a</v>
      </c>
      <c r="EQ80" s="343" t="str">
        <f>IF(INDEX(tab_MinKomp[Czyszczenie form plastikowych],MATCH($B79,tab_MinKomp[[Stanowisko / Position ]:[Stanowisko / Position ]],0))="n/a","n/a",EQ79-INDEX(tab_MinKomp[Czyszczenie form plastikowych],MATCH($B79,tab_MinKomp[[Stanowisko / Position ]:[Stanowisko / Position ]],0)))</f>
        <v>n/a</v>
      </c>
      <c r="ER80" s="343" t="str">
        <f>IF(INDEX(tab_MinKomp[Wymiana form plastik],MATCH($B79,tab_MinKomp[[Stanowisko / Position ]:[Stanowisko / Position ]],0))="n/a","n/a",ER79-INDEX(tab_MinKomp[Wymiana form plastik],MATCH($B79,tab_MinKomp[[Stanowisko / Position ]:[Stanowisko / Position ]],0)))</f>
        <v>n/a</v>
      </c>
      <c r="ES80" s="343" t="str">
        <f>IF(INDEX(tab_MinKomp[Wymiana form guma],MATCH($B79,tab_MinKomp[[Stanowisko / Position ]:[Stanowisko / Position ]],0))="n/a","n/a",ES79-INDEX(tab_MinKomp[Wymiana form guma],MATCH($B79,tab_MinKomp[[Stanowisko / Position ]:[Stanowisko / Position ]],0)))</f>
        <v>n/a</v>
      </c>
      <c r="ET80" s="343" t="str">
        <f>IF(INDEX(tab_MinKomp[Konserwacja KK],MATCH($B79,tab_MinKomp[[Stanowisko / Position ]:[Stanowisko / Position ]],0))="n/a","n/a",ET79-INDEX(tab_MinKomp[Konserwacja KK],MATCH($B79,tab_MinKomp[[Stanowisko / Position ]:[Stanowisko / Position ]],0)))</f>
        <v>n/a</v>
      </c>
      <c r="EU80" s="343" t="str">
        <f>IF(INDEX(tab_MinKomp[Konserwacja form guma],MATCH($B79,tab_MinKomp[[Stanowisko / Position ]:[Stanowisko / Position ]],0))="n/a","n/a",EU79-INDEX(tab_MinKomp[Konserwacja form guma],MATCH($B79,tab_MinKomp[[Stanowisko / Position ]:[Stanowisko / Position ]],0)))</f>
        <v>n/a</v>
      </c>
      <c r="EV80" s="343" t="str">
        <f>IF(INDEX(tab_MinKomp[Konserwacja form plastiki],MATCH($B79,tab_MinKomp[[Stanowisko / Position ]:[Stanowisko / Position ]],0))="n/a","n/a",EV79-INDEX(tab_MinKomp[Konserwacja form plastiki],MATCH($B79,tab_MinKomp[[Stanowisko / Position ]:[Stanowisko / Position ]],0)))</f>
        <v>n/a</v>
      </c>
      <c r="EW80" s="330" t="str">
        <f>IF(INDEX(tab_MinKomp[Konserwacja form plastiki],MATCH($B79,tab_MinKomp[[Stanowisko / Position ]:[Stanowisko / Position ]],0))="n/a","n/a",EW79-INDEX(tab_MinKomp[Konserwacja form plastiki],MATCH($B79,tab_MinKomp[[Stanowisko / Position ]:[Stanowisko / Position ]],0)))</f>
        <v>n/a</v>
      </c>
      <c r="EX80" s="343" t="str">
        <f>IF(INDEX(tab_MinKomp[Konserwacja Gorącego Kanału],MATCH($B79,tab_MinKomp[[Stanowisko / Position ]:[Stanowisko / Position ]],0))="n/a","n/a",EX79-INDEX(tab_MinKomp[Konserwacja Gorącego Kanału],MATCH($B79,tab_MinKomp[[Stanowisko / Position ]:[Stanowisko / Position ]],0)))</f>
        <v>n/a</v>
      </c>
      <c r="EY80" s="343">
        <f>IF(INDEX(tab_MinKomp[MS Office (Excel)],MATCH($B79,tab_MinKomp[[Stanowisko / Position ]:[Stanowisko / Position ]],0))="n/a","n/a",EY79-INDEX(tab_MinKomp[MS Office (Excel)],MATCH($B79,tab_MinKomp[[Stanowisko / Position ]:[Stanowisko / Position ]],0)))</f>
        <v>-2</v>
      </c>
      <c r="EZ80" s="343">
        <f>IF(INDEX(tab_MinKomp[MS Office (Word)],MATCH($B79,tab_MinKomp[[Stanowisko / Position ]:[Stanowisko / Position ]],0))="n/a","n/a",EZ79-INDEX(tab_MinKomp[MS Office (Word)],MATCH($B79,tab_MinKomp[[Stanowisko / Position ]:[Stanowisko / Position ]],0)))</f>
        <v>-2</v>
      </c>
      <c r="FA80" s="343">
        <f>IF(INDEX(tab_MinKomp[MS Office (Power Point)],MATCH($B79,tab_MinKomp[[Stanowisko / Position ]:[Stanowisko / Position ]],0))="n/a","n/a",FA79-INDEX(tab_MinKomp[MS Office (Power Point)],MATCH($B79,tab_MinKomp[[Stanowisko / Position ]:[Stanowisko / Position ]],0)))</f>
        <v>-2</v>
      </c>
      <c r="FB80" s="345" t="str">
        <f>IF(INDEX(tab_MinKomp[Język angielski / Englisch],MATCH($B79,tab_MinKomp[[Stanowisko / Position ]:[Stanowisko / Position ]],0))="n/a","n/a",FB79-INDEX(tab_MinKomp[Język angielski / Englisch],MATCH($B79,tab_MinKomp[[Stanowisko / Position ]:[Stanowisko / Position ]],0)))</f>
        <v>n/a</v>
      </c>
      <c r="FC80" s="345" t="str">
        <f>IF(INDEX(tab_MinKomp[Język niemiecki / Deutsch],MATCH($B79,tab_MinKomp[[Stanowisko / Position ]:[Stanowisko / Position ]],0))="n/a","n/a",FC79-INDEX(tab_MinKomp[Język niemiecki / Deutsch],MATCH($B79,tab_MinKomp[[Stanowisko / Position ]:[Stanowisko / Position ]],0)))</f>
        <v>n/a</v>
      </c>
      <c r="FD80" s="343">
        <f>IF(INDEX(tab_MinKomp[Zarządzanie dokumentacją procesową / Process dokumentation management],MATCH($B79,tab_MinKomp[[Stanowisko / Position ]:[Stanowisko / Position ]],0))="n/a","n/a",FD79-INDEX(tab_MinKomp[Zarządzanie dokumentacją procesową / Process dokumentation management],MATCH($B79,tab_MinKomp[[Stanowisko / Position ]:[Stanowisko / Position ]],0)))</f>
        <v>-2</v>
      </c>
      <c r="FE80" s="343">
        <f>IF(INDEX(tab_MinKomp[Znajomość procesów z obszaru / Kenntiss der prozesse in dem Bereich],MATCH($B79,tab_MinKomp[[Stanowisko / Position ]:[Stanowisko / Position ]],0))="n/a","n/a",FE79-INDEX(tab_MinKomp[Znajomość procesów z obszaru / Kenntiss der prozesse in dem Bereich],MATCH($B79,tab_MinKomp[[Stanowisko / Position ]:[Stanowisko / Position ]],0)))</f>
        <v>-2</v>
      </c>
      <c r="FF80" s="343">
        <f>IF(INDEX(tab_MinKomp[optymalizacja procesów / Prozessoptymalisierung],MATCH($B79,tab_MinKomp[[Stanowisko / Position ]:[Stanowisko / Position ]],0))="n/a","n/a",FF79-INDEX(tab_MinKomp[optymalizacja procesów / Prozessoptymalisierung],MATCH($B79,tab_MinKomp[[Stanowisko / Position ]:[Stanowisko / Position ]],0)))</f>
        <v>-2</v>
      </c>
      <c r="FG80" s="343">
        <f>IF(INDEX(tab_MinKomp[Umiejętności szkoleniowe / Trainingsfähigkeiten],MATCH($B79,tab_MinKomp[[Stanowisko / Position ]:[Stanowisko / Position ]],0))="n/a","n/a",FG79-INDEX(tab_MinKomp[Umiejętności szkoleniowe / Trainingsfähigkeiten],MATCH($B79,tab_MinKomp[[Stanowisko / Position ]:[Stanowisko / Position ]],0)))</f>
        <v>-2</v>
      </c>
      <c r="FH80" s="343">
        <f>IF(INDEX(tab_MinKomp[Analityczne myślenie, podejście / Analitysches Denken, Einstellung],MATCH($B79,tab_MinKomp[[Stanowisko / Position ]:[Stanowisko / Position ]],0))="n/a","n/a",FH79-INDEX(tab_MinKomp[Analityczne myślenie, podejście / Analitysches Denken, Einstellung],MATCH($B79,tab_MinKomp[[Stanowisko / Position ]:[Stanowisko / Position ]],0)))</f>
        <v>-2</v>
      </c>
      <c r="FI80" s="343">
        <f>IF(INDEX(tab_MinKomp[Dokładność, precyzja w dzialaniu / Genauigkeit, Präzision in die Arbeit],MATCH($B79,tab_MinKomp[[Stanowisko / Position ]:[Stanowisko / Position ]],0))="n/a","n/a",FI79-INDEX(tab_MinKomp[Dokładność, precyzja w dzialaniu / Genauigkeit, Präzision in die Arbeit],MATCH($B79,tab_MinKomp[[Stanowisko / Position ]:[Stanowisko / Position ]],0)))</f>
        <v>-2</v>
      </c>
      <c r="FJ80" s="343">
        <f>IF(INDEX(tab_MinKomp[Dyspozycyjność / Verfügbarkeit],MATCH($B79,tab_MinKomp[[Stanowisko / Position ]:[Stanowisko / Position ]],0))="n/a","n/a",FJ79-INDEX(tab_MinKomp[Dyspozycyjność / Verfügbarkeit],MATCH($B79,tab_MinKomp[[Stanowisko / Position ]:[Stanowisko / Position ]],0)))</f>
        <v>-2</v>
      </c>
      <c r="FK80" s="343">
        <f>IF(INDEX(tab_MinKomp[Zaangażowanie / 
Engagement],MATCH($B79,tab_MinKomp[[Stanowisko / Position ]:[Stanowisko / Position ]],0))="n/a","n/a",FK79-INDEX(tab_MinKomp[Zaangażowanie / 
Engagement],MATCH($B79,tab_MinKomp[[Stanowisko / Position ]:[Stanowisko / Position ]],0)))</f>
        <v>-2</v>
      </c>
      <c r="FL80" s="343">
        <f>IF(INDEX(tab_MinKomp[Planowanie strategiczne / Strategische Planung],MATCH($B79,tab_MinKomp[[Stanowisko / Position ]:[Stanowisko / Position ]],0))="n/a","n/a",FL79-INDEX(tab_MinKomp[Planowanie strategiczne / Strategische Planung],MATCH($B79,tab_MinKomp[[Stanowisko / Position ]:[Stanowisko / Position ]],0)))</f>
        <v>-1</v>
      </c>
      <c r="FM80" s="343">
        <f>IF(INDEX(tab_MinKomp[Konsekwentne i dynamiczne działanie],MATCH($B79,tab_MinKomp[[Stanowisko / Position ]:[Stanowisko / Position ]],0))="n/a","n/a",FM79-INDEX(tab_MinKomp[Konsekwentne i dynamiczne działanie],MATCH($B79,tab_MinKomp[[Stanowisko / Position ]:[Stanowisko / Position ]],0)))</f>
        <v>-2</v>
      </c>
      <c r="FN80" s="343">
        <f>IF(INDEX(tab_MinKomp[Elastyczność w działaniu],MATCH($B79,tab_MinKomp[[Stanowisko / Position ]:[Stanowisko / Position ]],0))="n/a","n/a",FN79-INDEX(tab_MinKomp[Elastyczność w działaniu],MATCH($B79,tab_MinKomp[[Stanowisko / Position ]:[Stanowisko / Position ]],0)))</f>
        <v>-2</v>
      </c>
      <c r="FO80" s="343">
        <f>IF(INDEX(tab_MinKomp[Komunikatywność],MATCH($B79,tab_MinKomp[[Stanowisko / Position ]:[Stanowisko / Position ]],0))="n/a","n/a",FO79-INDEX(tab_MinKomp[Komunikatywność],MATCH($B79,tab_MinKomp[[Stanowisko / Position ]:[Stanowisko / Position ]],0)))</f>
        <v>-2</v>
      </c>
      <c r="FP80" s="343">
        <f>IF(INDEX(tab_MinKomp[Motywowanie i budowanie zaangażowania zespołu],MATCH($B79,tab_MinKomp[[Stanowisko / Position ]:[Stanowisko / Position ]],0))="n/a","n/a",FP79-INDEX(tab_MinKomp[Motywowanie i budowanie zaangażowania zespołu],MATCH($B79,tab_MinKomp[[Stanowisko / Position ]:[Stanowisko / Position ]],0)))</f>
        <v>-2</v>
      </c>
      <c r="FQ80" s="323" t="s">
        <v>176</v>
      </c>
      <c r="FR80" s="323" t="s">
        <v>176</v>
      </c>
      <c r="FS80" s="323" t="s">
        <v>176</v>
      </c>
      <c r="FT80" s="323" t="s">
        <v>176</v>
      </c>
      <c r="FU80" s="323" t="s">
        <v>176</v>
      </c>
      <c r="FV80" s="323" t="s">
        <v>176</v>
      </c>
      <c r="FW80" s="323" t="s">
        <v>176</v>
      </c>
      <c r="FX80" s="343" t="str">
        <f>IF(INDEX(tab_MinKomp[SUWNICE / Laufkran],MATCH($B79,tab_MinKomp[[Stanowisko / Position ]:[Stanowisko / Position ]],0))="n/a","n/a",INDEX(tab_MinKomp[SUWNICE / Laufkran],MATCH($B79,tab_MinKomp[[Stanowisko / Position ]:[Stanowisko / Position ]],0)))</f>
        <v>x</v>
      </c>
      <c r="FY80" s="323" t="s">
        <v>176</v>
      </c>
      <c r="FZ80" s="323" t="s">
        <v>176</v>
      </c>
      <c r="GA80" s="323" t="s">
        <v>176</v>
      </c>
      <c r="GB80" s="323" t="s">
        <v>176</v>
      </c>
      <c r="GC80" s="323" t="s">
        <v>176</v>
      </c>
      <c r="GD80" s="323" t="s">
        <v>176</v>
      </c>
      <c r="GE80" s="323" t="s">
        <v>176</v>
      </c>
      <c r="GF80" s="343" t="str">
        <f>IF(INDEX(tab_MinKomp[SUWNICE / Laufkran],MATCH($B79,tab_MinKomp[[Stanowisko / Position ]:[Stanowisko / Position ]],0))="n/a","n/a",INDEX(tab_MinKomp[SUWNICE / Laufkran],MATCH($B79,tab_MinKomp[[Stanowisko / Position ]:[Stanowisko / Position ]],0)))</f>
        <v>x</v>
      </c>
      <c r="GG80" s="343" t="str">
        <f>IF(INDEX(tab_MinKomp[SUWNICE / Laufkran],MATCH($B79,tab_MinKomp[[Stanowisko / Position ]:[Stanowisko / Position ]],0))="n/a","n/a",INDEX(tab_MinKomp[SUWNICE / Laufkran],MATCH($B79,tab_MinKomp[[Stanowisko / Position ]:[Stanowisko / Position ]],0)))</f>
        <v>x</v>
      </c>
      <c r="GH80" s="323" t="s">
        <v>176</v>
      </c>
      <c r="GI80" s="323" t="s">
        <v>176</v>
      </c>
      <c r="GJ80" s="343" t="str">
        <f>IF(INDEX(tab_MinKomp[SUWNICE / Laufkran],MATCH($B79,tab_MinKomp[[Stanowisko / Position ]:[Stanowisko / Position ]],0))="n/a","n/a",INDEX(tab_MinKomp[SUWNICE / Laufkran],MATCH($B79,tab_MinKomp[[Stanowisko / Position ]:[Stanowisko / Position ]],0)))</f>
        <v>x</v>
      </c>
      <c r="GK80" s="323" t="s">
        <v>176</v>
      </c>
      <c r="GL80" s="320">
        <f>SUM(G80:FP80)/(GL79-(SUM(G80:FP80)))</f>
        <v>-1</v>
      </c>
      <c r="GM80" s="132"/>
    </row>
    <row r="81" spans="1:195" s="133" customFormat="1" ht="28.35" customHeight="1" thickBot="1" x14ac:dyDescent="0.3">
      <c r="A81" s="138" t="s">
        <v>181</v>
      </c>
      <c r="B81" s="138" t="s">
        <v>731</v>
      </c>
      <c r="C81" s="138" t="s">
        <v>613</v>
      </c>
      <c r="D81" s="135">
        <v>303</v>
      </c>
      <c r="E81" s="565" t="s">
        <v>246</v>
      </c>
      <c r="F81" s="307" t="s">
        <v>165</v>
      </c>
      <c r="G81" s="323">
        <v>2</v>
      </c>
      <c r="H81" s="323">
        <v>2</v>
      </c>
      <c r="I81" s="323">
        <v>3</v>
      </c>
      <c r="J81" s="323">
        <v>2</v>
      </c>
      <c r="K81" s="323">
        <v>2</v>
      </c>
      <c r="L81" s="323">
        <v>1</v>
      </c>
      <c r="M81" s="323" t="s">
        <v>176</v>
      </c>
      <c r="N81" s="323" t="s">
        <v>176</v>
      </c>
      <c r="O81" s="323">
        <v>2</v>
      </c>
      <c r="P81" s="323">
        <v>2</v>
      </c>
      <c r="Q81" s="323" t="s">
        <v>176</v>
      </c>
      <c r="R81" s="323" t="s">
        <v>176</v>
      </c>
      <c r="S81" s="323">
        <v>1</v>
      </c>
      <c r="T81" s="323">
        <v>1</v>
      </c>
      <c r="U81" s="323" t="s">
        <v>176</v>
      </c>
      <c r="V81" s="323" t="s">
        <v>176</v>
      </c>
      <c r="W81" s="323" t="s">
        <v>176</v>
      </c>
      <c r="X81" s="323" t="s">
        <v>176</v>
      </c>
      <c r="Y81" s="323" t="s">
        <v>176</v>
      </c>
      <c r="Z81" s="323" t="s">
        <v>176</v>
      </c>
      <c r="AA81" s="323" t="s">
        <v>176</v>
      </c>
      <c r="AB81" s="323">
        <v>2</v>
      </c>
      <c r="AC81" s="323">
        <v>1</v>
      </c>
      <c r="AD81" s="323">
        <v>1</v>
      </c>
      <c r="AE81" s="323">
        <v>1</v>
      </c>
      <c r="AF81" s="323">
        <v>1</v>
      </c>
      <c r="AG81" s="323" t="s">
        <v>176</v>
      </c>
      <c r="AH81" s="323" t="s">
        <v>176</v>
      </c>
      <c r="AI81" s="323" t="s">
        <v>176</v>
      </c>
      <c r="AJ81" s="323" t="s">
        <v>176</v>
      </c>
      <c r="AK81" s="323" t="s">
        <v>176</v>
      </c>
      <c r="AL81" s="323">
        <v>1</v>
      </c>
      <c r="AM81" s="323">
        <v>2</v>
      </c>
      <c r="AN81" s="323" t="s">
        <v>176</v>
      </c>
      <c r="AO81" s="323" t="s">
        <v>176</v>
      </c>
      <c r="AP81" s="323" t="s">
        <v>176</v>
      </c>
      <c r="AQ81" s="323" t="s">
        <v>176</v>
      </c>
      <c r="AR81" s="323" t="s">
        <v>176</v>
      </c>
      <c r="AS81" s="323">
        <v>1</v>
      </c>
      <c r="AT81" s="323">
        <v>1</v>
      </c>
      <c r="AU81" s="323">
        <v>0</v>
      </c>
      <c r="AV81" s="323">
        <v>2</v>
      </c>
      <c r="AW81" s="323">
        <v>1</v>
      </c>
      <c r="AX81" s="323">
        <v>1</v>
      </c>
      <c r="AY81" s="323" t="s">
        <v>176</v>
      </c>
      <c r="AZ81" s="323" t="s">
        <v>176</v>
      </c>
      <c r="BA81" s="323" t="s">
        <v>176</v>
      </c>
      <c r="BB81" s="323">
        <v>2</v>
      </c>
      <c r="BC81" s="323" t="s">
        <v>176</v>
      </c>
      <c r="BD81" s="323" t="s">
        <v>176</v>
      </c>
      <c r="BE81" s="323" t="s">
        <v>176</v>
      </c>
      <c r="BF81" s="323" t="s">
        <v>176</v>
      </c>
      <c r="BG81" s="323" t="s">
        <v>176</v>
      </c>
      <c r="BH81" s="323" t="s">
        <v>176</v>
      </c>
      <c r="BI81" s="323" t="s">
        <v>176</v>
      </c>
      <c r="BJ81" s="323" t="s">
        <v>176</v>
      </c>
      <c r="BK81" s="323" t="s">
        <v>176</v>
      </c>
      <c r="BL81" s="323" t="s">
        <v>176</v>
      </c>
      <c r="BM81" s="323">
        <v>1</v>
      </c>
      <c r="BN81" s="323">
        <v>2</v>
      </c>
      <c r="BO81" s="323">
        <v>2</v>
      </c>
      <c r="BP81" s="323">
        <v>2</v>
      </c>
      <c r="BQ81" s="323">
        <v>2</v>
      </c>
      <c r="BR81" s="323">
        <v>2</v>
      </c>
      <c r="BS81" s="323">
        <v>2</v>
      </c>
      <c r="BT81" s="323">
        <v>2</v>
      </c>
      <c r="BU81" s="323">
        <v>2</v>
      </c>
      <c r="BV81" s="323">
        <v>2</v>
      </c>
      <c r="BW81" s="323" t="s">
        <v>176</v>
      </c>
      <c r="BX81" s="323" t="s">
        <v>176</v>
      </c>
      <c r="BY81" s="323" t="s">
        <v>176</v>
      </c>
      <c r="BZ81" s="323" t="s">
        <v>176</v>
      </c>
      <c r="CA81" s="323" t="s">
        <v>176</v>
      </c>
      <c r="CB81" s="323" t="s">
        <v>176</v>
      </c>
      <c r="CC81" s="323" t="s">
        <v>176</v>
      </c>
      <c r="CD81" s="323" t="s">
        <v>176</v>
      </c>
      <c r="CE81" s="323" t="s">
        <v>176</v>
      </c>
      <c r="CF81" s="323" t="s">
        <v>176</v>
      </c>
      <c r="CG81" s="323" t="s">
        <v>176</v>
      </c>
      <c r="CH81" s="323" t="s">
        <v>176</v>
      </c>
      <c r="CI81" s="323">
        <v>2</v>
      </c>
      <c r="CJ81" s="323" t="s">
        <v>176</v>
      </c>
      <c r="CK81" s="323" t="s">
        <v>176</v>
      </c>
      <c r="CL81" s="323">
        <v>1</v>
      </c>
      <c r="CM81" s="323" t="s">
        <v>176</v>
      </c>
      <c r="CN81" s="323">
        <v>2</v>
      </c>
      <c r="CO81" s="323">
        <v>1</v>
      </c>
      <c r="CP81" s="323">
        <v>2</v>
      </c>
      <c r="CQ81" s="323" t="s">
        <v>176</v>
      </c>
      <c r="CR81" s="323">
        <v>1</v>
      </c>
      <c r="CS81" s="323" t="s">
        <v>176</v>
      </c>
      <c r="CT81" s="323" t="s">
        <v>176</v>
      </c>
      <c r="CU81" s="323">
        <v>2</v>
      </c>
      <c r="CV81" s="323">
        <v>1</v>
      </c>
      <c r="CW81" s="323" t="s">
        <v>176</v>
      </c>
      <c r="CX81" s="323" t="s">
        <v>176</v>
      </c>
      <c r="CY81" s="323" t="s">
        <v>176</v>
      </c>
      <c r="CZ81" s="323" t="s">
        <v>176</v>
      </c>
      <c r="DA81" s="323" t="s">
        <v>176</v>
      </c>
      <c r="DB81" s="323" t="s">
        <v>176</v>
      </c>
      <c r="DC81" s="323" t="s">
        <v>176</v>
      </c>
      <c r="DD81" s="323" t="s">
        <v>176</v>
      </c>
      <c r="DE81" s="323" t="s">
        <v>176</v>
      </c>
      <c r="DF81" s="323" t="s">
        <v>176</v>
      </c>
      <c r="DG81" s="323" t="s">
        <v>176</v>
      </c>
      <c r="DH81" s="323" t="s">
        <v>176</v>
      </c>
      <c r="DI81" s="323" t="s">
        <v>176</v>
      </c>
      <c r="DJ81" s="323" t="s">
        <v>176</v>
      </c>
      <c r="DK81" s="323" t="s">
        <v>176</v>
      </c>
      <c r="DL81" s="323" t="s">
        <v>176</v>
      </c>
      <c r="DM81" s="323" t="s">
        <v>176</v>
      </c>
      <c r="DN81" s="323" t="s">
        <v>176</v>
      </c>
      <c r="DO81" s="323" t="s">
        <v>176</v>
      </c>
      <c r="DP81" s="323" t="s">
        <v>176</v>
      </c>
      <c r="DQ81" s="323" t="s">
        <v>176</v>
      </c>
      <c r="DR81" s="323" t="s">
        <v>176</v>
      </c>
      <c r="DS81" s="323" t="s">
        <v>176</v>
      </c>
      <c r="DT81" s="323" t="s">
        <v>176</v>
      </c>
      <c r="DU81" s="323"/>
      <c r="DV81" s="308" t="s">
        <v>176</v>
      </c>
      <c r="DW81" s="308" t="s">
        <v>176</v>
      </c>
      <c r="DX81" s="308" t="s">
        <v>176</v>
      </c>
      <c r="DY81" s="323">
        <v>3</v>
      </c>
      <c r="DZ81" s="323">
        <v>3</v>
      </c>
      <c r="EA81" s="323">
        <v>3</v>
      </c>
      <c r="EB81" s="323">
        <v>3</v>
      </c>
      <c r="EC81" s="323">
        <v>3</v>
      </c>
      <c r="ED81" s="323">
        <v>3</v>
      </c>
      <c r="EE81" s="323">
        <v>3</v>
      </c>
      <c r="EF81" s="323">
        <v>2</v>
      </c>
      <c r="EG81" s="323">
        <v>2</v>
      </c>
      <c r="EH81" s="323">
        <v>2</v>
      </c>
      <c r="EI81" s="323">
        <v>2</v>
      </c>
      <c r="EJ81" s="323">
        <v>2</v>
      </c>
      <c r="EK81" s="323">
        <v>3</v>
      </c>
      <c r="EL81" s="323">
        <v>2</v>
      </c>
      <c r="EM81" s="323">
        <v>3</v>
      </c>
      <c r="EN81" s="323">
        <v>3</v>
      </c>
      <c r="EO81" s="323">
        <v>3</v>
      </c>
      <c r="EP81" s="323" t="s">
        <v>176</v>
      </c>
      <c r="EQ81" s="323" t="s">
        <v>176</v>
      </c>
      <c r="ER81" s="323" t="s">
        <v>176</v>
      </c>
      <c r="ES81" s="323" t="s">
        <v>176</v>
      </c>
      <c r="ET81" s="323" t="s">
        <v>176</v>
      </c>
      <c r="EU81" s="323" t="s">
        <v>176</v>
      </c>
      <c r="EV81" s="323" t="s">
        <v>176</v>
      </c>
      <c r="EW81" s="308" t="s">
        <v>176</v>
      </c>
      <c r="EX81" s="323" t="s">
        <v>176</v>
      </c>
      <c r="EY81" s="323">
        <v>1</v>
      </c>
      <c r="EZ81" s="323">
        <v>1</v>
      </c>
      <c r="FA81" s="341">
        <v>1</v>
      </c>
      <c r="FB81" s="340">
        <v>1</v>
      </c>
      <c r="FC81" s="323" t="s">
        <v>176</v>
      </c>
      <c r="FD81" s="341">
        <v>2</v>
      </c>
      <c r="FE81" s="323">
        <v>2</v>
      </c>
      <c r="FF81" s="323">
        <v>2</v>
      </c>
      <c r="FG81" s="323">
        <v>2</v>
      </c>
      <c r="FH81" s="323">
        <v>2</v>
      </c>
      <c r="FI81" s="323">
        <v>2</v>
      </c>
      <c r="FJ81" s="323">
        <v>3</v>
      </c>
      <c r="FK81" s="323">
        <v>3</v>
      </c>
      <c r="FL81" s="323">
        <v>2</v>
      </c>
      <c r="FM81" s="323">
        <v>2</v>
      </c>
      <c r="FN81" s="323">
        <v>2</v>
      </c>
      <c r="FO81" s="323">
        <v>2</v>
      </c>
      <c r="FP81" s="323">
        <v>2</v>
      </c>
      <c r="FQ81" s="323" t="s">
        <v>176</v>
      </c>
      <c r="FR81" s="323" t="s">
        <v>176</v>
      </c>
      <c r="FS81" s="323" t="s">
        <v>176</v>
      </c>
      <c r="FT81" s="323" t="s">
        <v>176</v>
      </c>
      <c r="FU81" s="323" t="s">
        <v>176</v>
      </c>
      <c r="FV81" s="323" t="s">
        <v>176</v>
      </c>
      <c r="FW81" s="323" t="s">
        <v>176</v>
      </c>
      <c r="FX81" s="323"/>
      <c r="FY81" s="323" t="s">
        <v>176</v>
      </c>
      <c r="FZ81" s="323" t="s">
        <v>176</v>
      </c>
      <c r="GA81" s="323" t="s">
        <v>176</v>
      </c>
      <c r="GB81" s="323" t="s">
        <v>176</v>
      </c>
      <c r="GC81" s="323"/>
      <c r="GD81" s="323" t="s">
        <v>176</v>
      </c>
      <c r="GE81" s="323" t="s">
        <v>176</v>
      </c>
      <c r="GF81" s="323"/>
      <c r="GG81" s="323"/>
      <c r="GH81" s="323"/>
      <c r="GI81" s="323"/>
      <c r="GJ81" s="323"/>
      <c r="GK81" s="355"/>
      <c r="GL81" s="329">
        <f>SUM(G81:FP81)</f>
        <v>143</v>
      </c>
      <c r="GM81" s="132"/>
    </row>
    <row r="82" spans="1:195" s="133" customFormat="1" ht="28.35" customHeight="1" thickBot="1" x14ac:dyDescent="0.3">
      <c r="A82" s="138" t="s">
        <v>181</v>
      </c>
      <c r="B82" s="138" t="s">
        <v>731</v>
      </c>
      <c r="C82" s="138" t="str">
        <f>C81</f>
        <v>KS</v>
      </c>
      <c r="D82" s="138">
        <f>D81</f>
        <v>303</v>
      </c>
      <c r="E82" s="566" t="str">
        <f>E81</f>
        <v>Ścięgaj Piotr</v>
      </c>
      <c r="F82" s="442" t="s">
        <v>166</v>
      </c>
      <c r="G82" s="443">
        <f>IF(INDEX(tab_MinKomp[Przepisy BHP / BHP Vorschriften],MATCH($B81,tab_MinKomp[[Stanowisko / Position ]:[Stanowisko / Position ]],0))="n/a","n/a",G81-INDEX(tab_MinKomp[Przepisy BHP / BHP Vorschriften],MATCH($B81,tab_MinKomp[[Stanowisko / Position ]:[Stanowisko / Position ]],0)))</f>
        <v>0</v>
      </c>
      <c r="H82" s="443">
        <f>IF(INDEX(tab_MinKomp[Przepisy PPOŻ / Brandschutzbestimmungen],MATCH($B81,tab_MinKomp[[Stanowisko / Position ]:[Stanowisko / Position ]],0))="n/a","n/a",H81-INDEX(tab_MinKomp[Przepisy PPOŻ / Brandschutzbestimmungen],MATCH($B81,tab_MinKomp[[Stanowisko / Position ]:[Stanowisko / Position ]],0)))</f>
        <v>0</v>
      </c>
      <c r="I82" s="443">
        <f>IF(INDEX(tab_MinKomp[Ryzyko zawodowe na stanowiskach pracyv/ Berufliche Risiken an Arbeitsstellen],MATCH($B81,tab_MinKomp[[Stanowisko / Position ]:[Stanowisko / Position ]],0))="n/a","n/a",I81-INDEX(tab_MinKomp[Ryzyko zawodowe na stanowiskach pracyv/ Berufliche Risiken an Arbeitsstellen],MATCH($B81,tab_MinKomp[[Stanowisko / Position ]:[Stanowisko / Position ]],0)))</f>
        <v>1</v>
      </c>
      <c r="J82" s="443">
        <f>IF(INDEX(tab_MinKomp[Gospodarka substancjami niebezpiecznymi / Gefahrstoffmanagement],MATCH($B81,tab_MinKomp[[Stanowisko / Position ]:[Stanowisko / Position ]],0))="n/a","n/a",J81-INDEX(tab_MinKomp[Gospodarka substancjami niebezpiecznymi / Gefahrstoffmanagement],MATCH($B81,tab_MinKomp[[Stanowisko / Position ]:[Stanowisko / Position ]],0)))</f>
        <v>0</v>
      </c>
      <c r="K82" s="443">
        <f>IF(INDEX(tab_MinKomp[Gospodarka odpadami / Abfallwirtschaft],MATCH($B81,tab_MinKomp[[Stanowisko / Position ]:[Stanowisko / Position ]],0))="n/a","n/a",K81-INDEX(tab_MinKomp[Gospodarka odpadami / Abfallwirtschaft],MATCH($B81,tab_MinKomp[[Stanowisko / Position ]:[Stanowisko / Position ]],0)))</f>
        <v>0</v>
      </c>
      <c r="L82" s="443">
        <f>IF(INDEX(tab_MinKomp[Przepisy kodeksu pracy / Bestimmungen des Arbeitsgesetzes],MATCH($B81,tab_MinKomp[[Stanowisko / Position ]:[Stanowisko / Position ]],0))="n/a","n/a",L81-INDEX(tab_MinKomp[Przepisy kodeksu pracy / Bestimmungen des Arbeitsgesetzes],MATCH($B81,tab_MinKomp[[Stanowisko / Position ]:[Stanowisko / Position ]],0)))</f>
        <v>0</v>
      </c>
      <c r="M82" s="443" t="str">
        <f>IF(INDEX(tab_MinKomp[Przepisy o ub.społ. ZUS  / Sozialversicherungsvorschriften],MATCH($B81,tab_MinKomp[[Stanowisko / Position ]:[Stanowisko / Position ]],0))="n/a","n/a",M81-INDEX(tab_MinKomp[Przepisy o ub.społ. ZUS  / Sozialversicherungsvorschriften],MATCH($B81,tab_MinKomp[[Stanowisko / Position ]:[Stanowisko / Position ]],0)))</f>
        <v>n/a</v>
      </c>
      <c r="N82" s="443" t="str">
        <f>IF(INDEX(tab_MinKomp[PRZEPISY O PDOF /persönlich Einkommensteuergesetz ],MATCH($B81,tab_MinKomp[[Stanowisko / Position ]:[Stanowisko / Position ]],0))="n/a","n/a",N81-INDEX(tab_MinKomp[PRZEPISY O PDOF /persönlich Einkommensteuergesetz ],MATCH($B81,tab_MinKomp[[Stanowisko / Position ]:[Stanowisko / Position ]],0)))</f>
        <v>n/a</v>
      </c>
      <c r="O82" s="443">
        <f>IF(INDEX(tab_MinKomp[Regulamin pracy / Arbeitsordnung],MATCH($B81,tab_MinKomp[[Stanowisko / Position ]:[Stanowisko / Position ]],0))="n/a","n/a",O81-INDEX(tab_MinKomp[Regulamin pracy / Arbeitsordnung],MATCH($B81,tab_MinKomp[[Stanowisko / Position ]:[Stanowisko / Position ]],0)))</f>
        <v>0</v>
      </c>
      <c r="P82" s="443">
        <f>IF(INDEX(tab_MinKomp[Regulamin wynagradzania / Vergütungsordnung],MATCH($B81,tab_MinKomp[[Stanowisko / Position ]:[Stanowisko / Position ]],0))="n/a","n/a",P81-INDEX(tab_MinKomp[Regulamin wynagradzania / Vergütungsordnung],MATCH($B81,tab_MinKomp[[Stanowisko / Position ]:[Stanowisko / Position ]],0)))</f>
        <v>1</v>
      </c>
      <c r="Q82" s="443" t="str">
        <f>IF(INDEX(tab_MinKomp[System R2PŁATNIK PRO: Płace / Lohnabrechnung],MATCH($B81,tab_MinKomp[[Stanowisko / Position ]:[Stanowisko / Position ]],0))="n/a","n/a",Q81-INDEX(tab_MinKomp[System R2PŁATNIK PRO: Płace / Lohnabrechnung],MATCH($B81,tab_MinKomp[[Stanowisko / Position ]:[Stanowisko / Position ]],0)))</f>
        <v>n/a</v>
      </c>
      <c r="R82" s="443" t="str">
        <f>IF(INDEX(tab_MinKomp[SystemR2PŁATNIK PRO: KADRY / Personaldaten],MATCH($B81,tab_MinKomp[[Stanowisko / Position ]:[Stanowisko / Position ]],0))="n/a","n/a",R81-INDEX(tab_MinKomp[SystemR2PŁATNIK PRO: KADRY / Personaldaten],MATCH($B81,tab_MinKomp[[Stanowisko / Position ]:[Stanowisko / Position ]],0)))</f>
        <v>n/a</v>
      </c>
      <c r="S82" s="443">
        <f>IF(INDEX(tab_MinKomp[SYSTEM R2PŁATNIK PRO: zarządzanie pracownikami / Arbeitsverwaltung],MATCH($B81,tab_MinKomp[[Stanowisko / Position ]:[Stanowisko / Position ]],0))="n/a","n/a",S81-INDEX(tab_MinKomp[SYSTEM R2PŁATNIK PRO: zarządzanie pracownikami / Arbeitsverwaltung],MATCH($B81,tab_MinKomp[[Stanowisko / Position ]:[Stanowisko / Position ]],0)))</f>
        <v>0</v>
      </c>
      <c r="T82" s="443">
        <f>IF(INDEX(tab_MinKomp[Doradztwo, wsparcie personalne / Personalberatung und Unterstützung],MATCH($B81,tab_MinKomp[[Stanowisko / Position ]:[Stanowisko / Position ]],0))="n/a","n/a",T81-INDEX(tab_MinKomp[Doradztwo, wsparcie personalne / Personalberatung und Unterstützung],MATCH($B81,tab_MinKomp[[Stanowisko / Position ]:[Stanowisko / Position ]],0)))</f>
        <v>0</v>
      </c>
      <c r="U82" s="443" t="str">
        <f>IF(INDEX(tab_MinKomp[Przepisy o podatku VAT / MwSt.- Gesetz],MATCH($B81,tab_MinKomp[[Stanowisko / Position ]:[Stanowisko / Position ]],0))="n/a","n/a",U81-INDEX(tab_MinKomp[Przepisy o podatku VAT / MwSt.- Gesetz],MATCH($B81,tab_MinKomp[[Stanowisko / Position ]:[Stanowisko / Position ]],0)))</f>
        <v>n/a</v>
      </c>
      <c r="V82" s="443" t="str">
        <f>IF(INDEX(tab_MinKomp[PrzepisyPDOP / geschäftlich Einkommensteuergesetz],MATCH($B81,tab_MinKomp[[Stanowisko / Position ]:[Stanowisko / Position ]],0))="n/a","n/a",V81-INDEX(tab_MinKomp[PrzepisyPDOP / geschäftlich Einkommensteuergesetz],MATCH($B81,tab_MinKomp[[Stanowisko / Position ]:[Stanowisko / Position ]],0)))</f>
        <v>n/a</v>
      </c>
      <c r="W82" s="443" t="str">
        <f>IF(INDEX(tab_MinKomp[System BAAN / FINANSE (FIBU)],MATCH($B81,tab_MinKomp[[Stanowisko / Position ]:[Stanowisko / Position ]],0))="n/a","n/a",W81-INDEX(tab_MinKomp[System BAAN / FINANSE (FIBU)],MATCH($B81,tab_MinKomp[[Stanowisko / Position ]:[Stanowisko / Position ]],0)))</f>
        <v>n/a</v>
      </c>
      <c r="X82" s="443" t="str">
        <f>IF(INDEX(tab_MinKomp[Systemy pomocnicze / Hilfssysteme(STOCKPROGRAM, KALK2000 etc.)],MATCH($B81,tab_MinKomp[[Stanowisko / Position ]:[Stanowisko / Position ]],0))="n/a","n/a",X81-INDEX(tab_MinKomp[Systemy pomocnicze / Hilfssysteme(STOCKPROGRAM, KALK2000 etc.)],MATCH($B81,tab_MinKomp[[Stanowisko / Position ]:[Stanowisko / Position ]],0)))</f>
        <v>n/a</v>
      </c>
      <c r="Y82" s="443" t="str">
        <f>IF(INDEX(tab_MinKomp[Polityka rachunkowości / Buchführungspolitik],MATCH($B81,tab_MinKomp[[Stanowisko / Position ]:[Stanowisko / Position ]],0))="n/a","n/a",Y81-INDEX(tab_MinKomp[Polityka rachunkowości / Buchführungspolitik],MATCH($B81,tab_MinKomp[[Stanowisko / Position ]:[Stanowisko / Position ]],0)))</f>
        <v>n/a</v>
      </c>
      <c r="Z82" s="443" t="str">
        <f>IF(INDEX(tab_MinKomp[Ustawa o rachunkowości / Rechnungslegungsgesetz],MATCH($B81,tab_MinKomp[[Stanowisko / Position ]:[Stanowisko / Position ]],0))="n/a","n/a",Z81-INDEX(tab_MinKomp[Ustawa o rachunkowości / Rechnungslegungsgesetz],MATCH($B81,tab_MinKomp[[Stanowisko / Position ]:[Stanowisko / Position ]],0)))</f>
        <v>n/a</v>
      </c>
      <c r="AA82" s="443" t="str">
        <f>IF(INDEX(tab_MinKomp[WORKFLOW - TS-100],MATCH($B81,tab_MinKomp[[Stanowisko / Position ]:[Stanowisko / Position ]],0))="n/a","n/a",AA81-INDEX(tab_MinKomp[WORKFLOW - TS-100],MATCH($B81,tab_MinKomp[[Stanowisko / Position ]:[Stanowisko / Position ]],0)))</f>
        <v>n/a</v>
      </c>
      <c r="AB82" s="443">
        <f>IF(INDEX(tab_MinKomp[WORKFLOW - SFMS],MATCH($B81,tab_MinKomp[[Stanowisko / Position ]:[Stanowisko / Position ]],0))="n/a","n/a",AB81-INDEX(tab_MinKomp[WORKFLOW - SFMS],MATCH($B81,tab_MinKomp[[Stanowisko / Position ]:[Stanowisko / Position ]],0)))</f>
        <v>0</v>
      </c>
      <c r="AC82" s="443">
        <f>IF(INDEX(tab_MinKomp[System ISO 9001:2015],MATCH($B81,tab_MinKomp[[Stanowisko / Position ]:[Stanowisko / Position ]],0))="n/a","n/a",AC81-INDEX(tab_MinKomp[System ISO 9001:2015],MATCH($B81,tab_MinKomp[[Stanowisko / Position ]:[Stanowisko / Position ]],0)))</f>
        <v>0</v>
      </c>
      <c r="AD82" s="443">
        <f>IF(INDEX(tab_MinKomp[System IATF 16949:2016],MATCH($B81,tab_MinKomp[[Stanowisko / Position ]:[Stanowisko / Position ]],0))="n/a","n/a",AD81-INDEX(tab_MinKomp[System IATF 16949:2016],MATCH($B81,tab_MinKomp[[Stanowisko / Position ]:[Stanowisko / Position ]],0)))</f>
        <v>0</v>
      </c>
      <c r="AE82" s="443">
        <f>IF(INDEX(tab_MinKomp[System ISO 14001:2015],MATCH($B81,tab_MinKomp[[Stanowisko / Position ]:[Stanowisko / Position ]],0))="n/a","n/a",AE81-INDEX(tab_MinKomp[System ISO 14001:2015],MATCH($B81,tab_MinKomp[[Stanowisko / Position ]:[Stanowisko / Position ]],0)))</f>
        <v>0</v>
      </c>
      <c r="AF82" s="443">
        <f>IF(INDEX(tab_MinKomp[System PN-N 18001:2004 / ISO 45001:2018],MATCH($B81,tab_MinKomp[[Stanowisko / Position ]:[Stanowisko / Position ]],0))="n/a","n/a",AF81-INDEX(tab_MinKomp[System PN-N 18001:2004 / ISO 45001:2018],MATCH($B81,tab_MinKomp[[Stanowisko / Position ]:[Stanowisko / Position ]],0)))</f>
        <v>0</v>
      </c>
      <c r="AG82" s="443" t="str">
        <f>IF(INDEX(tab_MinKomp[Wymagania VDA 6.3 Process / Forderungen],MATCH($B81,tab_MinKomp[[Stanowisko / Position ]:[Stanowisko / Position ]],0))="n/a","n/a",AG81-INDEX(tab_MinKomp[Wymagania VDA 6.3 Process / Forderungen],MATCH($B81,tab_MinKomp[[Stanowisko / Position ]:[Stanowisko / Position ]],0)))</f>
        <v>n/a</v>
      </c>
      <c r="AH82" s="443" t="str">
        <f>IF(INDEX(tab_MinKomp[Wymagania VDA 6.5 Product / Forderungen],MATCH($B81,tab_MinKomp[[Stanowisko / Position ]:[Stanowisko / Position ]],0))="n/a","n/a",AH81-INDEX(tab_MinKomp[Wymagania VDA 6.5 Product / Forderungen],MATCH($B81,tab_MinKomp[[Stanowisko / Position ]:[Stanowisko / Position ]],0)))</f>
        <v>n/a</v>
      </c>
      <c r="AI82" s="443" t="str">
        <f>IF(INDEX(tab_MinKomp[PSCR (VW Product Safety &amp; Conformity Representative)],MATCH($B81,tab_MinKomp[[Stanowisko / Position ]:[Stanowisko / Position ]],0))="n/a","n/a",AI81-INDEX(tab_MinKomp[PSCR (VW Product Safety &amp; Conformity Representative)],MATCH($B81,tab_MinKomp[[Stanowisko / Position ]:[Stanowisko / Position ]],0)))</f>
        <v>n/a</v>
      </c>
      <c r="AJ82" s="443" t="str">
        <f>IF(INDEX(tab_MinKomp[Auditor systemu ISO 17025:2018],MATCH($B81,tab_MinKomp[[Stanowisko / Position ]:[Stanowisko / Position ]],0))="n/a","n/a",AJ81-INDEX(tab_MinKomp[Auditor systemu ISO 17025:2018],MATCH($B81,tab_MinKomp[[Stanowisko / Position ]:[Stanowisko / Position ]],0)))</f>
        <v>n/a</v>
      </c>
      <c r="AK82" s="443" t="str">
        <f>IF(INDEX(tab_MinKomp[Pełnomocnik systemu / Systemvertreter],MATCH($B81,tab_MinKomp[[Stanowisko / Position ]:[Stanowisko / Position ]],0))="n/a","n/a",AK81-INDEX(tab_MinKomp[Pełnomocnik systemu / Systemvertreter],MATCH($B81,tab_MinKomp[[Stanowisko / Position ]:[Stanowisko / Position ]],0)))</f>
        <v>n/a</v>
      </c>
      <c r="AL82" s="443">
        <f>IF(INDEX(tab_MinKomp[Polityka Etyczna - Compliance],MATCH($B81,tab_MinKomp[[Stanowisko / Position ]:[Stanowisko / Position ]],0))="n/a","n/a",AL81-INDEX(tab_MinKomp[Polityka Etyczna - Compliance],MATCH($B81,tab_MinKomp[[Stanowisko / Position ]:[Stanowisko / Position ]],0)))</f>
        <v>-1</v>
      </c>
      <c r="AM82" s="443">
        <f>IF(INDEX(tab_MinKomp[WDRAŻANIE NOWYCH PROJEKTÓW/ PROCEDURA CTM],MATCH($B81,tab_MinKomp[[Stanowisko / Position ]:[Stanowisko / Position ]],0))="n/a","n/a",AM81-INDEX(tab_MinKomp[WDRAŻANIE NOWYCH PROJEKTÓW/ PROCEDURA CTM],MATCH($B81,tab_MinKomp[[Stanowisko / Position ]:[Stanowisko / Position ]],0)))</f>
        <v>0</v>
      </c>
      <c r="AN82" s="443" t="str">
        <f>IF(INDEX(tab_MinKomp[KAMIENIE MILOWE MSL/PIFF],MATCH($B81,tab_MinKomp[[Stanowisko / Position ]:[Stanowisko / Position ]],0))="n/a","n/a",AN81-INDEX(tab_MinKomp[KAMIENIE MILOWE MSL/PIFF],MATCH($B81,tab_MinKomp[[Stanowisko / Position ]:[Stanowisko / Position ]],0)))</f>
        <v>n/a</v>
      </c>
      <c r="AO82" s="443" t="str">
        <f>IF(INDEX(tab_MinKomp[CP],MATCH($B81,tab_MinKomp[[Stanowisko / Position ]:[Stanowisko / Position ]],0))="n/a","n/a",AO81-INDEX(tab_MinKomp[CP],MATCH($B81,tab_MinKomp[[Stanowisko / Position ]:[Stanowisko / Position ]],0)))</f>
        <v>n/a</v>
      </c>
      <c r="AP82" s="443" t="str">
        <f>IF(INDEX(tab_MinKomp[FMEA],MATCH($B81,tab_MinKomp[[Stanowisko / Position ]:[Stanowisko / Position ]],0))="n/a","n/a",AP81-INDEX(tab_MinKomp[FMEA],MATCH($B81,tab_MinKomp[[Stanowisko / Position ]:[Stanowisko / Position ]],0)))</f>
        <v>n/a</v>
      </c>
      <c r="AQ82" s="443" t="str">
        <f>IF(INDEX(tab_MinKomp[FLOW CHART],MATCH($B81,tab_MinKomp[[Stanowisko / Position ]:[Stanowisko / Position ]],0))="n/a","n/a",AQ81-INDEX(tab_MinKomp[FLOW CHART],MATCH($B81,tab_MinKomp[[Stanowisko / Position ]:[Stanowisko / Position ]],0)))</f>
        <v>n/a</v>
      </c>
      <c r="AR82" s="443" t="str">
        <f>IF(INDEX(tab_MinKomp[APQP],MATCH($B81,tab_MinKomp[[Stanowisko / Position ]:[Stanowisko / Position ]],0))="n/a","n/a",AR81-INDEX(tab_MinKomp[APQP],MATCH($B81,tab_MinKomp[[Stanowisko / Position ]:[Stanowisko / Position ]],0)))</f>
        <v>n/a</v>
      </c>
      <c r="AS82" s="443">
        <f>IF(INDEX(tab_MinKomp[MSA],MATCH($B81,tab_MinKomp[[Stanowisko / Position ]:[Stanowisko / Position ]],0))="n/a","n/a",AS81-INDEX(tab_MinKomp[MSA],MATCH($B81,tab_MinKomp[[Stanowisko / Position ]:[Stanowisko / Position ]],0)))</f>
        <v>0</v>
      </c>
      <c r="AT82" s="443">
        <f>IF(INDEX(tab_MinKomp[SPC],MATCH($B81,tab_MinKomp[[Stanowisko / Position ]:[Stanowisko / Position ]],0))="n/a","n/a",AT81-INDEX(tab_MinKomp[SPC],MATCH($B81,tab_MinKomp[[Stanowisko / Position ]:[Stanowisko / Position ]],0)))</f>
        <v>0</v>
      </c>
      <c r="AU82" s="443" t="str">
        <f>IF(INDEX(tab_MinKomp[CSR (SPECYFICZNE WYMAGANIA KLIENTA)],MATCH($B81,tab_MinKomp[[Stanowisko / Position ]:[Stanowisko / Position ]],0))="n/a","n/a",AU81-INDEX(tab_MinKomp[CSR (SPECYFICZNE WYMAGANIA KLIENTA)],MATCH($B81,tab_MinKomp[[Stanowisko / Position ]:[Stanowisko / Position ]],0)))</f>
        <v>n/a</v>
      </c>
      <c r="AV82" s="443">
        <f>IF(INDEX(tab_MinKomp[5S],MATCH($B81,tab_MinKomp[[Stanowisko / Position ]:[Stanowisko / Position ]],0))="n/a","n/a",AV81-INDEX(tab_MinKomp[5S],MATCH($B81,tab_MinKomp[[Stanowisko / Position ]:[Stanowisko / Position ]],0)))</f>
        <v>-1</v>
      </c>
      <c r="AW82" s="443">
        <f>IF(INDEX(tab_MinKomp[LEAN MANAGEMENT],MATCH($B81,tab_MinKomp[[Stanowisko / Position ]:[Stanowisko / Position ]],0))="n/a","n/a",AW81-INDEX(tab_MinKomp[LEAN MANAGEMENT],MATCH($B81,tab_MinKomp[[Stanowisko / Position ]:[Stanowisko / Position ]],0)))</f>
        <v>0</v>
      </c>
      <c r="AX82" s="443">
        <f>IF(INDEX(tab_MinKomp[5R],MATCH($B81,tab_MinKomp[[Stanowisko / Position ]:[Stanowisko / Position ]],0))="n/a","n/a",AX81-INDEX(tab_MinKomp[5R],MATCH($B81,tab_MinKomp[[Stanowisko / Position ]:[Stanowisko / Position ]],0)))</f>
        <v>0</v>
      </c>
      <c r="AY82" s="443" t="str">
        <f>IF(INDEX(tab_MinKomp[Six Sigma],MATCH($B81,tab_MinKomp[[Stanowisko / Position ]:[Stanowisko / Position ]],0))="n/a","n/a",AY81-INDEX(tab_MinKomp[Six Sigma],MATCH($B81,tab_MinKomp[[Stanowisko / Position ]:[Stanowisko / Position ]],0)))</f>
        <v>n/a</v>
      </c>
      <c r="AZ82" s="443" t="str">
        <f>IF(INDEX(tab_MinKomp[System BAAN / Distribution &amp; Supply Chain],MATCH($B81,tab_MinKomp[[Stanowisko / Position ]:[Stanowisko / Position ]],0))="n/a","n/a",AZ81-INDEX(tab_MinKomp[System BAAN / Distribution &amp; Supply Chain],MATCH($B81,tab_MinKomp[[Stanowisko / Position ]:[Stanowisko / Position ]],0)))</f>
        <v>n/a</v>
      </c>
      <c r="BA82" s="443" t="str">
        <f>IF(INDEX(tab_MinKomp[Gospodarka magazynowa / Lagerverwaltung],MATCH($B81,tab_MinKomp[[Stanowisko / Position ]:[Stanowisko / Position ]],0))="n/a","n/a",BA81-INDEX(tab_MinKomp[Gospodarka magazynowa / Lagerverwaltung],MATCH($B81,tab_MinKomp[[Stanowisko / Position ]:[Stanowisko / Position ]],0)))</f>
        <v>n/a</v>
      </c>
      <c r="BB82" s="443">
        <f>IF(INDEX(tab_MinKomp[Inwentaryzacja - organizacja i przebieg / Inventurprozess],MATCH($B81,tab_MinKomp[[Stanowisko / Position ]:[Stanowisko / Position ]],0))="n/a","n/a",BB81-INDEX(tab_MinKomp[Inwentaryzacja - organizacja i przebieg / Inventurprozess],MATCH($B81,tab_MinKomp[[Stanowisko / Position ]:[Stanowisko / Position ]],0)))</f>
        <v>0</v>
      </c>
      <c r="BC82" s="443" t="str">
        <f>IF(INDEX(tab_MinKomp[Organizacja dostaw / Versorgungsorganisation],MATCH($B81,tab_MinKomp[[Stanowisko / Position ]:[Stanowisko / Position ]],0))="n/a","n/a",BC81-INDEX(tab_MinKomp[Organizacja dostaw / Versorgungsorganisation],MATCH($B81,tab_MinKomp[[Stanowisko / Position ]:[Stanowisko / Position ]],0)))</f>
        <v>n/a</v>
      </c>
      <c r="BD82" s="443" t="str">
        <f>IF(INDEX(tab_MinKomp[Organizacja wysyłek / Organisation von Lieferungen],MATCH($B81,tab_MinKomp[[Stanowisko / Position ]:[Stanowisko / Position ]],0))="n/a","n/a",BD81-INDEX(tab_MinKomp[Organizacja wysyłek / Organisation von Lieferungen],MATCH($B81,tab_MinKomp[[Stanowisko / Position ]:[Stanowisko / Position ]],0)))</f>
        <v>n/a</v>
      </c>
      <c r="BE82" s="443" t="str">
        <f>IF(INDEX(tab_MinKomp[Analiza magazynowa - Program Polen.mdb / Inventuranalyse],MATCH($B81,tab_MinKomp[[Stanowisko / Position ]:[Stanowisko / Position ]],0))="n/a","n/a",BE81-INDEX(tab_MinKomp[Analiza magazynowa - Program Polen.mdb / Inventuranalyse],MATCH($B81,tab_MinKomp[[Stanowisko / Position ]:[Stanowisko / Position ]],0)))</f>
        <v>n/a</v>
      </c>
      <c r="BF82" s="443" t="str">
        <f>IF(INDEX(tab_MinKomp[MMOG (Materials Management Operations Guidelines)],MATCH($B81,tab_MinKomp[[Stanowisko / Position ]:[Stanowisko / Position ]],0))="n/a","n/a",BF81-INDEX(tab_MinKomp[MMOG (Materials Management Operations Guidelines)],MATCH($B81,tab_MinKomp[[Stanowisko / Position ]:[Stanowisko / Position ]],0)))</f>
        <v>n/a</v>
      </c>
      <c r="BG82" s="443" t="str">
        <f>IF(INDEX(tab_MinKomp[MMOG (Materials Management Operations Guidelines)],MATCH($B81,tab_MinKomp[[Stanowisko / Position ]:[Stanowisko / Position ]],0))="n/a","n/a",BG81-INDEX(tab_MinKomp[MMOG (Materials Management Operations Guidelines)],MATCH($B81,tab_MinKomp[[Stanowisko / Position ]:[Stanowisko / Position ]],0)))</f>
        <v>n/a</v>
      </c>
      <c r="BH82" s="443" t="str">
        <f>IF(INDEX(tab_MinKomp[GPP],MATCH($B81,tab_MinKomp[[Stanowisko / Position ]:[Stanowisko / Position ]],0))="n/a","n/a",BH81-INDEX(tab_MinKomp[GPP],MATCH($B81,tab_MinKomp[[Stanowisko / Position ]:[Stanowisko / Position ]],0)))</f>
        <v>n/a</v>
      </c>
      <c r="BI82" s="443" t="str">
        <f>IF(INDEX(tab_MinKomp[AIAG (Automotive Industry Action Group)],MATCH($B81,tab_MinKomp[[Stanowisko / Position ]:[Stanowisko / Position ]],0))="n/a","n/a",BI81-INDEX(tab_MinKomp[AIAG (Automotive Industry Action Group)],MATCH($B81,tab_MinKomp[[Stanowisko / Position ]:[Stanowisko / Position ]],0)))</f>
        <v>n/a</v>
      </c>
      <c r="BJ82" s="443" t="str">
        <f>IF(INDEX(tab_MinKomp[Super-G disputes],MATCH($B81,tab_MinKomp[[Stanowisko / Position ]:[Stanowisko / Position ]],0))="n/a","n/a",BJ81-INDEX(tab_MinKomp[Super-G disputes],MATCH($B81,tab_MinKomp[[Stanowisko / Position ]:[Stanowisko / Position ]],0)))</f>
        <v>n/a</v>
      </c>
      <c r="BK82" s="443" t="str">
        <f>IF(INDEX(tab_MinKomp[CMMS3/eDDL (Direct Data Link)],MATCH($B81,tab_MinKomp[[Stanowisko / Position ]:[Stanowisko / Position ]],0))="n/a","n/a",BK81-INDEX(tab_MinKomp[CMMS3/eDDL (Direct Data Link)],MATCH($B81,tab_MinKomp[[Stanowisko / Position ]:[Stanowisko / Position ]],0)))</f>
        <v>n/a</v>
      </c>
      <c r="BL82" s="443" t="str">
        <f>IF(INDEX(tab_MinKomp[MP&amp;L (Material Planning and Logistics)],MATCH($B81,tab_MinKomp[[Stanowisko / Position ]:[Stanowisko / Position ]],0))="n/a","n/a",BL81-INDEX(tab_MinKomp[MP&amp;L (Material Planning and Logistics)],MATCH($B81,tab_MinKomp[[Stanowisko / Position ]:[Stanowisko / Position ]],0)))</f>
        <v>n/a</v>
      </c>
      <c r="BM82" s="443">
        <f>IF(INDEX(tab_MinKomp[Planowanie produkcji / Produktionsplanung],MATCH($B81,tab_MinKomp[[Stanowisko / Position ]:[Stanowisko / Position ]],0))="n/a","n/a",BM81-INDEX(tab_MinKomp[Planowanie produkcji / Produktionsplanung],MATCH($B81,tab_MinKomp[[Stanowisko / Position ]:[Stanowisko / Position ]],0)))</f>
        <v>0</v>
      </c>
      <c r="BN82" s="443">
        <f>IF(INDEX(tab_MinKomp[Obsługa maszyn Engel / Engel Maschinenbedienung],MATCH($B81,tab_MinKomp[[Stanowisko / Position ]:[Stanowisko / Position ]],0))="n/a","n/a",BN81-INDEX(tab_MinKomp[Obsługa maszyn Engel / Engel Maschinenbedienung],MATCH($B81,tab_MinKomp[[Stanowisko / Position ]:[Stanowisko / Position ]],0)))</f>
        <v>0</v>
      </c>
      <c r="BO82" s="443">
        <f>IF(INDEX(tab_MinKomp[Obsługa maszyn Novapax / Novapax Maschinenbedienung],MATCH($B81,tab_MinKomp[[Stanowisko / Position ]:[Stanowisko / Position ]],0))="n/a","n/a",BO81-INDEX(tab_MinKomp[Obsługa maszyn Novapax / Novapax Maschinenbedienung],MATCH($B81,tab_MinKomp[[Stanowisko / Position ]:[Stanowisko / Position ]],0)))</f>
        <v>0</v>
      </c>
      <c r="BP82" s="443">
        <f>IF(INDEX(tab_MinKomp[Obsługa maszyn KVT / KVT Maschinenbedienung],MATCH($B81,tab_MinKomp[[Stanowisko / Position ]:[Stanowisko / Position ]],0))="n/a","n/a",BP81-INDEX(tab_MinKomp[Obsługa maszyn KVT / KVT Maschinenbedienung],MATCH($B81,tab_MinKomp[[Stanowisko / Position ]:[Stanowisko / Position ]],0)))</f>
        <v>0</v>
      </c>
      <c r="BQ82" s="443">
        <f>IF(INDEX(tab_MinKomp[Obsługa maszyn ASL / ASL Maschinenbedienung],MATCH($B81,tab_MinKomp[[Stanowisko / Position ]:[Stanowisko / Position ]],0))="n/a","n/a",BQ81-INDEX(tab_MinKomp[Obsługa maszyn ASL / ASL Maschinenbedienung],MATCH($B81,tab_MinKomp[[Stanowisko / Position ]:[Stanowisko / Position ]],0)))</f>
        <v>0</v>
      </c>
      <c r="BR82" s="443">
        <f>IF(INDEX(tab_MinKomp[Obsługa maszyn Branson / Branson Maschinenbedienung],MATCH($B81,tab_MinKomp[[Stanowisko / Position ]:[Stanowisko / Position ]],0))="n/a","n/a",BR81-INDEX(tab_MinKomp[Obsługa maszyn Branson / Branson Maschinenbedienung],MATCH($B81,tab_MinKomp[[Stanowisko / Position ]:[Stanowisko / Position ]],0)))</f>
        <v>0</v>
      </c>
      <c r="BS82" s="443">
        <f>IF(INDEX(tab_MinKomp[Obsługa maszyn Kamtec / Kamtec Maschinenbedienung],MATCH($B81,tab_MinKomp[[Stanowisko / Position ]:[Stanowisko / Position ]],0))="n/a","n/a",BS81-INDEX(tab_MinKomp[Obsługa maszyn Kamtec / Kamtec Maschinenbedienung],MATCH($B81,tab_MinKomp[[Stanowisko / Position ]:[Stanowisko / Position ]],0)))</f>
        <v>0</v>
      </c>
      <c r="BT82" s="443">
        <f>IF(INDEX(tab_MinKomp[Obsługa maszyn Piovan / Piovan Maschinenbedienung],MATCH($B81,tab_MinKomp[[Stanowisko / Position ]:[Stanowisko / Position ]],0))="n/a","n/a",BT81-INDEX(tab_MinKomp[Obsługa maszyn Piovan / Piovan Maschinenbedienung],MATCH($B81,tab_MinKomp[[Stanowisko / Position ]:[Stanowisko / Position ]],0)))</f>
        <v>0</v>
      </c>
      <c r="BU82" s="443">
        <f>IF(INDEX(tab_MinKomp[Obsługa maszyn REP / REP Maschinenbedienung],MATCH($B81,tab_MinKomp[[Stanowisko / Position ]:[Stanowisko / Position ]],0))="n/a","n/a",BU81-INDEX(tab_MinKomp[Obsługa maszyn REP / REP Maschinenbedienung],MATCH($B81,tab_MinKomp[[Stanowisko / Position ]:[Stanowisko / Position ]],0)))</f>
        <v>0</v>
      </c>
      <c r="BV82" s="443">
        <f>IF(INDEX(tab_MinKomp[Eliminacja awarii / Beseitigung von Ausfällen],MATCH($B81,tab_MinKomp[[Stanowisko / Position ]:[Stanowisko / Position ]],0))="n/a","n/a",BV81-INDEX(tab_MinKomp[Eliminacja awarii / Beseitigung von Ausfällen],MATCH($B81,tab_MinKomp[[Stanowisko / Position ]:[Stanowisko / Position ]],0)))</f>
        <v>0</v>
      </c>
      <c r="BW82" s="443" t="str">
        <f>IF(INDEX(tab_MinKomp[Informatyka ogólna (techniczne i systemowe) / Allgemeine IT (Technik und System)],MATCH($B81,tab_MinKomp[[Stanowisko / Position ]:[Stanowisko / Position ]],0))="n/a","n/a",BW81-INDEX(tab_MinKomp[Informatyka ogólna (techniczne i systemowe) / Allgemeine IT (Technik und System)],MATCH($B81,tab_MinKomp[[Stanowisko / Position ]:[Stanowisko / Position ]],0)))</f>
        <v>n/a</v>
      </c>
      <c r="BX82" s="443" t="str">
        <f>IF(INDEX(tab_MinKomp[Sieci komputerowe / Computernetzwerke],MATCH($B81,tab_MinKomp[[Stanowisko / Position ]:[Stanowisko / Position ]],0))="n/a","n/a",BX81-INDEX(tab_MinKomp[Sieci komputerowe / Computernetzwerke],MATCH($B81,tab_MinKomp[[Stanowisko / Position ]:[Stanowisko / Position ]],0)))</f>
        <v>n/a</v>
      </c>
      <c r="BY82" s="443" t="str">
        <f>IF(INDEX(tab_MinKomp[Hardware (komputery PC, drukarki biurowe i etykietowe, telefonia stacjonarna i mobilna) (PC, Drucker, Telefpne, Handys)],MATCH($B81,tab_MinKomp[[Stanowisko / Position ]:[Stanowisko / Position ]],0))="n/a","n/a",BY81-INDEX(tab_MinKomp[Hardware (komputery PC, drukarki biurowe i etykietowe, telefonia stacjonarna i mobilna) (PC, Drucker, Telefpne, Handys)],MATCH($B81,tab_MinKomp[[Stanowisko / Position ]:[Stanowisko / Position ]],0)))</f>
        <v>n/a</v>
      </c>
      <c r="BZ82" s="443" t="str">
        <f>IF(INDEX(tab_MinKomp[Software &amp; Systems (MS Office, MS Remote Desktop)],MATCH($B81,tab_MinKomp[[Stanowisko / Position ]:[Stanowisko / Position ]],0))="n/a","n/a",BZ81-INDEX(tab_MinKomp[Software &amp; Systems (MS Office, MS Remote Desktop)],MATCH($B81,tab_MinKomp[[Stanowisko / Position ]:[Stanowisko / Position ]],0)))</f>
        <v>n/a</v>
      </c>
      <c r="CA82" s="443" t="str">
        <f>IF(INDEX(tab_MinKomp[Programowanie obiektowe (PHP) / Objektprogrammierung],MATCH($B81,tab_MinKomp[[Stanowisko / Position ]:[Stanowisko / Position ]],0))="n/a","n/a",CA81-INDEX(tab_MinKomp[Programowanie obiektowe (PHP) / Objektprogrammierung],MATCH($B81,tab_MinKomp[[Stanowisko / Position ]:[Stanowisko / Position ]],0)))</f>
        <v>n/a</v>
      </c>
      <c r="CB82" s="443" t="str">
        <f>IF(INDEX(tab_MinKomp[Scrum],MATCH($B81,tab_MinKomp[[Stanowisko / Position ]:[Stanowisko / Position ]],0))="n/a","n/a",CB81-INDEX(tab_MinKomp[Scrum],MATCH($B81,tab_MinKomp[[Stanowisko / Position ]:[Stanowisko / Position ]],0)))</f>
        <v>n/a</v>
      </c>
      <c r="CC82" s="443" t="str">
        <f>IF(INDEX(tab_MinKomp[SQL (MySQL)],MATCH($B81,tab_MinKomp[[Stanowisko / Position ]:[Stanowisko / Position ]],0))="n/a","n/a",CC81-INDEX(tab_MinKomp[SQL (MySQL)],MATCH($B81,tab_MinKomp[[Stanowisko / Position ]:[Stanowisko / Position ]],0)))</f>
        <v>n/a</v>
      </c>
      <c r="CD82" s="443" t="str">
        <f>IF(INDEX(tab_MinKomp[Javascript],MATCH($B81,tab_MinKomp[[Stanowisko / Position ]:[Stanowisko / Position ]],0))="n/a","n/a",CD81-INDEX(tab_MinKomp[Javascript],MATCH($B81,tab_MinKomp[[Stanowisko / Position ]:[Stanowisko / Position ]],0)))</f>
        <v>n/a</v>
      </c>
      <c r="CE82" s="443" t="str">
        <f>IF(INDEX(tab_MinKomp[Joomla],MATCH($B81,tab_MinKomp[[Stanowisko / Position ]:[Stanowisko / Position ]],0))="n/a","n/a",CE81-INDEX(tab_MinKomp[Joomla],MATCH($B81,tab_MinKomp[[Stanowisko / Position ]:[Stanowisko / Position ]],0)))</f>
        <v>n/a</v>
      </c>
      <c r="CF82" s="443" t="str">
        <f>IF(INDEX(tab_MinKomp[Bash],MATCH($B81,tab_MinKomp[[Stanowisko / Position ]:[Stanowisko / Position ]],0))="n/a","n/a",CF81-INDEX(tab_MinKomp[Bash],MATCH($B81,tab_MinKomp[[Stanowisko / Position ]:[Stanowisko / Position ]],0)))</f>
        <v>n/a</v>
      </c>
      <c r="CG82" s="443" t="str">
        <f>IF(INDEX(tab_MinKomp[Systemy MES (HYDRA / SFMS)],MATCH($B81,tab_MinKomp[[Stanowisko / Position ]:[Stanowisko / Position ]],0))="n/a","n/a",CG81-INDEX(tab_MinKomp[Systemy MES (HYDRA / SFMS)],MATCH($B81,tab_MinKomp[[Stanowisko / Position ]:[Stanowisko / Position ]],0)))</f>
        <v>n/a</v>
      </c>
      <c r="CH82" s="443" t="str">
        <f>IF(INDEX(tab_MinKomp[HTML / CSS],MATCH($B81,tab_MinKomp[[Stanowisko / Position ]:[Stanowisko / Position ]],0))="n/a","n/a",CH81-INDEX(tab_MinKomp[HTML / CSS],MATCH($B81,tab_MinKomp[[Stanowisko / Position ]:[Stanowisko / Position ]],0)))</f>
        <v>n/a</v>
      </c>
      <c r="CI82" s="443">
        <f>IF(INDEX(tab_MinKomp[SYSTEM PR],MATCH($B81,tab_MinKomp[[Stanowisko / Position ]:[Stanowisko / Position ]],0))="n/a","n/a",CI81-INDEX(tab_MinKomp[SYSTEM PR],MATCH($B81,tab_MinKomp[[Stanowisko / Position ]:[Stanowisko / Position ]],0)))</f>
        <v>0</v>
      </c>
      <c r="CJ82" s="443" t="str">
        <f>IF(INDEX(tab_MinKomp[System Einkauf XP / EBA],MATCH($B81,tab_MinKomp[[Stanowisko / Position ]:[Stanowisko / Position ]],0))="n/a","n/a",CJ81-INDEX(tab_MinKomp[System Einkauf XP / EBA],MATCH($B81,tab_MinKomp[[Stanowisko / Position ]:[Stanowisko / Position ]],0)))</f>
        <v>n/a</v>
      </c>
      <c r="CK82" s="443" t="str">
        <f>IF(INDEX(tab_MinKomp[Techniki negocjacyjne / Verhandlungstechniken],MATCH($B81,tab_MinKomp[[Stanowisko / Position ]:[Stanowisko / Position ]],0))="n/a","n/a",CK81-INDEX(tab_MinKomp[Techniki negocjacyjne / Verhandlungstechniken],MATCH($B81,tab_MinKomp[[Stanowisko / Position ]:[Stanowisko / Position ]],0)))</f>
        <v>n/a</v>
      </c>
      <c r="CL82" s="443">
        <f>IF(INDEX(tab_MinKomp[Znajomość rynku branżowego / Kenntnis des Industrie Marktes],MATCH($B81,tab_MinKomp[[Stanowisko / Position ]:[Stanowisko / Position ]],0))="n/a","n/a",CL81-INDEX(tab_MinKomp[Znajomość rynku branżowego / Kenntnis des Industrie Marktes],MATCH($B81,tab_MinKomp[[Stanowisko / Position ]:[Stanowisko / Position ]],0)))</f>
        <v>0</v>
      </c>
      <c r="CM82" s="443" t="str">
        <f>IF(INDEX(tab_MinKomp[RAPORTY 8D / 8D Berichten],MATCH($B81,tab_MinKomp[[Stanowisko / Position ]:[Stanowisko / Position ]],0))="n/a","n/a",CM81-INDEX(tab_MinKomp[RAPORTY 8D / 8D Berichten],MATCH($B81,tab_MinKomp[[Stanowisko / Position ]:[Stanowisko / Position ]],0)))</f>
        <v>n/a</v>
      </c>
      <c r="CN82" s="443">
        <f>IF(INDEX(tab_MinKomp[NARZĘDZIA JAKOŚCIOWE (5WHY, Ishikawa, etc) / QS-Werkzeuge],MATCH($B81,tab_MinKomp[[Stanowisko / Position ]:[Stanowisko / Position ]],0))="n/a","n/a",CN81-INDEX(tab_MinKomp[NARZĘDZIA JAKOŚCIOWE (5WHY, Ishikawa, etc) / QS-Werkzeuge],MATCH($B81,tab_MinKomp[[Stanowisko / Position ]:[Stanowisko / Position ]],0)))</f>
        <v>0</v>
      </c>
      <c r="CO82" s="443">
        <f>IF(INDEX(tab_MinKomp[PDCA],MATCH($B81,tab_MinKomp[[Stanowisko / Position ]:[Stanowisko / Position ]],0))="n/a","n/a",CO81-INDEX(tab_MinKomp[PDCA],MATCH($B81,tab_MinKomp[[Stanowisko / Position ]:[Stanowisko / Position ]],0)))</f>
        <v>-1</v>
      </c>
      <c r="CP82" s="443">
        <f>IF(INDEX(tab_MinKomp[Pareto],MATCH($B81,tab_MinKomp[[Stanowisko / Position ]:[Stanowisko / Position ]],0))="n/a","n/a",CP81-INDEX(tab_MinKomp[Pareto],MATCH($B81,tab_MinKomp[[Stanowisko / Position ]:[Stanowisko / Position ]],0)))</f>
        <v>0</v>
      </c>
      <c r="CQ82" s="443" t="str">
        <f>IF(INDEX(tab_MinKomp[PPAP/PSW],MATCH($B81,tab_MinKomp[[Stanowisko / Position ]:[Stanowisko / Position ]],0))="n/a","n/a",CQ81-INDEX(tab_MinKomp[PPAP/PSW],MATCH($B81,tab_MinKomp[[Stanowisko / Position ]:[Stanowisko / Position ]],0)))</f>
        <v>n/a</v>
      </c>
      <c r="CR82" s="443">
        <f>IF(INDEX(tab_MinKomp[SUPPLIER MANAGEMENT],MATCH($B81,tab_MinKomp[[Stanowisko / Position ]:[Stanowisko / Position ]],0))="n/a","n/a",CR81-INDEX(tab_MinKomp[SUPPLIER MANAGEMENT],MATCH($B81,tab_MinKomp[[Stanowisko / Position ]:[Stanowisko / Position ]],0)))</f>
        <v>0</v>
      </c>
      <c r="CS82" s="443" t="str">
        <f>IF(INDEX(tab_MinKomp[OBSŁUGA PORTALI KLIENTA / Kundenportale],MATCH($B81,tab_MinKomp[[Stanowisko / Position ]:[Stanowisko / Position ]],0))="n/a","n/a",CS81-INDEX(tab_MinKomp[OBSŁUGA PORTALI KLIENTA / Kundenportale],MATCH($B81,tab_MinKomp[[Stanowisko / Position ]:[Stanowisko / Position ]],0)))</f>
        <v>n/a</v>
      </c>
      <c r="CT82" s="443" t="str">
        <f>IF(INDEX(tab_MinKomp[Obsługa systemu BABTECQ / BABTECQ System],MATCH($B81,tab_MinKomp[[Stanowisko / Position ]:[Stanowisko / Position ]],0))="n/a","n/a",CT81-INDEX(tab_MinKomp[Obsługa systemu BABTECQ / BABTECQ System],MATCH($B81,tab_MinKomp[[Stanowisko / Position ]:[Stanowisko / Position ]],0)))</f>
        <v>n/a</v>
      </c>
      <c r="CU82" s="443">
        <f>IF(INDEX(tab_MinKomp[Rysunek techniczny / technische Zeichnung],MATCH($B81,tab_MinKomp[[Stanowisko / Position ]:[Stanowisko / Position ]],0))="n/a","n/a",CU81-INDEX(tab_MinKomp[Rysunek techniczny / technische Zeichnung],MATCH($B81,tab_MinKomp[[Stanowisko / Position ]:[Stanowisko / Position ]],0)))</f>
        <v>0</v>
      </c>
      <c r="CV82" s="443">
        <f>IF(INDEX(tab_MinKomp[Kalibracja / Kalibrierung],MATCH($B81,tab_MinKomp[[Stanowisko / Position ]:[Stanowisko / Position ]],0))="n/a","n/a",CV81-INDEX(tab_MinKomp[Kalibracja / Kalibrierung],MATCH($B81,tab_MinKomp[[Stanowisko / Position ]:[Stanowisko / Position ]],0)))</f>
        <v>0</v>
      </c>
      <c r="CW82" s="443" t="str">
        <f>IF(INDEX(tab_MinKomp[Rekwalifikacja / Requalifizierung],MATCH($B81,tab_MinKomp[[Stanowisko / Position ]:[Stanowisko / Position ]],0))="n/a","n/a",CW81-INDEX(tab_MinKomp[Rekwalifikacja / Requalifizierung],MATCH($B81,tab_MinKomp[[Stanowisko / Position ]:[Stanowisko / Position ]],0)))</f>
        <v>n/a</v>
      </c>
      <c r="CX82" s="443" t="str">
        <f>IF(INDEX(tab_MinKomp[Obsługa mikroskopu optycznego / Bedienung eines optischen Mikroskops],MATCH($B81,tab_MinKomp[[Stanowisko / Position ]:[Stanowisko / Position ]],0))="n/a","n/a",CX81-INDEX(tab_MinKomp[Obsługa mikroskopu optycznego / Bedienung eines optischen Mikroskops],MATCH($B81,tab_MinKomp[[Stanowisko / Position ]:[Stanowisko / Position ]],0)))</f>
        <v>n/a</v>
      </c>
      <c r="CY82" s="443" t="str">
        <f>IF(INDEX(tab_MinKomp[Wykonywanie pomiarów optycznych - ocena wizualna / Optische Messungen durchführen – visuelle Beurteilung],MATCH($B81,tab_MinKomp[[Stanowisko / Position ]:[Stanowisko / Position ]],0))="n/a","n/a",CY81-INDEX(tab_MinKomp[Wykonywanie pomiarów optycznych - ocena wizualna / Optische Messungen durchführen – visuelle Beurteilung],MATCH($B81,tab_MinKomp[[Stanowisko / Position ]:[Stanowisko / Position ]],0)))</f>
        <v>n/a</v>
      </c>
      <c r="CZ82" s="443" t="str">
        <f>IF(INDEX(tab_MinKomp[Obsługa Rheometra / Rheometra-Unterstützung],MATCH($B81,tab_MinKomp[[Stanowisko / Position ]:[Stanowisko / Position ]],0))="n/a","n/a",CZ81-INDEX(tab_MinKomp[Obsługa Rheometra / Rheometra-Unterstützung],MATCH($B81,tab_MinKomp[[Stanowisko / Position ]:[Stanowisko / Position ]],0)))</f>
        <v>n/a</v>
      </c>
      <c r="DA82" s="443" t="str">
        <f>IF(INDEX(tab_MinKomp[Testy właściwości Rheometra mieszanki gumy],MATCH($B81,tab_MinKomp[[Stanowisko / Position ]:[Stanowisko / Position ]],0))="n/a","n/a",DA81-INDEX(tab_MinKomp[Testy właściwości Rheometra mieszanki gumy],MATCH($B81,tab_MinKomp[[Stanowisko / Position ]:[Stanowisko / Position ]],0)))</f>
        <v>n/a</v>
      </c>
      <c r="DB82" s="443" t="str">
        <f>IF(INDEX(tab_MinKomp[CMM - Contura Zeiss],MATCH($B81,tab_MinKomp[[Stanowisko / Position ]:[Stanowisko / Position ]],0))="n/a","n/a",DB81-INDEX(tab_MinKomp[CMM - Contura Zeiss],MATCH($B81,tab_MinKomp[[Stanowisko / Position ]:[Stanowisko / Position ]],0)))</f>
        <v>n/a</v>
      </c>
      <c r="DC82" s="443" t="str">
        <f>IF(INDEX(tab_MinKomp[Wykonywanie precyzyjnych pomiarów metrycznych, pomiary 3D],MATCH($B81,tab_MinKomp[[Stanowisko / Position ]:[Stanowisko / Position ]],0))="n/a","n/a",DC81-INDEX(tab_MinKomp[Wykonywanie precyzyjnych pomiarów metrycznych, pomiary 3D],MATCH($B81,tab_MinKomp[[Stanowisko / Position ]:[Stanowisko / Position ]],0)))</f>
        <v>n/a</v>
      </c>
      <c r="DD82" s="443" t="str">
        <f>IF(INDEX(tab_MinKomp[Pisanie programów / Programme schreiben],MATCH($B81,tab_MinKomp[[Stanowisko / Position ]:[Stanowisko / Position ]],0))="n/a","n/a",DD81-INDEX(tab_MinKomp[Pisanie programów / Programme schreiben],MATCH($B81,tab_MinKomp[[Stanowisko / Position ]:[Stanowisko / Position ]],0)))</f>
        <v>n/a</v>
      </c>
      <c r="DE82" s="443" t="str">
        <f>IF(INDEX(tab_MinKomp[Obsługa wyposażenia do testów czystości (myjka + analizator) / Betrieb von Sauberkeitsprüfgeräten (Waschmaschine + Analysegerät)],MATCH($B81,tab_MinKomp[[Stanowisko / Position ]:[Stanowisko / Position ]],0))="n/a","n/a",DE81-INDEX(tab_MinKomp[Obsługa wyposażenia do testów czystości (myjka + analizator) / Betrieb von Sauberkeitsprüfgeräten (Waschmaschine + Analysegerät)],MATCH($B81,tab_MinKomp[[Stanowisko / Position ]:[Stanowisko / Position ]],0)))</f>
        <v>n/a</v>
      </c>
      <c r="DF82" s="443" t="str">
        <f>IF(INDEX(tab_MinKomp[Testy czystości / Reinheitstests],MATCH($B81,tab_MinKomp[[Stanowisko / Position ]:[Stanowisko / Position ]],0))="n/a","n/a",DF81-INDEX(tab_MinKomp[Testy czystości / Reinheitstests],MATCH($B81,tab_MinKomp[[Stanowisko / Position ]:[Stanowisko / Position ]],0)))</f>
        <v>n/a</v>
      </c>
      <c r="DG82" s="443" t="str">
        <f>IF(INDEX(tab_MinKomp[Obsługa wysokościomierza / Unterstützung für Höhenmesser],MATCH($B81,tab_MinKomp[[Stanowisko / Position ]:[Stanowisko / Position ]],0))="n/a","n/a",DG81-INDEX(tab_MinKomp[Obsługa wysokościomierza / Unterstützung für Höhenmesser],MATCH($B81,tab_MinKomp[[Stanowisko / Position ]:[Stanowisko / Position ]],0)))</f>
        <v>n/a</v>
      </c>
      <c r="DH82" s="443" t="str">
        <f>IF(INDEX(tab_MinKomp[Pomiary wysokości materiału / Materialhöhenmessungen],MATCH($B81,tab_MinKomp[[Stanowisko / Position ]:[Stanowisko / Position ]],0))="n/a","n/a",DH81-INDEX(tab_MinKomp[Pomiary wysokości materiału / Materialhöhenmessungen],MATCH($B81,tab_MinKomp[[Stanowisko / Position ]:[Stanowisko / Position ]],0)))</f>
        <v>n/a</v>
      </c>
      <c r="DI82" s="443" t="str">
        <f>IF(INDEX(tab_MinKomp[Obsługa okrągłościomierza / Unterstützung für Rundheitsmessgeräte],MATCH($B81,tab_MinKomp[[Stanowisko / Position ]:[Stanowisko / Position ]],0))="n/a","n/a",DI81-INDEX(tab_MinKomp[Obsługa okrągłościomierza / Unterstützung für Rundheitsmessgeräte],MATCH($B81,tab_MinKomp[[Stanowisko / Position ]:[Stanowisko / Position ]],0)))</f>
        <v>n/a</v>
      </c>
      <c r="DJ82" s="443" t="str">
        <f>IF(INDEX(tab_MinKomp[Wykonywania pomiarów owalności, srednicy materiału / Messung der Ovalität und des Durchmessers des Materials],MATCH($B81,tab_MinKomp[[Stanowisko / Position ]:[Stanowisko / Position ]],0))="n/a","n/a",DJ81-INDEX(tab_MinKomp[Wykonywania pomiarów owalności, srednicy materiału / Messung der Ovalität und des Durchmessers des Materials],MATCH($B81,tab_MinKomp[[Stanowisko / Position ]:[Stanowisko / Position ]],0)))</f>
        <v>n/a</v>
      </c>
      <c r="DK82" s="443" t="str">
        <f>IF(INDEX(tab_MinKomp[Obsługa urządzenia do pomiarów chropowoatości powierzchni materiału],MATCH($B81,tab_MinKomp[[Stanowisko / Position ]:[Stanowisko / Position ]],0))="n/a","n/a",DK81-INDEX(tab_MinKomp[Obsługa urządzenia do pomiarów chropowoatości powierzchni materiału],MATCH($B81,tab_MinKomp[[Stanowisko / Position ]:[Stanowisko / Position ]],0)))</f>
        <v>n/a</v>
      </c>
      <c r="DL82" s="443" t="str">
        <f>IF(INDEX(tab_MinKomp[Wykonywanie pomiarów chropowatości powierzchni materiału / Durchführung von Messungen der Materialoberflächenrauheit],MATCH($B81,tab_MinKomp[[Stanowisko / Position ]:[Stanowisko / Position ]],0))="n/a","n/a",DL81-INDEX(tab_MinKomp[Wykonywanie pomiarów chropowatości powierzchni materiału / Durchführung von Messungen der Materialoberflächenrauheit],MATCH($B81,tab_MinKomp[[Stanowisko / Position ]:[Stanowisko / Position ]],0)))</f>
        <v>n/a</v>
      </c>
      <c r="DM82" s="443" t="str">
        <f>IF(INDEX(tab_MinKomp[Obsługa urządzenia do pomiaru siły radialnej części - postępowanie z trzpieniami. / Funktionsweise des Geräts zur Messung der Radialkraft von Teilen – Handhabungsstifte.],MATCH($B81,tab_MinKomp[[Stanowisko / Position ]:[Stanowisko / Position ]],0))="n/a","n/a",DM81-INDEX(tab_MinKomp[Obsługa urządzenia do pomiaru siły radialnej części - postępowanie z trzpieniami. / Funktionsweise des Geräts zur Messung der Radialkraft von Teilen – Handhabungsstifte.],MATCH($B81,tab_MinKomp[[Stanowisko / Position ]:[Stanowisko / Position ]],0)))</f>
        <v>n/a</v>
      </c>
      <c r="DN82" s="443" t="str">
        <f>IF(INDEX(tab_MinKomp[Wykonywanie pomiarów siły radialnej części / Führen Sie Radialkraftmessungen an Teilen durch],MATCH($B81,tab_MinKomp[[Stanowisko / Position ]:[Stanowisko / Position ]],0))="n/a","n/a",DN81-INDEX(tab_MinKomp[Wykonywanie pomiarów siły radialnej części / Führen Sie Radialkraftmessungen an Teilen durch],MATCH($B81,tab_MinKomp[[Stanowisko / Position ]:[Stanowisko / Position ]],0)))</f>
        <v>n/a</v>
      </c>
      <c r="DO82" s="443" t="str">
        <f>IF(INDEX(tab_MinKomp[Obsługa komory do testów wybuchwych / Betrieb einer Explosionsprüfkammer],MATCH($B81,tab_MinKomp[[Stanowisko / Position ]:[Stanowisko / Position ]],0))="n/a","n/a",DO81-INDEX(tab_MinKomp[Obsługa komory do testów wybuchwych / Betrieb einer Explosionsprüfkammer],MATCH($B81,tab_MinKomp[[Stanowisko / Position ]:[Stanowisko / Position ]],0)))</f>
        <v>n/a</v>
      </c>
      <c r="DP82" s="443" t="str">
        <f>IF(INDEX(tab_MinKomp[Wykonywanie testów wybuchowych części / Durchführung von Explosionstests an Teilen],MATCH($B81,tab_MinKomp[[Stanowisko / Position ]:[Stanowisko / Position ]],0))="n/a","n/a",DP81-INDEX(tab_MinKomp[Wykonywanie testów wybuchowych części / Durchführung von Explosionstests an Teilen],MATCH($B81,tab_MinKomp[[Stanowisko / Position ]:[Stanowisko / Position ]],0)))</f>
        <v>n/a</v>
      </c>
      <c r="DQ82" s="443" t="str">
        <f>IF(INDEX(tab_MinKomp[Obsługa urządzeń do mierzenia siły trzymania i/lub rozciągania / Betrieb von Geräten zur Messung der Halte- und/oder Dehnkraft],MATCH($B81,tab_MinKomp[[Stanowisko / Position ]:[Stanowisko / Position ]],0))="n/a","n/a",DQ81-INDEX(tab_MinKomp[Obsługa urządzeń do mierzenia siły trzymania i/lub rozciągania / Betrieb von Geräten zur Messung der Halte- und/oder Dehnkraft],MATCH($B81,tab_MinKomp[[Stanowisko / Position ]:[Stanowisko / Position ]],0)))</f>
        <v>n/a</v>
      </c>
      <c r="DR82" s="443" t="str">
        <f>IF(INDEX(tab_MinKomp[Wykonywanie testów mierzenia siły trzymania i/lub rozciągania / Durchführung von Tests zur Messung der Halte- und/oder Streckkraft],MATCH($B81,tab_MinKomp[[Stanowisko / Position ]:[Stanowisko / Position ]],0))="n/a","n/a",DR81-INDEX(tab_MinKomp[Wykonywanie testów mierzenia siły trzymania i/lub rozciągania / Durchführung von Tests zur Messung der Halte- und/oder Streckkraft],MATCH($B81,tab_MinKomp[[Stanowisko / Position ]:[Stanowisko / Position ]],0)))</f>
        <v>n/a</v>
      </c>
      <c r="DS82" s="443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Luftstrom)],MATCH($B81,tab_MinKomp[[Stanowisko / Position ]:[Stanowisko / Position ]],0))="n/a","n/a",DS81-INDEX(tab_MinKomp[Obsługa multimetru do pomiarów środowiskowych (temperatura, wilgotność, hałas, oświetlenie, przepływ powietrza) / Betrieb eines Multimeters für Umweltmessungen (Temperatur, Luftfeuchtigkeit, Lärm, Beleuchtung, Luftstrom)],MATCH($B81,tab_MinKomp[[Stanowisko / Position ]:[Stanowisko / Position ]],0)))</f>
        <v>n/a</v>
      </c>
      <c r="DT82" s="443" t="str">
        <f>IF(INDEX(tab_MinKomp[Kontrola warunków środowiskowych pracy (temperatura, wilgotność, hałas, oświetlenie, przepływ powietrza) / Kontrolle der Arbeitsumgebungsbedingungen (Temperatur, Luftfeuchtigkeit, Lärm, Beleuchtung, Luftstrom)],MATCH($B81,tab_MinKomp[[Stanowisko / Position ]:[Stanowisko / Position ]],0))="n/a","n/a",DT81-INDEX(tab_MinKomp[Kontrola warunków środowiskowych pracy (temperatura, wilgotność, hałas, oświetlenie, przepływ powietrza) / Kontrolle der Arbeitsumgebungsbedingungen (Temperatur, Luftfeuchtigkeit, Lärm, Beleuchtung, Luftstrom)],MATCH($B81,tab_MinKomp[[Stanowisko / Position ]:[Stanowisko / Position ]],0)))</f>
        <v>n/a</v>
      </c>
      <c r="DU82" s="443">
        <f>IF(INDEX(tab_MinKomp[MSA i SPC],MATCH($B81,tab_MinKomp[[Stanowisko / Position ]:[Stanowisko / Position ]],0))="n/a","n/a",DU81-INDEX(tab_MinKomp[MSA i SPC],MATCH($B81,tab_MinKomp[[Stanowisko / Position ]:[Stanowisko / Position ]],0)))</f>
        <v>-1</v>
      </c>
      <c r="DV82" s="443" t="str">
        <f>IF(INDEX(tab_MinKomp[Kontrola wejściowa komponentów/ Eingangskontrolle],MATCH($B81,tab_MinKomp[[Stanowisko / Position ]:[Stanowisko / Position ]],0))="n/a","n/a",DV81-INDEX(tab_MinKomp[Kontrola wejściowa komponentów/ Eingangskontrolle],MATCH($B81,tab_MinKomp[[Stanowisko / Position ]:[Stanowisko / Position ]],0)))</f>
        <v>n/a</v>
      </c>
      <c r="DW82" s="443" t="str">
        <f>IF(INDEX(tab_MinKomp[Kontrola wyjściowa produktu / Ausgangskontrolle],MATCH($B81,tab_MinKomp[[Stanowisko / Position ]:[Stanowisko / Position ]],0))="n/a","n/a",DW81-INDEX(tab_MinKomp[Kontrola wyjściowa produktu / Ausgangskontrolle],MATCH($B81,tab_MinKomp[[Stanowisko / Position ]:[Stanowisko / Position ]],0)))</f>
        <v>n/a</v>
      </c>
      <c r="DX82" s="443" t="str">
        <f>IF(INDEX(tab_MinKomp[Kontrola codzienna produkcji / Tägliche Produktionskontrolle],MATCH($B81,tab_MinKomp[[Stanowisko / Position ]:[Stanowisko / Position ]],0))="n/a","n/a",DX81-INDEX(tab_MinKomp[Kontrola codzienna produkcji / Tägliche Produktionskontrolle],MATCH($B81,tab_MinKomp[[Stanowisko / Position ]:[Stanowisko / Position ]],0)))</f>
        <v>n/a</v>
      </c>
      <c r="DY82" s="443">
        <f>IF(INDEX(tab_MinKomp[Konserwacja Rep],MATCH($B81,tab_MinKomp[[Stanowisko / Position ]:[Stanowisko / Position ]],0))="n/a","n/a",DY81-INDEX(tab_MinKomp[Konserwacja Rep],MATCH($B81,tab_MinKomp[[Stanowisko / Position ]:[Stanowisko / Position ]],0)))</f>
        <v>0</v>
      </c>
      <c r="DZ82" s="443">
        <f>IF(INDEX(tab_MinKomp[[Konserwacja Engel ]],MATCH($B81,tab_MinKomp[[Stanowisko / Position ]:[Stanowisko / Position ]],0))="n/a","n/a",DZ81-INDEX(tab_MinKomp[[Konserwacja Engel ]],MATCH($B81,tab_MinKomp[[Stanowisko / Position ]:[Stanowisko / Position ]],0)))</f>
        <v>0</v>
      </c>
      <c r="EA82" s="443">
        <f>IF(INDEX(tab_MinKomp[Konserwacja B 50],MATCH($B81,tab_MinKomp[[Stanowisko / Position ]:[Stanowisko / Position ]],0))="n/a","n/a",EA81-INDEX(tab_MinKomp[Konserwacja B 50],MATCH($B81,tab_MinKomp[[Stanowisko / Position ]:[Stanowisko / Position ]],0)))</f>
        <v>0</v>
      </c>
      <c r="EB82" s="443">
        <f>IF(INDEX(tab_MinKomp[[Konserwacja EOL ]],MATCH($B81,tab_MinKomp[[Stanowisko / Position ]:[Stanowisko / Position ]],0))="n/a","n/a",EB81-INDEX(tab_MinKomp[[Konserwacja EOL ]],MATCH($B81,tab_MinKomp[[Stanowisko / Position ]:[Stanowisko / Position ]],0)))</f>
        <v>0</v>
      </c>
      <c r="EC82" s="443">
        <f>IF(INDEX(tab_MinKomp[Konserwacja Branson],MATCH($B81,tab_MinKomp[[Stanowisko / Position ]:[Stanowisko / Position ]],0))="n/a","n/a",EC81-INDEX(tab_MinKomp[Konserwacja Branson],MATCH($B81,tab_MinKomp[[Stanowisko / Position ]:[Stanowisko / Position ]],0)))</f>
        <v>0</v>
      </c>
      <c r="ED82" s="443">
        <f>IF(INDEX(tab_MinKomp[Konserwacja coolery],MATCH($B81,tab_MinKomp[[Stanowisko / Position ]:[Stanowisko / Position ]],0))="n/a","n/a",ED81-INDEX(tab_MinKomp[Konserwacja coolery],MATCH($B81,tab_MinKomp[[Stanowisko / Position ]:[Stanowisko / Position ]],0)))</f>
        <v>0</v>
      </c>
      <c r="EE82" s="443">
        <f>IF(INDEX(tab_MinKomp[Konserwacja piecy],MATCH($B81,tab_MinKomp[[Stanowisko / Position ]:[Stanowisko / Position ]],0))="n/a","n/a",EE81-INDEX(tab_MinKomp[Konserwacja piecy],MATCH($B81,tab_MinKomp[[Stanowisko / Position ]:[Stanowisko / Position ]],0)))</f>
        <v>0</v>
      </c>
      <c r="EF82" s="443">
        <f>IF(INDEX(tab_MinKomp[Rysunek techniczny- czytanie],MATCH($B81,tab_MinKomp[[Stanowisko / Position ]:[Stanowisko / Position ]],0))="n/a","n/a",EF81-INDEX(tab_MinKomp[Rysunek techniczny- czytanie],MATCH($B81,tab_MinKomp[[Stanowisko / Position ]:[Stanowisko / Position ]],0)))</f>
        <v>0</v>
      </c>
      <c r="EG82" s="443">
        <f>IF(INDEX(tab_MinKomp[Elektryka],MATCH($B81,tab_MinKomp[[Stanowisko / Position ]:[Stanowisko / Position ]],0))="n/a","n/a",EG81-INDEX(tab_MinKomp[Elektryka],MATCH($B81,tab_MinKomp[[Stanowisko / Position ]:[Stanowisko / Position ]],0)))</f>
        <v>0</v>
      </c>
      <c r="EH82" s="443">
        <f>IF(INDEX(tab_MinKomp[Pneumatyka],MATCH($B81,tab_MinKomp[[Stanowisko / Position ]:[Stanowisko / Position ]],0))="n/a","n/a",EH81-INDEX(tab_MinKomp[Pneumatyka],MATCH($B81,tab_MinKomp[[Stanowisko / Position ]:[Stanowisko / Position ]],0)))</f>
        <v>0</v>
      </c>
      <c r="EI82" s="443">
        <f>IF(INDEX(tab_MinKomp[[Hydraulika ]],MATCH($B81,tab_MinKomp[[Stanowisko / Position ]:[Stanowisko / Position ]],0))="n/a","n/a",EI81-INDEX(tab_MinKomp[[Hydraulika ]],MATCH($B81,tab_MinKomp[[Stanowisko / Position ]:[Stanowisko / Position ]],0)))</f>
        <v>0</v>
      </c>
      <c r="EJ82" s="443">
        <f>IF(INDEX(tab_MinKomp[Podciśnienie],MATCH($B81,tab_MinKomp[[Stanowisko / Position ]:[Stanowisko / Position ]],0))="n/a","n/a",EJ81-INDEX(tab_MinKomp[Podciśnienie],MATCH($B81,tab_MinKomp[[Stanowisko / Position ]:[Stanowisko / Position ]],0)))</f>
        <v>0</v>
      </c>
      <c r="EK82" s="443">
        <f>IF(INDEX(tab_MinKomp[Usuwanie awarii],MATCH($B81,tab_MinKomp[[Stanowisko / Position ]:[Stanowisko / Position ]],0))="n/a","n/a",EK81-INDEX(tab_MinKomp[Usuwanie awarii],MATCH($B81,tab_MinKomp[[Stanowisko / Position ]:[Stanowisko / Position ]],0)))</f>
        <v>0</v>
      </c>
      <c r="EL82" s="443">
        <f>IF(INDEX(tab_MinKomp[Obsługa robotów],MATCH($B81,tab_MinKomp[[Stanowisko / Position ]:[Stanowisko / Position ]],0))="n/a","n/a",EL81-INDEX(tab_MinKomp[Obsługa robotów],MATCH($B81,tab_MinKomp[[Stanowisko / Position ]:[Stanowisko / Position ]],0)))</f>
        <v>0</v>
      </c>
      <c r="EM82" s="443">
        <f>IF(INDEX(tab_MinKomp[Obsługa sterowania maszyny],MATCH($B81,tab_MinKomp[[Stanowisko / Position ]:[Stanowisko / Position ]],0))="n/a","n/a",EM81-INDEX(tab_MinKomp[Obsługa sterowania maszyny],MATCH($B81,tab_MinKomp[[Stanowisko / Position ]:[Stanowisko / Position ]],0)))</f>
        <v>0</v>
      </c>
      <c r="EN82" s="443">
        <f>IF(INDEX(tab_MinKomp[Usuwanie przyczyn żródłowych],MATCH($B81,tab_MinKomp[[Stanowisko / Position ]:[Stanowisko / Position ]],0))="n/a","n/a",EN81-INDEX(tab_MinKomp[Usuwanie przyczyn żródłowych],MATCH($B81,tab_MinKomp[[Stanowisko / Position ]:[Stanowisko / Position ]],0)))</f>
        <v>0</v>
      </c>
      <c r="EO82" s="443">
        <f>IF(INDEX(tab_MinKomp[Cmms stosowanie],MATCH($B81,tab_MinKomp[[Stanowisko / Position ]:[Stanowisko / Position ]],0))="n/a","n/a",EO81-INDEX(tab_MinKomp[Cmms stosowanie],MATCH($B81,tab_MinKomp[[Stanowisko / Position ]:[Stanowisko / Position ]],0)))</f>
        <v>1</v>
      </c>
      <c r="EP82" s="443" t="str">
        <f>IF(INDEX(tab_MinKomp[[Czyszczenie form gumowych ]],MATCH($B81,tab_MinKomp[[Stanowisko / Position ]:[Stanowisko / Position ]],0))="n/a","n/a",EP81-INDEX(tab_MinKomp[[Czyszczenie form gumowych ]],MATCH($B81,tab_MinKomp[[Stanowisko / Position ]:[Stanowisko / Position ]],0)))</f>
        <v>n/a</v>
      </c>
      <c r="EQ82" s="443" t="str">
        <f>IF(INDEX(tab_MinKomp[Czyszczenie form plastikowych],MATCH($B81,tab_MinKomp[[Stanowisko / Position ]:[Stanowisko / Position ]],0))="n/a","n/a",EQ81-INDEX(tab_MinKomp[Czyszczenie form plastikowych],MATCH($B81,tab_MinKomp[[Stanowisko / Position ]:[Stanowisko / Position ]],0)))</f>
        <v>n/a</v>
      </c>
      <c r="ER82" s="443" t="str">
        <f>IF(INDEX(tab_MinKomp[Wymiana form plastik],MATCH($B81,tab_MinKomp[[Stanowisko / Position ]:[Stanowisko / Position ]],0))="n/a","n/a",ER81-INDEX(tab_MinKomp[Wymiana form plastik],MATCH($B81,tab_MinKomp[[Stanowisko / Position ]:[Stanowisko / Position ]],0)))</f>
        <v>n/a</v>
      </c>
      <c r="ES82" s="443" t="str">
        <f>IF(INDEX(tab_MinKomp[Wymiana form guma],MATCH($B81,tab_MinKomp[[Stanowisko / Position ]:[Stanowisko / Position ]],0))="n/a","n/a",ES81-INDEX(tab_MinKomp[Wymiana form guma],MATCH($B81,tab_MinKomp[[Stanowisko / Position ]:[Stanowisko / Position ]],0)))</f>
        <v>n/a</v>
      </c>
      <c r="ET82" s="443" t="str">
        <f>IF(INDEX(tab_MinKomp[Konserwacja KK],MATCH($B81,tab_MinKomp[[Stanowisko / Position ]:[Stanowisko / Position ]],0))="n/a","n/a",ET81-INDEX(tab_MinKomp[Konserwacja KK],MATCH($B81,tab_MinKomp[[Stanowisko / Position ]:[Stanowisko / Position ]],0)))</f>
        <v>n/a</v>
      </c>
      <c r="EU82" s="443" t="str">
        <f>IF(INDEX(tab_MinKomp[Konserwacja form guma],MATCH($B81,tab_MinKomp[[Stanowisko / Position ]:[Stanowisko / Position ]],0))="n/a","n/a",EU81-INDEX(tab_MinKomp[Konserwacja form guma],MATCH($B81,tab_MinKomp[[Stanowisko / Position ]:[Stanowisko / Position ]],0)))</f>
        <v>n/a</v>
      </c>
      <c r="EV82" s="443" t="str">
        <f>IF(INDEX(tab_MinKomp[Konserwacja form plastiki],MATCH($B81,tab_MinKomp[[Stanowisko / Position ]:[Stanowisko / Position ]],0))="n/a","n/a",EV81-INDEX(tab_MinKomp[Konserwacja form plastiki],MATCH($B81,tab_MinKomp[[Stanowisko / Position ]:[Stanowisko / Position ]],0)))</f>
        <v>n/a</v>
      </c>
      <c r="EW82" s="330" t="str">
        <f>IF(INDEX(tab_MinKomp[Konserwacja form plastiki],MATCH($B81,tab_MinKomp[[Stanowisko / Position ]:[Stanowisko / Position ]],0))="n/a","n/a",EW81-INDEX(tab_MinKomp[Konserwacja form plastiki],MATCH($B81,tab_MinKomp[[Stanowisko / Position ]:[Stanowisko / Position ]],0)))</f>
        <v>n/a</v>
      </c>
      <c r="EX82" s="443" t="str">
        <f>IF(INDEX(tab_MinKomp[Konserwacja Gorącego Kanału],MATCH($B81,tab_MinKomp[[Stanowisko / Position ]:[Stanowisko / Position ]],0))="n/a","n/a",EX81-INDEX(tab_MinKomp[Konserwacja Gorącego Kanału],MATCH($B81,tab_MinKomp[[Stanowisko / Position ]:[Stanowisko / Position ]],0)))</f>
        <v>n/a</v>
      </c>
      <c r="EY82" s="443">
        <f>IF(INDEX(tab_MinKomp[MS Office (Excel)],MATCH($B81,tab_MinKomp[[Stanowisko / Position ]:[Stanowisko / Position ]],0))="n/a","n/a",EY81-INDEX(tab_MinKomp[MS Office (Excel)],MATCH($B81,tab_MinKomp[[Stanowisko / Position ]:[Stanowisko / Position ]],0)))</f>
        <v>-1</v>
      </c>
      <c r="EZ82" s="443">
        <f>IF(INDEX(tab_MinKomp[MS Office (Word)],MATCH($B81,tab_MinKomp[[Stanowisko / Position ]:[Stanowisko / Position ]],0))="n/a","n/a",EZ81-INDEX(tab_MinKomp[MS Office (Word)],MATCH($B81,tab_MinKomp[[Stanowisko / Position ]:[Stanowisko / Position ]],0)))</f>
        <v>-1</v>
      </c>
      <c r="FA82" s="443">
        <f>IF(INDEX(tab_MinKomp[MS Office (Power Point)],MATCH($B81,tab_MinKomp[[Stanowisko / Position ]:[Stanowisko / Position ]],0))="n/a","n/a",FA81-INDEX(tab_MinKomp[MS Office (Power Point)],MATCH($B81,tab_MinKomp[[Stanowisko / Position ]:[Stanowisko / Position ]],0)))</f>
        <v>-1</v>
      </c>
      <c r="FB82" s="443">
        <f>IF(INDEX(tab_MinKomp[Język angielski / Englisch],MATCH($B81,tab_MinKomp[[Stanowisko / Position ]:[Stanowisko / Position ]],0))="n/a","n/a",FB81-INDEX(tab_MinKomp[Język angielski / Englisch],MATCH($B81,tab_MinKomp[[Stanowisko / Position ]:[Stanowisko / Position ]],0)))</f>
        <v>0</v>
      </c>
      <c r="FC82" s="443" t="str">
        <f>IF(INDEX(tab_MinKomp[Język niemiecki / Deutsch],MATCH($B81,tab_MinKomp[[Stanowisko / Position ]:[Stanowisko / Position ]],0))="n/a","n/a",FC81-INDEX(tab_MinKomp[Język niemiecki / Deutsch],MATCH($B81,tab_MinKomp[[Stanowisko / Position ]:[Stanowisko / Position ]],0)))</f>
        <v>n/a</v>
      </c>
      <c r="FD82" s="443">
        <f>IF(INDEX(tab_MinKomp[Zarządzanie dokumentacją procesową / Process dokumentation management],MATCH($B81,tab_MinKomp[[Stanowisko / Position ]:[Stanowisko / Position ]],0))="n/a","n/a",FD81-INDEX(tab_MinKomp[Zarządzanie dokumentacją procesową / Process dokumentation management],MATCH($B81,tab_MinKomp[[Stanowisko / Position ]:[Stanowisko / Position ]],0)))</f>
        <v>0</v>
      </c>
      <c r="FE82" s="443">
        <f>IF(INDEX(tab_MinKomp[Znajomość procesów z obszaru / Kenntiss der prozesse in dem Bereich],MATCH($B81,tab_MinKomp[[Stanowisko / Position ]:[Stanowisko / Position ]],0))="n/a","n/a",FE81-INDEX(tab_MinKomp[Znajomość procesów z obszaru / Kenntiss der prozesse in dem Bereich],MATCH($B81,tab_MinKomp[[Stanowisko / Position ]:[Stanowisko / Position ]],0)))</f>
        <v>0</v>
      </c>
      <c r="FF82" s="443">
        <f>IF(INDEX(tab_MinKomp[optymalizacja procesów / Prozessoptymalisierung],MATCH($B81,tab_MinKomp[[Stanowisko / Position ]:[Stanowisko / Position ]],0))="n/a","n/a",FF81-INDEX(tab_MinKomp[optymalizacja procesów / Prozessoptymalisierung],MATCH($B81,tab_MinKomp[[Stanowisko / Position ]:[Stanowisko / Position ]],0)))</f>
        <v>0</v>
      </c>
      <c r="FG82" s="443">
        <f>IF(INDEX(tab_MinKomp[Umiejętności szkoleniowe / Trainingsfähigkeiten],MATCH($B81,tab_MinKomp[[Stanowisko / Position ]:[Stanowisko / Position ]],0))="n/a","n/a",FG81-INDEX(tab_MinKomp[Umiejętności szkoleniowe / Trainingsfähigkeiten],MATCH($B81,tab_MinKomp[[Stanowisko / Position ]:[Stanowisko / Position ]],0)))</f>
        <v>0</v>
      </c>
      <c r="FH82" s="443">
        <f>IF(INDEX(tab_MinKomp[Analityczne myślenie, podejście / Analitysches Denken, Einstellung],MATCH($B81,tab_MinKomp[[Stanowisko / Position ]:[Stanowisko / Position ]],0))="n/a","n/a",FH81-INDEX(tab_MinKomp[Analityczne myślenie, podejście / Analitysches Denken, Einstellung],MATCH($B81,tab_MinKomp[[Stanowisko / Position ]:[Stanowisko / Position ]],0)))</f>
        <v>0</v>
      </c>
      <c r="FI82" s="443">
        <f>IF(INDEX(tab_MinKomp[Dokładność, precyzja w dzialaniu / Genauigkeit, Präzision in die Arbeit],MATCH($B81,tab_MinKomp[[Stanowisko / Position ]:[Stanowisko / Position ]],0))="n/a","n/a",FI81-INDEX(tab_MinKomp[Dokładność, precyzja w dzialaniu / Genauigkeit, Präzision in die Arbeit],MATCH($B81,tab_MinKomp[[Stanowisko / Position ]:[Stanowisko / Position ]],0)))</f>
        <v>-1</v>
      </c>
      <c r="FJ82" s="443">
        <f>IF(INDEX(tab_MinKomp[Dyspozycyjność / Verfügbarkeit],MATCH($B81,tab_MinKomp[[Stanowisko / Position ]:[Stanowisko / Position ]],0))="n/a","n/a",FJ81-INDEX(tab_MinKomp[Dyspozycyjność / Verfügbarkeit],MATCH($B81,tab_MinKomp[[Stanowisko / Position ]:[Stanowisko / Position ]],0)))</f>
        <v>1</v>
      </c>
      <c r="FK82" s="443">
        <f>IF(INDEX(tab_MinKomp[Zaangażowanie / 
Engagement],MATCH($B81,tab_MinKomp[[Stanowisko / Position ]:[Stanowisko / Position ]],0))="n/a","n/a",FK81-INDEX(tab_MinKomp[Zaangażowanie / 
Engagement],MATCH($B81,tab_MinKomp[[Stanowisko / Position ]:[Stanowisko / Position ]],0)))</f>
        <v>0</v>
      </c>
      <c r="FL82" s="443">
        <f>IF(INDEX(tab_MinKomp[Planowanie strategiczne / Strategische Planung],MATCH($B81,tab_MinKomp[[Stanowisko / Position ]:[Stanowisko / Position ]],0))="n/a","n/a",FL81-INDEX(tab_MinKomp[Planowanie strategiczne / Strategische Planung],MATCH($B81,tab_MinKomp[[Stanowisko / Position ]:[Stanowisko / Position ]],0)))</f>
        <v>1</v>
      </c>
      <c r="FM82" s="443">
        <f>IF(INDEX(tab_MinKomp[Konsekwentne i dynamiczne działanie],MATCH($B81,tab_MinKomp[[Stanowisko / Position ]:[Stanowisko / Position ]],0))="n/a","n/a",FM81-INDEX(tab_MinKomp[Konsekwentne i dynamiczne działanie],MATCH($B81,tab_MinKomp[[Stanowisko / Position ]:[Stanowisko / Position ]],0)))</f>
        <v>0</v>
      </c>
      <c r="FN82" s="443">
        <f>IF(INDEX(tab_MinKomp[Elastyczność w działaniu],MATCH($B81,tab_MinKomp[[Stanowisko / Position ]:[Stanowisko / Position ]],0))="n/a","n/a",FN81-INDEX(tab_MinKomp[Elastyczność w działaniu],MATCH($B81,tab_MinKomp[[Stanowisko / Position ]:[Stanowisko / Position ]],0)))</f>
        <v>0</v>
      </c>
      <c r="FO82" s="443">
        <f>IF(INDEX(tab_MinKomp[Komunikatywność],MATCH($B81,tab_MinKomp[[Stanowisko / Position ]:[Stanowisko / Position ]],0))="n/a","n/a",FO81-INDEX(tab_MinKomp[Komunikatywność],MATCH($B81,tab_MinKomp[[Stanowisko / Position ]:[Stanowisko / Position ]],0)))</f>
        <v>0</v>
      </c>
      <c r="FP82" s="443">
        <f>IF(INDEX(tab_MinKomp[Motywowanie i budowanie zaangażowania zespołu],MATCH($B81,tab_MinKomp[[Stanowisko / Position ]:[Stanowisko / Position ]],0))="n/a","n/a",FP81-INDEX(tab_MinKomp[Motywowanie i budowanie zaangażowania zespołu],MATCH($B81,tab_MinKomp[[Stanowisko / Position ]:[Stanowisko / Position ]],0)))</f>
        <v>0</v>
      </c>
      <c r="FQ82" s="443" t="str">
        <f>IF(INDEX(tab_MinKomp[BRAK / Keine],MATCH($B81,tab_MinKomp[[Stanowisko / Position ]:[Stanowisko / Position ]],0))="n/a","n/a",FQ81-INDEX(tab_MinKomp[BRAK / Keine],MATCH($B81,tab_MinKomp[[Stanowisko / Position ]:[Stanowisko / Position ]],0)))</f>
        <v>n/a</v>
      </c>
      <c r="FR82" s="443" t="str">
        <f>IF(INDEX(tab_MinKomp[MINIMUM 1 ROK / min. 1 Jahr],MATCH($B81,tab_MinKomp[[Stanowisko / Position ]:[Stanowisko / Position ]],0))="n/a","n/a",FR81-INDEX(tab_MinKomp[MINIMUM 1 ROK / min. 1 Jahr],MATCH($B81,tab_MinKomp[[Stanowisko / Position ]:[Stanowisko / Position ]],0)))</f>
        <v>n/a</v>
      </c>
      <c r="FS82" s="443" t="str">
        <f>IF(INDEX(tab_MinKomp[MINIMUM 2 LATA / min. 2 Jahre],MATCH($B81,tab_MinKomp[[Stanowisko / Position ]:[Stanowisko / Position ]],0))="n/a","n/a",FS81-INDEX(tab_MinKomp[MINIMUM 2 LATA / min. 2 Jahre],MATCH($B81,tab_MinKomp[[Stanowisko / Position ]:[Stanowisko / Position ]],0)))</f>
        <v>n/a</v>
      </c>
      <c r="FT82" s="443" t="str">
        <f>IF(INDEX(tab_MinKomp[MINIMUM 3 LATA / min. 3 Jahre],MATCH($B81,tab_MinKomp[[Stanowisko / Position ]:[Stanowisko / Position ]],0))="n/a","n/a",FT81-INDEX(tab_MinKomp[MINIMUM 3 LATA / min. 3 Jahre],MATCH($B81,tab_MinKomp[[Stanowisko / Position ]:[Stanowisko / Position ]],0)))</f>
        <v>n/a</v>
      </c>
      <c r="FU82" s="443" t="str">
        <f>IF(INDEX(tab_MinKomp[MINIMUM 4 LATA / min. 4 Jahre],MATCH($B81,tab_MinKomp[[Stanowisko / Position ]:[Stanowisko / Position ]],0))="n/a","n/a",FU81-INDEX(tab_MinKomp[MINIMUM 4 LATA / min. 4 Jahre],MATCH($B81,tab_MinKomp[[Stanowisko / Position ]:[Stanowisko / Position ]],0)))</f>
        <v>n/a</v>
      </c>
      <c r="FV82" s="443" t="str">
        <f>IF(INDEX(tab_MinKomp[MINIMUM 5 LAT / min. 5 Jahre],MATCH($B81,tab_MinKomp[[Stanowisko / Position ]:[Stanowisko / Position ]],0))="n/a","n/a",FV81-INDEX(tab_MinKomp[MINIMUM 5 LAT / min. 5 Jahre],MATCH($B81,tab_MinKomp[[Stanowisko / Position ]:[Stanowisko / Position ]],0)))</f>
        <v>n/a</v>
      </c>
      <c r="FW82" s="443" t="str">
        <f>IF(INDEX(tab_MinKomp[MINIMUM 5 LAT / min. 5 Jahre],MATCH($B81,tab_MinKomp[[Stanowisko / Position ]:[Stanowisko / Position ]],0))="n/a","n/a",FW81-INDEX(tab_MinKomp[MINIMUM 5 LAT / min. 5 Jahre],MATCH($B81,tab_MinKomp[[Stanowisko / Position ]:[Stanowisko / Position ]],0)))</f>
        <v>n/a</v>
      </c>
      <c r="FX82" s="443" t="s">
        <v>387</v>
      </c>
      <c r="FY82" s="443" t="s">
        <v>176</v>
      </c>
      <c r="FZ82" s="443" t="str">
        <f>IF(INDEX(tab_MinKomp[ŚREDNIE OGÓLNE / Abitur allgemeine],MATCH($B81,tab_MinKomp[[Stanowisko / Position ]:[Stanowisko / Position ]],0))="n/a","n/a",FZ81-INDEX(tab_MinKomp[ŚREDNIE OGÓLNE / Abitur allgemeine],MATCH($B81,tab_MinKomp[[Stanowisko / Position ]:[Stanowisko / Position ]],0)))</f>
        <v>n/a</v>
      </c>
      <c r="GA82" s="443" t="str">
        <f>IF(INDEX(tab_MinKomp[ŚREDNIE KIERUNKOWE / berufliches Gymnasium],MATCH($B81,tab_MinKomp[[Stanowisko / Position ]:[Stanowisko / Position ]],0))="n/a","n/a",GA81-INDEX(tab_MinKomp[ŚREDNIE KIERUNKOWE / berufliches Gymnasium],MATCH($B81,tab_MinKomp[[Stanowisko / Position ]:[Stanowisko / Position ]],0)))</f>
        <v>n/a</v>
      </c>
      <c r="GB82" s="443" t="str">
        <f>IF(INDEX(tab_MinKomp[WYŻSZE OGÓLNE / Hochschule allgemeine],MATCH($B81,tab_MinKomp[[Stanowisko / Position ]:[Stanowisko / Position ]],0))="n/a","n/a",GB81-INDEX(tab_MinKomp[WYŻSZE OGÓLNE / Hochschule allgemeine],MATCH($B81,tab_MinKomp[[Stanowisko / Position ]:[Stanowisko / Position ]],0)))</f>
        <v>n/a</v>
      </c>
      <c r="GC82" s="443" t="s">
        <v>160</v>
      </c>
      <c r="GD82" s="443" t="s">
        <v>176</v>
      </c>
      <c r="GE82" s="443" t="str">
        <f>IF(INDEX(tab_MinKomp[Specjalista BHP / BHP Spezialist],MATCH($B81,tab_MinKomp[[Stanowisko / Position ]:[Stanowisko / Position ]],0))="n/a","n/a",GE81-INDEX(tab_MinKomp[Specjalista BHP / BHP Spezialist],MATCH($B81,tab_MinKomp[[Stanowisko / Position ]:[Stanowisko / Position ]],0)))</f>
        <v>n/a</v>
      </c>
      <c r="GF82" s="443" t="s">
        <v>160</v>
      </c>
      <c r="GG82" s="443" t="s">
        <v>160</v>
      </c>
      <c r="GH82" s="443" t="s">
        <v>160</v>
      </c>
      <c r="GI82" s="443" t="s">
        <v>160</v>
      </c>
      <c r="GJ82" s="443" t="s">
        <v>160</v>
      </c>
      <c r="GK82" s="443" t="s">
        <v>160</v>
      </c>
      <c r="GL82" s="424">
        <f>SUM(G82:FP82)/(GL81-(SUM(G82:FP82)))</f>
        <v>-2.0547945205479451E-2</v>
      </c>
      <c r="GM82" s="132"/>
    </row>
    <row r="83" spans="1:195" s="133" customFormat="1" ht="28.35" customHeight="1" x14ac:dyDescent="0.25">
      <c r="A83" s="138" t="s">
        <v>181</v>
      </c>
      <c r="B83" s="138" t="s">
        <v>199</v>
      </c>
      <c r="C83" s="138" t="s">
        <v>613</v>
      </c>
      <c r="D83" s="138">
        <v>1976</v>
      </c>
      <c r="E83" s="563" t="s">
        <v>729</v>
      </c>
      <c r="F83" s="307" t="s">
        <v>165</v>
      </c>
      <c r="G83" s="308">
        <v>1</v>
      </c>
      <c r="H83" s="308">
        <v>1</v>
      </c>
      <c r="I83" s="308">
        <v>1</v>
      </c>
      <c r="J83" s="308">
        <v>1</v>
      </c>
      <c r="K83" s="308">
        <v>1</v>
      </c>
      <c r="L83" s="308">
        <v>1</v>
      </c>
      <c r="M83" s="308" t="s">
        <v>176</v>
      </c>
      <c r="N83" s="308" t="s">
        <v>176</v>
      </c>
      <c r="O83" s="308">
        <v>1</v>
      </c>
      <c r="P83" s="308">
        <v>1</v>
      </c>
      <c r="Q83" s="308" t="s">
        <v>176</v>
      </c>
      <c r="R83" s="308" t="s">
        <v>176</v>
      </c>
      <c r="S83" s="308" t="s">
        <v>176</v>
      </c>
      <c r="T83" s="308" t="s">
        <v>176</v>
      </c>
      <c r="U83" s="308" t="s">
        <v>176</v>
      </c>
      <c r="V83" s="308" t="s">
        <v>176</v>
      </c>
      <c r="W83" s="308" t="s">
        <v>176</v>
      </c>
      <c r="X83" s="308" t="s">
        <v>176</v>
      </c>
      <c r="Y83" s="308" t="s">
        <v>176</v>
      </c>
      <c r="Z83" s="308" t="s">
        <v>176</v>
      </c>
      <c r="AA83" s="308" t="s">
        <v>176</v>
      </c>
      <c r="AB83" s="308">
        <v>0</v>
      </c>
      <c r="AC83" s="308">
        <v>0</v>
      </c>
      <c r="AD83" s="308">
        <v>0</v>
      </c>
      <c r="AE83" s="308">
        <v>0</v>
      </c>
      <c r="AF83" s="308">
        <v>0</v>
      </c>
      <c r="AG83" s="308" t="s">
        <v>176</v>
      </c>
      <c r="AH83" s="308" t="s">
        <v>176</v>
      </c>
      <c r="AI83" s="308" t="s">
        <v>176</v>
      </c>
      <c r="AJ83" s="308" t="s">
        <v>176</v>
      </c>
      <c r="AK83" s="308" t="s">
        <v>176</v>
      </c>
      <c r="AL83" s="308"/>
      <c r="AM83" s="308">
        <v>0</v>
      </c>
      <c r="AN83" s="308" t="s">
        <v>176</v>
      </c>
      <c r="AO83" s="308" t="s">
        <v>176</v>
      </c>
      <c r="AP83" s="308" t="s">
        <v>176</v>
      </c>
      <c r="AQ83" s="308" t="s">
        <v>176</v>
      </c>
      <c r="AR83" s="308" t="s">
        <v>176</v>
      </c>
      <c r="AS83" s="308" t="s">
        <v>176</v>
      </c>
      <c r="AT83" s="308" t="s">
        <v>176</v>
      </c>
      <c r="AU83" s="308" t="s">
        <v>176</v>
      </c>
      <c r="AV83" s="308">
        <v>0</v>
      </c>
      <c r="AW83" s="308">
        <v>0</v>
      </c>
      <c r="AX83" s="308"/>
      <c r="AY83" s="308" t="s">
        <v>176</v>
      </c>
      <c r="AZ83" s="308" t="s">
        <v>176</v>
      </c>
      <c r="BA83" s="308" t="s">
        <v>176</v>
      </c>
      <c r="BB83" s="308" t="s">
        <v>176</v>
      </c>
      <c r="BC83" s="308" t="s">
        <v>176</v>
      </c>
      <c r="BD83" s="308" t="s">
        <v>176</v>
      </c>
      <c r="BE83" s="308" t="s">
        <v>176</v>
      </c>
      <c r="BF83" s="308" t="s">
        <v>176</v>
      </c>
      <c r="BG83" s="308" t="s">
        <v>176</v>
      </c>
      <c r="BH83" s="308" t="s">
        <v>176</v>
      </c>
      <c r="BI83" s="308" t="s">
        <v>176</v>
      </c>
      <c r="BJ83" s="308" t="s">
        <v>176</v>
      </c>
      <c r="BK83" s="308" t="s">
        <v>176</v>
      </c>
      <c r="BL83" s="308" t="s">
        <v>176</v>
      </c>
      <c r="BM83" s="308" t="s">
        <v>176</v>
      </c>
      <c r="BN83" s="308" t="s">
        <v>176</v>
      </c>
      <c r="BO83" s="308">
        <v>0</v>
      </c>
      <c r="BP83" s="308">
        <v>0</v>
      </c>
      <c r="BQ83" s="308">
        <v>0</v>
      </c>
      <c r="BR83" s="308">
        <v>0</v>
      </c>
      <c r="BS83" s="308">
        <v>0</v>
      </c>
      <c r="BT83" s="308">
        <v>0</v>
      </c>
      <c r="BU83" s="308">
        <v>0</v>
      </c>
      <c r="BV83" s="308"/>
      <c r="BW83" s="308"/>
      <c r="BX83" s="308"/>
      <c r="BY83" s="308"/>
      <c r="BZ83" s="308" t="s">
        <v>176</v>
      </c>
      <c r="CA83" s="308" t="s">
        <v>176</v>
      </c>
      <c r="CB83" s="308" t="s">
        <v>176</v>
      </c>
      <c r="CC83" s="308" t="s">
        <v>176</v>
      </c>
      <c r="CD83" s="308" t="s">
        <v>176</v>
      </c>
      <c r="CE83" s="308" t="s">
        <v>176</v>
      </c>
      <c r="CF83" s="308" t="s">
        <v>176</v>
      </c>
      <c r="CG83" s="308" t="s">
        <v>176</v>
      </c>
      <c r="CH83" s="308" t="s">
        <v>176</v>
      </c>
      <c r="CI83" s="308">
        <v>0</v>
      </c>
      <c r="CJ83" s="308" t="s">
        <v>176</v>
      </c>
      <c r="CK83" s="308"/>
      <c r="CL83" s="308"/>
      <c r="CM83" s="308" t="s">
        <v>176</v>
      </c>
      <c r="CN83" s="308">
        <v>0</v>
      </c>
      <c r="CO83" s="308">
        <v>0</v>
      </c>
      <c r="CP83" s="308">
        <v>0</v>
      </c>
      <c r="CQ83" s="308" t="s">
        <v>176</v>
      </c>
      <c r="CR83" s="308"/>
      <c r="CS83" s="308" t="s">
        <v>176</v>
      </c>
      <c r="CT83" s="308" t="s">
        <v>176</v>
      </c>
      <c r="CU83" s="308"/>
      <c r="CV83" s="308"/>
      <c r="CW83" s="308" t="s">
        <v>176</v>
      </c>
      <c r="CX83" s="308" t="s">
        <v>176</v>
      </c>
      <c r="CY83" s="308" t="s">
        <v>176</v>
      </c>
      <c r="CZ83" s="308" t="s">
        <v>176</v>
      </c>
      <c r="DA83" s="308" t="s">
        <v>176</v>
      </c>
      <c r="DB83" s="308" t="s">
        <v>176</v>
      </c>
      <c r="DC83" s="308" t="s">
        <v>176</v>
      </c>
      <c r="DD83" s="308" t="s">
        <v>176</v>
      </c>
      <c r="DE83" s="308" t="s">
        <v>176</v>
      </c>
      <c r="DF83" s="308" t="s">
        <v>176</v>
      </c>
      <c r="DG83" s="308" t="s">
        <v>176</v>
      </c>
      <c r="DH83" s="308" t="s">
        <v>176</v>
      </c>
      <c r="DI83" s="308" t="s">
        <v>176</v>
      </c>
      <c r="DJ83" s="308" t="s">
        <v>176</v>
      </c>
      <c r="DK83" s="308" t="s">
        <v>176</v>
      </c>
      <c r="DL83" s="308" t="s">
        <v>176</v>
      </c>
      <c r="DM83" s="308" t="s">
        <v>176</v>
      </c>
      <c r="DN83" s="308" t="s">
        <v>176</v>
      </c>
      <c r="DO83" s="308" t="s">
        <v>176</v>
      </c>
      <c r="DP83" s="308" t="s">
        <v>176</v>
      </c>
      <c r="DQ83" s="308" t="s">
        <v>176</v>
      </c>
      <c r="DR83" s="308" t="s">
        <v>176</v>
      </c>
      <c r="DS83" s="308" t="s">
        <v>176</v>
      </c>
      <c r="DT83" s="308" t="s">
        <v>176</v>
      </c>
      <c r="DU83" s="308"/>
      <c r="DV83" s="308" t="s">
        <v>176</v>
      </c>
      <c r="DW83" s="308" t="s">
        <v>176</v>
      </c>
      <c r="DX83" s="308" t="s">
        <v>176</v>
      </c>
      <c r="DY83" s="308">
        <v>0</v>
      </c>
      <c r="DZ83" s="308">
        <v>0</v>
      </c>
      <c r="EA83" s="308">
        <v>0</v>
      </c>
      <c r="EB83" s="308">
        <v>0</v>
      </c>
      <c r="EC83" s="308">
        <v>0</v>
      </c>
      <c r="ED83" s="308">
        <v>0</v>
      </c>
      <c r="EE83" s="308">
        <v>0</v>
      </c>
      <c r="EF83" s="308">
        <v>0</v>
      </c>
      <c r="EG83" s="308">
        <v>0</v>
      </c>
      <c r="EH83" s="308">
        <v>0</v>
      </c>
      <c r="EI83" s="308">
        <v>0</v>
      </c>
      <c r="EJ83" s="308">
        <v>0</v>
      </c>
      <c r="EK83" s="308">
        <v>0</v>
      </c>
      <c r="EL83" s="308">
        <v>0</v>
      </c>
      <c r="EM83" s="308">
        <v>0</v>
      </c>
      <c r="EN83" s="308">
        <v>0</v>
      </c>
      <c r="EO83" s="308">
        <v>0</v>
      </c>
      <c r="EP83" s="308" t="s">
        <v>176</v>
      </c>
      <c r="EQ83" s="308" t="s">
        <v>176</v>
      </c>
      <c r="ER83" s="308" t="s">
        <v>176</v>
      </c>
      <c r="ES83" s="308" t="s">
        <v>176</v>
      </c>
      <c r="ET83" s="308" t="s">
        <v>176</v>
      </c>
      <c r="EU83" s="308" t="s">
        <v>176</v>
      </c>
      <c r="EV83" s="308" t="s">
        <v>176</v>
      </c>
      <c r="EW83" s="308" t="s">
        <v>176</v>
      </c>
      <c r="EX83" s="308" t="s">
        <v>176</v>
      </c>
      <c r="EY83" s="308">
        <v>1</v>
      </c>
      <c r="EZ83" s="308">
        <v>1</v>
      </c>
      <c r="FA83" s="308">
        <v>1</v>
      </c>
      <c r="FB83" s="309">
        <v>0</v>
      </c>
      <c r="FC83" s="309" t="s">
        <v>176</v>
      </c>
      <c r="FD83" s="308">
        <v>0</v>
      </c>
      <c r="FE83" s="308">
        <v>0</v>
      </c>
      <c r="FF83" s="308">
        <v>0</v>
      </c>
      <c r="FG83" s="308">
        <v>0</v>
      </c>
      <c r="FH83" s="308">
        <v>0</v>
      </c>
      <c r="FI83" s="308">
        <v>0</v>
      </c>
      <c r="FJ83" s="308">
        <v>1</v>
      </c>
      <c r="FK83" s="308">
        <v>0</v>
      </c>
      <c r="FL83" s="308">
        <v>0</v>
      </c>
      <c r="FM83" s="308">
        <v>0</v>
      </c>
      <c r="FN83" s="308">
        <v>0</v>
      </c>
      <c r="FO83" s="308">
        <v>0</v>
      </c>
      <c r="FP83" s="308" t="s">
        <v>176</v>
      </c>
      <c r="FQ83" s="308" t="s">
        <v>176</v>
      </c>
      <c r="FR83" s="308" t="s">
        <v>176</v>
      </c>
      <c r="FS83" s="308" t="s">
        <v>176</v>
      </c>
      <c r="FT83" s="308" t="s">
        <v>176</v>
      </c>
      <c r="FU83" s="308" t="s">
        <v>176</v>
      </c>
      <c r="FV83" s="308" t="s">
        <v>176</v>
      </c>
      <c r="FW83" s="308" t="s">
        <v>176</v>
      </c>
      <c r="FX83" s="308" t="s">
        <v>176</v>
      </c>
      <c r="FY83" s="308" t="s">
        <v>176</v>
      </c>
      <c r="FZ83" s="308"/>
      <c r="GA83" s="308" t="s">
        <v>176</v>
      </c>
      <c r="GB83" s="308" t="s">
        <v>176</v>
      </c>
      <c r="GC83" s="308" t="s">
        <v>176</v>
      </c>
      <c r="GD83" s="308" t="s">
        <v>176</v>
      </c>
      <c r="GE83" s="308" t="s">
        <v>176</v>
      </c>
      <c r="GF83" s="308" t="s">
        <v>176</v>
      </c>
      <c r="GH83" s="308" t="s">
        <v>176</v>
      </c>
      <c r="GI83" s="308"/>
      <c r="GJ83" s="308" t="s">
        <v>176</v>
      </c>
      <c r="GK83" s="308"/>
      <c r="GL83" s="329">
        <f>SUM(G83:FP83)</f>
        <v>12</v>
      </c>
      <c r="GM83" s="132"/>
    </row>
    <row r="84" spans="1:195" s="133" customFormat="1" ht="28.35" customHeight="1" thickBot="1" x14ac:dyDescent="0.3">
      <c r="A84" s="138" t="s">
        <v>181</v>
      </c>
      <c r="B84" s="138" t="s">
        <v>199</v>
      </c>
      <c r="C84" s="138" t="s">
        <v>613</v>
      </c>
      <c r="D84" s="138">
        <v>1976</v>
      </c>
      <c r="E84" s="564"/>
      <c r="F84" s="312" t="s">
        <v>166</v>
      </c>
      <c r="G84" s="341">
        <f>IF(INDEX(tab_MinKomp[Przepisy BHP / BHP Vorschriften],MATCH($B83,tab_MinKomp[[Stanowisko / Position ]:[Stanowisko / Position ]],0))="n/a","n/a",G83-INDEX(tab_MinKomp[Przepisy BHP / BHP Vorschriften],MATCH($B83,tab_MinKomp[[Stanowisko / Position ]:[Stanowisko / Position ]],0)))</f>
        <v>-1</v>
      </c>
      <c r="H84" s="341">
        <f>IF(INDEX(tab_MinKomp[Przepisy PPOŻ / Brandschutzbestimmungen],MATCH($B83,tab_MinKomp[[Stanowisko / Position ]:[Stanowisko / Position ]],0))="n/a","n/a",H83-INDEX(tab_MinKomp[Przepisy PPOŻ / Brandschutzbestimmungen],MATCH($B83,tab_MinKomp[[Stanowisko / Position ]:[Stanowisko / Position ]],0)))</f>
        <v>-1</v>
      </c>
      <c r="I84" s="341">
        <f>IF(INDEX(tab_MinKomp[Ryzyko zawodowe na stanowiskach pracyv/ Berufliche Risiken an Arbeitsstellen],MATCH($B83,tab_MinKomp[[Stanowisko / Position ]:[Stanowisko / Position ]],0))="n/a","n/a",I83-INDEX(tab_MinKomp[Ryzyko zawodowe na stanowiskach pracyv/ Berufliche Risiken an Arbeitsstellen],MATCH($B83,tab_MinKomp[[Stanowisko / Position ]:[Stanowisko / Position ]],0)))</f>
        <v>-1</v>
      </c>
      <c r="J84" s="341">
        <f>IF(INDEX(tab_MinKomp[Gospodarka substancjami niebezpiecznymi / Gefahrstoffmanagement],MATCH($B83,tab_MinKomp[[Stanowisko / Position ]:[Stanowisko / Position ]],0))="n/a","n/a",J83-INDEX(tab_MinKomp[Gospodarka substancjami niebezpiecznymi / Gefahrstoffmanagement],MATCH($B83,tab_MinKomp[[Stanowisko / Position ]:[Stanowisko / Position ]],0)))</f>
        <v>-1</v>
      </c>
      <c r="K84" s="341">
        <f>IF(INDEX(tab_MinKomp[Gospodarka odpadami / Abfallwirtschaft],MATCH($B83,tab_MinKomp[[Stanowisko / Position ]:[Stanowisko / Position ]],0))="n/a","n/a",K83-INDEX(tab_MinKomp[Gospodarka odpadami / Abfallwirtschaft],MATCH($B83,tab_MinKomp[[Stanowisko / Position ]:[Stanowisko / Position ]],0)))</f>
        <v>-1</v>
      </c>
      <c r="L84" s="341">
        <f>IF(INDEX(tab_MinKomp[Przepisy kodeksu pracy / Bestimmungen des Arbeitsgesetzes],MATCH($B83,tab_MinKomp[[Stanowisko / Position ]:[Stanowisko / Position ]],0))="n/a","n/a",L83-INDEX(tab_MinKomp[Przepisy kodeksu pracy / Bestimmungen des Arbeitsgesetzes],MATCH($B83,tab_MinKomp[[Stanowisko / Position ]:[Stanowisko / Position ]],0)))</f>
        <v>0</v>
      </c>
      <c r="M84" s="341" t="str">
        <f>IF(INDEX(tab_MinKomp[Przepisy o ub.społ. ZUS  / Sozialversicherungsvorschriften],MATCH($B83,tab_MinKomp[[Stanowisko / Position ]:[Stanowisko / Position ]],0))="n/a","n/a",M83-INDEX(tab_MinKomp[Przepisy o ub.społ. ZUS  / Sozialversicherungsvorschriften],MATCH($B83,tab_MinKomp[[Stanowisko / Position ]:[Stanowisko / Position ]],0)))</f>
        <v>n/a</v>
      </c>
      <c r="N84" s="341" t="str">
        <f>IF(INDEX(tab_MinKomp[PRZEPISY O PDOF /persönlich Einkommensteuergesetz ],MATCH($B83,tab_MinKomp[[Stanowisko / Position ]:[Stanowisko / Position ]],0))="n/a","n/a",N83-INDEX(tab_MinKomp[PRZEPISY O PDOF /persönlich Einkommensteuergesetz ],MATCH($B83,tab_MinKomp[[Stanowisko / Position ]:[Stanowisko / Position ]],0)))</f>
        <v>n/a</v>
      </c>
      <c r="O84" s="341">
        <f>IF(INDEX(tab_MinKomp[Regulamin pracy / Arbeitsordnung],MATCH($B83,tab_MinKomp[[Stanowisko / Position ]:[Stanowisko / Position ]],0))="n/a","n/a",O83-INDEX(tab_MinKomp[Regulamin pracy / Arbeitsordnung],MATCH($B83,tab_MinKomp[[Stanowisko / Position ]:[Stanowisko / Position ]],0)))</f>
        <v>0</v>
      </c>
      <c r="P84" s="341">
        <f>IF(INDEX(tab_MinKomp[Regulamin wynagradzania / Vergütungsordnung],MATCH($B83,tab_MinKomp[[Stanowisko / Position ]:[Stanowisko / Position ]],0))="n/a","n/a",P83-INDEX(tab_MinKomp[Regulamin wynagradzania / Vergütungsordnung],MATCH($B83,tab_MinKomp[[Stanowisko / Position ]:[Stanowisko / Position ]],0)))</f>
        <v>0</v>
      </c>
      <c r="Q84" s="341" t="str">
        <f>IF(INDEX(tab_MinKomp[System R2PŁATNIK PRO: Płace / Lohnabrechnung],MATCH($B83,tab_MinKomp[[Stanowisko / Position ]:[Stanowisko / Position ]],0))="n/a","n/a",Q83-INDEX(tab_MinKomp[System R2PŁATNIK PRO: Płace / Lohnabrechnung],MATCH($B83,tab_MinKomp[[Stanowisko / Position ]:[Stanowisko / Position ]],0)))</f>
        <v>n/a</v>
      </c>
      <c r="R84" s="341" t="str">
        <f>IF(INDEX(tab_MinKomp[SystemR2PŁATNIK PRO: KADRY / Personaldaten],MATCH($B83,tab_MinKomp[[Stanowisko / Position ]:[Stanowisko / Position ]],0))="n/a","n/a",R83-INDEX(tab_MinKomp[SystemR2PŁATNIK PRO: KADRY / Personaldaten],MATCH($B83,tab_MinKomp[[Stanowisko / Position ]:[Stanowisko / Position ]],0)))</f>
        <v>n/a</v>
      </c>
      <c r="S84" s="341" t="str">
        <f>IF(INDEX(tab_MinKomp[SYSTEM R2PŁATNIK PRO: zarządzanie pracownikami / Arbeitsverwaltung],MATCH($B83,tab_MinKomp[[Stanowisko / Position ]:[Stanowisko / Position ]],0))="n/a","n/a",S83-INDEX(tab_MinKomp[SYSTEM R2PŁATNIK PRO: zarządzanie pracownikami / Arbeitsverwaltung],MATCH($B83,tab_MinKomp[[Stanowisko / Position ]:[Stanowisko / Position ]],0)))</f>
        <v>n/a</v>
      </c>
      <c r="T84" s="341" t="str">
        <f>IF(INDEX(tab_MinKomp[Doradztwo, wsparcie personalne / Personalberatung und Unterstützung],MATCH($B83,tab_MinKomp[[Stanowisko / Position ]:[Stanowisko / Position ]],0))="n/a","n/a",T83-INDEX(tab_MinKomp[Doradztwo, wsparcie personalne / Personalberatung und Unterstützung],MATCH($B83,tab_MinKomp[[Stanowisko / Position ]:[Stanowisko / Position ]],0)))</f>
        <v>n/a</v>
      </c>
      <c r="U84" s="341" t="str">
        <f>IF(INDEX(tab_MinKomp[Przepisy o podatku VAT / MwSt.- Gesetz],MATCH($B83,tab_MinKomp[[Stanowisko / Position ]:[Stanowisko / Position ]],0))="n/a","n/a",U83-INDEX(tab_MinKomp[Przepisy o podatku VAT / MwSt.- Gesetz],MATCH($B83,tab_MinKomp[[Stanowisko / Position ]:[Stanowisko / Position ]],0)))</f>
        <v>n/a</v>
      </c>
      <c r="V84" s="341" t="str">
        <f>IF(INDEX(tab_MinKomp[PrzepisyPDOP / geschäftlich Einkommensteuergesetz],MATCH($B83,tab_MinKomp[[Stanowisko / Position ]:[Stanowisko / Position ]],0))="n/a","n/a",V83-INDEX(tab_MinKomp[PrzepisyPDOP / geschäftlich Einkommensteuergesetz],MATCH($B83,tab_MinKomp[[Stanowisko / Position ]:[Stanowisko / Position ]],0)))</f>
        <v>n/a</v>
      </c>
      <c r="W84" s="341" t="str">
        <f>IF(INDEX(tab_MinKomp[System BAAN / FINANSE (FIBU)],MATCH($B83,tab_MinKomp[[Stanowisko / Position ]:[Stanowisko / Position ]],0))="n/a","n/a",W83-INDEX(tab_MinKomp[System BAAN / FINANSE (FIBU)],MATCH($B83,tab_MinKomp[[Stanowisko / Position ]:[Stanowisko / Position ]],0)))</f>
        <v>n/a</v>
      </c>
      <c r="X84" s="341" t="str">
        <f>IF(INDEX(tab_MinKomp[Systemy pomocnicze / Hilfssysteme(STOCKPROGRAM, KALK2000 etc.)],MATCH($B83,tab_MinKomp[[Stanowisko / Position ]:[Stanowisko / Position ]],0))="n/a","n/a",X83-INDEX(tab_MinKomp[Systemy pomocnicze / Hilfssysteme(STOCKPROGRAM, KALK2000 etc.)],MATCH($B83,tab_MinKomp[[Stanowisko / Position ]:[Stanowisko / Position ]],0)))</f>
        <v>n/a</v>
      </c>
      <c r="Y84" s="341" t="str">
        <f>IF(INDEX(tab_MinKomp[Polityka rachunkowości / Buchführungspolitik],MATCH($B83,tab_MinKomp[[Stanowisko / Position ]:[Stanowisko / Position ]],0))="n/a","n/a",Y83-INDEX(tab_MinKomp[Polityka rachunkowości / Buchführungspolitik],MATCH($B83,tab_MinKomp[[Stanowisko / Position ]:[Stanowisko / Position ]],0)))</f>
        <v>n/a</v>
      </c>
      <c r="Z84" s="341" t="str">
        <f>IF(INDEX(tab_MinKomp[Ustawa o rachunkowości / Rechnungslegungsgesetz],MATCH($B83,tab_MinKomp[[Stanowisko / Position ]:[Stanowisko / Position ]],0))="n/a","n/a",Z83-INDEX(tab_MinKomp[Ustawa o rachunkowości / Rechnungslegungsgesetz],MATCH($B83,tab_MinKomp[[Stanowisko / Position ]:[Stanowisko / Position ]],0)))</f>
        <v>n/a</v>
      </c>
      <c r="AA84" s="341" t="str">
        <f>IF(INDEX(tab_MinKomp[WORKFLOW - TS-100],MATCH($B83,tab_MinKomp[[Stanowisko / Position ]:[Stanowisko / Position ]],0))="n/a","n/a",AA83-INDEX(tab_MinKomp[WORKFLOW - TS-100],MATCH($B83,tab_MinKomp[[Stanowisko / Position ]:[Stanowisko / Position ]],0)))</f>
        <v>n/a</v>
      </c>
      <c r="AB84" s="341">
        <f>IF(INDEX(tab_MinKomp[WORKFLOW - SFMS],MATCH($B83,tab_MinKomp[[Stanowisko / Position ]:[Stanowisko / Position ]],0))="n/a","n/a",AB83-INDEX(tab_MinKomp[WORKFLOW - SFMS],MATCH($B83,tab_MinKomp[[Stanowisko / Position ]:[Stanowisko / Position ]],0)))</f>
        <v>-2</v>
      </c>
      <c r="AC84" s="341">
        <f>IF(INDEX(tab_MinKomp[System ISO 9001:2015],MATCH($B83,tab_MinKomp[[Stanowisko / Position ]:[Stanowisko / Position ]],0))="n/a","n/a",AC83-INDEX(tab_MinKomp[System ISO 9001:2015],MATCH($B83,tab_MinKomp[[Stanowisko / Position ]:[Stanowisko / Position ]],0)))</f>
        <v>-1</v>
      </c>
      <c r="AD84" s="341">
        <f>IF(INDEX(tab_MinKomp[System IATF 16949:2016],MATCH($B83,tab_MinKomp[[Stanowisko / Position ]:[Stanowisko / Position ]],0))="n/a","n/a",AD83-INDEX(tab_MinKomp[System IATF 16949:2016],MATCH($B83,tab_MinKomp[[Stanowisko / Position ]:[Stanowisko / Position ]],0)))</f>
        <v>-1</v>
      </c>
      <c r="AE84" s="341">
        <f>IF(INDEX(tab_MinKomp[System ISO 14001:2015],MATCH($B83,tab_MinKomp[[Stanowisko / Position ]:[Stanowisko / Position ]],0))="n/a","n/a",AE83-INDEX(tab_MinKomp[System ISO 14001:2015],MATCH($B83,tab_MinKomp[[Stanowisko / Position ]:[Stanowisko / Position ]],0)))</f>
        <v>-1</v>
      </c>
      <c r="AF84" s="341">
        <f>IF(INDEX(tab_MinKomp[System PN-N 18001:2004 / ISO 45001:2018],MATCH($B83,tab_MinKomp[[Stanowisko / Position ]:[Stanowisko / Position ]],0))="n/a","n/a",AF83-INDEX(tab_MinKomp[System PN-N 18001:2004 / ISO 45001:2018],MATCH($B83,tab_MinKomp[[Stanowisko / Position ]:[Stanowisko / Position ]],0)))</f>
        <v>-1</v>
      </c>
      <c r="AG84" s="341" t="str">
        <f>IF(INDEX(tab_MinKomp[Wymagania VDA 6.3 Process / Forderungen],MATCH($B83,tab_MinKomp[[Stanowisko / Position ]:[Stanowisko / Position ]],0))="n/a","n/a",AG83-INDEX(tab_MinKomp[Wymagania VDA 6.3 Process / Forderungen],MATCH($B83,tab_MinKomp[[Stanowisko / Position ]:[Stanowisko / Position ]],0)))</f>
        <v>n/a</v>
      </c>
      <c r="AH84" s="341" t="str">
        <f>IF(INDEX(tab_MinKomp[Wymagania VDA 6.5 Product / Forderungen],MATCH($B83,tab_MinKomp[[Stanowisko / Position ]:[Stanowisko / Position ]],0))="n/a","n/a",AH83-INDEX(tab_MinKomp[Wymagania VDA 6.5 Product / Forderungen],MATCH($B83,tab_MinKomp[[Stanowisko / Position ]:[Stanowisko / Position ]],0)))</f>
        <v>n/a</v>
      </c>
      <c r="AI84" s="341" t="str">
        <f>IF(INDEX(tab_MinKomp[PSCR (VW Product Safety &amp; Conformity Representative)],MATCH($B83,tab_MinKomp[[Stanowisko / Position ]:[Stanowisko / Position ]],0))="n/a","n/a",AI83-INDEX(tab_MinKomp[PSCR (VW Product Safety &amp; Conformity Representative)],MATCH($B83,tab_MinKomp[[Stanowisko / Position ]:[Stanowisko / Position ]],0)))</f>
        <v>n/a</v>
      </c>
      <c r="AJ84" s="341" t="str">
        <f>IF(INDEX(tab_MinKomp[Auditor systemu ISO 17025:2018],MATCH($B83,tab_MinKomp[[Stanowisko / Position ]:[Stanowisko / Position ]],0))="n/a","n/a",AJ83-INDEX(tab_MinKomp[Auditor systemu ISO 17025:2018],MATCH($B83,tab_MinKomp[[Stanowisko / Position ]:[Stanowisko / Position ]],0)))</f>
        <v>n/a</v>
      </c>
      <c r="AK84" s="341" t="str">
        <f>IF(INDEX(tab_MinKomp[Pełnomocnik systemu / Systemvertreter],MATCH($B83,tab_MinKomp[[Stanowisko / Position ]:[Stanowisko / Position ]],0))="n/a","n/a",AK83-INDEX(tab_MinKomp[Pełnomocnik systemu / Systemvertreter],MATCH($B83,tab_MinKomp[[Stanowisko / Position ]:[Stanowisko / Position ]],0)))</f>
        <v>n/a</v>
      </c>
      <c r="AL84" s="341">
        <f>IF(INDEX(tab_MinKomp[Polityka Etyczna - Compliance],MATCH($B83,tab_MinKomp[[Stanowisko / Position ]:[Stanowisko / Position ]],0))="n/a","n/a",AL83-INDEX(tab_MinKomp[Polityka Etyczna - Compliance],MATCH($B83,tab_MinKomp[[Stanowisko / Position ]:[Stanowisko / Position ]],0)))</f>
        <v>-1</v>
      </c>
      <c r="AM84" s="341">
        <f>IF(INDEX(tab_MinKomp[WDRAŻANIE NOWYCH PROJEKTÓW/ PROCEDURA CTM],MATCH($B83,tab_MinKomp[[Stanowisko / Position ]:[Stanowisko / Position ]],0))="n/a","n/a",AM83-INDEX(tab_MinKomp[WDRAŻANIE NOWYCH PROJEKTÓW/ PROCEDURA CTM],MATCH($B83,tab_MinKomp[[Stanowisko / Position ]:[Stanowisko / Position ]],0)))</f>
        <v>-1</v>
      </c>
      <c r="AN84" s="341" t="str">
        <f>IF(INDEX(tab_MinKomp[KAMIENIE MILOWE MSL/PIFF],MATCH($B83,tab_MinKomp[[Stanowisko / Position ]:[Stanowisko / Position ]],0))="n/a","n/a",AN83-INDEX(tab_MinKomp[KAMIENIE MILOWE MSL/PIFF],MATCH($B83,tab_MinKomp[[Stanowisko / Position ]:[Stanowisko / Position ]],0)))</f>
        <v>n/a</v>
      </c>
      <c r="AO84" s="341" t="str">
        <f>IF(INDEX(tab_MinKomp[CP],MATCH($B83,tab_MinKomp[[Stanowisko / Position ]:[Stanowisko / Position ]],0))="n/a","n/a",AO83-INDEX(tab_MinKomp[CP],MATCH($B83,tab_MinKomp[[Stanowisko / Position ]:[Stanowisko / Position ]],0)))</f>
        <v>n/a</v>
      </c>
      <c r="AP84" s="341" t="str">
        <f>IF(INDEX(tab_MinKomp[FMEA],MATCH($B83,tab_MinKomp[[Stanowisko / Position ]:[Stanowisko / Position ]],0))="n/a","n/a",AP83-INDEX(tab_MinKomp[FMEA],MATCH($B83,tab_MinKomp[[Stanowisko / Position ]:[Stanowisko / Position ]],0)))</f>
        <v>n/a</v>
      </c>
      <c r="AQ84" s="341" t="str">
        <f>IF(INDEX(tab_MinKomp[FLOW CHART],MATCH($B83,tab_MinKomp[[Stanowisko / Position ]:[Stanowisko / Position ]],0))="n/a","n/a",AQ83-INDEX(tab_MinKomp[FLOW CHART],MATCH($B83,tab_MinKomp[[Stanowisko / Position ]:[Stanowisko / Position ]],0)))</f>
        <v>n/a</v>
      </c>
      <c r="AR84" s="341" t="str">
        <f>IF(INDEX(tab_MinKomp[APQP],MATCH($B83,tab_MinKomp[[Stanowisko / Position ]:[Stanowisko / Position ]],0))="n/a","n/a",AR83-INDEX(tab_MinKomp[APQP],MATCH($B83,tab_MinKomp[[Stanowisko / Position ]:[Stanowisko / Position ]],0)))</f>
        <v>n/a</v>
      </c>
      <c r="AS84" s="341" t="str">
        <f>IF(INDEX(tab_MinKomp[MSA],MATCH($B83,tab_MinKomp[[Stanowisko / Position ]:[Stanowisko / Position ]],0))="n/a","n/a",AS83-INDEX(tab_MinKomp[MSA],MATCH($B83,tab_MinKomp[[Stanowisko / Position ]:[Stanowisko / Position ]],0)))</f>
        <v>n/a</v>
      </c>
      <c r="AT84" s="341" t="str">
        <f>IF(INDEX(tab_MinKomp[SPC],MATCH($B83,tab_MinKomp[[Stanowisko / Position ]:[Stanowisko / Position ]],0))="n/a","n/a",AT83-INDEX(tab_MinKomp[SPC],MATCH($B83,tab_MinKomp[[Stanowisko / Position ]:[Stanowisko / Position ]],0)))</f>
        <v>n/a</v>
      </c>
      <c r="AU84" s="341" t="str">
        <f>IF(INDEX(tab_MinKomp[CSR (SPECYFICZNE WYMAGANIA KLIENTA)],MATCH($B83,tab_MinKomp[[Stanowisko / Position ]:[Stanowisko / Position ]],0))="n/a","n/a",AU83-INDEX(tab_MinKomp[CSR (SPECYFICZNE WYMAGANIA KLIENTA)],MATCH($B83,tab_MinKomp[[Stanowisko / Position ]:[Stanowisko / Position ]],0)))</f>
        <v>n/a</v>
      </c>
      <c r="AV84" s="341">
        <f>IF(INDEX(tab_MinKomp[5S],MATCH($B83,tab_MinKomp[[Stanowisko / Position ]:[Stanowisko / Position ]],0))="n/a","n/a",AV83-INDEX(tab_MinKomp[5S],MATCH($B83,tab_MinKomp[[Stanowisko / Position ]:[Stanowisko / Position ]],0)))</f>
        <v>-2</v>
      </c>
      <c r="AW84" s="341">
        <f>IF(INDEX(tab_MinKomp[LEAN MANAGEMENT],MATCH($B83,tab_MinKomp[[Stanowisko / Position ]:[Stanowisko / Position ]],0))="n/a","n/a",AW83-INDEX(tab_MinKomp[LEAN MANAGEMENT],MATCH($B83,tab_MinKomp[[Stanowisko / Position ]:[Stanowisko / Position ]],0)))</f>
        <v>-1</v>
      </c>
      <c r="AX84" s="341">
        <f>IF(INDEX(tab_MinKomp[5R],MATCH($B83,tab_MinKomp[[Stanowisko / Position ]:[Stanowisko / Position ]],0))="n/a","n/a",AX83-INDEX(tab_MinKomp[5R],MATCH($B83,tab_MinKomp[[Stanowisko / Position ]:[Stanowisko / Position ]],0)))</f>
        <v>-1</v>
      </c>
      <c r="AY84" s="341" t="str">
        <f>IF(INDEX(tab_MinKomp[Six Sigma],MATCH($B83,tab_MinKomp[[Stanowisko / Position ]:[Stanowisko / Position ]],0))="n/a","n/a",AY83-INDEX(tab_MinKomp[Six Sigma],MATCH($B83,tab_MinKomp[[Stanowisko / Position ]:[Stanowisko / Position ]],0)))</f>
        <v>n/a</v>
      </c>
      <c r="AZ84" s="341" t="str">
        <f>IF(INDEX(tab_MinKomp[System BAAN / Distribution &amp; Supply Chain],MATCH($B83,tab_MinKomp[[Stanowisko / Position ]:[Stanowisko / Position ]],0))="n/a","n/a",AZ83-INDEX(tab_MinKomp[System BAAN / Distribution &amp; Supply Chain],MATCH($B83,tab_MinKomp[[Stanowisko / Position ]:[Stanowisko / Position ]],0)))</f>
        <v>n/a</v>
      </c>
      <c r="BA84" s="341" t="str">
        <f>IF(INDEX(tab_MinKomp[Gospodarka magazynowa / Lagerverwaltung],MATCH($B83,tab_MinKomp[[Stanowisko / Position ]:[Stanowisko / Position ]],0))="n/a","n/a",BA83-INDEX(tab_MinKomp[Gospodarka magazynowa / Lagerverwaltung],MATCH($B83,tab_MinKomp[[Stanowisko / Position ]:[Stanowisko / Position ]],0)))</f>
        <v>n/a</v>
      </c>
      <c r="BB84" s="341" t="str">
        <f>IF(INDEX(tab_MinKomp[Inwentaryzacja - organizacja i przebieg / Inventurprozess],MATCH($B83,tab_MinKomp[[Stanowisko / Position ]:[Stanowisko / Position ]],0))="n/a","n/a",BB83-INDEX(tab_MinKomp[Inwentaryzacja - organizacja i przebieg / Inventurprozess],MATCH($B83,tab_MinKomp[[Stanowisko / Position ]:[Stanowisko / Position ]],0)))</f>
        <v>n/a</v>
      </c>
      <c r="BC84" s="341" t="str">
        <f>IF(INDEX(tab_MinKomp[Organizacja dostaw / Versorgungsorganisation],MATCH($B83,tab_MinKomp[[Stanowisko / Position ]:[Stanowisko / Position ]],0))="n/a","n/a",BC83-INDEX(tab_MinKomp[Organizacja dostaw / Versorgungsorganisation],MATCH($B83,tab_MinKomp[[Stanowisko / Position ]:[Stanowisko / Position ]],0)))</f>
        <v>n/a</v>
      </c>
      <c r="BD84" s="341" t="str">
        <f>IF(INDEX(tab_MinKomp[Organizacja wysyłek / Organisation von Lieferungen],MATCH($B83,tab_MinKomp[[Stanowisko / Position ]:[Stanowisko / Position ]],0))="n/a","n/a",BD83-INDEX(tab_MinKomp[Organizacja wysyłek / Organisation von Lieferungen],MATCH($B83,tab_MinKomp[[Stanowisko / Position ]:[Stanowisko / Position ]],0)))</f>
        <v>n/a</v>
      </c>
      <c r="BE84" s="341" t="str">
        <f>IF(INDEX(tab_MinKomp[Analiza magazynowa - Program Polen.mdb / Inventuranalyse],MATCH($B83,tab_MinKomp[[Stanowisko / Position ]:[Stanowisko / Position ]],0))="n/a","n/a",BE83-INDEX(tab_MinKomp[Analiza magazynowa - Program Polen.mdb / Inventuranalyse],MATCH($B83,tab_MinKomp[[Stanowisko / Position ]:[Stanowisko / Position ]],0)))</f>
        <v>n/a</v>
      </c>
      <c r="BF84" s="341" t="str">
        <f>IF(INDEX(tab_MinKomp[MMOG (Materials Management Operations Guidelines)],MATCH($B83,tab_MinKomp[[Stanowisko / Position ]:[Stanowisko / Position ]],0))="n/a","n/a",BF83-INDEX(tab_MinKomp[MMOG (Materials Management Operations Guidelines)],MATCH($B83,tab_MinKomp[[Stanowisko / Position ]:[Stanowisko / Position ]],0)))</f>
        <v>n/a</v>
      </c>
      <c r="BG84" s="341" t="str">
        <f>IF(INDEX(tab_MinKomp[DETC],MATCH($B83,tab_MinKomp[[Stanowisko / Position ]:[Stanowisko / Position ]],0))="n/a","n/a",BG83-INDEX(tab_MinKomp[DETC],MATCH($B83,tab_MinKomp[[Stanowisko / Position ]:[Stanowisko / Position ]],0)))</f>
        <v>n/a</v>
      </c>
      <c r="BH84" s="341" t="str">
        <f>IF(INDEX(tab_MinKomp[GPP],MATCH($B83,tab_MinKomp[[Stanowisko / Position ]:[Stanowisko / Position ]],0))="n/a","n/a",BH83-INDEX(tab_MinKomp[GPP],MATCH($B83,tab_MinKomp[[Stanowisko / Position ]:[Stanowisko / Position ]],0)))</f>
        <v>n/a</v>
      </c>
      <c r="BI84" s="341" t="str">
        <f>IF(INDEX(tab_MinKomp[AIAG (Automotive Industry Action Group)],MATCH($B83,tab_MinKomp[[Stanowisko / Position ]:[Stanowisko / Position ]],0))="n/a","n/a",BI83-INDEX(tab_MinKomp[AIAG (Automotive Industry Action Group)],MATCH($B83,tab_MinKomp[[Stanowisko / Position ]:[Stanowisko / Position ]],0)))</f>
        <v>n/a</v>
      </c>
      <c r="BJ84" s="341" t="str">
        <f>IF(INDEX(tab_MinKomp[Super-G disputes],MATCH($B83,tab_MinKomp[[Stanowisko / Position ]:[Stanowisko / Position ]],0))="n/a","n/a",BJ83-INDEX(tab_MinKomp[Super-G disputes],MATCH($B83,tab_MinKomp[[Stanowisko / Position ]:[Stanowisko / Position ]],0)))</f>
        <v>n/a</v>
      </c>
      <c r="BK84" s="341" t="str">
        <f>IF(INDEX(tab_MinKomp[CMMS3/eDDL (Direct Data Link)],MATCH($B83,tab_MinKomp[[Stanowisko / Position ]:[Stanowisko / Position ]],0))="n/a","n/a",BK83-INDEX(tab_MinKomp[CMMS3/eDDL (Direct Data Link)],MATCH($B83,tab_MinKomp[[Stanowisko / Position ]:[Stanowisko / Position ]],0)))</f>
        <v>n/a</v>
      </c>
      <c r="BL84" s="341" t="str">
        <f>IF(INDEX(tab_MinKomp[MP&amp;L (Material Planning and Logistics)],MATCH($B83,tab_MinKomp[[Stanowisko / Position ]:[Stanowisko / Position ]],0))="n/a","n/a",BL83-INDEX(tab_MinKomp[MP&amp;L (Material Planning and Logistics)],MATCH($B83,tab_MinKomp[[Stanowisko / Position ]:[Stanowisko / Position ]],0)))</f>
        <v>n/a</v>
      </c>
      <c r="BM84" s="341" t="str">
        <f>IF(INDEX(tab_MinKomp[Supplier delivery rating],MATCH($B83,tab_MinKomp[[Stanowisko / Position ]:[Stanowisko / Position ]],0))="n/a","n/a",BM83-INDEX(tab_MinKomp[Supplier delivery rating],MATCH($B83,tab_MinKomp[[Stanowisko / Position ]:[Stanowisko / Position ]],0)))</f>
        <v>n/a</v>
      </c>
      <c r="BN84" s="341" t="str">
        <f>IF(INDEX(tab_MinKomp[Planowanie produkcji / Produktionsplanung],MATCH($B83,tab_MinKomp[[Stanowisko / Position ]:[Stanowisko / Position ]],0))="n/a","n/a",BN83-INDEX(tab_MinKomp[Planowanie produkcji / Produktionsplanung],MATCH($B83,tab_MinKomp[[Stanowisko / Position ]:[Stanowisko / Position ]],0)))</f>
        <v>n/a</v>
      </c>
      <c r="BO84" s="341">
        <f>IF(INDEX(tab_MinKomp[Obsługa maszyn Engel / Engel Maschinenbedienung],MATCH($B83,tab_MinKomp[[Stanowisko / Position ]:[Stanowisko / Position ]],0))="n/a","n/a",BO83-INDEX(tab_MinKomp[Obsługa maszyn Engel / Engel Maschinenbedienung],MATCH($B83,tab_MinKomp[[Stanowisko / Position ]:[Stanowisko / Position ]],0)))</f>
        <v>-1</v>
      </c>
      <c r="BP84" s="341">
        <f>IF(INDEX(tab_MinKomp[Obsługa maszyn Novapax / Novapax Maschinenbedienung],MATCH($B83,tab_MinKomp[[Stanowisko / Position ]:[Stanowisko / Position ]],0))="n/a","n/a",BP83-INDEX(tab_MinKomp[Obsługa maszyn Novapax / Novapax Maschinenbedienung],MATCH($B83,tab_MinKomp[[Stanowisko / Position ]:[Stanowisko / Position ]],0)))</f>
        <v>-1</v>
      </c>
      <c r="BQ84" s="341">
        <f>IF(INDEX(tab_MinKomp[Obsługa maszyn KVT / KVT Maschinenbedienung],MATCH($B83,tab_MinKomp[[Stanowisko / Position ]:[Stanowisko / Position ]],0))="n/a","n/a",BQ83-INDEX(tab_MinKomp[Obsługa maszyn KVT / KVT Maschinenbedienung],MATCH($B83,tab_MinKomp[[Stanowisko / Position ]:[Stanowisko / Position ]],0)))</f>
        <v>-1</v>
      </c>
      <c r="BR84" s="341">
        <f>IF(INDEX(tab_MinKomp[Obsługa maszyn ASL / ASL Maschinenbedienung],MATCH($B83,tab_MinKomp[[Stanowisko / Position ]:[Stanowisko / Position ]],0))="n/a","n/a",BR83-INDEX(tab_MinKomp[Obsługa maszyn ASL / ASL Maschinenbedienung],MATCH($B83,tab_MinKomp[[Stanowisko / Position ]:[Stanowisko / Position ]],0)))</f>
        <v>-1</v>
      </c>
      <c r="BS84" s="341">
        <f>IF(INDEX(tab_MinKomp[Obsługa maszyn Branson / Branson Maschinenbedienung],MATCH($B83,tab_MinKomp[[Stanowisko / Position ]:[Stanowisko / Position ]],0))="n/a","n/a",BS83-INDEX(tab_MinKomp[Obsługa maszyn Branson / Branson Maschinenbedienung],MATCH($B83,tab_MinKomp[[Stanowisko / Position ]:[Stanowisko / Position ]],0)))</f>
        <v>-1</v>
      </c>
      <c r="BT84" s="341">
        <f>IF(INDEX(tab_MinKomp[Obsługa maszyn Kamtec / Kamtec Maschinenbedienung],MATCH($B83,tab_MinKomp[[Stanowisko / Position ]:[Stanowisko / Position ]],0))="n/a","n/a",BT83-INDEX(tab_MinKomp[Obsługa maszyn Kamtec / Kamtec Maschinenbedienung],MATCH($B83,tab_MinKomp[[Stanowisko / Position ]:[Stanowisko / Position ]],0)))</f>
        <v>-1</v>
      </c>
      <c r="BU84" s="341">
        <f>IF(INDEX(tab_MinKomp[Obsługa maszyn REP / REP Maschinenbedienung],MATCH($B83,tab_MinKomp[[Stanowisko / Position ]:[Stanowisko / Position ]],0))="n/a","n/a",BU83-INDEX(tab_MinKomp[Obsługa maszyn REP / REP Maschinenbedienung],MATCH($B83,tab_MinKomp[[Stanowisko / Position ]:[Stanowisko / Position ]],0)))</f>
        <v>-1</v>
      </c>
      <c r="BV84" s="341">
        <f>IF(INDEX(tab_MinKomp[Eliminacja awarii / Beseitigung von Ausfällen],MATCH($B83,tab_MinKomp[[Stanowisko / Position ]:[Stanowisko / Position ]],0))="n/a","n/a",BV83-INDEX(tab_MinKomp[Eliminacja awarii / Beseitigung von Ausfällen],MATCH($B83,tab_MinKomp[[Stanowisko / Position ]:[Stanowisko / Position ]],0)))</f>
        <v>-2</v>
      </c>
      <c r="BW84" s="341">
        <f>IF(INDEX(tab_MinKomp[Informatyka ogólna (techniczne i systemowe) / Allgemeine IT (Technik und System)],MATCH($B83,tab_MinKomp[[Stanowisko / Position ]:[Stanowisko / Position ]],0))="n/a","n/a",BW83-INDEX(tab_MinKomp[Informatyka ogólna (techniczne i systemowe) / Allgemeine IT (Technik und System)],MATCH($B83,tab_MinKomp[[Stanowisko / Position ]:[Stanowisko / Position ]],0)))</f>
        <v>-2</v>
      </c>
      <c r="BX84" s="341">
        <f>IF(INDEX(tab_MinKomp[Sieci komputerowe / Computernetzwerke],MATCH($B83,tab_MinKomp[[Stanowisko / Position ]:[Stanowisko / Position ]],0))="n/a","n/a",BX83-INDEX(tab_MinKomp[Sieci komputerowe / Computernetzwerke],MATCH($B83,tab_MinKomp[[Stanowisko / Position ]:[Stanowisko / Position ]],0)))</f>
        <v>-2</v>
      </c>
      <c r="BY84" s="341">
        <f>IF(INDEX(tab_MinKomp[Hardware (komputery PC, drukarki biurowe i etykietowe, telefonia stacjonarna i mobilna) (PC, Drucker, Telefpne, Handys)],MATCH($B83,tab_MinKomp[[Stanowisko / Position ]:[Stanowisko / Position ]],0))="n/a","n/a",BY83-INDEX(tab_MinKomp[Hardware (komputery PC, drukarki biurowe i etykietowe, telefonia stacjonarna i mobilna) (PC, Drucker, Telefpne, Handys)],MATCH($B83,tab_MinKomp[[Stanowisko / Position ]:[Stanowisko / Position ]],0)))</f>
        <v>-1</v>
      </c>
      <c r="BZ84" s="341" t="str">
        <f>IF(INDEX(tab_MinKomp[Software &amp; Systems (MS Office, MS Remote Desktop)],MATCH($B83,tab_MinKomp[[Stanowisko / Position ]:[Stanowisko / Position ]],0))="n/a","n/a",BZ83-INDEX(tab_MinKomp[Software &amp; Systems (MS Office, MS Remote Desktop)],MATCH($B83,tab_MinKomp[[Stanowisko / Position ]:[Stanowisko / Position ]],0)))</f>
        <v>n/a</v>
      </c>
      <c r="CA84" s="341" t="str">
        <f>IF(INDEX(tab_MinKomp[Software &amp; Systems (MS Office, MS Remote Desktop)],MATCH($B83,tab_MinKomp[[Stanowisko / Position ]:[Stanowisko / Position ]],0))="n/a","n/a",CA83-INDEX(tab_MinKomp[Software &amp; Systems (MS Office, MS Remote Desktop)],MATCH($B83,tab_MinKomp[[Stanowisko / Position ]:[Stanowisko / Position ]],0)))</f>
        <v>n/a</v>
      </c>
      <c r="CB84" s="341" t="str">
        <f>IF(INDEX(tab_MinKomp[Programowanie obiektowe (PHP) / Objektprogrammierung],MATCH($B83,tab_MinKomp[[Stanowisko / Position ]:[Stanowisko / Position ]],0))="n/a","n/a",CB83-INDEX(tab_MinKomp[Programowanie obiektowe (PHP) / Objektprogrammierung],MATCH($B83,tab_MinKomp[[Stanowisko / Position ]:[Stanowisko / Position ]],0)))</f>
        <v>n/a</v>
      </c>
      <c r="CC84" s="341" t="str">
        <f>IF(INDEX(tab_MinKomp[Scrum],MATCH($B83,tab_MinKomp[[Stanowisko / Position ]:[Stanowisko / Position ]],0))="n/a","n/a",CC83-INDEX(tab_MinKomp[Scrum],MATCH($B83,tab_MinKomp[[Stanowisko / Position ]:[Stanowisko / Position ]],0)))</f>
        <v>n/a</v>
      </c>
      <c r="CD84" s="341" t="str">
        <f>IF(INDEX(tab_MinKomp[SQL (MySQL)],MATCH($B83,tab_MinKomp[[Stanowisko / Position ]:[Stanowisko / Position ]],0))="n/a","n/a",CD83-INDEX(tab_MinKomp[SQL (MySQL)],MATCH($B83,tab_MinKomp[[Stanowisko / Position ]:[Stanowisko / Position ]],0)))</f>
        <v>n/a</v>
      </c>
      <c r="CE84" s="341" t="str">
        <f>IF(INDEX(tab_MinKomp[Javascript],MATCH($B83,tab_MinKomp[[Stanowisko / Position ]:[Stanowisko / Position ]],0))="n/a","n/a",CE83-INDEX(tab_MinKomp[Javascript],MATCH($B83,tab_MinKomp[[Stanowisko / Position ]:[Stanowisko / Position ]],0)))</f>
        <v>n/a</v>
      </c>
      <c r="CF84" s="341" t="str">
        <f>IF(INDEX(tab_MinKomp[Joomla],MATCH($B83,tab_MinKomp[[Stanowisko / Position ]:[Stanowisko / Position ]],0))="n/a","n/a",CF83-INDEX(tab_MinKomp[Joomla],MATCH($B83,tab_MinKomp[[Stanowisko / Position ]:[Stanowisko / Position ]],0)))</f>
        <v>n/a</v>
      </c>
      <c r="CG84" s="341" t="str">
        <f>IF(INDEX(tab_MinKomp[Bash],MATCH($B83,tab_MinKomp[[Stanowisko / Position ]:[Stanowisko / Position ]],0))="n/a","n/a",CG83-INDEX(tab_MinKomp[Bash],MATCH($B83,tab_MinKomp[[Stanowisko / Position ]:[Stanowisko / Position ]],0)))</f>
        <v>n/a</v>
      </c>
      <c r="CH84" s="341" t="str">
        <f>IF(INDEX(tab_MinKomp[Systemy MES (HYDRA / SFMS)],MATCH($B83,tab_MinKomp[[Stanowisko / Position ]:[Stanowisko / Position ]],0))="n/a","n/a",CH83-INDEX(tab_MinKomp[Systemy MES (HYDRA / SFMS)],MATCH($B83,tab_MinKomp[[Stanowisko / Position ]:[Stanowisko / Position ]],0)))</f>
        <v>n/a</v>
      </c>
      <c r="CI84" s="341">
        <f>IF(INDEX(tab_MinKomp[SYSTEM PR],MATCH($B83,tab_MinKomp[[Stanowisko / Position ]:[Stanowisko / Position ]],0))="n/a","n/a",CI83-INDEX(tab_MinKomp[SYSTEM PR],MATCH($B83,tab_MinKomp[[Stanowisko / Position ]:[Stanowisko / Position ]],0)))</f>
        <v>-2</v>
      </c>
      <c r="CJ84" s="341" t="str">
        <f>IF(INDEX(tab_MinKomp[System Einkauf XP / EBA],MATCH($B83,tab_MinKomp[[Stanowisko / Position ]:[Stanowisko / Position ]],0))="n/a","n/a",CJ83-INDEX(tab_MinKomp[System Einkauf XP / EBA],MATCH($B83,tab_MinKomp[[Stanowisko / Position ]:[Stanowisko / Position ]],0)))</f>
        <v>n/a</v>
      </c>
      <c r="CK84" s="341">
        <f>IF(INDEX(tab_MinKomp[Techniki negocjacyjne / Verhandlungstechniken],MATCH($B83,tab_MinKomp[[Stanowisko / Position ]:[Stanowisko / Position ]],0))="n/a","n/a",CK83-INDEX(tab_MinKomp[Techniki negocjacyjne / Verhandlungstechniken],MATCH($B83,tab_MinKomp[[Stanowisko / Position ]:[Stanowisko / Position ]],0)))</f>
        <v>-2</v>
      </c>
      <c r="CL84" s="341">
        <f>IF(INDEX(tab_MinKomp[Znajomość rynku branżowego / Kenntnis des Industrie Marktes],MATCH($B83,tab_MinKomp[[Stanowisko / Position ]:[Stanowisko / Position ]],0))="n/a","n/a",CL83-INDEX(tab_MinKomp[Znajomość rynku branżowego / Kenntnis des Industrie Marktes],MATCH($B83,tab_MinKomp[[Stanowisko / Position ]:[Stanowisko / Position ]],0)))</f>
        <v>-2</v>
      </c>
      <c r="CM84" s="341" t="str">
        <f>IF(INDEX(tab_MinKomp[RAPORTY 8D / 8D Berichten],MATCH($B83,tab_MinKomp[[Stanowisko / Position ]:[Stanowisko / Position ]],0))="n/a","n/a",CM83-INDEX(tab_MinKomp[RAPORTY 8D / 8D Berichten],MATCH($B83,tab_MinKomp[[Stanowisko / Position ]:[Stanowisko / Position ]],0)))</f>
        <v>n/a</v>
      </c>
      <c r="CN84" s="341">
        <f>IF(INDEX(tab_MinKomp[NARZĘDZIA JAKOŚCIOWE (5WHY, Ishikawa, etc) / QS-Werkzeuge],MATCH($B83,tab_MinKomp[[Stanowisko / Position ]:[Stanowisko / Position ]],0))="n/a","n/a",CN83-INDEX(tab_MinKomp[NARZĘDZIA JAKOŚCIOWE (5WHY, Ishikawa, etc) / QS-Werkzeuge],MATCH($B83,tab_MinKomp[[Stanowisko / Position ]:[Stanowisko / Position ]],0)))</f>
        <v>-2</v>
      </c>
      <c r="CO84" s="341">
        <f>IF(INDEX(tab_MinKomp[PDCA],MATCH($B83,tab_MinKomp[[Stanowisko / Position ]:[Stanowisko / Position ]],0))="n/a","n/a",CO83-INDEX(tab_MinKomp[PDCA],MATCH($B83,tab_MinKomp[[Stanowisko / Position ]:[Stanowisko / Position ]],0)))</f>
        <v>-2</v>
      </c>
      <c r="CP84" s="341">
        <f>IF(INDEX(tab_MinKomp[Pareto],MATCH($B83,tab_MinKomp[[Stanowisko / Position ]:[Stanowisko / Position ]],0))="n/a","n/a",CP83-INDEX(tab_MinKomp[Pareto],MATCH($B83,tab_MinKomp[[Stanowisko / Position ]:[Stanowisko / Position ]],0)))</f>
        <v>-2</v>
      </c>
      <c r="CQ84" s="341" t="str">
        <f>IF(INDEX(tab_MinKomp[PPAP/PSW],MATCH($B83,tab_MinKomp[[Stanowisko / Position ]:[Stanowisko / Position ]],0))="n/a","n/a",CQ83-INDEX(tab_MinKomp[PPAP/PSW],MATCH($B83,tab_MinKomp[[Stanowisko / Position ]:[Stanowisko / Position ]],0)))</f>
        <v>n/a</v>
      </c>
      <c r="CR84" s="341">
        <f>IF(INDEX(tab_MinKomp[SUPPLIER MANAGEMENT],MATCH($B83,tab_MinKomp[[Stanowisko / Position ]:[Stanowisko / Position ]],0))="n/a","n/a",CR83-INDEX(tab_MinKomp[SUPPLIER MANAGEMENT],MATCH($B83,tab_MinKomp[[Stanowisko / Position ]:[Stanowisko / Position ]],0)))</f>
        <v>-1</v>
      </c>
      <c r="CS84" s="341" t="str">
        <f>IF(INDEX(tab_MinKomp[OBSŁUGA PORTALI KLIENTA / Kundenportale],MATCH($B83,tab_MinKomp[[Stanowisko / Position ]:[Stanowisko / Position ]],0))="n/a","n/a",CS83-INDEX(tab_MinKomp[OBSŁUGA PORTALI KLIENTA / Kundenportale],MATCH($B83,tab_MinKomp[[Stanowisko / Position ]:[Stanowisko / Position ]],0)))</f>
        <v>n/a</v>
      </c>
      <c r="CT84" s="341" t="str">
        <f>IF(INDEX(tab_MinKomp[Obsługa systemu BABTECQ / BABTECQ System],MATCH($B83,tab_MinKomp[[Stanowisko / Position ]:[Stanowisko / Position ]],0))="n/a","n/a",CT83-INDEX(tab_MinKomp[Obsługa systemu BABTECQ / BABTECQ System],MATCH($B83,tab_MinKomp[[Stanowisko / Position ]:[Stanowisko / Position ]],0)))</f>
        <v>n/a</v>
      </c>
      <c r="CU84" s="341">
        <f>IF(INDEX(tab_MinKomp[Rysunek techniczny / technische Zeichnung],MATCH($B83,tab_MinKomp[[Stanowisko / Position ]:[Stanowisko / Position ]],0))="n/a","n/a",CU83-INDEX(tab_MinKomp[Rysunek techniczny / technische Zeichnung],MATCH($B83,tab_MinKomp[[Stanowisko / Position ]:[Stanowisko / Position ]],0)))</f>
        <v>-2</v>
      </c>
      <c r="CV84" s="341">
        <f>IF(INDEX(tab_MinKomp[Kalibracja / Kalibrierung],MATCH($B83,tab_MinKomp[[Stanowisko / Position ]:[Stanowisko / Position ]],0))="n/a","n/a",CV83-INDEX(tab_MinKomp[Kalibracja / Kalibrierung],MATCH($B83,tab_MinKomp[[Stanowisko / Position ]:[Stanowisko / Position ]],0)))</f>
        <v>-1</v>
      </c>
      <c r="CW84" s="341" t="str">
        <f>IF(INDEX(tab_MinKomp[Rekwalifikacja / Requalifizierung],MATCH($B83,tab_MinKomp[[Stanowisko / Position ]:[Stanowisko / Position ]],0))="n/a","n/a",CW83-INDEX(tab_MinKomp[Rekwalifikacja / Requalifizierung],MATCH($B83,tab_MinKomp[[Stanowisko / Position ]:[Stanowisko / Position ]],0)))</f>
        <v>n/a</v>
      </c>
      <c r="CX84" s="341" t="str">
        <f>IF(INDEX(tab_MinKomp[Obsługa mikroskopu optycznego / Bedienung eines optischen Mikroskops],MATCH($B83,tab_MinKomp[[Stanowisko / Position ]:[Stanowisko / Position ]],0))="n/a","n/a",CX83-INDEX(tab_MinKomp[Obsługa mikroskopu optycznego / Bedienung eines optischen Mikroskops],MATCH($B83,tab_MinKomp[[Stanowisko / Position ]:[Stanowisko / Position ]],0)))</f>
        <v>n/a</v>
      </c>
      <c r="CY84" s="341" t="str">
        <f>IF(INDEX(tab_MinKomp[Wykonywanie pomiarów optycznych - ocena wizualna / Optische Messungen durchführen – visuelle Beurteilung],MATCH($B83,tab_MinKomp[[Stanowisko / Position ]:[Stanowisko / Position ]],0))="n/a","n/a",CY83-INDEX(tab_MinKomp[Wykonywanie pomiarów optycznych - ocena wizualna / Optische Messungen durchführen – visuelle Beurteilung],MATCH($B83,tab_MinKomp[[Stanowisko / Position ]:[Stanowisko / Position ]],0)))</f>
        <v>n/a</v>
      </c>
      <c r="CZ84" s="341" t="str">
        <f>IF(INDEX(tab_MinKomp[Obsługa Rheometra / Rheometra-Unterstützung],MATCH($B83,tab_MinKomp[[Stanowisko / Position ]:[Stanowisko / Position ]],0))="n/a","n/a",CZ83-INDEX(tab_MinKomp[Obsługa Rheometra / Rheometra-Unterstützung],MATCH($B83,tab_MinKomp[[Stanowisko / Position ]:[Stanowisko / Position ]],0)))</f>
        <v>n/a</v>
      </c>
      <c r="DA84" s="341" t="str">
        <f>IF(INDEX(tab_MinKomp[Testy właściwości Rheometra mieszanki gumy],MATCH($B83,tab_MinKomp[[Stanowisko / Position ]:[Stanowisko / Position ]],0))="n/a","n/a",DA83-INDEX(tab_MinKomp[Testy właściwości Rheometra mieszanki gumy],MATCH($B83,tab_MinKomp[[Stanowisko / Position ]:[Stanowisko / Position ]],0)))</f>
        <v>n/a</v>
      </c>
      <c r="DB84" s="341" t="str">
        <f>IF(INDEX(tab_MinKomp[CMM - Contura Zeiss],MATCH($B83,tab_MinKomp[[Stanowisko / Position ]:[Stanowisko / Position ]],0))="n/a","n/a",DB83-INDEX(tab_MinKomp[CMM - Contura Zeiss],MATCH($B83,tab_MinKomp[[Stanowisko / Position ]:[Stanowisko / Position ]],0)))</f>
        <v>n/a</v>
      </c>
      <c r="DC84" s="341" t="str">
        <f>IF(INDEX(tab_MinKomp[Wykonywanie precyzyjnych pomiarów metrycznych, pomiary 3D],MATCH($B83,tab_MinKomp[[Stanowisko / Position ]:[Stanowisko / Position ]],0))="n/a","n/a",DC83-INDEX(tab_MinKomp[Wykonywanie precyzyjnych pomiarów metrycznych, pomiary 3D],MATCH($B83,tab_MinKomp[[Stanowisko / Position ]:[Stanowisko / Position ]],0)))</f>
        <v>n/a</v>
      </c>
      <c r="DD84" s="341" t="str">
        <f>IF(INDEX(tab_MinKomp[Pisanie programów / Programme schreiben],MATCH($B83,tab_MinKomp[[Stanowisko / Position ]:[Stanowisko / Position ]],0))="n/a","n/a",DD83-INDEX(tab_MinKomp[Pisanie programów / Programme schreiben],MATCH($B83,tab_MinKomp[[Stanowisko / Position ]:[Stanowisko / Position ]],0)))</f>
        <v>n/a</v>
      </c>
      <c r="DE84" s="341" t="str">
        <f>IF(INDEX(tab_MinKomp[Obsługa wyposażenia do testów czystości (myjka + analizator) / Betrieb von Sauberkeitsprüfgeräten (Waschmaschine + Analysegerät)],MATCH($B83,tab_MinKomp[[Stanowisko / Position ]:[Stanowisko / Position ]],0))="n/a","n/a",DE83-INDEX(tab_MinKomp[Obsługa wyposażenia do testów czystości (myjka + analizator) / Betrieb von Sauberkeitsprüfgeräten (Waschmaschine + Analysegerät)],MATCH($B83,tab_MinKomp[[Stanowisko / Position ]:[Stanowisko / Position ]],0)))</f>
        <v>n/a</v>
      </c>
      <c r="DF84" s="341" t="str">
        <f>IF(INDEX(tab_MinKomp[Testy czystości / Reinheitstests],MATCH($B83,tab_MinKomp[[Stanowisko / Position ]:[Stanowisko / Position ]],0))="n/a","n/a",DF83-INDEX(tab_MinKomp[Testy czystości / Reinheitstests],MATCH($B83,tab_MinKomp[[Stanowisko / Position ]:[Stanowisko / Position ]],0)))</f>
        <v>n/a</v>
      </c>
      <c r="DG84" s="341" t="str">
        <f>IF(INDEX(tab_MinKomp[Obsługa wysokościomierza / Unterstützung für Höhenmesser],MATCH($B83,tab_MinKomp[[Stanowisko / Position ]:[Stanowisko / Position ]],0))="n/a","n/a",DG83-INDEX(tab_MinKomp[Obsługa wysokościomierza / Unterstützung für Höhenmesser],MATCH($B83,tab_MinKomp[[Stanowisko / Position ]:[Stanowisko / Position ]],0)))</f>
        <v>n/a</v>
      </c>
      <c r="DH84" s="341" t="str">
        <f>IF(INDEX(tab_MinKomp[Pomiary wysokości materiału / Materialhöhenmessungen],MATCH($B83,tab_MinKomp[[Stanowisko / Position ]:[Stanowisko / Position ]],0))="n/a","n/a",DH83-INDEX(tab_MinKomp[Pomiary wysokości materiału / Materialhöhenmessungen],MATCH($B83,tab_MinKomp[[Stanowisko / Position ]:[Stanowisko / Position ]],0)))</f>
        <v>n/a</v>
      </c>
      <c r="DI84" s="341" t="str">
        <f>IF(INDEX(tab_MinKomp[Obsługa okrągłościomierza / Unterstützung für Rundheitsmessgeräte],MATCH($B83,tab_MinKomp[[Stanowisko / Position ]:[Stanowisko / Position ]],0))="n/a","n/a",DI83-INDEX(tab_MinKomp[Obsługa okrągłościomierza / Unterstützung für Rundheitsmessgeräte],MATCH($B83,tab_MinKomp[[Stanowisko / Position ]:[Stanowisko / Position ]],0)))</f>
        <v>n/a</v>
      </c>
      <c r="DJ84" s="341" t="str">
        <f>IF(INDEX(tab_MinKomp[Wykonywania pomiarów owalności, srednicy materiału / Messung der Ovalität und des Durchmessers des Materials],MATCH($B83,tab_MinKomp[[Stanowisko / Position ]:[Stanowisko / Position ]],0))="n/a","n/a",DJ83-INDEX(tab_MinKomp[Wykonywania pomiarów owalności, srednicy materiału / Messung der Ovalität und des Durchmessers des Materials],MATCH($B83,tab_MinKomp[[Stanowisko / Position ]:[Stanowisko / Position ]],0)))</f>
        <v>n/a</v>
      </c>
      <c r="DK84" s="341" t="str">
        <f>IF(INDEX(tab_MinKomp[Obsługa urządzenia do pomiarów chropowoatości powierzchni materiału],MATCH($B83,tab_MinKomp[[Stanowisko / Position ]:[Stanowisko / Position ]],0))="n/a","n/a",DK83-INDEX(tab_MinKomp[Obsługa urządzenia do pomiarów chropowoatości powierzchni materiału],MATCH($B83,tab_MinKomp[[Stanowisko / Position ]:[Stanowisko / Position ]],0)))</f>
        <v>n/a</v>
      </c>
      <c r="DL84" s="341" t="str">
        <f>IF(INDEX(tab_MinKomp[Wykonywanie pomiarów chropowatości powierzchni materiału / Durchführung von Messungen der Materialoberflächenrauheit],MATCH($B83,tab_MinKomp[[Stanowisko / Position ]:[Stanowisko / Position ]],0))="n/a","n/a",DL83-INDEX(tab_MinKomp[Wykonywanie pomiarów chropowatości powierzchni materiału / Durchführung von Messungen der Materialoberflächenrauheit],MATCH($B83,tab_MinKomp[[Stanowisko / Position ]:[Stanowisko / Position ]],0)))</f>
        <v>n/a</v>
      </c>
      <c r="DM84" s="341" t="str">
        <f>IF(INDEX(tab_MinKomp[Obsługa urządzenia do pomiaru siły radialnej części - postępowanie z trzpieniami. / Funktionsweise des Geräts zur Messung der Radialkraft von Teilen – Handhabungsstifte.],MATCH($B83,tab_MinKomp[[Stanowisko / Position ]:[Stanowisko / Position ]],0))="n/a","n/a",DM83-INDEX(tab_MinKomp[Obsługa urządzenia do pomiaru siły radialnej części - postępowanie z trzpieniami. / Funktionsweise des Geräts zur Messung der Radialkraft von Teilen – Handhabungsstifte.],MATCH($B83,tab_MinKomp[[Stanowisko / Position ]:[Stanowisko / Position ]],0)))</f>
        <v>n/a</v>
      </c>
      <c r="DN84" s="341" t="str">
        <f>IF(INDEX(tab_MinKomp[Wykonywanie pomiarów siły radialnej części / Führen Sie Radialkraftmessungen an Teilen durch],MATCH($B83,tab_MinKomp[[Stanowisko / Position ]:[Stanowisko / Position ]],0))="n/a","n/a",DN83-INDEX(tab_MinKomp[Wykonywanie pomiarów siły radialnej części / Führen Sie Radialkraftmessungen an Teilen durch],MATCH($B83,tab_MinKomp[[Stanowisko / Position ]:[Stanowisko / Position ]],0)))</f>
        <v>n/a</v>
      </c>
      <c r="DO84" s="341" t="str">
        <f>IF(INDEX(tab_MinKomp[Obsługa komory do testów wybuchwych / Betrieb einer Explosionsprüfkammer],MATCH($B83,tab_MinKomp[[Stanowisko / Position ]:[Stanowisko / Position ]],0))="n/a","n/a",DO83-INDEX(tab_MinKomp[Obsługa komory do testów wybuchwych / Betrieb einer Explosionsprüfkammer],MATCH($B83,tab_MinKomp[[Stanowisko / Position ]:[Stanowisko / Position ]],0)))</f>
        <v>n/a</v>
      </c>
      <c r="DP84" s="341" t="str">
        <f>IF(INDEX(tab_MinKomp[Wykonywanie testów wybuchowych części / Durchführung von Explosionstests an Teilen],MATCH($B83,tab_MinKomp[[Stanowisko / Position ]:[Stanowisko / Position ]],0))="n/a","n/a",DP83-INDEX(tab_MinKomp[Wykonywanie testów wybuchowych części / Durchführung von Explosionstests an Teilen],MATCH($B83,tab_MinKomp[[Stanowisko / Position ]:[Stanowisko / Position ]],0)))</f>
        <v>n/a</v>
      </c>
      <c r="DQ84" s="341" t="str">
        <f>IF(INDEX(tab_MinKomp[Obsługa urządzeń do mierzenia siły trzymania i/lub rozciągania / Betrieb von Geräten zur Messung der Halte- und/oder Dehnkraft],MATCH($B83,tab_MinKomp[[Stanowisko / Position ]:[Stanowisko / Position ]],0))="n/a","n/a",DQ83-INDEX(tab_MinKomp[Obsługa urządzeń do mierzenia siły trzymania i/lub rozciągania / Betrieb von Geräten zur Messung der Halte- und/oder Dehnkraft],MATCH($B83,tab_MinKomp[[Stanowisko / Position ]:[Stanowisko / Position ]],0)))</f>
        <v>n/a</v>
      </c>
      <c r="DR84" s="341" t="str">
        <f>IF(INDEX(tab_MinKomp[Wykonywanie testów mierzenia siły trzymania i/lub rozciągania / Durchführung von Tests zur Messung der Halte- und/oder Streckkraft],MATCH($B83,tab_MinKomp[[Stanowisko / Position ]:[Stanowisko / Position ]],0))="n/a","n/a",DR83-INDEX(tab_MinKomp[Wykonywanie testów mierzenia siły trzymania i/lub rozciągania / Durchführung von Tests zur Messung der Halte- und/oder Streckkraft],MATCH($B83,tab_MinKomp[[Stanowisko / Position ]:[Stanowisko / Position ]],0)))</f>
        <v>n/a</v>
      </c>
      <c r="DS84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Luftstrom)],MATCH($B83,tab_MinKomp[[Stanowisko / Position ]:[Stanowisko / Position ]],0))="n/a","n/a",DS83-INDEX(tab_MinKomp[Obsługa multimetru do pomiarów środowiskowych (temperatura, wilgotność, hałas, oświetlenie, przepływ powietrza) / Betrieb eines Multimeters für Umweltmessungen (Temperatur, Luftfeuchtigkeit, Lärm, Beleuchtung, Luftstrom)],MATCH($B83,tab_MinKomp[[Stanowisko / Position ]:[Stanowisko / Position ]],0)))</f>
        <v>n/a</v>
      </c>
      <c r="DT84" s="341" t="str">
        <f>IF(INDEX(tab_MinKomp[Kontrola warunków środowiskowych pracy (temperatura, wilgotność, hałas, oświetlenie, przepływ powietrza) / Kontrolle der Arbeitsumgebungsbedingungen (Temperatur, Luftfeuchtigkeit, Lärm, Beleuchtung, Luftstrom)],MATCH($B83,tab_MinKomp[[Stanowisko / Position ]:[Stanowisko / Position ]],0))="n/a","n/a",DT83-INDEX(tab_MinKomp[Kontrola warunków środowiskowych pracy (temperatura, wilgotność, hałas, oświetlenie, przepływ powietrza) / Kontrolle der Arbeitsumgebungsbedingungen (Temperatur, Luftfeuchtigkeit, Lärm, Beleuchtung, Luftstrom)],MATCH($B83,tab_MinKomp[[Stanowisko / Position ]:[Stanowisko / Position ]],0)))</f>
        <v>n/a</v>
      </c>
      <c r="DU84" s="341">
        <f>IF(INDEX(tab_MinKomp[MSA i SPC],MATCH($B83,tab_MinKomp[[Stanowisko / Position ]:[Stanowisko / Position ]],0))="n/a","n/a",DU83-INDEX(tab_MinKomp[MSA i SPC],MATCH($B83,tab_MinKomp[[Stanowisko / Position ]:[Stanowisko / Position ]],0)))</f>
        <v>-1</v>
      </c>
      <c r="DV84" s="341" t="str">
        <f>IF(INDEX(tab_MinKomp[Kontrola wejściowa komponentów/ Eingangskontrolle],MATCH($B83,tab_MinKomp[[Stanowisko / Position ]:[Stanowisko / Position ]],0))="n/a","n/a",DV83-INDEX(tab_MinKomp[Kontrola wejściowa komponentów/ Eingangskontrolle],MATCH($B83,tab_MinKomp[[Stanowisko / Position ]:[Stanowisko / Position ]],0)))</f>
        <v>n/a</v>
      </c>
      <c r="DW84" s="341" t="str">
        <f>IF(INDEX(tab_MinKomp[Kontrola wyjściowa produktu / Ausgangskontrolle],MATCH($B83,tab_MinKomp[[Stanowisko / Position ]:[Stanowisko / Position ]],0))="n/a","n/a",DW83-INDEX(tab_MinKomp[Kontrola wyjściowa produktu / Ausgangskontrolle],MATCH($B83,tab_MinKomp[[Stanowisko / Position ]:[Stanowisko / Position ]],0)))</f>
        <v>n/a</v>
      </c>
      <c r="DX84" s="341" t="str">
        <f>IF(INDEX(tab_MinKomp[Kontrola codzienna produkcji / Tägliche Produktionskontrolle],MATCH($B83,tab_MinKomp[[Stanowisko / Position ]:[Stanowisko / Position ]],0))="n/a","n/a",DX83-INDEX(tab_MinKomp[Kontrola codzienna produkcji / Tägliche Produktionskontrolle],MATCH($B83,tab_MinKomp[[Stanowisko / Position ]:[Stanowisko / Position ]],0)))</f>
        <v>n/a</v>
      </c>
      <c r="DY84" s="341">
        <f>IF(INDEX(tab_MinKomp[Konserwacja Rep],MATCH($B83,tab_MinKomp[[Stanowisko / Position ]:[Stanowisko / Position ]],0))="n/a","n/a",DY83-INDEX(tab_MinKomp[Konserwacja Rep],MATCH($B83,tab_MinKomp[[Stanowisko / Position ]:[Stanowisko / Position ]],0)))</f>
        <v>-1</v>
      </c>
      <c r="DZ84" s="341">
        <f>IF(INDEX(tab_MinKomp[[Konserwacja Engel ]],MATCH($B83,tab_MinKomp[[Stanowisko / Position ]:[Stanowisko / Position ]],0))="n/a","n/a",DZ83-INDEX(tab_MinKomp[[Konserwacja Engel ]],MATCH($B83,tab_MinKomp[[Stanowisko / Position ]:[Stanowisko / Position ]],0)))</f>
        <v>-1</v>
      </c>
      <c r="EA84" s="341">
        <f>IF(INDEX(tab_MinKomp[Konserwacja B 50],MATCH($B83,tab_MinKomp[[Stanowisko / Position ]:[Stanowisko / Position ]],0))="n/a","n/a",EA83-INDEX(tab_MinKomp[Konserwacja B 50],MATCH($B83,tab_MinKomp[[Stanowisko / Position ]:[Stanowisko / Position ]],0)))</f>
        <v>-1</v>
      </c>
      <c r="EB84" s="341">
        <f>IF(INDEX(tab_MinKomp[[Konserwacja EOL ]],MATCH($B83,tab_MinKomp[[Stanowisko / Position ]:[Stanowisko / Position ]],0))="n/a","n/a",EB83-INDEX(tab_MinKomp[[Konserwacja EOL ]],MATCH($B83,tab_MinKomp[[Stanowisko / Position ]:[Stanowisko / Position ]],0)))</f>
        <v>-1</v>
      </c>
      <c r="EC84" s="341">
        <f>IF(INDEX(tab_MinKomp[Konserwacja Branson],MATCH($B83,tab_MinKomp[[Stanowisko / Position ]:[Stanowisko / Position ]],0))="n/a","n/a",EC83-INDEX(tab_MinKomp[Konserwacja Branson],MATCH($B83,tab_MinKomp[[Stanowisko / Position ]:[Stanowisko / Position ]],0)))</f>
        <v>-1</v>
      </c>
      <c r="ED84" s="341">
        <f>IF(INDEX(tab_MinKomp[Konserwacja coolery],MATCH($B83,tab_MinKomp[[Stanowisko / Position ]:[Stanowisko / Position ]],0))="n/a","n/a",ED83-INDEX(tab_MinKomp[Konserwacja coolery],MATCH($B83,tab_MinKomp[[Stanowisko / Position ]:[Stanowisko / Position ]],0)))</f>
        <v>-1</v>
      </c>
      <c r="EE84" s="341">
        <f>IF(INDEX(tab_MinKomp[Konserwacja piecy],MATCH($B83,tab_MinKomp[[Stanowisko / Position ]:[Stanowisko / Position ]],0))="n/a","n/a",EE83-INDEX(tab_MinKomp[Konserwacja piecy],MATCH($B83,tab_MinKomp[[Stanowisko / Position ]:[Stanowisko / Position ]],0)))</f>
        <v>-1</v>
      </c>
      <c r="EF84" s="341">
        <f>IF(INDEX(tab_MinKomp[Rysunek techniczny- czytanie],MATCH($B83,tab_MinKomp[[Stanowisko / Position ]:[Stanowisko / Position ]],0))="n/a","n/a",EF83-INDEX(tab_MinKomp[Rysunek techniczny- czytanie],MATCH($B83,tab_MinKomp[[Stanowisko / Position ]:[Stanowisko / Position ]],0)))</f>
        <v>-2</v>
      </c>
      <c r="EG84" s="341">
        <f>IF(INDEX(tab_MinKomp[Elektryka],MATCH($B83,tab_MinKomp[[Stanowisko / Position ]:[Stanowisko / Position ]],0))="n/a","n/a",EG83-INDEX(tab_MinKomp[Elektryka],MATCH($B83,tab_MinKomp[[Stanowisko / Position ]:[Stanowisko / Position ]],0)))</f>
        <v>-2</v>
      </c>
      <c r="EH84" s="341">
        <f>IF(INDEX(tab_MinKomp[Pneumatyka],MATCH($B83,tab_MinKomp[[Stanowisko / Position ]:[Stanowisko / Position ]],0))="n/a","n/a",EH83-INDEX(tab_MinKomp[Pneumatyka],MATCH($B83,tab_MinKomp[[Stanowisko / Position ]:[Stanowisko / Position ]],0)))</f>
        <v>-2</v>
      </c>
      <c r="EI84" s="341">
        <f>IF(INDEX(tab_MinKomp[[Hydraulika ]],MATCH($B83,tab_MinKomp[[Stanowisko / Position ]:[Stanowisko / Position ]],0))="n/a","n/a",EI83-INDEX(tab_MinKomp[[Hydraulika ]],MATCH($B83,tab_MinKomp[[Stanowisko / Position ]:[Stanowisko / Position ]],0)))</f>
        <v>-2</v>
      </c>
      <c r="EJ84" s="341">
        <f>IF(INDEX(tab_MinKomp[Podciśnienie],MATCH($B83,tab_MinKomp[[Stanowisko / Position ]:[Stanowisko / Position ]],0))="n/a","n/a",EJ83-INDEX(tab_MinKomp[Podciśnienie],MATCH($B83,tab_MinKomp[[Stanowisko / Position ]:[Stanowisko / Position ]],0)))</f>
        <v>-2</v>
      </c>
      <c r="EK84" s="341">
        <f>IF(INDEX(tab_MinKomp[Usuwanie awarii],MATCH($B83,tab_MinKomp[[Stanowisko / Position ]:[Stanowisko / Position ]],0))="n/a","n/a",EK83-INDEX(tab_MinKomp[Usuwanie awarii],MATCH($B83,tab_MinKomp[[Stanowisko / Position ]:[Stanowisko / Position ]],0)))</f>
        <v>-2</v>
      </c>
      <c r="EL84" s="341">
        <f>IF(INDEX(tab_MinKomp[Obsługa robotów],MATCH($B83,tab_MinKomp[[Stanowisko / Position ]:[Stanowisko / Position ]],0))="n/a","n/a",EL83-INDEX(tab_MinKomp[Obsługa robotów],MATCH($B83,tab_MinKomp[[Stanowisko / Position ]:[Stanowisko / Position ]],0)))</f>
        <v>-2</v>
      </c>
      <c r="EM84" s="341">
        <f>IF(INDEX(tab_MinKomp[Obsługa sterowania maszyny],MATCH($B83,tab_MinKomp[[Stanowisko / Position ]:[Stanowisko / Position ]],0))="n/a","n/a",EM83-INDEX(tab_MinKomp[Obsługa sterowania maszyny],MATCH($B83,tab_MinKomp[[Stanowisko / Position ]:[Stanowisko / Position ]],0)))</f>
        <v>-3</v>
      </c>
      <c r="EN84" s="341">
        <f>IF(INDEX(tab_MinKomp[Usuwanie przyczyn żródłowych],MATCH($B83,tab_MinKomp[[Stanowisko / Position ]:[Stanowisko / Position ]],0))="n/a","n/a",EN83-INDEX(tab_MinKomp[Usuwanie przyczyn żródłowych],MATCH($B83,tab_MinKomp[[Stanowisko / Position ]:[Stanowisko / Position ]],0)))</f>
        <v>-3</v>
      </c>
      <c r="EO84" s="341">
        <f>IF(INDEX(tab_MinKomp[Cmms stosowanie],MATCH($B83,tab_MinKomp[[Stanowisko / Position ]:[Stanowisko / Position ]],0))="n/a","n/a",EO83-INDEX(tab_MinKomp[Cmms stosowanie],MATCH($B83,tab_MinKomp[[Stanowisko / Position ]:[Stanowisko / Position ]],0)))</f>
        <v>-2</v>
      </c>
      <c r="EP84" s="341" t="str">
        <f>IF(INDEX(tab_MinKomp[[Czyszczenie form gumowych ]],MATCH($B83,tab_MinKomp[[Stanowisko / Position ]:[Stanowisko / Position ]],0))="n/a","n/a",EP83-INDEX(tab_MinKomp[[Czyszczenie form gumowych ]],MATCH($B83,tab_MinKomp[[Stanowisko / Position ]:[Stanowisko / Position ]],0)))</f>
        <v>n/a</v>
      </c>
      <c r="EQ84" s="341" t="str">
        <f>IF(INDEX(tab_MinKomp[Czyszczenie form plastikowych],MATCH($B83,tab_MinKomp[[Stanowisko / Position ]:[Stanowisko / Position ]],0))="n/a","n/a",EQ83-INDEX(tab_MinKomp[Czyszczenie form plastikowych],MATCH($B83,tab_MinKomp[[Stanowisko / Position ]:[Stanowisko / Position ]],0)))</f>
        <v>n/a</v>
      </c>
      <c r="ER84" s="341" t="str">
        <f>IF(INDEX(tab_MinKomp[Wymiana form plastik],MATCH($B83,tab_MinKomp[[Stanowisko / Position ]:[Stanowisko / Position ]],0))="n/a","n/a",ER83-INDEX(tab_MinKomp[Wymiana form plastik],MATCH($B83,tab_MinKomp[[Stanowisko / Position ]:[Stanowisko / Position ]],0)))</f>
        <v>n/a</v>
      </c>
      <c r="ES84" s="341" t="str">
        <f>IF(INDEX(tab_MinKomp[Wymiana form guma],MATCH($B83,tab_MinKomp[[Stanowisko / Position ]:[Stanowisko / Position ]],0))="n/a","n/a",ES83-INDEX(tab_MinKomp[Wymiana form guma],MATCH($B83,tab_MinKomp[[Stanowisko / Position ]:[Stanowisko / Position ]],0)))</f>
        <v>n/a</v>
      </c>
      <c r="ET84" s="341" t="str">
        <f>IF(INDEX(tab_MinKomp[Konserwacja KK],MATCH($B83,tab_MinKomp[[Stanowisko / Position ]:[Stanowisko / Position ]],0))="n/a","n/a",ET83-INDEX(tab_MinKomp[Konserwacja KK],MATCH($B83,tab_MinKomp[[Stanowisko / Position ]:[Stanowisko / Position ]],0)))</f>
        <v>n/a</v>
      </c>
      <c r="EU84" s="341" t="str">
        <f>IF(INDEX(tab_MinKomp[Konserwacja form guma],MATCH($B83,tab_MinKomp[[Stanowisko / Position ]:[Stanowisko / Position ]],0))="n/a","n/a",EU83-INDEX(tab_MinKomp[Konserwacja form guma],MATCH($B83,tab_MinKomp[[Stanowisko / Position ]:[Stanowisko / Position ]],0)))</f>
        <v>n/a</v>
      </c>
      <c r="EV84" s="341" t="str">
        <f>IF(INDEX(tab_MinKomp[Konserwacja form plastiki],MATCH($B83,tab_MinKomp[[Stanowisko / Position ]:[Stanowisko / Position ]],0))="n/a","n/a",EV83-INDEX(tab_MinKomp[Konserwacja form plastiki],MATCH($B83,tab_MinKomp[[Stanowisko / Position ]:[Stanowisko / Position ]],0)))</f>
        <v>n/a</v>
      </c>
      <c r="EW84" s="330" t="str">
        <f>IF(INDEX(tab_MinKomp[Konserwacja form plastiki],MATCH($B83,tab_MinKomp[[Stanowisko / Position ]:[Stanowisko / Position ]],0))="n/a","n/a",EW83-INDEX(tab_MinKomp[Konserwacja form plastiki],MATCH($B83,tab_MinKomp[[Stanowisko / Position ]:[Stanowisko / Position ]],0)))</f>
        <v>n/a</v>
      </c>
      <c r="EX84" s="341" t="str">
        <f>IF(INDEX(tab_MinKomp[Konserwacja Gorącego Kanału],MATCH($B83,tab_MinKomp[[Stanowisko / Position ]:[Stanowisko / Position ]],0))="n/a","n/a",EX83-INDEX(tab_MinKomp[Konserwacja Gorącego Kanału],MATCH($B83,tab_MinKomp[[Stanowisko / Position ]:[Stanowisko / Position ]],0)))</f>
        <v>n/a</v>
      </c>
      <c r="EY84" s="341">
        <f>IF(INDEX(tab_MinKomp[MS Office (Excel)],MATCH($B83,tab_MinKomp[[Stanowisko / Position ]:[Stanowisko / Position ]],0))="n/a","n/a",EY83-INDEX(tab_MinKomp[MS Office (Excel)],MATCH($B83,tab_MinKomp[[Stanowisko / Position ]:[Stanowisko / Position ]],0)))</f>
        <v>-1</v>
      </c>
      <c r="EZ84" s="341">
        <f>IF(INDEX(tab_MinKomp[MS Office (Word)],MATCH($B83,tab_MinKomp[[Stanowisko / Position ]:[Stanowisko / Position ]],0))="n/a","n/a",EZ83-INDEX(tab_MinKomp[MS Office (Word)],MATCH($B83,tab_MinKomp[[Stanowisko / Position ]:[Stanowisko / Position ]],0)))</f>
        <v>-1</v>
      </c>
      <c r="FA84" s="341">
        <f>IF(INDEX(tab_MinKomp[MS Office (Power Point)],MATCH($B83,tab_MinKomp[[Stanowisko / Position ]:[Stanowisko / Position ]],0))="n/a","n/a",FA83-INDEX(tab_MinKomp[MS Office (Power Point)],MATCH($B83,tab_MinKomp[[Stanowisko / Position ]:[Stanowisko / Position ]],0)))</f>
        <v>-1</v>
      </c>
      <c r="FB84" s="341">
        <f>IF(INDEX(tab_MinKomp[Język angielski / Englisch],MATCH($B83,tab_MinKomp[[Stanowisko / Position ]:[Stanowisko / Position ]],0))="n/a","n/a",FB83-INDEX(tab_MinKomp[Język angielski / Englisch],MATCH($B83,tab_MinKomp[[Stanowisko / Position ]:[Stanowisko / Position ]],0)))</f>
        <v>-2</v>
      </c>
      <c r="FC84" s="341" t="str">
        <f>IF(INDEX(tab_MinKomp[Język niemiecki / Deutsch],MATCH($B83,tab_MinKomp[[Stanowisko / Position ]:[Stanowisko / Position ]],0))="n/a","n/a",FC83-INDEX(tab_MinKomp[Język niemiecki / Deutsch],MATCH($B83,tab_MinKomp[[Stanowisko / Position ]:[Stanowisko / Position ]],0)))</f>
        <v>n/a</v>
      </c>
      <c r="FD84" s="341">
        <f>IF(INDEX(tab_MinKomp[Zarządzanie dokumentacją procesową / Process dokumentation management],MATCH($B83,tab_MinKomp[[Stanowisko / Position ]:[Stanowisko / Position ]],0))="n/a","n/a",FD83-INDEX(tab_MinKomp[Zarządzanie dokumentacją procesową / Process dokumentation management],MATCH($B83,tab_MinKomp[[Stanowisko / Position ]:[Stanowisko / Position ]],0)))</f>
        <v>-2</v>
      </c>
      <c r="FE84" s="341">
        <f>IF(INDEX(tab_MinKomp[Znajomość procesów z obszaru / Kenntiss der prozesse in dem Bereich],MATCH($B83,tab_MinKomp[[Stanowisko / Position ]:[Stanowisko / Position ]],0))="n/a","n/a",FE83-INDEX(tab_MinKomp[Znajomość procesów z obszaru / Kenntiss der prozesse in dem Bereich],MATCH($B83,tab_MinKomp[[Stanowisko / Position ]:[Stanowisko / Position ]],0)))</f>
        <v>-2</v>
      </c>
      <c r="FF84" s="341">
        <f>IF(INDEX(tab_MinKomp[optymalizacja procesów / Prozessoptymalisierung],MATCH($B83,tab_MinKomp[[Stanowisko / Position ]:[Stanowisko / Position ]],0))="n/a","n/a",FF83-INDEX(tab_MinKomp[optymalizacja procesów / Prozessoptymalisierung],MATCH($B83,tab_MinKomp[[Stanowisko / Position ]:[Stanowisko / Position ]],0)))</f>
        <v>-2</v>
      </c>
      <c r="FG84" s="341">
        <f>IF(INDEX(tab_MinKomp[Umiejętności szkoleniowe / Trainingsfähigkeiten],MATCH($B83,tab_MinKomp[[Stanowisko / Position ]:[Stanowisko / Position ]],0))="n/a","n/a",FG83-INDEX(tab_MinKomp[Umiejętności szkoleniowe / Trainingsfähigkeiten],MATCH($B83,tab_MinKomp[[Stanowisko / Position ]:[Stanowisko / Position ]],0)))</f>
        <v>-2</v>
      </c>
      <c r="FH84" s="341">
        <f>IF(INDEX(tab_MinKomp[Analityczne myślenie, podejście / Analitysches Denken, Einstellung],MATCH($B83,tab_MinKomp[[Stanowisko / Position ]:[Stanowisko / Position ]],0))="n/a","n/a",FH83-INDEX(tab_MinKomp[Analityczne myślenie, podejście / Analitysches Denken, Einstellung],MATCH($B83,tab_MinKomp[[Stanowisko / Position ]:[Stanowisko / Position ]],0)))</f>
        <v>-2</v>
      </c>
      <c r="FI84" s="341">
        <f>IF(INDEX(tab_MinKomp[Dokładność, precyzja w dzialaniu / Genauigkeit, Präzision in die Arbeit],MATCH($B83,tab_MinKomp[[Stanowisko / Position ]:[Stanowisko / Position ]],0))="n/a","n/a",FI83-INDEX(tab_MinKomp[Dokładność, precyzja w dzialaniu / Genauigkeit, Präzision in die Arbeit],MATCH($B83,tab_MinKomp[[Stanowisko / Position ]:[Stanowisko / Position ]],0)))</f>
        <v>-3</v>
      </c>
      <c r="FJ84" s="341">
        <f>IF(INDEX(tab_MinKomp[Dyspozycyjność / Verfügbarkeit],MATCH($B83,tab_MinKomp[[Stanowisko / Position ]:[Stanowisko / Position ]],0))="n/a","n/a",FJ83-INDEX(tab_MinKomp[Dyspozycyjność / Verfügbarkeit],MATCH($B83,tab_MinKomp[[Stanowisko / Position ]:[Stanowisko / Position ]],0)))</f>
        <v>-1</v>
      </c>
      <c r="FK84" s="341">
        <f>IF(INDEX(tab_MinKomp[Zaangażowanie / 
Engagement],MATCH($B83,tab_MinKomp[[Stanowisko / Position ]:[Stanowisko / Position ]],0))="n/a","n/a",FK83-INDEX(tab_MinKomp[Zaangażowanie / 
Engagement],MATCH($B83,tab_MinKomp[[Stanowisko / Position ]:[Stanowisko / Position ]],0)))</f>
        <v>-2</v>
      </c>
      <c r="FL84" s="341">
        <f>IF(INDEX(tab_MinKomp[Planowanie strategiczne / Strategische Planung],MATCH($B83,tab_MinKomp[[Stanowisko / Position ]:[Stanowisko / Position ]],0))="n/a","n/a",FL83-INDEX(tab_MinKomp[Planowanie strategiczne / Strategische Planung],MATCH($B83,tab_MinKomp[[Stanowisko / Position ]:[Stanowisko / Position ]],0)))</f>
        <v>-1</v>
      </c>
      <c r="FM84" s="341">
        <f>IF(INDEX(tab_MinKomp[Konsekwentne i dynamiczne działanie],MATCH($B83,tab_MinKomp[[Stanowisko / Position ]:[Stanowisko / Position ]],0))="n/a","n/a",FM83-INDEX(tab_MinKomp[Konsekwentne i dynamiczne działanie],MATCH($B83,tab_MinKomp[[Stanowisko / Position ]:[Stanowisko / Position ]],0)))</f>
        <v>-2</v>
      </c>
      <c r="FN84" s="341">
        <f>IF(INDEX(tab_MinKomp[Elastyczność w działaniu],MATCH($B83,tab_MinKomp[[Stanowisko / Position ]:[Stanowisko / Position ]],0))="n/a","n/a",FN83-INDEX(tab_MinKomp[Elastyczność w działaniu],MATCH($B83,tab_MinKomp[[Stanowisko / Position ]:[Stanowisko / Position ]],0)))</f>
        <v>-2</v>
      </c>
      <c r="FO84" s="341">
        <f>IF(INDEX(tab_MinKomp[Komunikatywność],MATCH($B83,tab_MinKomp[[Stanowisko / Position ]:[Stanowisko / Position ]],0))="n/a","n/a",FO83-INDEX(tab_MinKomp[Komunikatywność],MATCH($B83,tab_MinKomp[[Stanowisko / Position ]:[Stanowisko / Position ]],0)))</f>
        <v>-2</v>
      </c>
      <c r="FP84" s="341" t="str">
        <f>IF(INDEX(tab_MinKomp[Motywowanie i budowanie zaangażowania zespołu],MATCH($B83,tab_MinKomp[[Stanowisko / Position ]:[Stanowisko / Position ]],0))="n/a","n/a",FP83-INDEX(tab_MinKomp[Motywowanie i budowanie zaangażowania zespołu],MATCH($B83,tab_MinKomp[[Stanowisko / Position ]:[Stanowisko / Position ]],0)))</f>
        <v>n/a</v>
      </c>
      <c r="FQ84" s="341" t="str">
        <f>IF(INDEX(tab_MinKomp[Motywowanie i budowanie zaangażowania zespołu],MATCH($B83,tab_MinKomp[[Stanowisko / Position ]:[Stanowisko / Position ]],0))="n/a","n/a",FQ83-INDEX(tab_MinKomp[Motywowanie i budowanie zaangażowania zespołu],MATCH($B83,tab_MinKomp[[Stanowisko / Position ]:[Stanowisko / Position ]],0)))</f>
        <v>n/a</v>
      </c>
      <c r="FR84" s="341" t="str">
        <f>IF(INDEX(tab_MinKomp[BRAK / Keine],MATCH($B83,tab_MinKomp[[Stanowisko / Position ]:[Stanowisko / Position ]],0))="n/a","n/a",FR83-INDEX(tab_MinKomp[BRAK / Keine],MATCH($B83,tab_MinKomp[[Stanowisko / Position ]:[Stanowisko / Position ]],0)))</f>
        <v>n/a</v>
      </c>
      <c r="FS84" s="341" t="str">
        <f>IF(INDEX(tab_MinKomp[MINIMUM 1 ROK / min. 1 Jahr],MATCH($B83,tab_MinKomp[[Stanowisko / Position ]:[Stanowisko / Position ]],0))="n/a","n/a",FS83-INDEX(tab_MinKomp[MINIMUM 1 ROK / min. 1 Jahr],MATCH($B83,tab_MinKomp[[Stanowisko / Position ]:[Stanowisko / Position ]],0)))</f>
        <v>n/a</v>
      </c>
      <c r="FT84" s="341" t="str">
        <f>IF(INDEX(tab_MinKomp[MINIMUM 2 LATA / min. 2 Jahre],MATCH($B83,tab_MinKomp[[Stanowisko / Position ]:[Stanowisko / Position ]],0))="n/a","n/a",FT83-INDEX(tab_MinKomp[MINIMUM 2 LATA / min. 2 Jahre],MATCH($B83,tab_MinKomp[[Stanowisko / Position ]:[Stanowisko / Position ]],0)))</f>
        <v>n/a</v>
      </c>
      <c r="FU84" s="341" t="str">
        <f>IF(INDEX(tab_MinKomp[MINIMUM 3 LATA / min. 3 Jahre],MATCH($B83,tab_MinKomp[[Stanowisko / Position ]:[Stanowisko / Position ]],0))="n/a","n/a",FU83-INDEX(tab_MinKomp[MINIMUM 3 LATA / min. 3 Jahre],MATCH($B83,tab_MinKomp[[Stanowisko / Position ]:[Stanowisko / Position ]],0)))</f>
        <v>n/a</v>
      </c>
      <c r="FV84" s="341" t="str">
        <f>IF(INDEX(tab_MinKomp[MINIMUM 4 LATA / min. 4 Jahre],MATCH($B83,tab_MinKomp[[Stanowisko / Position ]:[Stanowisko / Position ]],0))="n/a","n/a",FV83-INDEX(tab_MinKomp[MINIMUM 4 LATA / min. 4 Jahre],MATCH($B83,tab_MinKomp[[Stanowisko / Position ]:[Stanowisko / Position ]],0)))</f>
        <v>n/a</v>
      </c>
      <c r="FW84" s="341" t="str">
        <f>IF(INDEX(tab_MinKomp[MINIMUM 5 LAT / min. 5 Jahre],MATCH($B83,tab_MinKomp[[Stanowisko / Position ]:[Stanowisko / Position ]],0))="n/a","n/a",FW83-INDEX(tab_MinKomp[MINIMUM 5 LAT / min. 5 Jahre],MATCH($B83,tab_MinKomp[[Stanowisko / Position ]:[Stanowisko / Position ]],0)))</f>
        <v>n/a</v>
      </c>
      <c r="FX84" s="341" t="str">
        <f>IF(INDEX(tab_MinKomp[BRAK / Keine9],MATCH($B83,tab_MinKomp[[Stanowisko / Position ]:[Stanowisko / Position ]],0))="n/a","n/a",FX83-INDEX(tab_MinKomp[BRAK / Keine9],MATCH($B83,tab_MinKomp[[Stanowisko / Position ]:[Stanowisko / Position ]],0)))</f>
        <v>n/a</v>
      </c>
      <c r="FY84" s="341" t="str">
        <f>IF(INDEX(tab_MinKomp[ZAWODOWE / Berufsausbildung],MATCH($B83,tab_MinKomp[[Stanowisko / Position ]:[Stanowisko / Position ]],0))="n/a","n/a",FY83-INDEX(tab_MinKomp[ZAWODOWE / Berufsausbildung],MATCH($B83,tab_MinKomp[[Stanowisko / Position ]:[Stanowisko / Position ]],0)))</f>
        <v>n/a</v>
      </c>
      <c r="FZ84" s="341" t="s">
        <v>387</v>
      </c>
      <c r="GA84" s="341" t="str">
        <f>IF(INDEX(tab_MinKomp[WYŻSZE OGÓLNE / Hochschule allgemeine],MATCH($B83,tab_MinKomp[[Stanowisko / Position ]:[Stanowisko / Position ]],0))="n/a","n/a",GA83-INDEX(tab_MinKomp[WYŻSZE OGÓLNE / Hochschule allgemeine],MATCH($B83,tab_MinKomp[[Stanowisko / Position ]:[Stanowisko / Position ]],0)))</f>
        <v>n/a</v>
      </c>
      <c r="GB84" s="341" t="str">
        <f>IF(INDEX(tab_MinKomp[WYŻSZE OGÓLNE / Hochschule allgemeine],MATCH($B83,tab_MinKomp[[Stanowisko / Position ]:[Stanowisko / Position ]],0))="n/a","n/a",GB83-INDEX(tab_MinKomp[WYŻSZE OGÓLNE / Hochschule allgemeine],MATCH($B83,tab_MinKomp[[Stanowisko / Position ]:[Stanowisko / Position ]],0)))</f>
        <v>n/a</v>
      </c>
      <c r="GC84" s="341" t="str">
        <f>IF(INDEX(tab_MinKomp[WYŻSZE KIERUNKOWE / Hochschule berufliche],MATCH($B83,tab_MinKomp[[Stanowisko / Position ]:[Stanowisko / Position ]],0))="n/a","n/a",GC83-INDEX(tab_MinKomp[WYŻSZE KIERUNKOWE / Hochschule berufliche],MATCH($B83,tab_MinKomp[[Stanowisko / Position ]:[Stanowisko / Position ]],0)))</f>
        <v>n/a</v>
      </c>
      <c r="GD84" s="341" t="str">
        <f>IF(INDEX(tab_MinKomp[PIERWSZA POMOC / Erste Hilfe],MATCH($B83,tab_MinKomp[[Stanowisko / Position ]:[Stanowisko / Position ]],0))="n/a","n/a",GD83-INDEX(tab_MinKomp[PIERWSZA POMOC / Erste Hilfe],MATCH($B83,tab_MinKomp[[Stanowisko / Position ]:[Stanowisko / Position ]],0)))</f>
        <v>n/a</v>
      </c>
      <c r="GE84" s="341" t="str">
        <f>IF(INDEX(tab_MinKomp[Specjalista BHP / BHP Spezialist],MATCH($B83,tab_MinKomp[[Stanowisko / Position ]:[Stanowisko / Position ]],0))="n/a","n/a",GE83-INDEX(tab_MinKomp[Specjalista BHP / BHP Spezialist],MATCH($B83,tab_MinKomp[[Stanowisko / Position ]:[Stanowisko / Position ]],0)))</f>
        <v>n/a</v>
      </c>
      <c r="GF84" s="341" t="str">
        <f>IF(INDEX(tab_MinKomp[Inspektor ochrony PPOŻ / Brandschutzinspektor],MATCH($B83,tab_MinKomp[[Stanowisko / Position ]:[Stanowisko / Position ]],0))="n/a","n/a",GD83-INDEX(tab_MinKomp[Inspektor ochrony PPOŻ / Brandschutzinspektor],MATCH($B83,tab_MinKomp[[Stanowisko / Position ]:[Stanowisko / Position ]],0)))</f>
        <v>n/a</v>
      </c>
      <c r="GG84" s="341" t="s">
        <v>387</v>
      </c>
      <c r="GH84" s="341" t="str">
        <f>IF(INDEX(tab_MinKomp[Inspektor ochrony PPOŻ / Brandschutzinspektor],MATCH($B83,tab_MinKomp[[Stanowisko / Position ]:[Stanowisko / Position ]],0))="n/a","n/a",GF83-INDEX(tab_MinKomp[Inspektor ochrony PPOŻ / Brandschutzinspektor],MATCH($B83,tab_MinKomp[[Stanowisko / Position ]:[Stanowisko / Position ]],0)))</f>
        <v>n/a</v>
      </c>
      <c r="GI84" s="341" t="s">
        <v>387</v>
      </c>
      <c r="GJ84" s="341" t="str">
        <f>IF(INDEX(tab_MinKomp[Inspektor ochrony PPOŻ / Brandschutzinspektor],MATCH($B83,tab_MinKomp[[Stanowisko / Position ]:[Stanowisko / Position ]],0))="n/a","n/a",#REF!-INDEX(tab_MinKomp[Inspektor ochrony PPOŻ / Brandschutzinspektor],MATCH($B83,tab_MinKomp[[Stanowisko / Position ]:[Stanowisko / Position ]],0)))</f>
        <v>n/a</v>
      </c>
      <c r="GK84" s="341" t="s">
        <v>387</v>
      </c>
      <c r="GL84" s="320">
        <f>SUM(H84:FO84)/(GL83-(SUM(H84:FO84)))</f>
        <v>-0.89655172413793105</v>
      </c>
      <c r="GM84" s="132"/>
    </row>
    <row r="85" spans="1:195" s="133" customFormat="1" ht="28.35" customHeight="1" x14ac:dyDescent="0.25">
      <c r="A85" s="138" t="s">
        <v>181</v>
      </c>
      <c r="B85" s="138" t="s">
        <v>199</v>
      </c>
      <c r="C85" s="138" t="s">
        <v>613</v>
      </c>
      <c r="D85" s="138">
        <v>1949</v>
      </c>
      <c r="E85" s="563" t="s">
        <v>716</v>
      </c>
      <c r="F85" s="307" t="s">
        <v>165</v>
      </c>
      <c r="G85" s="308">
        <v>2</v>
      </c>
      <c r="H85" s="308">
        <v>2</v>
      </c>
      <c r="I85" s="308">
        <v>2</v>
      </c>
      <c r="J85" s="308">
        <v>2</v>
      </c>
      <c r="K85" s="308">
        <v>2</v>
      </c>
      <c r="L85" s="308">
        <v>1</v>
      </c>
      <c r="M85" s="308" t="s">
        <v>176</v>
      </c>
      <c r="N85" s="308" t="s">
        <v>176</v>
      </c>
      <c r="O85" s="308">
        <v>1</v>
      </c>
      <c r="P85" s="308">
        <v>1</v>
      </c>
      <c r="Q85" s="308" t="s">
        <v>176</v>
      </c>
      <c r="R85" s="308" t="s">
        <v>176</v>
      </c>
      <c r="S85" s="308" t="s">
        <v>176</v>
      </c>
      <c r="T85" s="308" t="s">
        <v>176</v>
      </c>
      <c r="U85" s="308" t="s">
        <v>176</v>
      </c>
      <c r="V85" s="308" t="s">
        <v>176</v>
      </c>
      <c r="W85" s="308" t="s">
        <v>176</v>
      </c>
      <c r="X85" s="308" t="s">
        <v>176</v>
      </c>
      <c r="Y85" s="308" t="s">
        <v>176</v>
      </c>
      <c r="Z85" s="308" t="s">
        <v>176</v>
      </c>
      <c r="AA85" s="308" t="s">
        <v>176</v>
      </c>
      <c r="AB85" s="308">
        <v>2</v>
      </c>
      <c r="AC85" s="308">
        <v>1</v>
      </c>
      <c r="AD85" s="308">
        <v>0</v>
      </c>
      <c r="AE85" s="308">
        <v>1</v>
      </c>
      <c r="AF85" s="308">
        <v>1</v>
      </c>
      <c r="AG85" s="308" t="s">
        <v>176</v>
      </c>
      <c r="AH85" s="308" t="s">
        <v>176</v>
      </c>
      <c r="AI85" s="308" t="s">
        <v>176</v>
      </c>
      <c r="AJ85" s="308" t="s">
        <v>176</v>
      </c>
      <c r="AK85" s="308" t="s">
        <v>176</v>
      </c>
      <c r="AL85" s="308">
        <v>1</v>
      </c>
      <c r="AM85" s="308">
        <v>1</v>
      </c>
      <c r="AN85" s="308" t="s">
        <v>176</v>
      </c>
      <c r="AO85" s="308" t="s">
        <v>176</v>
      </c>
      <c r="AP85" s="308" t="s">
        <v>176</v>
      </c>
      <c r="AQ85" s="308" t="s">
        <v>176</v>
      </c>
      <c r="AR85" s="308" t="s">
        <v>176</v>
      </c>
      <c r="AS85" s="308" t="s">
        <v>176</v>
      </c>
      <c r="AT85" s="308" t="s">
        <v>176</v>
      </c>
      <c r="AU85" s="308" t="s">
        <v>176</v>
      </c>
      <c r="AV85" s="308">
        <v>2</v>
      </c>
      <c r="AW85" s="308">
        <v>1</v>
      </c>
      <c r="AX85" s="308"/>
      <c r="AY85" s="308" t="s">
        <v>176</v>
      </c>
      <c r="AZ85" s="308" t="s">
        <v>176</v>
      </c>
      <c r="BA85" s="308" t="s">
        <v>176</v>
      </c>
      <c r="BB85" s="308" t="s">
        <v>176</v>
      </c>
      <c r="BC85" s="308" t="s">
        <v>176</v>
      </c>
      <c r="BD85" s="308" t="s">
        <v>176</v>
      </c>
      <c r="BE85" s="308" t="s">
        <v>176</v>
      </c>
      <c r="BF85" s="308" t="s">
        <v>176</v>
      </c>
      <c r="BG85" s="308" t="s">
        <v>176</v>
      </c>
      <c r="BH85" s="308" t="s">
        <v>176</v>
      </c>
      <c r="BI85" s="308" t="s">
        <v>176</v>
      </c>
      <c r="BJ85" s="308" t="s">
        <v>176</v>
      </c>
      <c r="BK85" s="308" t="s">
        <v>176</v>
      </c>
      <c r="BL85" s="308" t="s">
        <v>176</v>
      </c>
      <c r="BM85" s="308" t="s">
        <v>176</v>
      </c>
      <c r="BN85" s="308" t="s">
        <v>176</v>
      </c>
      <c r="BO85" s="308">
        <v>1</v>
      </c>
      <c r="BP85" s="308">
        <v>1</v>
      </c>
      <c r="BQ85" s="308">
        <v>1</v>
      </c>
      <c r="BR85" s="308">
        <v>1</v>
      </c>
      <c r="BS85" s="308">
        <v>1</v>
      </c>
      <c r="BT85" s="308">
        <v>1</v>
      </c>
      <c r="BU85" s="308">
        <v>1</v>
      </c>
      <c r="BV85" s="308">
        <v>2</v>
      </c>
      <c r="BW85" s="308">
        <v>1</v>
      </c>
      <c r="BX85" s="308">
        <v>1</v>
      </c>
      <c r="BY85" s="308">
        <v>1</v>
      </c>
      <c r="BZ85" s="308" t="s">
        <v>176</v>
      </c>
      <c r="CA85" s="308" t="s">
        <v>176</v>
      </c>
      <c r="CB85" s="308" t="s">
        <v>176</v>
      </c>
      <c r="CC85" s="308" t="s">
        <v>176</v>
      </c>
      <c r="CD85" s="308" t="s">
        <v>176</v>
      </c>
      <c r="CE85" s="308" t="s">
        <v>176</v>
      </c>
      <c r="CF85" s="308" t="s">
        <v>176</v>
      </c>
      <c r="CG85" s="308" t="s">
        <v>176</v>
      </c>
      <c r="CH85" s="308" t="s">
        <v>176</v>
      </c>
      <c r="CI85" s="308">
        <v>2</v>
      </c>
      <c r="CJ85" s="308" t="s">
        <v>176</v>
      </c>
      <c r="CK85" s="308">
        <v>1</v>
      </c>
      <c r="CL85" s="308">
        <v>1</v>
      </c>
      <c r="CM85" s="308">
        <v>0</v>
      </c>
      <c r="CN85" s="308">
        <v>1</v>
      </c>
      <c r="CO85" s="308">
        <v>1</v>
      </c>
      <c r="CP85" s="308">
        <v>1</v>
      </c>
      <c r="CQ85" s="308" t="s">
        <v>176</v>
      </c>
      <c r="CR85" s="308"/>
      <c r="CS85" s="308" t="s">
        <v>176</v>
      </c>
      <c r="CT85" s="308" t="s">
        <v>176</v>
      </c>
      <c r="CU85" s="308">
        <v>2</v>
      </c>
      <c r="CV85" s="308">
        <v>1</v>
      </c>
      <c r="CW85" s="308" t="s">
        <v>176</v>
      </c>
      <c r="CX85" s="308" t="s">
        <v>176</v>
      </c>
      <c r="CY85" s="308" t="s">
        <v>176</v>
      </c>
      <c r="CZ85" s="308" t="s">
        <v>176</v>
      </c>
      <c r="DA85" s="308" t="s">
        <v>176</v>
      </c>
      <c r="DB85" s="308" t="s">
        <v>176</v>
      </c>
      <c r="DC85" s="308" t="s">
        <v>176</v>
      </c>
      <c r="DD85" s="308" t="s">
        <v>176</v>
      </c>
      <c r="DE85" s="308" t="s">
        <v>176</v>
      </c>
      <c r="DF85" s="308" t="s">
        <v>176</v>
      </c>
      <c r="DG85" s="308" t="s">
        <v>176</v>
      </c>
      <c r="DH85" s="308" t="s">
        <v>176</v>
      </c>
      <c r="DI85" s="308" t="s">
        <v>176</v>
      </c>
      <c r="DJ85" s="308" t="s">
        <v>176</v>
      </c>
      <c r="DK85" s="308" t="s">
        <v>176</v>
      </c>
      <c r="DL85" s="308" t="s">
        <v>176</v>
      </c>
      <c r="DM85" s="308" t="s">
        <v>176</v>
      </c>
      <c r="DN85" s="308" t="s">
        <v>176</v>
      </c>
      <c r="DO85" s="308" t="s">
        <v>176</v>
      </c>
      <c r="DP85" s="308" t="s">
        <v>176</v>
      </c>
      <c r="DQ85" s="308" t="s">
        <v>176</v>
      </c>
      <c r="DR85" s="308" t="s">
        <v>176</v>
      </c>
      <c r="DS85" s="308" t="s">
        <v>176</v>
      </c>
      <c r="DT85" s="308" t="s">
        <v>176</v>
      </c>
      <c r="DU85" s="308"/>
      <c r="DV85" s="306" t="s">
        <v>176</v>
      </c>
      <c r="DW85" s="306" t="s">
        <v>176</v>
      </c>
      <c r="DX85" s="306" t="s">
        <v>176</v>
      </c>
      <c r="DY85" s="308">
        <v>0</v>
      </c>
      <c r="DZ85" s="308">
        <v>0</v>
      </c>
      <c r="EA85" s="308">
        <v>0</v>
      </c>
      <c r="EB85" s="308">
        <v>0</v>
      </c>
      <c r="EC85" s="308">
        <v>0</v>
      </c>
      <c r="ED85" s="308">
        <v>0</v>
      </c>
      <c r="EE85" s="308">
        <v>0</v>
      </c>
      <c r="EF85" s="308">
        <v>2</v>
      </c>
      <c r="EG85" s="308">
        <v>2</v>
      </c>
      <c r="EH85" s="308">
        <v>2</v>
      </c>
      <c r="EI85" s="308">
        <v>1</v>
      </c>
      <c r="EJ85" s="308">
        <v>2</v>
      </c>
      <c r="EK85" s="308">
        <v>3</v>
      </c>
      <c r="EL85" s="308">
        <v>1</v>
      </c>
      <c r="EM85" s="308">
        <v>3</v>
      </c>
      <c r="EN85" s="308">
        <v>2</v>
      </c>
      <c r="EO85" s="308">
        <v>2</v>
      </c>
      <c r="EP85" s="308" t="s">
        <v>176</v>
      </c>
      <c r="EQ85" s="308" t="s">
        <v>176</v>
      </c>
      <c r="ER85" s="308" t="s">
        <v>176</v>
      </c>
      <c r="ES85" s="308" t="s">
        <v>176</v>
      </c>
      <c r="ET85" s="308" t="s">
        <v>176</v>
      </c>
      <c r="EU85" s="308" t="s">
        <v>176</v>
      </c>
      <c r="EV85" s="308" t="s">
        <v>176</v>
      </c>
      <c r="EW85" s="308" t="s">
        <v>176</v>
      </c>
      <c r="EX85" s="308" t="s">
        <v>176</v>
      </c>
      <c r="EY85" s="308">
        <v>2</v>
      </c>
      <c r="EZ85" s="308">
        <v>2</v>
      </c>
      <c r="FA85" s="308">
        <v>2</v>
      </c>
      <c r="FB85" s="309">
        <v>1</v>
      </c>
      <c r="FC85" s="309" t="s">
        <v>176</v>
      </c>
      <c r="FD85" s="308">
        <v>1</v>
      </c>
      <c r="FE85" s="308">
        <v>1</v>
      </c>
      <c r="FF85" s="308">
        <v>1</v>
      </c>
      <c r="FG85" s="308">
        <v>1</v>
      </c>
      <c r="FH85" s="308">
        <v>2</v>
      </c>
      <c r="FI85" s="308">
        <v>2</v>
      </c>
      <c r="FJ85" s="308">
        <v>3</v>
      </c>
      <c r="FK85" s="308">
        <v>3</v>
      </c>
      <c r="FL85" s="308">
        <v>2</v>
      </c>
      <c r="FM85" s="308">
        <v>2</v>
      </c>
      <c r="FN85" s="308">
        <v>2</v>
      </c>
      <c r="FO85" s="308">
        <v>2</v>
      </c>
      <c r="FP85" s="308" t="s">
        <v>176</v>
      </c>
      <c r="FQ85" s="308" t="s">
        <v>176</v>
      </c>
      <c r="FR85" s="308" t="s">
        <v>176</v>
      </c>
      <c r="FS85" s="308" t="s">
        <v>176</v>
      </c>
      <c r="FT85" s="308" t="s">
        <v>176</v>
      </c>
      <c r="FU85" s="308" t="s">
        <v>176</v>
      </c>
      <c r="FV85" s="308" t="s">
        <v>176</v>
      </c>
      <c r="FW85" s="308" t="s">
        <v>176</v>
      </c>
      <c r="FX85" s="308" t="s">
        <v>176</v>
      </c>
      <c r="FY85" s="308" t="s">
        <v>176</v>
      </c>
      <c r="FZ85" s="308" t="s">
        <v>176</v>
      </c>
      <c r="GA85" s="308" t="s">
        <v>176</v>
      </c>
      <c r="GB85" s="308" t="s">
        <v>176</v>
      </c>
      <c r="GC85" s="308" t="s">
        <v>176</v>
      </c>
      <c r="GD85" s="308" t="s">
        <v>176</v>
      </c>
      <c r="GE85" s="308" t="s">
        <v>176</v>
      </c>
      <c r="GF85" s="308" t="s">
        <v>176</v>
      </c>
      <c r="GG85" s="308" t="s">
        <v>176</v>
      </c>
      <c r="GH85" s="308" t="s">
        <v>176</v>
      </c>
      <c r="GI85" s="308" t="s">
        <v>176</v>
      </c>
      <c r="GJ85" s="308" t="s">
        <v>176</v>
      </c>
      <c r="GK85" s="308" t="s">
        <v>176</v>
      </c>
      <c r="GL85" s="329">
        <f>SUM(G85:FP85)</f>
        <v>94</v>
      </c>
      <c r="GM85" s="132"/>
    </row>
    <row r="86" spans="1:195" s="133" customFormat="1" ht="28.35" customHeight="1" thickBot="1" x14ac:dyDescent="0.3">
      <c r="A86" s="138" t="s">
        <v>181</v>
      </c>
      <c r="B86" s="138" t="s">
        <v>199</v>
      </c>
      <c r="C86" s="138" t="s">
        <v>613</v>
      </c>
      <c r="D86" s="138">
        <v>1949</v>
      </c>
      <c r="E86" s="564"/>
      <c r="F86" s="312" t="s">
        <v>166</v>
      </c>
      <c r="G86" s="341">
        <f>IF(INDEX(tab_MinKomp[Przepisy BHP / BHP Vorschriften],MATCH($B85,tab_MinKomp[[Stanowisko / Position ]:[Stanowisko / Position ]],0))="n/a","n/a",G85-INDEX(tab_MinKomp[Przepisy BHP / BHP Vorschriften],MATCH($B85,tab_MinKomp[[Stanowisko / Position ]:[Stanowisko / Position ]],0)))</f>
        <v>0</v>
      </c>
      <c r="H86" s="341">
        <f>IF(INDEX(tab_MinKomp[Przepisy PPOŻ / Brandschutzbestimmungen],MATCH($B85,tab_MinKomp[[Stanowisko / Position ]:[Stanowisko / Position ]],0))="n/a","n/a",H85-INDEX(tab_MinKomp[Przepisy PPOŻ / Brandschutzbestimmungen],MATCH($B85,tab_MinKomp[[Stanowisko / Position ]:[Stanowisko / Position ]],0)))</f>
        <v>0</v>
      </c>
      <c r="I86" s="341">
        <f>IF(INDEX(tab_MinKomp[Ryzyko zawodowe na stanowiskach pracyv/ Berufliche Risiken an Arbeitsstellen],MATCH($B85,tab_MinKomp[[Stanowisko / Position ]:[Stanowisko / Position ]],0))="n/a","n/a",I85-INDEX(tab_MinKomp[Ryzyko zawodowe na stanowiskach pracyv/ Berufliche Risiken an Arbeitsstellen],MATCH($B85,tab_MinKomp[[Stanowisko / Position ]:[Stanowisko / Position ]],0)))</f>
        <v>0</v>
      </c>
      <c r="J86" s="341">
        <f>IF(INDEX(tab_MinKomp[Gospodarka substancjami niebezpiecznymi / Gefahrstoffmanagement],MATCH($B85,tab_MinKomp[[Stanowisko / Position ]:[Stanowisko / Position ]],0))="n/a","n/a",J85-INDEX(tab_MinKomp[Gospodarka substancjami niebezpiecznymi / Gefahrstoffmanagement],MATCH($B85,tab_MinKomp[[Stanowisko / Position ]:[Stanowisko / Position ]],0)))</f>
        <v>0</v>
      </c>
      <c r="K86" s="341">
        <f>IF(INDEX(tab_MinKomp[Gospodarka odpadami / Abfallwirtschaft],MATCH($B85,tab_MinKomp[[Stanowisko / Position ]:[Stanowisko / Position ]],0))="n/a","n/a",K85-INDEX(tab_MinKomp[Gospodarka odpadami / Abfallwirtschaft],MATCH($B85,tab_MinKomp[[Stanowisko / Position ]:[Stanowisko / Position ]],0)))</f>
        <v>0</v>
      </c>
      <c r="L86" s="341">
        <f>IF(INDEX(tab_MinKomp[Przepisy kodeksu pracy / Bestimmungen des Arbeitsgesetzes],MATCH($B85,tab_MinKomp[[Stanowisko / Position ]:[Stanowisko / Position ]],0))="n/a","n/a",L85-INDEX(tab_MinKomp[Przepisy kodeksu pracy / Bestimmungen des Arbeitsgesetzes],MATCH($B85,tab_MinKomp[[Stanowisko / Position ]:[Stanowisko / Position ]],0)))</f>
        <v>0</v>
      </c>
      <c r="M86" s="341" t="str">
        <f>IF(INDEX(tab_MinKomp[Przepisy o ub.społ. ZUS  / Sozialversicherungsvorschriften],MATCH($B85,tab_MinKomp[[Stanowisko / Position ]:[Stanowisko / Position ]],0))="n/a","n/a",M85-INDEX(tab_MinKomp[Przepisy o ub.społ. ZUS  / Sozialversicherungsvorschriften],MATCH($B85,tab_MinKomp[[Stanowisko / Position ]:[Stanowisko / Position ]],0)))</f>
        <v>n/a</v>
      </c>
      <c r="N86" s="341" t="str">
        <f>IF(INDEX(tab_MinKomp[PRZEPISY O PDOF /persönlich Einkommensteuergesetz ],MATCH($B85,tab_MinKomp[[Stanowisko / Position ]:[Stanowisko / Position ]],0))="n/a","n/a",N85-INDEX(tab_MinKomp[PRZEPISY O PDOF /persönlich Einkommensteuergesetz ],MATCH($B85,tab_MinKomp[[Stanowisko / Position ]:[Stanowisko / Position ]],0)))</f>
        <v>n/a</v>
      </c>
      <c r="O86" s="341">
        <f>IF(INDEX(tab_MinKomp[Regulamin pracy / Arbeitsordnung],MATCH($B85,tab_MinKomp[[Stanowisko / Position ]:[Stanowisko / Position ]],0))="n/a","n/a",O85-INDEX(tab_MinKomp[Regulamin pracy / Arbeitsordnung],MATCH($B85,tab_MinKomp[[Stanowisko / Position ]:[Stanowisko / Position ]],0)))</f>
        <v>0</v>
      </c>
      <c r="P86" s="341">
        <f>IF(INDEX(tab_MinKomp[Regulamin wynagradzania / Vergütungsordnung],MATCH($B85,tab_MinKomp[[Stanowisko / Position ]:[Stanowisko / Position ]],0))="n/a","n/a",P85-INDEX(tab_MinKomp[Regulamin wynagradzania / Vergütungsordnung],MATCH($B85,tab_MinKomp[[Stanowisko / Position ]:[Stanowisko / Position ]],0)))</f>
        <v>0</v>
      </c>
      <c r="Q86" s="341" t="str">
        <f>IF(INDEX(tab_MinKomp[System R2PŁATNIK PRO: Płace / Lohnabrechnung],MATCH($B85,tab_MinKomp[[Stanowisko / Position ]:[Stanowisko / Position ]],0))="n/a","n/a",Q85-INDEX(tab_MinKomp[System R2PŁATNIK PRO: Płace / Lohnabrechnung],MATCH($B85,tab_MinKomp[[Stanowisko / Position ]:[Stanowisko / Position ]],0)))</f>
        <v>n/a</v>
      </c>
      <c r="R86" s="341" t="str">
        <f>IF(INDEX(tab_MinKomp[SystemR2PŁATNIK PRO: KADRY / Personaldaten],MATCH($B85,tab_MinKomp[[Stanowisko / Position ]:[Stanowisko / Position ]],0))="n/a","n/a",R85-INDEX(tab_MinKomp[SystemR2PŁATNIK PRO: KADRY / Personaldaten],MATCH($B85,tab_MinKomp[[Stanowisko / Position ]:[Stanowisko / Position ]],0)))</f>
        <v>n/a</v>
      </c>
      <c r="S86" s="341" t="str">
        <f>IF(INDEX(tab_MinKomp[SYSTEM R2PŁATNIK PRO: zarządzanie pracownikami / Arbeitsverwaltung],MATCH($B85,tab_MinKomp[[Stanowisko / Position ]:[Stanowisko / Position ]],0))="n/a","n/a",S85-INDEX(tab_MinKomp[SYSTEM R2PŁATNIK PRO: zarządzanie pracownikami / Arbeitsverwaltung],MATCH($B85,tab_MinKomp[[Stanowisko / Position ]:[Stanowisko / Position ]],0)))</f>
        <v>n/a</v>
      </c>
      <c r="T86" s="341" t="str">
        <f>IF(INDEX(tab_MinKomp[Doradztwo, wsparcie personalne / Personalberatung und Unterstützung],MATCH($B85,tab_MinKomp[[Stanowisko / Position ]:[Stanowisko / Position ]],0))="n/a","n/a",T85-INDEX(tab_MinKomp[Doradztwo, wsparcie personalne / Personalberatung und Unterstützung],MATCH($B85,tab_MinKomp[[Stanowisko / Position ]:[Stanowisko / Position ]],0)))</f>
        <v>n/a</v>
      </c>
      <c r="U86" s="341" t="str">
        <f>IF(INDEX(tab_MinKomp[Przepisy o podatku VAT / MwSt.- Gesetz],MATCH($B85,tab_MinKomp[[Stanowisko / Position ]:[Stanowisko / Position ]],0))="n/a","n/a",U85-INDEX(tab_MinKomp[Przepisy o podatku VAT / MwSt.- Gesetz],MATCH($B85,tab_MinKomp[[Stanowisko / Position ]:[Stanowisko / Position ]],0)))</f>
        <v>n/a</v>
      </c>
      <c r="V86" s="341" t="str">
        <f>IF(INDEX(tab_MinKomp[PrzepisyPDOP / geschäftlich Einkommensteuergesetz],MATCH($B85,tab_MinKomp[[Stanowisko / Position ]:[Stanowisko / Position ]],0))="n/a","n/a",V85-INDEX(tab_MinKomp[PrzepisyPDOP / geschäftlich Einkommensteuergesetz],MATCH($B85,tab_MinKomp[[Stanowisko / Position ]:[Stanowisko / Position ]],0)))</f>
        <v>n/a</v>
      </c>
      <c r="W86" s="341" t="str">
        <f>IF(INDEX(tab_MinKomp[System BAAN / FINANSE (FIBU)],MATCH($B85,tab_MinKomp[[Stanowisko / Position ]:[Stanowisko / Position ]],0))="n/a","n/a",W85-INDEX(tab_MinKomp[System BAAN / FINANSE (FIBU)],MATCH($B85,tab_MinKomp[[Stanowisko / Position ]:[Stanowisko / Position ]],0)))</f>
        <v>n/a</v>
      </c>
      <c r="X86" s="341" t="str">
        <f>IF(INDEX(tab_MinKomp[Systemy pomocnicze / Hilfssysteme(STOCKPROGRAM, KALK2000 etc.)],MATCH($B85,tab_MinKomp[[Stanowisko / Position ]:[Stanowisko / Position ]],0))="n/a","n/a",X85-INDEX(tab_MinKomp[Systemy pomocnicze / Hilfssysteme(STOCKPROGRAM, KALK2000 etc.)],MATCH($B85,tab_MinKomp[[Stanowisko / Position ]:[Stanowisko / Position ]],0)))</f>
        <v>n/a</v>
      </c>
      <c r="Y86" s="341" t="str">
        <f>IF(INDEX(tab_MinKomp[Polityka rachunkowości / Buchführungspolitik],MATCH($B85,tab_MinKomp[[Stanowisko / Position ]:[Stanowisko / Position ]],0))="n/a","n/a",Y85-INDEX(tab_MinKomp[Polityka rachunkowości / Buchführungspolitik],MATCH($B85,tab_MinKomp[[Stanowisko / Position ]:[Stanowisko / Position ]],0)))</f>
        <v>n/a</v>
      </c>
      <c r="Z86" s="341" t="str">
        <f>IF(INDEX(tab_MinKomp[Ustawa o rachunkowości / Rechnungslegungsgesetz],MATCH($B85,tab_MinKomp[[Stanowisko / Position ]:[Stanowisko / Position ]],0))="n/a","n/a",Z85-INDEX(tab_MinKomp[Ustawa o rachunkowości / Rechnungslegungsgesetz],MATCH($B85,tab_MinKomp[[Stanowisko / Position ]:[Stanowisko / Position ]],0)))</f>
        <v>n/a</v>
      </c>
      <c r="AA86" s="341" t="str">
        <f>IF(INDEX(tab_MinKomp[WORKFLOW - TS-100],MATCH($B85,tab_MinKomp[[Stanowisko / Position ]:[Stanowisko / Position ]],0))="n/a","n/a",AA85-INDEX(tab_MinKomp[WORKFLOW - TS-100],MATCH($B85,tab_MinKomp[[Stanowisko / Position ]:[Stanowisko / Position ]],0)))</f>
        <v>n/a</v>
      </c>
      <c r="AB86" s="341">
        <f>IF(INDEX(tab_MinKomp[WORKFLOW - SFMS],MATCH($B85,tab_MinKomp[[Stanowisko / Position ]:[Stanowisko / Position ]],0))="n/a","n/a",AB85-INDEX(tab_MinKomp[WORKFLOW - SFMS],MATCH($B85,tab_MinKomp[[Stanowisko / Position ]:[Stanowisko / Position ]],0)))</f>
        <v>0</v>
      </c>
      <c r="AC86" s="341">
        <f>IF(INDEX(tab_MinKomp[System ISO 9001:2015],MATCH($B85,tab_MinKomp[[Stanowisko / Position ]:[Stanowisko / Position ]],0))="n/a","n/a",AC85-INDEX(tab_MinKomp[System ISO 9001:2015],MATCH($B85,tab_MinKomp[[Stanowisko / Position ]:[Stanowisko / Position ]],0)))</f>
        <v>0</v>
      </c>
      <c r="AD86" s="341">
        <f>IF(INDEX(tab_MinKomp[System IATF 16949:2016],MATCH($B85,tab_MinKomp[[Stanowisko / Position ]:[Stanowisko / Position ]],0))="n/a","n/a",AD85-INDEX(tab_MinKomp[System IATF 16949:2016],MATCH($B85,tab_MinKomp[[Stanowisko / Position ]:[Stanowisko / Position ]],0)))</f>
        <v>-1</v>
      </c>
      <c r="AE86" s="341">
        <f>IF(INDEX(tab_MinKomp[System ISO 14001:2015],MATCH($B85,tab_MinKomp[[Stanowisko / Position ]:[Stanowisko / Position ]],0))="n/a","n/a",AE85-INDEX(tab_MinKomp[System ISO 14001:2015],MATCH($B85,tab_MinKomp[[Stanowisko / Position ]:[Stanowisko / Position ]],0)))</f>
        <v>0</v>
      </c>
      <c r="AF86" s="341">
        <f>IF(INDEX(tab_MinKomp[System PN-N 18001:2004 / ISO 45001:2018],MATCH($B85,tab_MinKomp[[Stanowisko / Position ]:[Stanowisko / Position ]],0))="n/a","n/a",AF85-INDEX(tab_MinKomp[System PN-N 18001:2004 / ISO 45001:2018],MATCH($B85,tab_MinKomp[[Stanowisko / Position ]:[Stanowisko / Position ]],0)))</f>
        <v>0</v>
      </c>
      <c r="AG86" s="341" t="str">
        <f>IF(INDEX(tab_MinKomp[Wymagania VDA 6.3 Process / Forderungen],MATCH($B85,tab_MinKomp[[Stanowisko / Position ]:[Stanowisko / Position ]],0))="n/a","n/a",AG85-INDEX(tab_MinKomp[Wymagania VDA 6.3 Process / Forderungen],MATCH($B85,tab_MinKomp[[Stanowisko / Position ]:[Stanowisko / Position ]],0)))</f>
        <v>n/a</v>
      </c>
      <c r="AH86" s="341" t="str">
        <f>IF(INDEX(tab_MinKomp[Wymagania VDA 6.5 Product / Forderungen],MATCH($B85,tab_MinKomp[[Stanowisko / Position ]:[Stanowisko / Position ]],0))="n/a","n/a",AH85-INDEX(tab_MinKomp[Wymagania VDA 6.5 Product / Forderungen],MATCH($B85,tab_MinKomp[[Stanowisko / Position ]:[Stanowisko / Position ]],0)))</f>
        <v>n/a</v>
      </c>
      <c r="AI86" s="341" t="str">
        <f>IF(INDEX(tab_MinKomp[PSCR (VW Product Safety &amp; Conformity Representative)],MATCH($B85,tab_MinKomp[[Stanowisko / Position ]:[Stanowisko / Position ]],0))="n/a","n/a",AI85-INDEX(tab_MinKomp[PSCR (VW Product Safety &amp; Conformity Representative)],MATCH($B85,tab_MinKomp[[Stanowisko / Position ]:[Stanowisko / Position ]],0)))</f>
        <v>n/a</v>
      </c>
      <c r="AJ86" s="341" t="str">
        <f>IF(INDEX(tab_MinKomp[Auditor systemu ISO 17025:2018],MATCH($B85,tab_MinKomp[[Stanowisko / Position ]:[Stanowisko / Position ]],0))="n/a","n/a",AJ85-INDEX(tab_MinKomp[Auditor systemu ISO 17025:2018],MATCH($B85,tab_MinKomp[[Stanowisko / Position ]:[Stanowisko / Position ]],0)))</f>
        <v>n/a</v>
      </c>
      <c r="AK86" s="341" t="str">
        <f>IF(INDEX(tab_MinKomp[Pełnomocnik systemu / Systemvertreter],MATCH($B85,tab_MinKomp[[Stanowisko / Position ]:[Stanowisko / Position ]],0))="n/a","n/a",AK85-INDEX(tab_MinKomp[Pełnomocnik systemu / Systemvertreter],MATCH($B85,tab_MinKomp[[Stanowisko / Position ]:[Stanowisko / Position ]],0)))</f>
        <v>n/a</v>
      </c>
      <c r="AL86" s="341">
        <f>IF(INDEX(tab_MinKomp[Polityka Etyczna - Compliance],MATCH($B85,tab_MinKomp[[Stanowisko / Position ]:[Stanowisko / Position ]],0))="n/a","n/a",AL85-INDEX(tab_MinKomp[Polityka Etyczna - Compliance],MATCH($B85,tab_MinKomp[[Stanowisko / Position ]:[Stanowisko / Position ]],0)))</f>
        <v>0</v>
      </c>
      <c r="AM86" s="341">
        <f>IF(INDEX(tab_MinKomp[WDRAŻANIE NOWYCH PROJEKTÓW/ PROCEDURA CTM],MATCH($B85,tab_MinKomp[[Stanowisko / Position ]:[Stanowisko / Position ]],0))="n/a","n/a",AM85-INDEX(tab_MinKomp[WDRAŻANIE NOWYCH PROJEKTÓW/ PROCEDURA CTM],MATCH($B85,tab_MinKomp[[Stanowisko / Position ]:[Stanowisko / Position ]],0)))</f>
        <v>0</v>
      </c>
      <c r="AN86" s="341" t="str">
        <f>IF(INDEX(tab_MinKomp[KAMIENIE MILOWE MSL/PIFF],MATCH($B85,tab_MinKomp[[Stanowisko / Position ]:[Stanowisko / Position ]],0))="n/a","n/a",AN85-INDEX(tab_MinKomp[KAMIENIE MILOWE MSL/PIFF],MATCH($B85,tab_MinKomp[[Stanowisko / Position ]:[Stanowisko / Position ]],0)))</f>
        <v>n/a</v>
      </c>
      <c r="AO86" s="341" t="str">
        <f>IF(INDEX(tab_MinKomp[CP],MATCH($B85,tab_MinKomp[[Stanowisko / Position ]:[Stanowisko / Position ]],0))="n/a","n/a",AO85-INDEX(tab_MinKomp[CP],MATCH($B85,tab_MinKomp[[Stanowisko / Position ]:[Stanowisko / Position ]],0)))</f>
        <v>n/a</v>
      </c>
      <c r="AP86" s="341" t="str">
        <f>IF(INDEX(tab_MinKomp[FMEA],MATCH($B85,tab_MinKomp[[Stanowisko / Position ]:[Stanowisko / Position ]],0))="n/a","n/a",AP85-INDEX(tab_MinKomp[FMEA],MATCH($B85,tab_MinKomp[[Stanowisko / Position ]:[Stanowisko / Position ]],0)))</f>
        <v>n/a</v>
      </c>
      <c r="AQ86" s="341" t="str">
        <f>IF(INDEX(tab_MinKomp[FLOW CHART],MATCH($B85,tab_MinKomp[[Stanowisko / Position ]:[Stanowisko / Position ]],0))="n/a","n/a",AQ85-INDEX(tab_MinKomp[FLOW CHART],MATCH($B85,tab_MinKomp[[Stanowisko / Position ]:[Stanowisko / Position ]],0)))</f>
        <v>n/a</v>
      </c>
      <c r="AR86" s="341" t="str">
        <f>IF(INDEX(tab_MinKomp[APQP],MATCH($B85,tab_MinKomp[[Stanowisko / Position ]:[Stanowisko / Position ]],0))="n/a","n/a",AR85-INDEX(tab_MinKomp[APQP],MATCH($B85,tab_MinKomp[[Stanowisko / Position ]:[Stanowisko / Position ]],0)))</f>
        <v>n/a</v>
      </c>
      <c r="AS86" s="341" t="str">
        <f>IF(INDEX(tab_MinKomp[MSA],MATCH($B85,tab_MinKomp[[Stanowisko / Position ]:[Stanowisko / Position ]],0))="n/a","n/a",AS85-INDEX(tab_MinKomp[MSA],MATCH($B85,tab_MinKomp[[Stanowisko / Position ]:[Stanowisko / Position ]],0)))</f>
        <v>n/a</v>
      </c>
      <c r="AT86" s="341" t="str">
        <f>IF(INDEX(tab_MinKomp[SPC],MATCH($B85,tab_MinKomp[[Stanowisko / Position ]:[Stanowisko / Position ]],0))="n/a","n/a",AT85-INDEX(tab_MinKomp[SPC],MATCH($B85,tab_MinKomp[[Stanowisko / Position ]:[Stanowisko / Position ]],0)))</f>
        <v>n/a</v>
      </c>
      <c r="AU86" s="341" t="str">
        <f>IF(INDEX(tab_MinKomp[CSR (SPECYFICZNE WYMAGANIA KLIENTA)],MATCH($B85,tab_MinKomp[[Stanowisko / Position ]:[Stanowisko / Position ]],0))="n/a","n/a",AU85-INDEX(tab_MinKomp[CSR (SPECYFICZNE WYMAGANIA KLIENTA)],MATCH($B85,tab_MinKomp[[Stanowisko / Position ]:[Stanowisko / Position ]],0)))</f>
        <v>n/a</v>
      </c>
      <c r="AV86" s="341">
        <f>IF(INDEX(tab_MinKomp[5S],MATCH($B85,tab_MinKomp[[Stanowisko / Position ]:[Stanowisko / Position ]],0))="n/a","n/a",AV85-INDEX(tab_MinKomp[5S],MATCH($B85,tab_MinKomp[[Stanowisko / Position ]:[Stanowisko / Position ]],0)))</f>
        <v>0</v>
      </c>
      <c r="AW86" s="341">
        <f>IF(INDEX(tab_MinKomp[LEAN MANAGEMENT],MATCH($B85,tab_MinKomp[[Stanowisko / Position ]:[Stanowisko / Position ]],0))="n/a","n/a",AW85-INDEX(tab_MinKomp[LEAN MANAGEMENT],MATCH($B85,tab_MinKomp[[Stanowisko / Position ]:[Stanowisko / Position ]],0)))</f>
        <v>0</v>
      </c>
      <c r="AX86" s="341">
        <f>IF(INDEX(tab_MinKomp[5R],MATCH($B85,tab_MinKomp[[Stanowisko / Position ]:[Stanowisko / Position ]],0))="n/a","n/a",AX85-INDEX(tab_MinKomp[5R],MATCH($B85,tab_MinKomp[[Stanowisko / Position ]:[Stanowisko / Position ]],0)))</f>
        <v>-1</v>
      </c>
      <c r="AY86" s="341" t="str">
        <f>IF(INDEX(tab_MinKomp[Six Sigma],MATCH($B85,tab_MinKomp[[Stanowisko / Position ]:[Stanowisko / Position ]],0))="n/a","n/a",AY85-INDEX(tab_MinKomp[Six Sigma],MATCH($B85,tab_MinKomp[[Stanowisko / Position ]:[Stanowisko / Position ]],0)))</f>
        <v>n/a</v>
      </c>
      <c r="AZ86" s="341" t="str">
        <f>IF(INDEX(tab_MinKomp[System BAAN / Distribution &amp; Supply Chain],MATCH($B85,tab_MinKomp[[Stanowisko / Position ]:[Stanowisko / Position ]],0))="n/a","n/a",AZ85-INDEX(tab_MinKomp[System BAAN / Distribution &amp; Supply Chain],MATCH($B85,tab_MinKomp[[Stanowisko / Position ]:[Stanowisko / Position ]],0)))</f>
        <v>n/a</v>
      </c>
      <c r="BA86" s="341" t="str">
        <f>IF(INDEX(tab_MinKomp[Gospodarka magazynowa / Lagerverwaltung],MATCH($B85,tab_MinKomp[[Stanowisko / Position ]:[Stanowisko / Position ]],0))="n/a","n/a",BA85-INDEX(tab_MinKomp[Gospodarka magazynowa / Lagerverwaltung],MATCH($B85,tab_MinKomp[[Stanowisko / Position ]:[Stanowisko / Position ]],0)))</f>
        <v>n/a</v>
      </c>
      <c r="BB86" s="341" t="str">
        <f>IF(INDEX(tab_MinKomp[Inwentaryzacja - organizacja i przebieg / Inventurprozess],MATCH($B85,tab_MinKomp[[Stanowisko / Position ]:[Stanowisko / Position ]],0))="n/a","n/a",BB85-INDEX(tab_MinKomp[Inwentaryzacja - organizacja i przebieg / Inventurprozess],MATCH($B85,tab_MinKomp[[Stanowisko / Position ]:[Stanowisko / Position ]],0)))</f>
        <v>n/a</v>
      </c>
      <c r="BC86" s="341" t="str">
        <f>IF(INDEX(tab_MinKomp[Organizacja dostaw / Versorgungsorganisation],MATCH($B85,tab_MinKomp[[Stanowisko / Position ]:[Stanowisko / Position ]],0))="n/a","n/a",BC85-INDEX(tab_MinKomp[Organizacja dostaw / Versorgungsorganisation],MATCH($B85,tab_MinKomp[[Stanowisko / Position ]:[Stanowisko / Position ]],0)))</f>
        <v>n/a</v>
      </c>
      <c r="BD86" s="341" t="str">
        <f>IF(INDEX(tab_MinKomp[Organizacja wysyłek / Organisation von Lieferungen],MATCH($B85,tab_MinKomp[[Stanowisko / Position ]:[Stanowisko / Position ]],0))="n/a","n/a",BD85-INDEX(tab_MinKomp[Organizacja wysyłek / Organisation von Lieferungen],MATCH($B85,tab_MinKomp[[Stanowisko / Position ]:[Stanowisko / Position ]],0)))</f>
        <v>n/a</v>
      </c>
      <c r="BE86" s="341" t="str">
        <f>IF(INDEX(tab_MinKomp[Analiza magazynowa - Program Polen.mdb / Inventuranalyse],MATCH($B85,tab_MinKomp[[Stanowisko / Position ]:[Stanowisko / Position ]],0))="n/a","n/a",BE85-INDEX(tab_MinKomp[Analiza magazynowa - Program Polen.mdb / Inventuranalyse],MATCH($B85,tab_MinKomp[[Stanowisko / Position ]:[Stanowisko / Position ]],0)))</f>
        <v>n/a</v>
      </c>
      <c r="BF86" s="341" t="str">
        <f>IF(INDEX(tab_MinKomp[MMOG (Materials Management Operations Guidelines)],MATCH($B85,tab_MinKomp[[Stanowisko / Position ]:[Stanowisko / Position ]],0))="n/a","n/a",BF85-INDEX(tab_MinKomp[MMOG (Materials Management Operations Guidelines)],MATCH($B85,tab_MinKomp[[Stanowisko / Position ]:[Stanowisko / Position ]],0)))</f>
        <v>n/a</v>
      </c>
      <c r="BG86" s="341" t="str">
        <f>IF(INDEX(tab_MinKomp[DETC],MATCH($B85,tab_MinKomp[[Stanowisko / Position ]:[Stanowisko / Position ]],0))="n/a","n/a",BG85-INDEX(tab_MinKomp[DETC],MATCH($B85,tab_MinKomp[[Stanowisko / Position ]:[Stanowisko / Position ]],0)))</f>
        <v>n/a</v>
      </c>
      <c r="BH86" s="341" t="str">
        <f>IF(INDEX(tab_MinKomp[GPP],MATCH($B85,tab_MinKomp[[Stanowisko / Position ]:[Stanowisko / Position ]],0))="n/a","n/a",BH85-INDEX(tab_MinKomp[GPP],MATCH($B85,tab_MinKomp[[Stanowisko / Position ]:[Stanowisko / Position ]],0)))</f>
        <v>n/a</v>
      </c>
      <c r="BI86" s="341" t="str">
        <f>IF(INDEX(tab_MinKomp[AIAG (Automotive Industry Action Group)],MATCH($B85,tab_MinKomp[[Stanowisko / Position ]:[Stanowisko / Position ]],0))="n/a","n/a",BI85-INDEX(tab_MinKomp[AIAG (Automotive Industry Action Group)],MATCH($B85,tab_MinKomp[[Stanowisko / Position ]:[Stanowisko / Position ]],0)))</f>
        <v>n/a</v>
      </c>
      <c r="BJ86" s="341" t="str">
        <f>IF(INDEX(tab_MinKomp[Super-G disputes],MATCH($B85,tab_MinKomp[[Stanowisko / Position ]:[Stanowisko / Position ]],0))="n/a","n/a",BJ85-INDEX(tab_MinKomp[Super-G disputes],MATCH($B85,tab_MinKomp[[Stanowisko / Position ]:[Stanowisko / Position ]],0)))</f>
        <v>n/a</v>
      </c>
      <c r="BK86" s="341" t="str">
        <f>IF(INDEX(tab_MinKomp[CMMS3/eDDL (Direct Data Link)],MATCH($B85,tab_MinKomp[[Stanowisko / Position ]:[Stanowisko / Position ]],0))="n/a","n/a",BK85-INDEX(tab_MinKomp[CMMS3/eDDL (Direct Data Link)],MATCH($B85,tab_MinKomp[[Stanowisko / Position ]:[Stanowisko / Position ]],0)))</f>
        <v>n/a</v>
      </c>
      <c r="BL86" s="341" t="str">
        <f>IF(INDEX(tab_MinKomp[MP&amp;L (Material Planning and Logistics)],MATCH($B85,tab_MinKomp[[Stanowisko / Position ]:[Stanowisko / Position ]],0))="n/a","n/a",BL85-INDEX(tab_MinKomp[MP&amp;L (Material Planning and Logistics)],MATCH($B85,tab_MinKomp[[Stanowisko / Position ]:[Stanowisko / Position ]],0)))</f>
        <v>n/a</v>
      </c>
      <c r="BM86" s="341" t="str">
        <f>IF(INDEX(tab_MinKomp[Supplier delivery rating],MATCH($B85,tab_MinKomp[[Stanowisko / Position ]:[Stanowisko / Position ]],0))="n/a","n/a",BM85-INDEX(tab_MinKomp[Supplier delivery rating],MATCH($B85,tab_MinKomp[[Stanowisko / Position ]:[Stanowisko / Position ]],0)))</f>
        <v>n/a</v>
      </c>
      <c r="BN86" s="341" t="str">
        <f>IF(INDEX(tab_MinKomp[Planowanie produkcji / Produktionsplanung],MATCH($B85,tab_MinKomp[[Stanowisko / Position ]:[Stanowisko / Position ]],0))="n/a","n/a",BN85-INDEX(tab_MinKomp[Planowanie produkcji / Produktionsplanung],MATCH($B85,tab_MinKomp[[Stanowisko / Position ]:[Stanowisko / Position ]],0)))</f>
        <v>n/a</v>
      </c>
      <c r="BO86" s="341">
        <f>IF(INDEX(tab_MinKomp[Obsługa maszyn Engel / Engel Maschinenbedienung],MATCH($B85,tab_MinKomp[[Stanowisko / Position ]:[Stanowisko / Position ]],0))="n/a","n/a",BO85-INDEX(tab_MinKomp[Obsługa maszyn Engel / Engel Maschinenbedienung],MATCH($B85,tab_MinKomp[[Stanowisko / Position ]:[Stanowisko / Position ]],0)))</f>
        <v>0</v>
      </c>
      <c r="BP86" s="341">
        <f>IF(INDEX(tab_MinKomp[Obsługa maszyn Novapax / Novapax Maschinenbedienung],MATCH($B85,tab_MinKomp[[Stanowisko / Position ]:[Stanowisko / Position ]],0))="n/a","n/a",BP85-INDEX(tab_MinKomp[Obsługa maszyn Novapax / Novapax Maschinenbedienung],MATCH($B85,tab_MinKomp[[Stanowisko / Position ]:[Stanowisko / Position ]],0)))</f>
        <v>0</v>
      </c>
      <c r="BQ86" s="341">
        <f>IF(INDEX(tab_MinKomp[Obsługa maszyn KVT / KVT Maschinenbedienung],MATCH($B85,tab_MinKomp[[Stanowisko / Position ]:[Stanowisko / Position ]],0))="n/a","n/a",BQ85-INDEX(tab_MinKomp[Obsługa maszyn KVT / KVT Maschinenbedienung],MATCH($B85,tab_MinKomp[[Stanowisko / Position ]:[Stanowisko / Position ]],0)))</f>
        <v>0</v>
      </c>
      <c r="BR86" s="341">
        <f>IF(INDEX(tab_MinKomp[Obsługa maszyn ASL / ASL Maschinenbedienung],MATCH($B85,tab_MinKomp[[Stanowisko / Position ]:[Stanowisko / Position ]],0))="n/a","n/a",BR85-INDEX(tab_MinKomp[Obsługa maszyn ASL / ASL Maschinenbedienung],MATCH($B85,tab_MinKomp[[Stanowisko / Position ]:[Stanowisko / Position ]],0)))</f>
        <v>0</v>
      </c>
      <c r="BS86" s="341">
        <f>IF(INDEX(tab_MinKomp[Obsługa maszyn Branson / Branson Maschinenbedienung],MATCH($B85,tab_MinKomp[[Stanowisko / Position ]:[Stanowisko / Position ]],0))="n/a","n/a",BS85-INDEX(tab_MinKomp[Obsługa maszyn Branson / Branson Maschinenbedienung],MATCH($B85,tab_MinKomp[[Stanowisko / Position ]:[Stanowisko / Position ]],0)))</f>
        <v>0</v>
      </c>
      <c r="BT86" s="341">
        <f>IF(INDEX(tab_MinKomp[Obsługa maszyn Kamtec / Kamtec Maschinenbedienung],MATCH($B85,tab_MinKomp[[Stanowisko / Position ]:[Stanowisko / Position ]],0))="n/a","n/a",BT85-INDEX(tab_MinKomp[Obsługa maszyn Kamtec / Kamtec Maschinenbedienung],MATCH($B85,tab_MinKomp[[Stanowisko / Position ]:[Stanowisko / Position ]],0)))</f>
        <v>0</v>
      </c>
      <c r="BU86" s="341">
        <f>IF(INDEX(tab_MinKomp[Obsługa maszyn REP / REP Maschinenbedienung],MATCH($B85,tab_MinKomp[[Stanowisko / Position ]:[Stanowisko / Position ]],0))="n/a","n/a",BU85-INDEX(tab_MinKomp[Obsługa maszyn REP / REP Maschinenbedienung],MATCH($B85,tab_MinKomp[[Stanowisko / Position ]:[Stanowisko / Position ]],0)))</f>
        <v>0</v>
      </c>
      <c r="BV86" s="341">
        <f>IF(INDEX(tab_MinKomp[Eliminacja awarii / Beseitigung von Ausfällen],MATCH($B85,tab_MinKomp[[Stanowisko / Position ]:[Stanowisko / Position ]],0))="n/a","n/a",BV85-INDEX(tab_MinKomp[Eliminacja awarii / Beseitigung von Ausfällen],MATCH($B85,tab_MinKomp[[Stanowisko / Position ]:[Stanowisko / Position ]],0)))</f>
        <v>0</v>
      </c>
      <c r="BW86" s="341">
        <f>IF(INDEX(tab_MinKomp[Informatyka ogólna (techniczne i systemowe) / Allgemeine IT (Technik und System)],MATCH($B85,tab_MinKomp[[Stanowisko / Position ]:[Stanowisko / Position ]],0))="n/a","n/a",BW85-INDEX(tab_MinKomp[Informatyka ogólna (techniczne i systemowe) / Allgemeine IT (Technik und System)],MATCH($B85,tab_MinKomp[[Stanowisko / Position ]:[Stanowisko / Position ]],0)))</f>
        <v>-1</v>
      </c>
      <c r="BX86" s="341">
        <f>IF(INDEX(tab_MinKomp[Sieci komputerowe / Computernetzwerke],MATCH($B85,tab_MinKomp[[Stanowisko / Position ]:[Stanowisko / Position ]],0))="n/a","n/a",BX85-INDEX(tab_MinKomp[Sieci komputerowe / Computernetzwerke],MATCH($B85,tab_MinKomp[[Stanowisko / Position ]:[Stanowisko / Position ]],0)))</f>
        <v>-1</v>
      </c>
      <c r="BY86" s="341">
        <f>IF(INDEX(tab_MinKomp[Hardware (komputery PC, drukarki biurowe i etykietowe, telefonia stacjonarna i mobilna) (PC, Drucker, Telefpne, Handys)],MATCH($B85,tab_MinKomp[[Stanowisko / Position ]:[Stanowisko / Position ]],0))="n/a","n/a",BY85-INDEX(tab_MinKomp[Hardware (komputery PC, drukarki biurowe i etykietowe, telefonia stacjonarna i mobilna) (PC, Drucker, Telefpne, Handys)],MATCH($B85,tab_MinKomp[[Stanowisko / Position ]:[Stanowisko / Position ]],0)))</f>
        <v>0</v>
      </c>
      <c r="BZ86" s="341" t="str">
        <f>IF(INDEX(tab_MinKomp[Software &amp; Systems (MS Office, MS Remote Desktop)],MATCH($B85,tab_MinKomp[[Stanowisko / Position ]:[Stanowisko / Position ]],0))="n/a","n/a",BZ85-INDEX(tab_MinKomp[Software &amp; Systems (MS Office, MS Remote Desktop)],MATCH($B85,tab_MinKomp[[Stanowisko / Position ]:[Stanowisko / Position ]],0)))</f>
        <v>n/a</v>
      </c>
      <c r="CA86" s="341" t="str">
        <f>IF(INDEX(tab_MinKomp[Software &amp; Systems (MS Office, MS Remote Desktop)],MATCH($B85,tab_MinKomp[[Stanowisko / Position ]:[Stanowisko / Position ]],0))="n/a","n/a",CA85-INDEX(tab_MinKomp[Software &amp; Systems (MS Office, MS Remote Desktop)],MATCH($B85,tab_MinKomp[[Stanowisko / Position ]:[Stanowisko / Position ]],0)))</f>
        <v>n/a</v>
      </c>
      <c r="CB86" s="341" t="str">
        <f>IF(INDEX(tab_MinKomp[Programowanie obiektowe (PHP) / Objektprogrammierung],MATCH($B85,tab_MinKomp[[Stanowisko / Position ]:[Stanowisko / Position ]],0))="n/a","n/a",CB85-INDEX(tab_MinKomp[Programowanie obiektowe (PHP) / Objektprogrammierung],MATCH($B85,tab_MinKomp[[Stanowisko / Position ]:[Stanowisko / Position ]],0)))</f>
        <v>n/a</v>
      </c>
      <c r="CC86" s="341" t="str">
        <f>IF(INDEX(tab_MinKomp[Scrum],MATCH($B85,tab_MinKomp[[Stanowisko / Position ]:[Stanowisko / Position ]],0))="n/a","n/a",CC85-INDEX(tab_MinKomp[Scrum],MATCH($B85,tab_MinKomp[[Stanowisko / Position ]:[Stanowisko / Position ]],0)))</f>
        <v>n/a</v>
      </c>
      <c r="CD86" s="341" t="str">
        <f>IF(INDEX(tab_MinKomp[SQL (MySQL)],MATCH($B85,tab_MinKomp[[Stanowisko / Position ]:[Stanowisko / Position ]],0))="n/a","n/a",CD85-INDEX(tab_MinKomp[SQL (MySQL)],MATCH($B85,tab_MinKomp[[Stanowisko / Position ]:[Stanowisko / Position ]],0)))</f>
        <v>n/a</v>
      </c>
      <c r="CE86" s="341" t="str">
        <f>IF(INDEX(tab_MinKomp[Javascript],MATCH($B85,tab_MinKomp[[Stanowisko / Position ]:[Stanowisko / Position ]],0))="n/a","n/a",CE85-INDEX(tab_MinKomp[Javascript],MATCH($B85,tab_MinKomp[[Stanowisko / Position ]:[Stanowisko / Position ]],0)))</f>
        <v>n/a</v>
      </c>
      <c r="CF86" s="341" t="str">
        <f>IF(INDEX(tab_MinKomp[Joomla],MATCH($B85,tab_MinKomp[[Stanowisko / Position ]:[Stanowisko / Position ]],0))="n/a","n/a",CF85-INDEX(tab_MinKomp[Joomla],MATCH($B85,tab_MinKomp[[Stanowisko / Position ]:[Stanowisko / Position ]],0)))</f>
        <v>n/a</v>
      </c>
      <c r="CG86" s="341" t="str">
        <f>IF(INDEX(tab_MinKomp[Bash],MATCH($B85,tab_MinKomp[[Stanowisko / Position ]:[Stanowisko / Position ]],0))="n/a","n/a",CG85-INDEX(tab_MinKomp[Bash],MATCH($B85,tab_MinKomp[[Stanowisko / Position ]:[Stanowisko / Position ]],0)))</f>
        <v>n/a</v>
      </c>
      <c r="CH86" s="341" t="str">
        <f>IF(INDEX(tab_MinKomp[Systemy MES (HYDRA / SFMS)],MATCH($B85,tab_MinKomp[[Stanowisko / Position ]:[Stanowisko / Position ]],0))="n/a","n/a",CH85-INDEX(tab_MinKomp[Systemy MES (HYDRA / SFMS)],MATCH($B85,tab_MinKomp[[Stanowisko / Position ]:[Stanowisko / Position ]],0)))</f>
        <v>n/a</v>
      </c>
      <c r="CI86" s="341">
        <f>IF(INDEX(tab_MinKomp[SYSTEM PR],MATCH($B85,tab_MinKomp[[Stanowisko / Position ]:[Stanowisko / Position ]],0))="n/a","n/a",CI85-INDEX(tab_MinKomp[SYSTEM PR],MATCH($B85,tab_MinKomp[[Stanowisko / Position ]:[Stanowisko / Position ]],0)))</f>
        <v>0</v>
      </c>
      <c r="CJ86" s="341" t="str">
        <f>IF(INDEX(tab_MinKomp[System Einkauf XP / EBA],MATCH($B85,tab_MinKomp[[Stanowisko / Position ]:[Stanowisko / Position ]],0))="n/a","n/a",CJ85-INDEX(tab_MinKomp[System Einkauf XP / EBA],MATCH($B85,tab_MinKomp[[Stanowisko / Position ]:[Stanowisko / Position ]],0)))</f>
        <v>n/a</v>
      </c>
      <c r="CK86" s="341">
        <f>IF(INDEX(tab_MinKomp[Techniki negocjacyjne / Verhandlungstechniken],MATCH($B85,tab_MinKomp[[Stanowisko / Position ]:[Stanowisko / Position ]],0))="n/a","n/a",CK85-INDEX(tab_MinKomp[Techniki negocjacyjne / Verhandlungstechniken],MATCH($B85,tab_MinKomp[[Stanowisko / Position ]:[Stanowisko / Position ]],0)))</f>
        <v>-1</v>
      </c>
      <c r="CL86" s="341">
        <f>IF(INDEX(tab_MinKomp[Znajomość rynku branżowego / Kenntnis des Industrie Marktes],MATCH($B85,tab_MinKomp[[Stanowisko / Position ]:[Stanowisko / Position ]],0))="n/a","n/a",CL85-INDEX(tab_MinKomp[Znajomość rynku branżowego / Kenntnis des Industrie Marktes],MATCH($B85,tab_MinKomp[[Stanowisko / Position ]:[Stanowisko / Position ]],0)))</f>
        <v>-1</v>
      </c>
      <c r="CM86" s="341" t="str">
        <f>IF(INDEX(tab_MinKomp[RAPORTY 8D / 8D Berichten],MATCH($B85,tab_MinKomp[[Stanowisko / Position ]:[Stanowisko / Position ]],0))="n/a","n/a",CM85-INDEX(tab_MinKomp[RAPORTY 8D / 8D Berichten],MATCH($B85,tab_MinKomp[[Stanowisko / Position ]:[Stanowisko / Position ]],0)))</f>
        <v>n/a</v>
      </c>
      <c r="CN86" s="341">
        <f>IF(INDEX(tab_MinKomp[NARZĘDZIA JAKOŚCIOWE (5WHY, Ishikawa, etc) / QS-Werkzeuge],MATCH($B85,tab_MinKomp[[Stanowisko / Position ]:[Stanowisko / Position ]],0))="n/a","n/a",CN85-INDEX(tab_MinKomp[NARZĘDZIA JAKOŚCIOWE (5WHY, Ishikawa, etc) / QS-Werkzeuge],MATCH($B85,tab_MinKomp[[Stanowisko / Position ]:[Stanowisko / Position ]],0)))</f>
        <v>-1</v>
      </c>
      <c r="CO86" s="341">
        <f>IF(INDEX(tab_MinKomp[PDCA],MATCH($B85,tab_MinKomp[[Stanowisko / Position ]:[Stanowisko / Position ]],0))="n/a","n/a",CO85-INDEX(tab_MinKomp[PDCA],MATCH($B85,tab_MinKomp[[Stanowisko / Position ]:[Stanowisko / Position ]],0)))</f>
        <v>-1</v>
      </c>
      <c r="CP86" s="341">
        <f>IF(INDEX(tab_MinKomp[Pareto],MATCH($B85,tab_MinKomp[[Stanowisko / Position ]:[Stanowisko / Position ]],0))="n/a","n/a",CP85-INDEX(tab_MinKomp[Pareto],MATCH($B85,tab_MinKomp[[Stanowisko / Position ]:[Stanowisko / Position ]],0)))</f>
        <v>-1</v>
      </c>
      <c r="CQ86" s="341" t="str">
        <f>IF(INDEX(tab_MinKomp[PPAP/PSW],MATCH($B85,tab_MinKomp[[Stanowisko / Position ]:[Stanowisko / Position ]],0))="n/a","n/a",CQ85-INDEX(tab_MinKomp[PPAP/PSW],MATCH($B85,tab_MinKomp[[Stanowisko / Position ]:[Stanowisko / Position ]],0)))</f>
        <v>n/a</v>
      </c>
      <c r="CR86" s="341">
        <f>IF(INDEX(tab_MinKomp[SUPPLIER MANAGEMENT],MATCH($B85,tab_MinKomp[[Stanowisko / Position ]:[Stanowisko / Position ]],0))="n/a","n/a",CR85-INDEX(tab_MinKomp[SUPPLIER MANAGEMENT],MATCH($B85,tab_MinKomp[[Stanowisko / Position ]:[Stanowisko / Position ]],0)))</f>
        <v>-1</v>
      </c>
      <c r="CS86" s="341" t="str">
        <f>IF(INDEX(tab_MinKomp[OBSŁUGA PORTALI KLIENTA / Kundenportale],MATCH($B85,tab_MinKomp[[Stanowisko / Position ]:[Stanowisko / Position ]],0))="n/a","n/a",CS85-INDEX(tab_MinKomp[OBSŁUGA PORTALI KLIENTA / Kundenportale],MATCH($B85,tab_MinKomp[[Stanowisko / Position ]:[Stanowisko / Position ]],0)))</f>
        <v>n/a</v>
      </c>
      <c r="CT86" s="341" t="str">
        <f>IF(INDEX(tab_MinKomp[Obsługa systemu BABTECQ / BABTECQ System],MATCH($B85,tab_MinKomp[[Stanowisko / Position ]:[Stanowisko / Position ]],0))="n/a","n/a",CT85-INDEX(tab_MinKomp[Obsługa systemu BABTECQ / BABTECQ System],MATCH($B85,tab_MinKomp[[Stanowisko / Position ]:[Stanowisko / Position ]],0)))</f>
        <v>n/a</v>
      </c>
      <c r="CU86" s="341">
        <f>IF(INDEX(tab_MinKomp[Rysunek techniczny / technische Zeichnung],MATCH($B85,tab_MinKomp[[Stanowisko / Position ]:[Stanowisko / Position ]],0))="n/a","n/a",CU85-INDEX(tab_MinKomp[Rysunek techniczny / technische Zeichnung],MATCH($B85,tab_MinKomp[[Stanowisko / Position ]:[Stanowisko / Position ]],0)))</f>
        <v>0</v>
      </c>
      <c r="CV86" s="341">
        <f>IF(INDEX(tab_MinKomp[Kalibracja / Kalibrierung],MATCH($B85,tab_MinKomp[[Stanowisko / Position ]:[Stanowisko / Position ]],0))="n/a","n/a",CV85-INDEX(tab_MinKomp[Kalibracja / Kalibrierung],MATCH($B85,tab_MinKomp[[Stanowisko / Position ]:[Stanowisko / Position ]],0)))</f>
        <v>0</v>
      </c>
      <c r="CW86" s="341" t="str">
        <f>IF(INDEX(tab_MinKomp[Rekwalifikacja / Requalifizierung],MATCH($B85,tab_MinKomp[[Stanowisko / Position ]:[Stanowisko / Position ]],0))="n/a","n/a",CW85-INDEX(tab_MinKomp[Rekwalifikacja / Requalifizierung],MATCH($B85,tab_MinKomp[[Stanowisko / Position ]:[Stanowisko / Position ]],0)))</f>
        <v>n/a</v>
      </c>
      <c r="CX86" s="341" t="str">
        <f>IF(INDEX(tab_MinKomp[Obsługa mikroskopu optycznego / Bedienung eines optischen Mikroskops],MATCH($B85,tab_MinKomp[[Stanowisko / Position ]:[Stanowisko / Position ]],0))="n/a","n/a",CX85-INDEX(tab_MinKomp[Obsługa mikroskopu optycznego / Bedienung eines optischen Mikroskops],MATCH($B85,tab_MinKomp[[Stanowisko / Position ]:[Stanowisko / Position ]],0)))</f>
        <v>n/a</v>
      </c>
      <c r="CY86" s="341" t="str">
        <f>IF(INDEX(tab_MinKomp[Wykonywanie pomiarów optycznych - ocena wizualna / Optische Messungen durchführen – visuelle Beurteilung],MATCH($B85,tab_MinKomp[[Stanowisko / Position ]:[Stanowisko / Position ]],0))="n/a","n/a",CY85-INDEX(tab_MinKomp[Wykonywanie pomiarów optycznych - ocena wizualna / Optische Messungen durchführen – visuelle Beurteilung],MATCH($B85,tab_MinKomp[[Stanowisko / Position ]:[Stanowisko / Position ]],0)))</f>
        <v>n/a</v>
      </c>
      <c r="CZ86" s="341" t="str">
        <f>IF(INDEX(tab_MinKomp[Obsługa Rheometra / Rheometra-Unterstützung],MATCH($B85,tab_MinKomp[[Stanowisko / Position ]:[Stanowisko / Position ]],0))="n/a","n/a",CZ85-INDEX(tab_MinKomp[Obsługa Rheometra / Rheometra-Unterstützung],MATCH($B85,tab_MinKomp[[Stanowisko / Position ]:[Stanowisko / Position ]],0)))</f>
        <v>n/a</v>
      </c>
      <c r="DA86" s="341" t="str">
        <f>IF(INDEX(tab_MinKomp[Testy właściwości Rheometra mieszanki gumy],MATCH($B85,tab_MinKomp[[Stanowisko / Position ]:[Stanowisko / Position ]],0))="n/a","n/a",DA85-INDEX(tab_MinKomp[Testy właściwości Rheometra mieszanki gumy],MATCH($B85,tab_MinKomp[[Stanowisko / Position ]:[Stanowisko / Position ]],0)))</f>
        <v>n/a</v>
      </c>
      <c r="DB86" s="341" t="str">
        <f>IF(INDEX(tab_MinKomp[CMM - Contura Zeiss],MATCH($B85,tab_MinKomp[[Stanowisko / Position ]:[Stanowisko / Position ]],0))="n/a","n/a",DB85-INDEX(tab_MinKomp[CMM - Contura Zeiss],MATCH($B85,tab_MinKomp[[Stanowisko / Position ]:[Stanowisko / Position ]],0)))</f>
        <v>n/a</v>
      </c>
      <c r="DC86" s="341" t="str">
        <f>IF(INDEX(tab_MinKomp[Wykonywanie precyzyjnych pomiarów metrycznych, pomiary 3D],MATCH($B85,tab_MinKomp[[Stanowisko / Position ]:[Stanowisko / Position ]],0))="n/a","n/a",DC85-INDEX(tab_MinKomp[Wykonywanie precyzyjnych pomiarów metrycznych, pomiary 3D],MATCH($B85,tab_MinKomp[[Stanowisko / Position ]:[Stanowisko / Position ]],0)))</f>
        <v>n/a</v>
      </c>
      <c r="DD86" s="341" t="str">
        <f>IF(INDEX(tab_MinKomp[Pisanie programów / Programme schreiben],MATCH($B85,tab_MinKomp[[Stanowisko / Position ]:[Stanowisko / Position ]],0))="n/a","n/a",DD85-INDEX(tab_MinKomp[Pisanie programów / Programme schreiben],MATCH($B85,tab_MinKomp[[Stanowisko / Position ]:[Stanowisko / Position ]],0)))</f>
        <v>n/a</v>
      </c>
      <c r="DE86" s="341" t="str">
        <f>IF(INDEX(tab_MinKomp[Obsługa wyposażenia do testów czystości (myjka + analizator) / Betrieb von Sauberkeitsprüfgeräten (Waschmaschine + Analysegerät)],MATCH($B85,tab_MinKomp[[Stanowisko / Position ]:[Stanowisko / Position ]],0))="n/a","n/a",DE85-INDEX(tab_MinKomp[Obsługa wyposażenia do testów czystości (myjka + analizator) / Betrieb von Sauberkeitsprüfgeräten (Waschmaschine + Analysegerät)],MATCH($B85,tab_MinKomp[[Stanowisko / Position ]:[Stanowisko / Position ]],0)))</f>
        <v>n/a</v>
      </c>
      <c r="DF86" s="341" t="str">
        <f>IF(INDEX(tab_MinKomp[Testy czystości / Reinheitstests],MATCH($B85,tab_MinKomp[[Stanowisko / Position ]:[Stanowisko / Position ]],0))="n/a","n/a",DF85-INDEX(tab_MinKomp[Testy czystości / Reinheitstests],MATCH($B85,tab_MinKomp[[Stanowisko / Position ]:[Stanowisko / Position ]],0)))</f>
        <v>n/a</v>
      </c>
      <c r="DG86" s="341" t="str">
        <f>IF(INDEX(tab_MinKomp[Obsługa wysokościomierza / Unterstützung für Höhenmesser],MATCH($B85,tab_MinKomp[[Stanowisko / Position ]:[Stanowisko / Position ]],0))="n/a","n/a",DG85-INDEX(tab_MinKomp[Obsługa wysokościomierza / Unterstützung für Höhenmesser],MATCH($B85,tab_MinKomp[[Stanowisko / Position ]:[Stanowisko / Position ]],0)))</f>
        <v>n/a</v>
      </c>
      <c r="DH86" s="341" t="str">
        <f>IF(INDEX(tab_MinKomp[Pomiary wysokości materiału / Materialhöhenmessungen],MATCH($B85,tab_MinKomp[[Stanowisko / Position ]:[Stanowisko / Position ]],0))="n/a","n/a",DH85-INDEX(tab_MinKomp[Pomiary wysokości materiału / Materialhöhenmessungen],MATCH($B85,tab_MinKomp[[Stanowisko / Position ]:[Stanowisko / Position ]],0)))</f>
        <v>n/a</v>
      </c>
      <c r="DI86" s="341" t="str">
        <f>IF(INDEX(tab_MinKomp[Obsługa okrągłościomierza / Unterstützung für Rundheitsmessgeräte],MATCH($B85,tab_MinKomp[[Stanowisko / Position ]:[Stanowisko / Position ]],0))="n/a","n/a",DI85-INDEX(tab_MinKomp[Obsługa okrągłościomierza / Unterstützung für Rundheitsmessgeräte],MATCH($B85,tab_MinKomp[[Stanowisko / Position ]:[Stanowisko / Position ]],0)))</f>
        <v>n/a</v>
      </c>
      <c r="DJ86" s="341" t="str">
        <f>IF(INDEX(tab_MinKomp[Wykonywania pomiarów owalności, srednicy materiału / Messung der Ovalität und des Durchmessers des Materials],MATCH($B85,tab_MinKomp[[Stanowisko / Position ]:[Stanowisko / Position ]],0))="n/a","n/a",DJ85-INDEX(tab_MinKomp[Wykonywania pomiarów owalności, srednicy materiału / Messung der Ovalität und des Durchmessers des Materials],MATCH($B85,tab_MinKomp[[Stanowisko / Position ]:[Stanowisko / Position ]],0)))</f>
        <v>n/a</v>
      </c>
      <c r="DK86" s="341" t="str">
        <f>IF(INDEX(tab_MinKomp[Obsługa urządzenia do pomiarów chropowoatości powierzchni materiału],MATCH($B85,tab_MinKomp[[Stanowisko / Position ]:[Stanowisko / Position ]],0))="n/a","n/a",DK85-INDEX(tab_MinKomp[Obsługa urządzenia do pomiarów chropowoatości powierzchni materiału],MATCH($B85,tab_MinKomp[[Stanowisko / Position ]:[Stanowisko / Position ]],0)))</f>
        <v>n/a</v>
      </c>
      <c r="DL86" s="341" t="str">
        <f>IF(INDEX(tab_MinKomp[Wykonywanie pomiarów chropowatości powierzchni materiału / Durchführung von Messungen der Materialoberflächenrauheit],MATCH($B85,tab_MinKomp[[Stanowisko / Position ]:[Stanowisko / Position ]],0))="n/a","n/a",DL85-INDEX(tab_MinKomp[Wykonywanie pomiarów chropowatości powierzchni materiału / Durchführung von Messungen der Materialoberflächenrauheit],MATCH($B85,tab_MinKomp[[Stanowisko / Position ]:[Stanowisko / Position ]],0)))</f>
        <v>n/a</v>
      </c>
      <c r="DM86" s="341" t="str">
        <f>IF(INDEX(tab_MinKomp[Obsługa urządzenia do pomiaru siły radialnej części - postępowanie z trzpieniami. / Funktionsweise des Geräts zur Messung der Radialkraft von Teilen – Handhabungsstifte.],MATCH($B85,tab_MinKomp[[Stanowisko / Position ]:[Stanowisko / Position ]],0))="n/a","n/a",DM85-INDEX(tab_MinKomp[Obsługa urządzenia do pomiaru siły radialnej części - postępowanie z trzpieniami. / Funktionsweise des Geräts zur Messung der Radialkraft von Teilen – Handhabungsstifte.],MATCH($B85,tab_MinKomp[[Stanowisko / Position ]:[Stanowisko / Position ]],0)))</f>
        <v>n/a</v>
      </c>
      <c r="DN86" s="341" t="str">
        <f>IF(INDEX(tab_MinKomp[Wykonywanie pomiarów siły radialnej części / Führen Sie Radialkraftmessungen an Teilen durch],MATCH($B85,tab_MinKomp[[Stanowisko / Position ]:[Stanowisko / Position ]],0))="n/a","n/a",DN85-INDEX(tab_MinKomp[Wykonywanie pomiarów siły radialnej części / Führen Sie Radialkraftmessungen an Teilen durch],MATCH($B85,tab_MinKomp[[Stanowisko / Position ]:[Stanowisko / Position ]],0)))</f>
        <v>n/a</v>
      </c>
      <c r="DO86" s="341" t="str">
        <f>IF(INDEX(tab_MinKomp[Obsługa komory do testów wybuchwych / Betrieb einer Explosionsprüfkammer],MATCH($B85,tab_MinKomp[[Stanowisko / Position ]:[Stanowisko / Position ]],0))="n/a","n/a",DO85-INDEX(tab_MinKomp[Obsługa komory do testów wybuchwych / Betrieb einer Explosionsprüfkammer],MATCH($B85,tab_MinKomp[[Stanowisko / Position ]:[Stanowisko / Position ]],0)))</f>
        <v>n/a</v>
      </c>
      <c r="DP86" s="341" t="str">
        <f>IF(INDEX(tab_MinKomp[Wykonywanie testów wybuchowych części / Durchführung von Explosionstests an Teilen],MATCH($B85,tab_MinKomp[[Stanowisko / Position ]:[Stanowisko / Position ]],0))="n/a","n/a",DP85-INDEX(tab_MinKomp[Wykonywanie testów wybuchowych części / Durchführung von Explosionstests an Teilen],MATCH($B85,tab_MinKomp[[Stanowisko / Position ]:[Stanowisko / Position ]],0)))</f>
        <v>n/a</v>
      </c>
      <c r="DQ86" s="341" t="str">
        <f>IF(INDEX(tab_MinKomp[Obsługa urządzeń do mierzenia siły trzymania i/lub rozciągania / Betrieb von Geräten zur Messung der Halte- und/oder Dehnkraft],MATCH($B85,tab_MinKomp[[Stanowisko / Position ]:[Stanowisko / Position ]],0))="n/a","n/a",DQ85-INDEX(tab_MinKomp[Obsługa urządzeń do mierzenia siły trzymania i/lub rozciągania / Betrieb von Geräten zur Messung der Halte- und/oder Dehnkraft],MATCH($B85,tab_MinKomp[[Stanowisko / Position ]:[Stanowisko / Position ]],0)))</f>
        <v>n/a</v>
      </c>
      <c r="DR86" s="341" t="str">
        <f>IF(INDEX(tab_MinKomp[Wykonywanie testów mierzenia siły trzymania i/lub rozciągania / Durchführung von Tests zur Messung der Halte- und/oder Streckkraft],MATCH($B85,tab_MinKomp[[Stanowisko / Position ]:[Stanowisko / Position ]],0))="n/a","n/a",DR85-INDEX(tab_MinKomp[Wykonywanie testów mierzenia siły trzymania i/lub rozciągania / Durchführung von Tests zur Messung der Halte- und/oder Streckkraft],MATCH($B85,tab_MinKomp[[Stanowisko / Position ]:[Stanowisko / Position ]],0)))</f>
        <v>n/a</v>
      </c>
      <c r="DS86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Luftstrom)],MATCH($B85,tab_MinKomp[[Stanowisko / Position ]:[Stanowisko / Position ]],0))="n/a","n/a",DS85-INDEX(tab_MinKomp[Obsługa multimetru do pomiarów środowiskowych (temperatura, wilgotność, hałas, oświetlenie, przepływ powietrza) / Betrieb eines Multimeters für Umweltmessungen (Temperatur, Luftfeuchtigkeit, Lärm, Beleuchtung, Luftstrom)],MATCH($B85,tab_MinKomp[[Stanowisko / Position ]:[Stanowisko / Position ]],0)))</f>
        <v>n/a</v>
      </c>
      <c r="DT86" s="341" t="str">
        <f>IF(INDEX(tab_MinKomp[Kontrola warunków środowiskowych pracy (temperatura, wilgotność, hałas, oświetlenie, przepływ powietrza) / Kontrolle der Arbeitsumgebungsbedingungen (Temperatur, Luftfeuchtigkeit, Lärm, Beleuchtung, Luftstrom)],MATCH($B85,tab_MinKomp[[Stanowisko / Position ]:[Stanowisko / Position ]],0))="n/a","n/a",DT85-INDEX(tab_MinKomp[Kontrola warunków środowiskowych pracy (temperatura, wilgotność, hałas, oświetlenie, przepływ powietrza) / Kontrolle der Arbeitsumgebungsbedingungen (Temperatur, Luftfeuchtigkeit, Lärm, Beleuchtung, Luftstrom)],MATCH($B85,tab_MinKomp[[Stanowisko / Position ]:[Stanowisko / Position ]],0)))</f>
        <v>n/a</v>
      </c>
      <c r="DU86" s="341">
        <f>IF(INDEX(tab_MinKomp[MSA i SPC],MATCH($B85,tab_MinKomp[[Stanowisko / Position ]:[Stanowisko / Position ]],0))="n/a","n/a",DU85-INDEX(tab_MinKomp[MSA i SPC],MATCH($B85,tab_MinKomp[[Stanowisko / Position ]:[Stanowisko / Position ]],0)))</f>
        <v>-1</v>
      </c>
      <c r="DV86" s="341" t="str">
        <f>IF(INDEX(tab_MinKomp[Kontrola wejściowa komponentów/ Eingangskontrolle],MATCH($B85,tab_MinKomp[[Stanowisko / Position ]:[Stanowisko / Position ]],0))="n/a","n/a",DV85-INDEX(tab_MinKomp[Kontrola wejściowa komponentów/ Eingangskontrolle],MATCH($B85,tab_MinKomp[[Stanowisko / Position ]:[Stanowisko / Position ]],0)))</f>
        <v>n/a</v>
      </c>
      <c r="DW86" s="341" t="str">
        <f>IF(INDEX(tab_MinKomp[Kontrola wyjściowa produktu / Ausgangskontrolle],MATCH($B85,tab_MinKomp[[Stanowisko / Position ]:[Stanowisko / Position ]],0))="n/a","n/a",DW85-INDEX(tab_MinKomp[Kontrola wyjściowa produktu / Ausgangskontrolle],MATCH($B85,tab_MinKomp[[Stanowisko / Position ]:[Stanowisko / Position ]],0)))</f>
        <v>n/a</v>
      </c>
      <c r="DX86" s="341" t="str">
        <f>IF(INDEX(tab_MinKomp[Kontrola codzienna produkcji / Tägliche Produktionskontrolle],MATCH($B85,tab_MinKomp[[Stanowisko / Position ]:[Stanowisko / Position ]],0))="n/a","n/a",DX85-INDEX(tab_MinKomp[Kontrola codzienna produkcji / Tägliche Produktionskontrolle],MATCH($B85,tab_MinKomp[[Stanowisko / Position ]:[Stanowisko / Position ]],0)))</f>
        <v>n/a</v>
      </c>
      <c r="DY86" s="341">
        <f>IF(INDEX(tab_MinKomp[Konserwacja Rep],MATCH($B85,tab_MinKomp[[Stanowisko / Position ]:[Stanowisko / Position ]],0))="n/a","n/a",DY85-INDEX(tab_MinKomp[Konserwacja Rep],MATCH($B85,tab_MinKomp[[Stanowisko / Position ]:[Stanowisko / Position ]],0)))</f>
        <v>-1</v>
      </c>
      <c r="DZ86" s="341">
        <f>IF(INDEX(tab_MinKomp[[Konserwacja Engel ]],MATCH($B85,tab_MinKomp[[Stanowisko / Position ]:[Stanowisko / Position ]],0))="n/a","n/a",DZ85-INDEX(tab_MinKomp[[Konserwacja Engel ]],MATCH($B85,tab_MinKomp[[Stanowisko / Position ]:[Stanowisko / Position ]],0)))</f>
        <v>-1</v>
      </c>
      <c r="EA86" s="341">
        <f>IF(INDEX(tab_MinKomp[Konserwacja B 50],MATCH($B85,tab_MinKomp[[Stanowisko / Position ]:[Stanowisko / Position ]],0))="n/a","n/a",EA85-INDEX(tab_MinKomp[Konserwacja B 50],MATCH($B85,tab_MinKomp[[Stanowisko / Position ]:[Stanowisko / Position ]],0)))</f>
        <v>-1</v>
      </c>
      <c r="EB86" s="341">
        <f>IF(INDEX(tab_MinKomp[[Konserwacja EOL ]],MATCH($B85,tab_MinKomp[[Stanowisko / Position ]:[Stanowisko / Position ]],0))="n/a","n/a",EB85-INDEX(tab_MinKomp[[Konserwacja EOL ]],MATCH($B85,tab_MinKomp[[Stanowisko / Position ]:[Stanowisko / Position ]],0)))</f>
        <v>-1</v>
      </c>
      <c r="EC86" s="341">
        <f>IF(INDEX(tab_MinKomp[Konserwacja Branson],MATCH($B85,tab_MinKomp[[Stanowisko / Position ]:[Stanowisko / Position ]],0))="n/a","n/a",EC85-INDEX(tab_MinKomp[Konserwacja Branson],MATCH($B85,tab_MinKomp[[Stanowisko / Position ]:[Stanowisko / Position ]],0)))</f>
        <v>-1</v>
      </c>
      <c r="ED86" s="341">
        <f>IF(INDEX(tab_MinKomp[Konserwacja coolery],MATCH($B85,tab_MinKomp[[Stanowisko / Position ]:[Stanowisko / Position ]],0))="n/a","n/a",ED85-INDEX(tab_MinKomp[Konserwacja coolery],MATCH($B85,tab_MinKomp[[Stanowisko / Position ]:[Stanowisko / Position ]],0)))</f>
        <v>-1</v>
      </c>
      <c r="EE86" s="341">
        <f>IF(INDEX(tab_MinKomp[Konserwacja piecy],MATCH($B85,tab_MinKomp[[Stanowisko / Position ]:[Stanowisko / Position ]],0))="n/a","n/a",EE85-INDEX(tab_MinKomp[Konserwacja piecy],MATCH($B85,tab_MinKomp[[Stanowisko / Position ]:[Stanowisko / Position ]],0)))</f>
        <v>-1</v>
      </c>
      <c r="EF86" s="341">
        <f>IF(INDEX(tab_MinKomp[Rysunek techniczny- czytanie],MATCH($B85,tab_MinKomp[[Stanowisko / Position ]:[Stanowisko / Position ]],0))="n/a","n/a",EF85-INDEX(tab_MinKomp[Rysunek techniczny- czytanie],MATCH($B85,tab_MinKomp[[Stanowisko / Position ]:[Stanowisko / Position ]],0)))</f>
        <v>0</v>
      </c>
      <c r="EG86" s="341">
        <f>IF(INDEX(tab_MinKomp[Elektryka],MATCH($B85,tab_MinKomp[[Stanowisko / Position ]:[Stanowisko / Position ]],0))="n/a","n/a",EG85-INDEX(tab_MinKomp[Elektryka],MATCH($B85,tab_MinKomp[[Stanowisko / Position ]:[Stanowisko / Position ]],0)))</f>
        <v>0</v>
      </c>
      <c r="EH86" s="341">
        <f>IF(INDEX(tab_MinKomp[Pneumatyka],MATCH($B85,tab_MinKomp[[Stanowisko / Position ]:[Stanowisko / Position ]],0))="n/a","n/a",EH85-INDEX(tab_MinKomp[Pneumatyka],MATCH($B85,tab_MinKomp[[Stanowisko / Position ]:[Stanowisko / Position ]],0)))</f>
        <v>0</v>
      </c>
      <c r="EI86" s="341">
        <f>IF(INDEX(tab_MinKomp[[Hydraulika ]],MATCH($B85,tab_MinKomp[[Stanowisko / Position ]:[Stanowisko / Position ]],0))="n/a","n/a",EI85-INDEX(tab_MinKomp[[Hydraulika ]],MATCH($B85,tab_MinKomp[[Stanowisko / Position ]:[Stanowisko / Position ]],0)))</f>
        <v>-1</v>
      </c>
      <c r="EJ86" s="341">
        <f>IF(INDEX(tab_MinKomp[Podciśnienie],MATCH($B85,tab_MinKomp[[Stanowisko / Position ]:[Stanowisko / Position ]],0))="n/a","n/a",EJ85-INDEX(tab_MinKomp[Podciśnienie],MATCH($B85,tab_MinKomp[[Stanowisko / Position ]:[Stanowisko / Position ]],0)))</f>
        <v>0</v>
      </c>
      <c r="EK86" s="341">
        <f>IF(INDEX(tab_MinKomp[Usuwanie awarii],MATCH($B85,tab_MinKomp[[Stanowisko / Position ]:[Stanowisko / Position ]],0))="n/a","n/a",EK85-INDEX(tab_MinKomp[Usuwanie awarii],MATCH($B85,tab_MinKomp[[Stanowisko / Position ]:[Stanowisko / Position ]],0)))</f>
        <v>1</v>
      </c>
      <c r="EL86" s="341">
        <f>IF(INDEX(tab_MinKomp[Obsługa robotów],MATCH($B85,tab_MinKomp[[Stanowisko / Position ]:[Stanowisko / Position ]],0))="n/a","n/a",EL85-INDEX(tab_MinKomp[Obsługa robotów],MATCH($B85,tab_MinKomp[[Stanowisko / Position ]:[Stanowisko / Position ]],0)))</f>
        <v>-1</v>
      </c>
      <c r="EM86" s="341">
        <f>IF(INDEX(tab_MinKomp[Obsługa sterowania maszyny],MATCH($B85,tab_MinKomp[[Stanowisko / Position ]:[Stanowisko / Position ]],0))="n/a","n/a",EM85-INDEX(tab_MinKomp[Obsługa sterowania maszyny],MATCH($B85,tab_MinKomp[[Stanowisko / Position ]:[Stanowisko / Position ]],0)))</f>
        <v>0</v>
      </c>
      <c r="EN86" s="341">
        <f>IF(INDEX(tab_MinKomp[Usuwanie przyczyn żródłowych],MATCH($B85,tab_MinKomp[[Stanowisko / Position ]:[Stanowisko / Position ]],0))="n/a","n/a",EN85-INDEX(tab_MinKomp[Usuwanie przyczyn żródłowych],MATCH($B85,tab_MinKomp[[Stanowisko / Position ]:[Stanowisko / Position ]],0)))</f>
        <v>-1</v>
      </c>
      <c r="EO86" s="341">
        <f>IF(INDEX(tab_MinKomp[Cmms stosowanie],MATCH($B85,tab_MinKomp[[Stanowisko / Position ]:[Stanowisko / Position ]],0))="n/a","n/a",EO85-INDEX(tab_MinKomp[Cmms stosowanie],MATCH($B85,tab_MinKomp[[Stanowisko / Position ]:[Stanowisko / Position ]],0)))</f>
        <v>0</v>
      </c>
      <c r="EP86" s="341" t="str">
        <f>IF(INDEX(tab_MinKomp[[Czyszczenie form gumowych ]],MATCH($B85,tab_MinKomp[[Stanowisko / Position ]:[Stanowisko / Position ]],0))="n/a","n/a",EP85-INDEX(tab_MinKomp[[Czyszczenie form gumowych ]],MATCH($B85,tab_MinKomp[[Stanowisko / Position ]:[Stanowisko / Position ]],0)))</f>
        <v>n/a</v>
      </c>
      <c r="EQ86" s="341" t="str">
        <f>IF(INDEX(tab_MinKomp[Czyszczenie form plastikowych],MATCH($B85,tab_MinKomp[[Stanowisko / Position ]:[Stanowisko / Position ]],0))="n/a","n/a",EQ85-INDEX(tab_MinKomp[Czyszczenie form plastikowych],MATCH($B85,tab_MinKomp[[Stanowisko / Position ]:[Stanowisko / Position ]],0)))</f>
        <v>n/a</v>
      </c>
      <c r="ER86" s="341" t="str">
        <f>IF(INDEX(tab_MinKomp[Wymiana form plastik],MATCH($B85,tab_MinKomp[[Stanowisko / Position ]:[Stanowisko / Position ]],0))="n/a","n/a",ER85-INDEX(tab_MinKomp[Wymiana form plastik],MATCH($B85,tab_MinKomp[[Stanowisko / Position ]:[Stanowisko / Position ]],0)))</f>
        <v>n/a</v>
      </c>
      <c r="ES86" s="341" t="str">
        <f>IF(INDEX(tab_MinKomp[Wymiana form guma],MATCH($B85,tab_MinKomp[[Stanowisko / Position ]:[Stanowisko / Position ]],0))="n/a","n/a",ES85-INDEX(tab_MinKomp[Wymiana form guma],MATCH($B85,tab_MinKomp[[Stanowisko / Position ]:[Stanowisko / Position ]],0)))</f>
        <v>n/a</v>
      </c>
      <c r="ET86" s="341" t="str">
        <f>IF(INDEX(tab_MinKomp[Konserwacja KK],MATCH($B85,tab_MinKomp[[Stanowisko / Position ]:[Stanowisko / Position ]],0))="n/a","n/a",ET85-INDEX(tab_MinKomp[Konserwacja KK],MATCH($B85,tab_MinKomp[[Stanowisko / Position ]:[Stanowisko / Position ]],0)))</f>
        <v>n/a</v>
      </c>
      <c r="EU86" s="341" t="str">
        <f>IF(INDEX(tab_MinKomp[Konserwacja form guma],MATCH($B85,tab_MinKomp[[Stanowisko / Position ]:[Stanowisko / Position ]],0))="n/a","n/a",EU85-INDEX(tab_MinKomp[Konserwacja form guma],MATCH($B85,tab_MinKomp[[Stanowisko / Position ]:[Stanowisko / Position ]],0)))</f>
        <v>n/a</v>
      </c>
      <c r="EV86" s="341" t="str">
        <f>IF(INDEX(tab_MinKomp[Konserwacja form plastiki],MATCH($B85,tab_MinKomp[[Stanowisko / Position ]:[Stanowisko / Position ]],0))="n/a","n/a",EV85-INDEX(tab_MinKomp[Konserwacja form plastiki],MATCH($B85,tab_MinKomp[[Stanowisko / Position ]:[Stanowisko / Position ]],0)))</f>
        <v>n/a</v>
      </c>
      <c r="EW86" s="330" t="str">
        <f>IF(INDEX(tab_MinKomp[Konserwacja form plastiki],MATCH($B85,tab_MinKomp[[Stanowisko / Position ]:[Stanowisko / Position ]],0))="n/a","n/a",EW85-INDEX(tab_MinKomp[Konserwacja form plastiki],MATCH($B85,tab_MinKomp[[Stanowisko / Position ]:[Stanowisko / Position ]],0)))</f>
        <v>n/a</v>
      </c>
      <c r="EX86" s="341" t="str">
        <f>IF(INDEX(tab_MinKomp[Konserwacja Gorącego Kanału],MATCH($B85,tab_MinKomp[[Stanowisko / Position ]:[Stanowisko / Position ]],0))="n/a","n/a",EX85-INDEX(tab_MinKomp[Konserwacja Gorącego Kanału],MATCH($B85,tab_MinKomp[[Stanowisko / Position ]:[Stanowisko / Position ]],0)))</f>
        <v>n/a</v>
      </c>
      <c r="EY86" s="341">
        <f>IF(INDEX(tab_MinKomp[MS Office (Excel)],MATCH($B85,tab_MinKomp[[Stanowisko / Position ]:[Stanowisko / Position ]],0))="n/a","n/a",EY85-INDEX(tab_MinKomp[MS Office (Excel)],MATCH($B85,tab_MinKomp[[Stanowisko / Position ]:[Stanowisko / Position ]],0)))</f>
        <v>0</v>
      </c>
      <c r="EZ86" s="341">
        <f>IF(INDEX(tab_MinKomp[MS Office (Word)],MATCH($B85,tab_MinKomp[[Stanowisko / Position ]:[Stanowisko / Position ]],0))="n/a","n/a",EZ85-INDEX(tab_MinKomp[MS Office (Word)],MATCH($B85,tab_MinKomp[[Stanowisko / Position ]:[Stanowisko / Position ]],0)))</f>
        <v>0</v>
      </c>
      <c r="FA86" s="341">
        <f>IF(INDEX(tab_MinKomp[MS Office (Power Point)],MATCH($B85,tab_MinKomp[[Stanowisko / Position ]:[Stanowisko / Position ]],0))="n/a","n/a",FA85-INDEX(tab_MinKomp[MS Office (Power Point)],MATCH($B85,tab_MinKomp[[Stanowisko / Position ]:[Stanowisko / Position ]],0)))</f>
        <v>0</v>
      </c>
      <c r="FB86" s="341">
        <f>IF(INDEX(tab_MinKomp[Język angielski / Englisch],MATCH($B85,tab_MinKomp[[Stanowisko / Position ]:[Stanowisko / Position ]],0))="n/a","n/a",FB85-INDEX(tab_MinKomp[Język angielski / Englisch],MATCH($B85,tab_MinKomp[[Stanowisko / Position ]:[Stanowisko / Position ]],0)))</f>
        <v>-1</v>
      </c>
      <c r="FC86" s="341" t="str">
        <f>IF(INDEX(tab_MinKomp[Język niemiecki / Deutsch],MATCH($B85,tab_MinKomp[[Stanowisko / Position ]:[Stanowisko / Position ]],0))="n/a","n/a",FC85-INDEX(tab_MinKomp[Język niemiecki / Deutsch],MATCH($B85,tab_MinKomp[[Stanowisko / Position ]:[Stanowisko / Position ]],0)))</f>
        <v>n/a</v>
      </c>
      <c r="FD86" s="341">
        <f>IF(INDEX(tab_MinKomp[Zarządzanie dokumentacją procesową / Process dokumentation management],MATCH($B85,tab_MinKomp[[Stanowisko / Position ]:[Stanowisko / Position ]],0))="n/a","n/a",FD85-INDEX(tab_MinKomp[Zarządzanie dokumentacją procesową / Process dokumentation management],MATCH($B85,tab_MinKomp[[Stanowisko / Position ]:[Stanowisko / Position ]],0)))</f>
        <v>-1</v>
      </c>
      <c r="FE86" s="341">
        <f>IF(INDEX(tab_MinKomp[Znajomość procesów z obszaru / Kenntiss der prozesse in dem Bereich],MATCH($B85,tab_MinKomp[[Stanowisko / Position ]:[Stanowisko / Position ]],0))="n/a","n/a",FE85-INDEX(tab_MinKomp[Znajomość procesów z obszaru / Kenntiss der prozesse in dem Bereich],MATCH($B85,tab_MinKomp[[Stanowisko / Position ]:[Stanowisko / Position ]],0)))</f>
        <v>-1</v>
      </c>
      <c r="FF86" s="341">
        <f>IF(INDEX(tab_MinKomp[optymalizacja procesów / Prozessoptymalisierung],MATCH($B85,tab_MinKomp[[Stanowisko / Position ]:[Stanowisko / Position ]],0))="n/a","n/a",FF85-INDEX(tab_MinKomp[optymalizacja procesów / Prozessoptymalisierung],MATCH($B85,tab_MinKomp[[Stanowisko / Position ]:[Stanowisko / Position ]],0)))</f>
        <v>-1</v>
      </c>
      <c r="FG86" s="341">
        <f>IF(INDEX(tab_MinKomp[Umiejętności szkoleniowe / Trainingsfähigkeiten],MATCH($B85,tab_MinKomp[[Stanowisko / Position ]:[Stanowisko / Position ]],0))="n/a","n/a",FG85-INDEX(tab_MinKomp[Umiejętności szkoleniowe / Trainingsfähigkeiten],MATCH($B85,tab_MinKomp[[Stanowisko / Position ]:[Stanowisko / Position ]],0)))</f>
        <v>-1</v>
      </c>
      <c r="FH86" s="341">
        <f>IF(INDEX(tab_MinKomp[Analityczne myślenie, podejście / Analitysches Denken, Einstellung],MATCH($B85,tab_MinKomp[[Stanowisko / Position ]:[Stanowisko / Position ]],0))="n/a","n/a",FH85-INDEX(tab_MinKomp[Analityczne myślenie, podejście / Analitysches Denken, Einstellung],MATCH($B85,tab_MinKomp[[Stanowisko / Position ]:[Stanowisko / Position ]],0)))</f>
        <v>0</v>
      </c>
      <c r="FI86" s="341">
        <f>IF(INDEX(tab_MinKomp[Dokładność, precyzja w dzialaniu / Genauigkeit, Präzision in die Arbeit],MATCH($B85,tab_MinKomp[[Stanowisko / Position ]:[Stanowisko / Position ]],0))="n/a","n/a",FI85-INDEX(tab_MinKomp[Dokładność, precyzja w dzialaniu / Genauigkeit, Präzision in die Arbeit],MATCH($B85,tab_MinKomp[[Stanowisko / Position ]:[Stanowisko / Position ]],0)))</f>
        <v>-1</v>
      </c>
      <c r="FJ86" s="341">
        <f>IF(INDEX(tab_MinKomp[Dyspozycyjność / Verfügbarkeit],MATCH($B85,tab_MinKomp[[Stanowisko / Position ]:[Stanowisko / Position ]],0))="n/a","n/a",FJ85-INDEX(tab_MinKomp[Dyspozycyjność / Verfügbarkeit],MATCH($B85,tab_MinKomp[[Stanowisko / Position ]:[Stanowisko / Position ]],0)))</f>
        <v>1</v>
      </c>
      <c r="FK86" s="341">
        <f>IF(INDEX(tab_MinKomp[Zaangażowanie / 
Engagement],MATCH($B85,tab_MinKomp[[Stanowisko / Position ]:[Stanowisko / Position ]],0))="n/a","n/a",FK85-INDEX(tab_MinKomp[Zaangażowanie / 
Engagement],MATCH($B85,tab_MinKomp[[Stanowisko / Position ]:[Stanowisko / Position ]],0)))</f>
        <v>1</v>
      </c>
      <c r="FL86" s="341">
        <f>IF(INDEX(tab_MinKomp[Planowanie strategiczne / Strategische Planung],MATCH($B85,tab_MinKomp[[Stanowisko / Position ]:[Stanowisko / Position ]],0))="n/a","n/a",FL85-INDEX(tab_MinKomp[Planowanie strategiczne / Strategische Planung],MATCH($B85,tab_MinKomp[[Stanowisko / Position ]:[Stanowisko / Position ]],0)))</f>
        <v>1</v>
      </c>
      <c r="FM86" s="341">
        <f>IF(INDEX(tab_MinKomp[Konsekwentne i dynamiczne działanie],MATCH($B85,tab_MinKomp[[Stanowisko / Position ]:[Stanowisko / Position ]],0))="n/a","n/a",FM85-INDEX(tab_MinKomp[Konsekwentne i dynamiczne działanie],MATCH($B85,tab_MinKomp[[Stanowisko / Position ]:[Stanowisko / Position ]],0)))</f>
        <v>0</v>
      </c>
      <c r="FN86" s="341">
        <f>IF(INDEX(tab_MinKomp[Elastyczność w działaniu],MATCH($B85,tab_MinKomp[[Stanowisko / Position ]:[Stanowisko / Position ]],0))="n/a","n/a",FN85-INDEX(tab_MinKomp[Elastyczność w działaniu],MATCH($B85,tab_MinKomp[[Stanowisko / Position ]:[Stanowisko / Position ]],0)))</f>
        <v>0</v>
      </c>
      <c r="FO86" s="341">
        <f>IF(INDEX(tab_MinKomp[Komunikatywność],MATCH($B85,tab_MinKomp[[Stanowisko / Position ]:[Stanowisko / Position ]],0))="n/a","n/a",FO85-INDEX(tab_MinKomp[Komunikatywność],MATCH($B85,tab_MinKomp[[Stanowisko / Position ]:[Stanowisko / Position ]],0)))</f>
        <v>0</v>
      </c>
      <c r="FP86" s="341" t="str">
        <f>IF(INDEX(tab_MinKomp[Motywowanie i budowanie zaangażowania zespołu],MATCH($B85,tab_MinKomp[[Stanowisko / Position ]:[Stanowisko / Position ]],0))="n/a","n/a",FP85-INDEX(tab_MinKomp[Motywowanie i budowanie zaangażowania zespołu],MATCH($B85,tab_MinKomp[[Stanowisko / Position ]:[Stanowisko / Position ]],0)))</f>
        <v>n/a</v>
      </c>
      <c r="FQ86" s="341" t="str">
        <f>IF(INDEX(tab_MinKomp[Motywowanie i budowanie zaangażowania zespołu],MATCH($B85,tab_MinKomp[[Stanowisko / Position ]:[Stanowisko / Position ]],0))="n/a","n/a",FQ85-INDEX(tab_MinKomp[Motywowanie i budowanie zaangażowania zespołu],MATCH($B85,tab_MinKomp[[Stanowisko / Position ]:[Stanowisko / Position ]],0)))</f>
        <v>n/a</v>
      </c>
      <c r="FR86" s="341" t="str">
        <f>IF(INDEX(tab_MinKomp[BRAK / Keine],MATCH($B85,tab_MinKomp[[Stanowisko / Position ]:[Stanowisko / Position ]],0))="n/a","n/a",FR85-INDEX(tab_MinKomp[BRAK / Keine],MATCH($B85,tab_MinKomp[[Stanowisko / Position ]:[Stanowisko / Position ]],0)))</f>
        <v>n/a</v>
      </c>
      <c r="FS86" s="341" t="str">
        <f>IF(INDEX(tab_MinKomp[MINIMUM 1 ROK / min. 1 Jahr],MATCH($B85,tab_MinKomp[[Stanowisko / Position ]:[Stanowisko / Position ]],0))="n/a","n/a",FS85-INDEX(tab_MinKomp[MINIMUM 1 ROK / min. 1 Jahr],MATCH($B85,tab_MinKomp[[Stanowisko / Position ]:[Stanowisko / Position ]],0)))</f>
        <v>n/a</v>
      </c>
      <c r="FT86" s="341" t="str">
        <f>IF(INDEX(tab_MinKomp[MINIMUM 2 LATA / min. 2 Jahre],MATCH($B85,tab_MinKomp[[Stanowisko / Position ]:[Stanowisko / Position ]],0))="n/a","n/a",FT85-INDEX(tab_MinKomp[MINIMUM 2 LATA / min. 2 Jahre],MATCH($B85,tab_MinKomp[[Stanowisko / Position ]:[Stanowisko / Position ]],0)))</f>
        <v>n/a</v>
      </c>
      <c r="FU86" s="341" t="str">
        <f>IF(INDEX(tab_MinKomp[MINIMUM 3 LATA / min. 3 Jahre],MATCH($B85,tab_MinKomp[[Stanowisko / Position ]:[Stanowisko / Position ]],0))="n/a","n/a",FU85-INDEX(tab_MinKomp[MINIMUM 3 LATA / min. 3 Jahre],MATCH($B85,tab_MinKomp[[Stanowisko / Position ]:[Stanowisko / Position ]],0)))</f>
        <v>n/a</v>
      </c>
      <c r="FV86" s="341" t="str">
        <f>IF(INDEX(tab_MinKomp[MINIMUM 4 LATA / min. 4 Jahre],MATCH($B85,tab_MinKomp[[Stanowisko / Position ]:[Stanowisko / Position ]],0))="n/a","n/a",FV85-INDEX(tab_MinKomp[MINIMUM 4 LATA / min. 4 Jahre],MATCH($B85,tab_MinKomp[[Stanowisko / Position ]:[Stanowisko / Position ]],0)))</f>
        <v>n/a</v>
      </c>
      <c r="FW86" s="341" t="str">
        <f>IF(INDEX(tab_MinKomp[MINIMUM 5 LAT / min. 5 Jahre],MATCH($B85,tab_MinKomp[[Stanowisko / Position ]:[Stanowisko / Position ]],0))="n/a","n/a",FW85-INDEX(tab_MinKomp[MINIMUM 5 LAT / min. 5 Jahre],MATCH($B85,tab_MinKomp[[Stanowisko / Position ]:[Stanowisko / Position ]],0)))</f>
        <v>n/a</v>
      </c>
      <c r="FX86" s="341" t="str">
        <f>IF(INDEX(tab_MinKomp[BRAK / Keine9],MATCH($B85,tab_MinKomp[[Stanowisko / Position ]:[Stanowisko / Position ]],0))="n/a","n/a",FX85-INDEX(tab_MinKomp[BRAK / Keine9],MATCH($B85,tab_MinKomp[[Stanowisko / Position ]:[Stanowisko / Position ]],0)))</f>
        <v>n/a</v>
      </c>
      <c r="FY86" s="341" t="str">
        <f>IF(INDEX(tab_MinKomp[ZAWODOWE / Berufsausbildung],MATCH($B85,tab_MinKomp[[Stanowisko / Position ]:[Stanowisko / Position ]],0))="n/a","n/a",FY85-INDEX(tab_MinKomp[ZAWODOWE / Berufsausbildung],MATCH($B85,tab_MinKomp[[Stanowisko / Position ]:[Stanowisko / Position ]],0)))</f>
        <v>n/a</v>
      </c>
      <c r="FZ86" s="341" t="s">
        <v>387</v>
      </c>
      <c r="GA86" s="341" t="str">
        <f>IF(INDEX(tab_MinKomp[WYŻSZE OGÓLNE / Hochschule allgemeine],MATCH($B85,tab_MinKomp[[Stanowisko / Position ]:[Stanowisko / Position ]],0))="n/a","n/a",GA85-INDEX(tab_MinKomp[WYŻSZE OGÓLNE / Hochschule allgemeine],MATCH($B85,tab_MinKomp[[Stanowisko / Position ]:[Stanowisko / Position ]],0)))</f>
        <v>n/a</v>
      </c>
      <c r="GB86" s="341" t="str">
        <f>IF(INDEX(tab_MinKomp[WYŻSZE OGÓLNE / Hochschule allgemeine],MATCH($B85,tab_MinKomp[[Stanowisko / Position ]:[Stanowisko / Position ]],0))="n/a","n/a",GB85-INDEX(tab_MinKomp[WYŻSZE OGÓLNE / Hochschule allgemeine],MATCH($B85,tab_MinKomp[[Stanowisko / Position ]:[Stanowisko / Position ]],0)))</f>
        <v>n/a</v>
      </c>
      <c r="GC86" s="341" t="str">
        <f>IF(INDEX(tab_MinKomp[WYŻSZE KIERUNKOWE / Hochschule berufliche],MATCH($B85,tab_MinKomp[[Stanowisko / Position ]:[Stanowisko / Position ]],0))="n/a","n/a",GC85-INDEX(tab_MinKomp[WYŻSZE KIERUNKOWE / Hochschule berufliche],MATCH($B85,tab_MinKomp[[Stanowisko / Position ]:[Stanowisko / Position ]],0)))</f>
        <v>n/a</v>
      </c>
      <c r="GD86" s="341" t="str">
        <f>IF(INDEX(tab_MinKomp[PIERWSZA POMOC / Erste Hilfe],MATCH($B85,tab_MinKomp[[Stanowisko / Position ]:[Stanowisko / Position ]],0))="n/a","n/a",GD85-INDEX(tab_MinKomp[PIERWSZA POMOC / Erste Hilfe],MATCH($B85,tab_MinKomp[[Stanowisko / Position ]:[Stanowisko / Position ]],0)))</f>
        <v>n/a</v>
      </c>
      <c r="GE86" s="341" t="str">
        <f>IF(INDEX(tab_MinKomp[Specjalista BHP / BHP Spezialist],MATCH($B85,tab_MinKomp[[Stanowisko / Position ]:[Stanowisko / Position ]],0))="n/a","n/a",GE85-INDEX(tab_MinKomp[Specjalista BHP / BHP Spezialist],MATCH($B85,tab_MinKomp[[Stanowisko / Position ]:[Stanowisko / Position ]],0)))</f>
        <v>n/a</v>
      </c>
      <c r="GF86" s="341" t="str">
        <f>IF(INDEX(tab_MinKomp[Inspektor ochrony PPOŻ / Brandschutzinspektor],MATCH($B85,tab_MinKomp[[Stanowisko / Position ]:[Stanowisko / Position ]],0))="n/a","n/a",GD85-INDEX(tab_MinKomp[Inspektor ochrony PPOŻ / Brandschutzinspektor],MATCH($B85,tab_MinKomp[[Stanowisko / Position ]:[Stanowisko / Position ]],0)))</f>
        <v>n/a</v>
      </c>
      <c r="GG86" s="341" t="s">
        <v>387</v>
      </c>
      <c r="GH86" s="341" t="str">
        <f>IF(INDEX(tab_MinKomp[Inspektor ochrony PPOŻ / Brandschutzinspektor],MATCH($B85,tab_MinKomp[[Stanowisko / Position ]:[Stanowisko / Position ]],0))="n/a","n/a",GF85-INDEX(tab_MinKomp[Inspektor ochrony PPOŻ / Brandschutzinspektor],MATCH($B85,tab_MinKomp[[Stanowisko / Position ]:[Stanowisko / Position ]],0)))</f>
        <v>n/a</v>
      </c>
      <c r="GI86" s="341" t="s">
        <v>387</v>
      </c>
      <c r="GJ86" s="341" t="str">
        <f>IF(INDEX(tab_MinKomp[Inspektor ochrony PPOŻ / Brandschutzinspektor],MATCH($B85,tab_MinKomp[[Stanowisko / Position ]:[Stanowisko / Position ]],0))="n/a","n/a",#REF!-INDEX(tab_MinKomp[Inspektor ochrony PPOŻ / Brandschutzinspektor],MATCH($B85,tab_MinKomp[[Stanowisko / Position ]:[Stanowisko / Position ]],0)))</f>
        <v>n/a</v>
      </c>
      <c r="GK86" s="341" t="s">
        <v>387</v>
      </c>
      <c r="GL86" s="320">
        <f>SUM(G86:FP86)/(GL85-(SUM(G86:FP86)))</f>
        <v>-0.19658119658119658</v>
      </c>
      <c r="GM86" s="132"/>
    </row>
    <row r="87" spans="1:195" s="133" customFormat="1" ht="28.35" customHeight="1" x14ac:dyDescent="0.25">
      <c r="A87" s="135" t="s">
        <v>181</v>
      </c>
      <c r="B87" s="135" t="s">
        <v>199</v>
      </c>
      <c r="C87" s="135" t="s">
        <v>613</v>
      </c>
      <c r="D87" s="135">
        <v>527</v>
      </c>
      <c r="E87" s="565" t="s">
        <v>245</v>
      </c>
      <c r="F87" s="307" t="s">
        <v>165</v>
      </c>
      <c r="G87" s="308">
        <v>2</v>
      </c>
      <c r="H87" s="308">
        <v>2</v>
      </c>
      <c r="I87" s="308">
        <v>2</v>
      </c>
      <c r="J87" s="308">
        <v>2</v>
      </c>
      <c r="K87" s="308">
        <v>2</v>
      </c>
      <c r="L87" s="308">
        <v>1</v>
      </c>
      <c r="M87" s="308" t="s">
        <v>176</v>
      </c>
      <c r="N87" s="308" t="s">
        <v>176</v>
      </c>
      <c r="O87" s="308">
        <v>1</v>
      </c>
      <c r="P87" s="308">
        <v>1</v>
      </c>
      <c r="Q87" s="308" t="s">
        <v>176</v>
      </c>
      <c r="R87" s="308" t="s">
        <v>176</v>
      </c>
      <c r="S87" s="308" t="s">
        <v>176</v>
      </c>
      <c r="T87" s="308" t="s">
        <v>176</v>
      </c>
      <c r="U87" s="308" t="s">
        <v>176</v>
      </c>
      <c r="V87" s="308" t="s">
        <v>176</v>
      </c>
      <c r="W87" s="308" t="s">
        <v>176</v>
      </c>
      <c r="X87" s="308" t="s">
        <v>176</v>
      </c>
      <c r="Y87" s="308" t="s">
        <v>176</v>
      </c>
      <c r="Z87" s="308" t="s">
        <v>176</v>
      </c>
      <c r="AA87" s="308" t="s">
        <v>176</v>
      </c>
      <c r="AB87" s="308">
        <v>2</v>
      </c>
      <c r="AC87" s="308">
        <v>1</v>
      </c>
      <c r="AD87" s="308">
        <v>1</v>
      </c>
      <c r="AE87" s="308">
        <v>1</v>
      </c>
      <c r="AF87" s="308">
        <v>1</v>
      </c>
      <c r="AG87" s="308" t="s">
        <v>176</v>
      </c>
      <c r="AH87" s="308" t="s">
        <v>176</v>
      </c>
      <c r="AI87" s="308" t="s">
        <v>176</v>
      </c>
      <c r="AJ87" s="308" t="s">
        <v>176</v>
      </c>
      <c r="AK87" s="308" t="s">
        <v>176</v>
      </c>
      <c r="AL87" s="308">
        <v>1</v>
      </c>
      <c r="AM87" s="308">
        <v>1</v>
      </c>
      <c r="AN87" s="308">
        <v>1</v>
      </c>
      <c r="AO87" s="308" t="s">
        <v>176</v>
      </c>
      <c r="AP87" s="308">
        <v>1</v>
      </c>
      <c r="AQ87" s="308" t="s">
        <v>176</v>
      </c>
      <c r="AR87" s="308" t="s">
        <v>176</v>
      </c>
      <c r="AS87" s="308">
        <v>1</v>
      </c>
      <c r="AT87" s="308">
        <v>1</v>
      </c>
      <c r="AU87" s="308">
        <v>1</v>
      </c>
      <c r="AV87" s="308">
        <v>2</v>
      </c>
      <c r="AW87" s="308">
        <v>1</v>
      </c>
      <c r="AX87" s="308">
        <v>1</v>
      </c>
      <c r="AY87" s="308" t="s">
        <v>176</v>
      </c>
      <c r="AZ87" s="308" t="s">
        <v>176</v>
      </c>
      <c r="BA87" s="308" t="s">
        <v>176</v>
      </c>
      <c r="BB87" s="308" t="s">
        <v>176</v>
      </c>
      <c r="BC87" s="308" t="s">
        <v>176</v>
      </c>
      <c r="BD87" s="308" t="s">
        <v>176</v>
      </c>
      <c r="BE87" s="308" t="s">
        <v>176</v>
      </c>
      <c r="BF87" s="308" t="s">
        <v>176</v>
      </c>
      <c r="BG87" s="308" t="s">
        <v>176</v>
      </c>
      <c r="BH87" s="308" t="s">
        <v>176</v>
      </c>
      <c r="BI87" s="308" t="s">
        <v>176</v>
      </c>
      <c r="BJ87" s="308" t="s">
        <v>176</v>
      </c>
      <c r="BK87" s="308" t="s">
        <v>176</v>
      </c>
      <c r="BL87" s="308" t="s">
        <v>176</v>
      </c>
      <c r="BM87" s="308" t="s">
        <v>176</v>
      </c>
      <c r="BN87" s="308">
        <v>1</v>
      </c>
      <c r="BO87" s="308">
        <v>1</v>
      </c>
      <c r="BP87" s="308">
        <v>1</v>
      </c>
      <c r="BQ87" s="308">
        <v>1</v>
      </c>
      <c r="BR87" s="308">
        <v>1</v>
      </c>
      <c r="BS87" s="308">
        <v>1</v>
      </c>
      <c r="BT87" s="308">
        <v>1</v>
      </c>
      <c r="BU87" s="308">
        <v>1</v>
      </c>
      <c r="BV87" s="308">
        <v>2</v>
      </c>
      <c r="BW87" s="308">
        <v>2</v>
      </c>
      <c r="BX87" s="308">
        <v>2</v>
      </c>
      <c r="BY87" s="308">
        <v>1</v>
      </c>
      <c r="BZ87" s="308" t="s">
        <v>176</v>
      </c>
      <c r="CA87" s="308" t="s">
        <v>176</v>
      </c>
      <c r="CB87" s="308" t="s">
        <v>176</v>
      </c>
      <c r="CC87" s="308" t="s">
        <v>176</v>
      </c>
      <c r="CD87" s="308" t="s">
        <v>176</v>
      </c>
      <c r="CE87" s="308" t="s">
        <v>176</v>
      </c>
      <c r="CF87" s="308" t="s">
        <v>176</v>
      </c>
      <c r="CG87" s="308" t="s">
        <v>176</v>
      </c>
      <c r="CH87" s="308" t="s">
        <v>176</v>
      </c>
      <c r="CI87" s="308">
        <v>2</v>
      </c>
      <c r="CJ87" s="308" t="s">
        <v>176</v>
      </c>
      <c r="CK87" s="308">
        <v>2</v>
      </c>
      <c r="CL87" s="308">
        <v>2</v>
      </c>
      <c r="CM87" s="308">
        <v>2</v>
      </c>
      <c r="CN87" s="308">
        <v>2</v>
      </c>
      <c r="CO87" s="308">
        <v>2</v>
      </c>
      <c r="CP87" s="308">
        <v>2</v>
      </c>
      <c r="CQ87" s="308" t="s">
        <v>176</v>
      </c>
      <c r="CR87" s="308">
        <v>1</v>
      </c>
      <c r="CS87" s="308" t="s">
        <v>176</v>
      </c>
      <c r="CT87" s="308" t="s">
        <v>176</v>
      </c>
      <c r="CU87" s="308">
        <v>2</v>
      </c>
      <c r="CV87" s="308">
        <v>1</v>
      </c>
      <c r="CW87" s="308" t="s">
        <v>176</v>
      </c>
      <c r="CX87" s="308" t="s">
        <v>176</v>
      </c>
      <c r="CY87" s="308" t="s">
        <v>176</v>
      </c>
      <c r="CZ87" s="308" t="s">
        <v>176</v>
      </c>
      <c r="DA87" s="308" t="s">
        <v>176</v>
      </c>
      <c r="DB87" s="308" t="s">
        <v>176</v>
      </c>
      <c r="DC87" s="308" t="s">
        <v>176</v>
      </c>
      <c r="DD87" s="308" t="s">
        <v>176</v>
      </c>
      <c r="DE87" s="308" t="s">
        <v>176</v>
      </c>
      <c r="DF87" s="308" t="s">
        <v>176</v>
      </c>
      <c r="DG87" s="308" t="s">
        <v>176</v>
      </c>
      <c r="DH87" s="308" t="s">
        <v>176</v>
      </c>
      <c r="DI87" s="308" t="s">
        <v>176</v>
      </c>
      <c r="DJ87" s="308" t="s">
        <v>176</v>
      </c>
      <c r="DK87" s="308" t="s">
        <v>176</v>
      </c>
      <c r="DL87" s="308" t="s">
        <v>176</v>
      </c>
      <c r="DM87" s="308" t="s">
        <v>176</v>
      </c>
      <c r="DN87" s="308" t="s">
        <v>176</v>
      </c>
      <c r="DO87" s="308" t="s">
        <v>176</v>
      </c>
      <c r="DP87" s="308" t="s">
        <v>176</v>
      </c>
      <c r="DQ87" s="308" t="s">
        <v>176</v>
      </c>
      <c r="DR87" s="308" t="s">
        <v>176</v>
      </c>
      <c r="DS87" s="308" t="s">
        <v>176</v>
      </c>
      <c r="DT87" s="308" t="s">
        <v>176</v>
      </c>
      <c r="DU87" s="308">
        <v>1</v>
      </c>
      <c r="DV87" s="306" t="s">
        <v>176</v>
      </c>
      <c r="DW87" s="306" t="s">
        <v>176</v>
      </c>
      <c r="DX87" s="306" t="s">
        <v>176</v>
      </c>
      <c r="DY87" s="308">
        <v>2</v>
      </c>
      <c r="DZ87" s="308">
        <v>2</v>
      </c>
      <c r="EA87" s="308">
        <v>2</v>
      </c>
      <c r="EB87" s="308">
        <v>3</v>
      </c>
      <c r="EC87" s="308">
        <v>2</v>
      </c>
      <c r="ED87" s="308">
        <v>2</v>
      </c>
      <c r="EE87" s="308">
        <v>2</v>
      </c>
      <c r="EF87" s="308">
        <v>2</v>
      </c>
      <c r="EG87" s="308">
        <v>3</v>
      </c>
      <c r="EH87" s="308">
        <v>3</v>
      </c>
      <c r="EI87" s="308">
        <v>3</v>
      </c>
      <c r="EJ87" s="308">
        <v>3</v>
      </c>
      <c r="EK87" s="308">
        <v>3</v>
      </c>
      <c r="EL87" s="308">
        <v>2</v>
      </c>
      <c r="EM87" s="308">
        <v>3</v>
      </c>
      <c r="EN87" s="308">
        <v>3</v>
      </c>
      <c r="EO87" s="308">
        <v>1</v>
      </c>
      <c r="EP87" s="308" t="s">
        <v>176</v>
      </c>
      <c r="EQ87" s="308" t="s">
        <v>176</v>
      </c>
      <c r="ER87" s="308" t="s">
        <v>176</v>
      </c>
      <c r="ES87" s="308" t="s">
        <v>176</v>
      </c>
      <c r="ET87" s="308" t="s">
        <v>176</v>
      </c>
      <c r="EU87" s="308" t="s">
        <v>176</v>
      </c>
      <c r="EV87" s="308" t="s">
        <v>176</v>
      </c>
      <c r="EW87" s="308" t="s">
        <v>176</v>
      </c>
      <c r="EX87" s="308" t="s">
        <v>176</v>
      </c>
      <c r="EY87" s="308">
        <v>1</v>
      </c>
      <c r="EZ87" s="308">
        <v>1</v>
      </c>
      <c r="FA87" s="308">
        <v>1</v>
      </c>
      <c r="FB87" s="309">
        <v>1</v>
      </c>
      <c r="FC87" s="309">
        <v>1</v>
      </c>
      <c r="FD87" s="308">
        <v>2</v>
      </c>
      <c r="FE87" s="308">
        <v>2</v>
      </c>
      <c r="FF87" s="308">
        <v>2</v>
      </c>
      <c r="FG87" s="308">
        <v>2</v>
      </c>
      <c r="FH87" s="308">
        <v>3</v>
      </c>
      <c r="FI87" s="308">
        <v>2</v>
      </c>
      <c r="FJ87" s="308">
        <v>2</v>
      </c>
      <c r="FK87" s="308">
        <v>1</v>
      </c>
      <c r="FL87" s="308">
        <v>1</v>
      </c>
      <c r="FM87" s="308">
        <v>2</v>
      </c>
      <c r="FN87" s="308">
        <v>1</v>
      </c>
      <c r="FO87" s="308">
        <v>1</v>
      </c>
      <c r="FP87" s="308" t="s">
        <v>176</v>
      </c>
      <c r="FQ87" s="308" t="s">
        <v>176</v>
      </c>
      <c r="FR87" s="308" t="s">
        <v>176</v>
      </c>
      <c r="FS87" s="308" t="s">
        <v>176</v>
      </c>
      <c r="FT87" s="308" t="s">
        <v>176</v>
      </c>
      <c r="FU87" s="308" t="s">
        <v>176</v>
      </c>
      <c r="FV87" s="308" t="s">
        <v>176</v>
      </c>
      <c r="FW87" s="308" t="s">
        <v>176</v>
      </c>
      <c r="FX87" s="308" t="s">
        <v>176</v>
      </c>
      <c r="FY87" s="308" t="s">
        <v>176</v>
      </c>
      <c r="FZ87" s="308" t="s">
        <v>176</v>
      </c>
      <c r="GA87" s="308" t="s">
        <v>387</v>
      </c>
      <c r="GB87" s="308" t="s">
        <v>176</v>
      </c>
      <c r="GC87" s="308" t="s">
        <v>176</v>
      </c>
      <c r="GD87" s="308" t="s">
        <v>176</v>
      </c>
      <c r="GE87" s="308" t="s">
        <v>176</v>
      </c>
      <c r="GF87" s="308" t="s">
        <v>176</v>
      </c>
      <c r="GG87" s="308" t="s">
        <v>176</v>
      </c>
      <c r="GH87" s="308" t="s">
        <v>387</v>
      </c>
      <c r="GI87" s="308" t="s">
        <v>176</v>
      </c>
      <c r="GJ87" s="308" t="s">
        <v>387</v>
      </c>
      <c r="GK87" s="308" t="s">
        <v>176</v>
      </c>
      <c r="GL87" s="329">
        <f>SUM(G87:FP87)</f>
        <v>131</v>
      </c>
      <c r="GM87" s="132"/>
    </row>
    <row r="88" spans="1:195" s="133" customFormat="1" ht="28.35" customHeight="1" thickBot="1" x14ac:dyDescent="0.3">
      <c r="A88" s="138" t="str">
        <f>A87</f>
        <v>Utrzymanie ruchu-Maintenance</v>
      </c>
      <c r="B88" s="138" t="str">
        <f>B87</f>
        <v>Automatyk</v>
      </c>
      <c r="C88" s="138" t="str">
        <f>C87</f>
        <v>KS</v>
      </c>
      <c r="D88" s="138">
        <f>D87</f>
        <v>527</v>
      </c>
      <c r="E88" s="566" t="str">
        <f>E87</f>
        <v>Koplin Dariusz</v>
      </c>
      <c r="F88" s="312" t="s">
        <v>166</v>
      </c>
      <c r="G88" s="341">
        <f>IF(INDEX(tab_MinKomp[Przepisy BHP / BHP Vorschriften],MATCH($B87,tab_MinKomp[[Stanowisko / Position ]:[Stanowisko / Position ]],0))="n/a","n/a",G87-INDEX(tab_MinKomp[Przepisy BHP / BHP Vorschriften],MATCH($B87,tab_MinKomp[[Stanowisko / Position ]:[Stanowisko / Position ]],0)))</f>
        <v>0</v>
      </c>
      <c r="H88" s="341">
        <f>IF(INDEX(tab_MinKomp[Przepisy PPOŻ / Brandschutzbestimmungen],MATCH($B87,tab_MinKomp[[Stanowisko / Position ]:[Stanowisko / Position ]],0))="n/a","n/a",H87-INDEX(tab_MinKomp[Przepisy PPOŻ / Brandschutzbestimmungen],MATCH($B87,tab_MinKomp[[Stanowisko / Position ]:[Stanowisko / Position ]],0)))</f>
        <v>0</v>
      </c>
      <c r="I88" s="341">
        <f>IF(INDEX(tab_MinKomp[Ryzyko zawodowe na stanowiskach pracyv/ Berufliche Risiken an Arbeitsstellen],MATCH($B87,tab_MinKomp[[Stanowisko / Position ]:[Stanowisko / Position ]],0))="n/a","n/a",I87-INDEX(tab_MinKomp[Ryzyko zawodowe na stanowiskach pracyv/ Berufliche Risiken an Arbeitsstellen],MATCH($B87,tab_MinKomp[[Stanowisko / Position ]:[Stanowisko / Position ]],0)))</f>
        <v>0</v>
      </c>
      <c r="J88" s="341">
        <f>IF(INDEX(tab_MinKomp[Gospodarka substancjami niebezpiecznymi / Gefahrstoffmanagement],MATCH($B87,tab_MinKomp[[Stanowisko / Position ]:[Stanowisko / Position ]],0))="n/a","n/a",J87-INDEX(tab_MinKomp[Gospodarka substancjami niebezpiecznymi / Gefahrstoffmanagement],MATCH($B87,tab_MinKomp[[Stanowisko / Position ]:[Stanowisko / Position ]],0)))</f>
        <v>0</v>
      </c>
      <c r="K88" s="341">
        <f>IF(INDEX(tab_MinKomp[Gospodarka odpadami / Abfallwirtschaft],MATCH($B87,tab_MinKomp[[Stanowisko / Position ]:[Stanowisko / Position ]],0))="n/a","n/a",K87-INDEX(tab_MinKomp[Gospodarka odpadami / Abfallwirtschaft],MATCH($B87,tab_MinKomp[[Stanowisko / Position ]:[Stanowisko / Position ]],0)))</f>
        <v>0</v>
      </c>
      <c r="L88" s="341">
        <f>IF(INDEX(tab_MinKomp[Przepisy kodeksu pracy / Bestimmungen des Arbeitsgesetzes],MATCH($B87,tab_MinKomp[[Stanowisko / Position ]:[Stanowisko / Position ]],0))="n/a","n/a",L87-INDEX(tab_MinKomp[Przepisy kodeksu pracy / Bestimmungen des Arbeitsgesetzes],MATCH($B87,tab_MinKomp[[Stanowisko / Position ]:[Stanowisko / Position ]],0)))</f>
        <v>0</v>
      </c>
      <c r="M88" s="341" t="str">
        <f>IF(INDEX(tab_MinKomp[Przepisy o ub.społ. ZUS  / Sozialversicherungsvorschriften],MATCH($B87,tab_MinKomp[[Stanowisko / Position ]:[Stanowisko / Position ]],0))="n/a","n/a",M87-INDEX(tab_MinKomp[Przepisy o ub.społ. ZUS  / Sozialversicherungsvorschriften],MATCH($B87,tab_MinKomp[[Stanowisko / Position ]:[Stanowisko / Position ]],0)))</f>
        <v>n/a</v>
      </c>
      <c r="N88" s="341" t="str">
        <f>IF(INDEX(tab_MinKomp[PRZEPISY O PDOF /persönlich Einkommensteuergesetz ],MATCH($B87,tab_MinKomp[[Stanowisko / Position ]:[Stanowisko / Position ]],0))="n/a","n/a",N87-INDEX(tab_MinKomp[PRZEPISY O PDOF /persönlich Einkommensteuergesetz ],MATCH($B87,tab_MinKomp[[Stanowisko / Position ]:[Stanowisko / Position ]],0)))</f>
        <v>n/a</v>
      </c>
      <c r="O88" s="341">
        <f>IF(INDEX(tab_MinKomp[Regulamin pracy / Arbeitsordnung],MATCH($B87,tab_MinKomp[[Stanowisko / Position ]:[Stanowisko / Position ]],0))="n/a","n/a",O87-INDEX(tab_MinKomp[Regulamin pracy / Arbeitsordnung],MATCH($B87,tab_MinKomp[[Stanowisko / Position ]:[Stanowisko / Position ]],0)))</f>
        <v>0</v>
      </c>
      <c r="P88" s="341">
        <f>IF(INDEX(tab_MinKomp[Regulamin wynagradzania / Vergütungsordnung],MATCH($B87,tab_MinKomp[[Stanowisko / Position ]:[Stanowisko / Position ]],0))="n/a","n/a",P87-INDEX(tab_MinKomp[Regulamin wynagradzania / Vergütungsordnung],MATCH($B87,tab_MinKomp[[Stanowisko / Position ]:[Stanowisko / Position ]],0)))</f>
        <v>0</v>
      </c>
      <c r="Q88" s="341" t="str">
        <f>IF(INDEX(tab_MinKomp[System R2PŁATNIK PRO: Płace / Lohnabrechnung],MATCH($B87,tab_MinKomp[[Stanowisko / Position ]:[Stanowisko / Position ]],0))="n/a","n/a",Q87-INDEX(tab_MinKomp[System R2PŁATNIK PRO: Płace / Lohnabrechnung],MATCH($B87,tab_MinKomp[[Stanowisko / Position ]:[Stanowisko / Position ]],0)))</f>
        <v>n/a</v>
      </c>
      <c r="R88" s="341" t="str">
        <f>IF(INDEX(tab_MinKomp[SystemR2PŁATNIK PRO: KADRY / Personaldaten],MATCH($B87,tab_MinKomp[[Stanowisko / Position ]:[Stanowisko / Position ]],0))="n/a","n/a",R87-INDEX(tab_MinKomp[SystemR2PŁATNIK PRO: KADRY / Personaldaten],MATCH($B87,tab_MinKomp[[Stanowisko / Position ]:[Stanowisko / Position ]],0)))</f>
        <v>n/a</v>
      </c>
      <c r="S88" s="341" t="str">
        <f>IF(INDEX(tab_MinKomp[SYSTEM R2PŁATNIK PRO: zarządzanie pracownikami / Arbeitsverwaltung],MATCH($B87,tab_MinKomp[[Stanowisko / Position ]:[Stanowisko / Position ]],0))="n/a","n/a",S87-INDEX(tab_MinKomp[SYSTEM R2PŁATNIK PRO: zarządzanie pracownikami / Arbeitsverwaltung],MATCH($B87,tab_MinKomp[[Stanowisko / Position ]:[Stanowisko / Position ]],0)))</f>
        <v>n/a</v>
      </c>
      <c r="T88" s="341" t="str">
        <f>IF(INDEX(tab_MinKomp[Doradztwo, wsparcie personalne / Personalberatung und Unterstützung],MATCH($B87,tab_MinKomp[[Stanowisko / Position ]:[Stanowisko / Position ]],0))="n/a","n/a",T87-INDEX(tab_MinKomp[Doradztwo, wsparcie personalne / Personalberatung und Unterstützung],MATCH($B87,tab_MinKomp[[Stanowisko / Position ]:[Stanowisko / Position ]],0)))</f>
        <v>n/a</v>
      </c>
      <c r="U88" s="341" t="str">
        <f>IF(INDEX(tab_MinKomp[Przepisy o podatku VAT / MwSt.- Gesetz],MATCH($B87,tab_MinKomp[[Stanowisko / Position ]:[Stanowisko / Position ]],0))="n/a","n/a",U87-INDEX(tab_MinKomp[Przepisy o podatku VAT / MwSt.- Gesetz],MATCH($B87,tab_MinKomp[[Stanowisko / Position ]:[Stanowisko / Position ]],0)))</f>
        <v>n/a</v>
      </c>
      <c r="V88" s="341" t="str">
        <f>IF(INDEX(tab_MinKomp[PrzepisyPDOP / geschäftlich Einkommensteuergesetz],MATCH($B87,tab_MinKomp[[Stanowisko / Position ]:[Stanowisko / Position ]],0))="n/a","n/a",V87-INDEX(tab_MinKomp[PrzepisyPDOP / geschäftlich Einkommensteuergesetz],MATCH($B87,tab_MinKomp[[Stanowisko / Position ]:[Stanowisko / Position ]],0)))</f>
        <v>n/a</v>
      </c>
      <c r="W88" s="341" t="str">
        <f>IF(INDEX(tab_MinKomp[System BAAN / FINANSE (FIBU)],MATCH($B87,tab_MinKomp[[Stanowisko / Position ]:[Stanowisko / Position ]],0))="n/a","n/a",W87-INDEX(tab_MinKomp[System BAAN / FINANSE (FIBU)],MATCH($B87,tab_MinKomp[[Stanowisko / Position ]:[Stanowisko / Position ]],0)))</f>
        <v>n/a</v>
      </c>
      <c r="X88" s="341" t="str">
        <f>IF(INDEX(tab_MinKomp[Systemy pomocnicze / Hilfssysteme(STOCKPROGRAM, KALK2000 etc.)],MATCH($B87,tab_MinKomp[[Stanowisko / Position ]:[Stanowisko / Position ]],0))="n/a","n/a",X87-INDEX(tab_MinKomp[Systemy pomocnicze / Hilfssysteme(STOCKPROGRAM, KALK2000 etc.)],MATCH($B87,tab_MinKomp[[Stanowisko / Position ]:[Stanowisko / Position ]],0)))</f>
        <v>n/a</v>
      </c>
      <c r="Y88" s="341" t="str">
        <f>IF(INDEX(tab_MinKomp[Polityka rachunkowości / Buchführungspolitik],MATCH($B87,tab_MinKomp[[Stanowisko / Position ]:[Stanowisko / Position ]],0))="n/a","n/a",Y87-INDEX(tab_MinKomp[Polityka rachunkowości / Buchführungspolitik],MATCH($B87,tab_MinKomp[[Stanowisko / Position ]:[Stanowisko / Position ]],0)))</f>
        <v>n/a</v>
      </c>
      <c r="Z88" s="341" t="str">
        <f>IF(INDEX(tab_MinKomp[Ustawa o rachunkowości / Rechnungslegungsgesetz],MATCH($B87,tab_MinKomp[[Stanowisko / Position ]:[Stanowisko / Position ]],0))="n/a","n/a",Z87-INDEX(tab_MinKomp[Ustawa o rachunkowości / Rechnungslegungsgesetz],MATCH($B87,tab_MinKomp[[Stanowisko / Position ]:[Stanowisko / Position ]],0)))</f>
        <v>n/a</v>
      </c>
      <c r="AA88" s="341" t="str">
        <f>IF(INDEX(tab_MinKomp[WORKFLOW - TS-100],MATCH($B87,tab_MinKomp[[Stanowisko / Position ]:[Stanowisko / Position ]],0))="n/a","n/a",AA87-INDEX(tab_MinKomp[WORKFLOW - TS-100],MATCH($B87,tab_MinKomp[[Stanowisko / Position ]:[Stanowisko / Position ]],0)))</f>
        <v>n/a</v>
      </c>
      <c r="AB88" s="341">
        <f>IF(INDEX(tab_MinKomp[WORKFLOW - SFMS],MATCH($B87,tab_MinKomp[[Stanowisko / Position ]:[Stanowisko / Position ]],0))="n/a","n/a",AB87-INDEX(tab_MinKomp[WORKFLOW - SFMS],MATCH($B87,tab_MinKomp[[Stanowisko / Position ]:[Stanowisko / Position ]],0)))</f>
        <v>0</v>
      </c>
      <c r="AC88" s="341">
        <f>IF(INDEX(tab_MinKomp[System ISO 9001:2015],MATCH($B87,tab_MinKomp[[Stanowisko / Position ]:[Stanowisko / Position ]],0))="n/a","n/a",AC87-INDEX(tab_MinKomp[System ISO 9001:2015],MATCH($B87,tab_MinKomp[[Stanowisko / Position ]:[Stanowisko / Position ]],0)))</f>
        <v>0</v>
      </c>
      <c r="AD88" s="341">
        <f>IF(INDEX(tab_MinKomp[System IATF 16949:2016],MATCH($B87,tab_MinKomp[[Stanowisko / Position ]:[Stanowisko / Position ]],0))="n/a","n/a",AD87-INDEX(tab_MinKomp[System IATF 16949:2016],MATCH($B87,tab_MinKomp[[Stanowisko / Position ]:[Stanowisko / Position ]],0)))</f>
        <v>0</v>
      </c>
      <c r="AE88" s="341">
        <f>IF(INDEX(tab_MinKomp[System ISO 14001:2015],MATCH($B87,tab_MinKomp[[Stanowisko / Position ]:[Stanowisko / Position ]],0))="n/a","n/a",AE87-INDEX(tab_MinKomp[System ISO 14001:2015],MATCH($B87,tab_MinKomp[[Stanowisko / Position ]:[Stanowisko / Position ]],0)))</f>
        <v>0</v>
      </c>
      <c r="AF88" s="341">
        <f>IF(INDEX(tab_MinKomp[System PN-N 18001:2004 / ISO 45001:2018],MATCH($B87,tab_MinKomp[[Stanowisko / Position ]:[Stanowisko / Position ]],0))="n/a","n/a",AF87-INDEX(tab_MinKomp[System PN-N 18001:2004 / ISO 45001:2018],MATCH($B87,tab_MinKomp[[Stanowisko / Position ]:[Stanowisko / Position ]],0)))</f>
        <v>0</v>
      </c>
      <c r="AG88" s="341" t="str">
        <f>IF(INDEX(tab_MinKomp[Wymagania VDA 6.3 Process / Forderungen],MATCH($B87,tab_MinKomp[[Stanowisko / Position ]:[Stanowisko / Position ]],0))="n/a","n/a",AG87-INDEX(tab_MinKomp[Wymagania VDA 6.3 Process / Forderungen],MATCH($B87,tab_MinKomp[[Stanowisko / Position ]:[Stanowisko / Position ]],0)))</f>
        <v>n/a</v>
      </c>
      <c r="AH88" s="341" t="str">
        <f>IF(INDEX(tab_MinKomp[Wymagania VDA 6.5 Product / Forderungen],MATCH($B87,tab_MinKomp[[Stanowisko / Position ]:[Stanowisko / Position ]],0))="n/a","n/a",AH87-INDEX(tab_MinKomp[Wymagania VDA 6.5 Product / Forderungen],MATCH($B87,tab_MinKomp[[Stanowisko / Position ]:[Stanowisko / Position ]],0)))</f>
        <v>n/a</v>
      </c>
      <c r="AI88" s="341" t="str">
        <f>IF(INDEX(tab_MinKomp[PSCR (VW Product Safety &amp; Conformity Representative)],MATCH($B87,tab_MinKomp[[Stanowisko / Position ]:[Stanowisko / Position ]],0))="n/a","n/a",AI87-INDEX(tab_MinKomp[PSCR (VW Product Safety &amp; Conformity Representative)],MATCH($B87,tab_MinKomp[[Stanowisko / Position ]:[Stanowisko / Position ]],0)))</f>
        <v>n/a</v>
      </c>
      <c r="AJ88" s="341" t="str">
        <f>IF(INDEX(tab_MinKomp[Auditor systemu ISO 17025:2018],MATCH($B87,tab_MinKomp[[Stanowisko / Position ]:[Stanowisko / Position ]],0))="n/a","n/a",AJ87-INDEX(tab_MinKomp[Auditor systemu ISO 17025:2018],MATCH($B87,tab_MinKomp[[Stanowisko / Position ]:[Stanowisko / Position ]],0)))</f>
        <v>n/a</v>
      </c>
      <c r="AK88" s="341" t="str">
        <f>IF(INDEX(tab_MinKomp[Pełnomocnik systemu / Systemvertreter],MATCH($B87,tab_MinKomp[[Stanowisko / Position ]:[Stanowisko / Position ]],0))="n/a","n/a",AK87-INDEX(tab_MinKomp[Pełnomocnik systemu / Systemvertreter],MATCH($B87,tab_MinKomp[[Stanowisko / Position ]:[Stanowisko / Position ]],0)))</f>
        <v>n/a</v>
      </c>
      <c r="AL88" s="341">
        <f>IF(INDEX(tab_MinKomp[Polityka Etyczna - Compliance],MATCH($B87,tab_MinKomp[[Stanowisko / Position ]:[Stanowisko / Position ]],0))="n/a","n/a",AL87-INDEX(tab_MinKomp[Polityka Etyczna - Compliance],MATCH($B87,tab_MinKomp[[Stanowisko / Position ]:[Stanowisko / Position ]],0)))</f>
        <v>0</v>
      </c>
      <c r="AM88" s="341">
        <f>IF(INDEX(tab_MinKomp[WDRAŻANIE NOWYCH PROJEKTÓW/ PROCEDURA CTM],MATCH($B87,tab_MinKomp[[Stanowisko / Position ]:[Stanowisko / Position ]],0))="n/a","n/a",AM87-INDEX(tab_MinKomp[WDRAŻANIE NOWYCH PROJEKTÓW/ PROCEDURA CTM],MATCH($B87,tab_MinKomp[[Stanowisko / Position ]:[Stanowisko / Position ]],0)))</f>
        <v>0</v>
      </c>
      <c r="AN88" s="341" t="str">
        <f>IF(INDEX(tab_MinKomp[KAMIENIE MILOWE MSL/PIFF],MATCH($B87,tab_MinKomp[[Stanowisko / Position ]:[Stanowisko / Position ]],0))="n/a","n/a",AN87-INDEX(tab_MinKomp[KAMIENIE MILOWE MSL/PIFF],MATCH($B87,tab_MinKomp[[Stanowisko / Position ]:[Stanowisko / Position ]],0)))</f>
        <v>n/a</v>
      </c>
      <c r="AO88" s="341" t="str">
        <f>IF(INDEX(tab_MinKomp[CP],MATCH($B87,tab_MinKomp[[Stanowisko / Position ]:[Stanowisko / Position ]],0))="n/a","n/a",AO87-INDEX(tab_MinKomp[CP],MATCH($B87,tab_MinKomp[[Stanowisko / Position ]:[Stanowisko / Position ]],0)))</f>
        <v>n/a</v>
      </c>
      <c r="AP88" s="341" t="str">
        <f>IF(INDEX(tab_MinKomp[FMEA],MATCH($B87,tab_MinKomp[[Stanowisko / Position ]:[Stanowisko / Position ]],0))="n/a","n/a",AP87-INDEX(tab_MinKomp[FMEA],MATCH($B87,tab_MinKomp[[Stanowisko / Position ]:[Stanowisko / Position ]],0)))</f>
        <v>n/a</v>
      </c>
      <c r="AQ88" s="341" t="str">
        <f>IF(INDEX(tab_MinKomp[FLOW CHART],MATCH($B87,tab_MinKomp[[Stanowisko / Position ]:[Stanowisko / Position ]],0))="n/a","n/a",AQ87-INDEX(tab_MinKomp[FLOW CHART],MATCH($B87,tab_MinKomp[[Stanowisko / Position ]:[Stanowisko / Position ]],0)))</f>
        <v>n/a</v>
      </c>
      <c r="AR88" s="341" t="str">
        <f>IF(INDEX(tab_MinKomp[APQP],MATCH($B87,tab_MinKomp[[Stanowisko / Position ]:[Stanowisko / Position ]],0))="n/a","n/a",AR87-INDEX(tab_MinKomp[APQP],MATCH($B87,tab_MinKomp[[Stanowisko / Position ]:[Stanowisko / Position ]],0)))</f>
        <v>n/a</v>
      </c>
      <c r="AS88" s="341" t="str">
        <f>IF(INDEX(tab_MinKomp[MSA],MATCH($B87,tab_MinKomp[[Stanowisko / Position ]:[Stanowisko / Position ]],0))="n/a","n/a",AS87-INDEX(tab_MinKomp[MSA],MATCH($B87,tab_MinKomp[[Stanowisko / Position ]:[Stanowisko / Position ]],0)))</f>
        <v>n/a</v>
      </c>
      <c r="AT88" s="341" t="str">
        <f>IF(INDEX(tab_MinKomp[SPC],MATCH($B87,tab_MinKomp[[Stanowisko / Position ]:[Stanowisko / Position ]],0))="n/a","n/a",AT87-INDEX(tab_MinKomp[SPC],MATCH($B87,tab_MinKomp[[Stanowisko / Position ]:[Stanowisko / Position ]],0)))</f>
        <v>n/a</v>
      </c>
      <c r="AU88" s="341" t="str">
        <f>IF(INDEX(tab_MinKomp[CSR (SPECYFICZNE WYMAGANIA KLIENTA)],MATCH($B87,tab_MinKomp[[Stanowisko / Position ]:[Stanowisko / Position ]],0))="n/a","n/a",AU87-INDEX(tab_MinKomp[CSR (SPECYFICZNE WYMAGANIA KLIENTA)],MATCH($B87,tab_MinKomp[[Stanowisko / Position ]:[Stanowisko / Position ]],0)))</f>
        <v>n/a</v>
      </c>
      <c r="AV88" s="341">
        <f>IF(INDEX(tab_MinKomp[5S],MATCH($B87,tab_MinKomp[[Stanowisko / Position ]:[Stanowisko / Position ]],0))="n/a","n/a",AV87-INDEX(tab_MinKomp[5S],MATCH($B87,tab_MinKomp[[Stanowisko / Position ]:[Stanowisko / Position ]],0)))</f>
        <v>0</v>
      </c>
      <c r="AW88" s="341">
        <f>IF(INDEX(tab_MinKomp[LEAN MANAGEMENT],MATCH($B87,tab_MinKomp[[Stanowisko / Position ]:[Stanowisko / Position ]],0))="n/a","n/a",AW87-INDEX(tab_MinKomp[LEAN MANAGEMENT],MATCH($B87,tab_MinKomp[[Stanowisko / Position ]:[Stanowisko / Position ]],0)))</f>
        <v>0</v>
      </c>
      <c r="AX88" s="341">
        <f>IF(INDEX(tab_MinKomp[5R],MATCH($B87,tab_MinKomp[[Stanowisko / Position ]:[Stanowisko / Position ]],0))="n/a","n/a",AX87-INDEX(tab_MinKomp[5R],MATCH($B87,tab_MinKomp[[Stanowisko / Position ]:[Stanowisko / Position ]],0)))</f>
        <v>0</v>
      </c>
      <c r="AY88" s="341" t="str">
        <f>IF(INDEX(tab_MinKomp[Six Sigma],MATCH($B87,tab_MinKomp[[Stanowisko / Position ]:[Stanowisko / Position ]],0))="n/a","n/a",AY87-INDEX(tab_MinKomp[Six Sigma],MATCH($B87,tab_MinKomp[[Stanowisko / Position ]:[Stanowisko / Position ]],0)))</f>
        <v>n/a</v>
      </c>
      <c r="AZ88" s="341" t="str">
        <f>IF(INDEX(tab_MinKomp[System BAAN / Distribution &amp; Supply Chain],MATCH($B87,tab_MinKomp[[Stanowisko / Position ]:[Stanowisko / Position ]],0))="n/a","n/a",AZ87-INDEX(tab_MinKomp[System BAAN / Distribution &amp; Supply Chain],MATCH($B87,tab_MinKomp[[Stanowisko / Position ]:[Stanowisko / Position ]],0)))</f>
        <v>n/a</v>
      </c>
      <c r="BA88" s="341" t="str">
        <f>IF(INDEX(tab_MinKomp[Gospodarka magazynowa / Lagerverwaltung],MATCH($B87,tab_MinKomp[[Stanowisko / Position ]:[Stanowisko / Position ]],0))="n/a","n/a",BA87-INDEX(tab_MinKomp[Gospodarka magazynowa / Lagerverwaltung],MATCH($B87,tab_MinKomp[[Stanowisko / Position ]:[Stanowisko / Position ]],0)))</f>
        <v>n/a</v>
      </c>
      <c r="BB88" s="341" t="str">
        <f>IF(INDEX(tab_MinKomp[Inwentaryzacja - organizacja i przebieg / Inventurprozess],MATCH($B87,tab_MinKomp[[Stanowisko / Position ]:[Stanowisko / Position ]],0))="n/a","n/a",BB87-INDEX(tab_MinKomp[Inwentaryzacja - organizacja i przebieg / Inventurprozess],MATCH($B87,tab_MinKomp[[Stanowisko / Position ]:[Stanowisko / Position ]],0)))</f>
        <v>n/a</v>
      </c>
      <c r="BC88" s="341" t="str">
        <f>IF(INDEX(tab_MinKomp[Organizacja dostaw / Versorgungsorganisation],MATCH($B87,tab_MinKomp[[Stanowisko / Position ]:[Stanowisko / Position ]],0))="n/a","n/a",BC87-INDEX(tab_MinKomp[Organizacja dostaw / Versorgungsorganisation],MATCH($B87,tab_MinKomp[[Stanowisko / Position ]:[Stanowisko / Position ]],0)))</f>
        <v>n/a</v>
      </c>
      <c r="BD88" s="341" t="str">
        <f>IF(INDEX(tab_MinKomp[Organizacja wysyłek / Organisation von Lieferungen],MATCH($B87,tab_MinKomp[[Stanowisko / Position ]:[Stanowisko / Position ]],0))="n/a","n/a",BD87-INDEX(tab_MinKomp[Organizacja wysyłek / Organisation von Lieferungen],MATCH($B87,tab_MinKomp[[Stanowisko / Position ]:[Stanowisko / Position ]],0)))</f>
        <v>n/a</v>
      </c>
      <c r="BE88" s="341" t="str">
        <f>IF(INDEX(tab_MinKomp[Analiza magazynowa - Program Polen.mdb / Inventuranalyse],MATCH($B87,tab_MinKomp[[Stanowisko / Position ]:[Stanowisko / Position ]],0))="n/a","n/a",BE87-INDEX(tab_MinKomp[Analiza magazynowa - Program Polen.mdb / Inventuranalyse],MATCH($B87,tab_MinKomp[[Stanowisko / Position ]:[Stanowisko / Position ]],0)))</f>
        <v>n/a</v>
      </c>
      <c r="BF88" s="341" t="str">
        <f>IF(INDEX(tab_MinKomp[MMOG (Materials Management Operations Guidelines)],MATCH($B87,tab_MinKomp[[Stanowisko / Position ]:[Stanowisko / Position ]],0))="n/a","n/a",BF87-INDEX(tab_MinKomp[MMOG (Materials Management Operations Guidelines)],MATCH($B87,tab_MinKomp[[Stanowisko / Position ]:[Stanowisko / Position ]],0)))</f>
        <v>n/a</v>
      </c>
      <c r="BG88" s="341" t="str">
        <f>IF(INDEX(tab_MinKomp[DETC],MATCH($B87,tab_MinKomp[[Stanowisko / Position ]:[Stanowisko / Position ]],0))="n/a","n/a",BG87-INDEX(tab_MinKomp[DETC],MATCH($B87,tab_MinKomp[[Stanowisko / Position ]:[Stanowisko / Position ]],0)))</f>
        <v>n/a</v>
      </c>
      <c r="BH88" s="341" t="str">
        <f>IF(INDEX(tab_MinKomp[GPP],MATCH($B87,tab_MinKomp[[Stanowisko / Position ]:[Stanowisko / Position ]],0))="n/a","n/a",BH87-INDEX(tab_MinKomp[GPP],MATCH($B87,tab_MinKomp[[Stanowisko / Position ]:[Stanowisko / Position ]],0)))</f>
        <v>n/a</v>
      </c>
      <c r="BI88" s="341" t="str">
        <f>IF(INDEX(tab_MinKomp[AIAG (Automotive Industry Action Group)],MATCH($B87,tab_MinKomp[[Stanowisko / Position ]:[Stanowisko / Position ]],0))="n/a","n/a",BI87-INDEX(tab_MinKomp[AIAG (Automotive Industry Action Group)],MATCH($B87,tab_MinKomp[[Stanowisko / Position ]:[Stanowisko / Position ]],0)))</f>
        <v>n/a</v>
      </c>
      <c r="BJ88" s="341" t="str">
        <f>IF(INDEX(tab_MinKomp[Super-G disputes],MATCH($B87,tab_MinKomp[[Stanowisko / Position ]:[Stanowisko / Position ]],0))="n/a","n/a",BJ87-INDEX(tab_MinKomp[Super-G disputes],MATCH($B87,tab_MinKomp[[Stanowisko / Position ]:[Stanowisko / Position ]],0)))</f>
        <v>n/a</v>
      </c>
      <c r="BK88" s="341" t="str">
        <f>IF(INDEX(tab_MinKomp[CMMS3/eDDL (Direct Data Link)],MATCH($B87,tab_MinKomp[[Stanowisko / Position ]:[Stanowisko / Position ]],0))="n/a","n/a",BK87-INDEX(tab_MinKomp[CMMS3/eDDL (Direct Data Link)],MATCH($B87,tab_MinKomp[[Stanowisko / Position ]:[Stanowisko / Position ]],0)))</f>
        <v>n/a</v>
      </c>
      <c r="BL88" s="341" t="str">
        <f>IF(INDEX(tab_MinKomp[MP&amp;L (Material Planning and Logistics)],MATCH($B87,tab_MinKomp[[Stanowisko / Position ]:[Stanowisko / Position ]],0))="n/a","n/a",BL87-INDEX(tab_MinKomp[MP&amp;L (Material Planning and Logistics)],MATCH($B87,tab_MinKomp[[Stanowisko / Position ]:[Stanowisko / Position ]],0)))</f>
        <v>n/a</v>
      </c>
      <c r="BM88" s="341" t="str">
        <f>IF(INDEX(tab_MinKomp[Supplier delivery rating],MATCH($B87,tab_MinKomp[[Stanowisko / Position ]:[Stanowisko / Position ]],0))="n/a","n/a",BM87-INDEX(tab_MinKomp[Supplier delivery rating],MATCH($B87,tab_MinKomp[[Stanowisko / Position ]:[Stanowisko / Position ]],0)))</f>
        <v>n/a</v>
      </c>
      <c r="BN88" s="341" t="str">
        <f>IF(INDEX(tab_MinKomp[Planowanie produkcji / Produktionsplanung],MATCH($B87,tab_MinKomp[[Stanowisko / Position ]:[Stanowisko / Position ]],0))="n/a","n/a",BN87-INDEX(tab_MinKomp[Planowanie produkcji / Produktionsplanung],MATCH($B87,tab_MinKomp[[Stanowisko / Position ]:[Stanowisko / Position ]],0)))</f>
        <v>n/a</v>
      </c>
      <c r="BO88" s="341">
        <f>IF(INDEX(tab_MinKomp[Obsługa maszyn Engel / Engel Maschinenbedienung],MATCH($B87,tab_MinKomp[[Stanowisko / Position ]:[Stanowisko / Position ]],0))="n/a","n/a",BO87-INDEX(tab_MinKomp[Obsługa maszyn Engel / Engel Maschinenbedienung],MATCH($B87,tab_MinKomp[[Stanowisko / Position ]:[Stanowisko / Position ]],0)))</f>
        <v>0</v>
      </c>
      <c r="BP88" s="341">
        <f>IF(INDEX(tab_MinKomp[Obsługa maszyn Novapax / Novapax Maschinenbedienung],MATCH($B87,tab_MinKomp[[Stanowisko / Position ]:[Stanowisko / Position ]],0))="n/a","n/a",BP87-INDEX(tab_MinKomp[Obsługa maszyn Novapax / Novapax Maschinenbedienung],MATCH($B87,tab_MinKomp[[Stanowisko / Position ]:[Stanowisko / Position ]],0)))</f>
        <v>0</v>
      </c>
      <c r="BQ88" s="341">
        <f>IF(INDEX(tab_MinKomp[Obsługa maszyn KVT / KVT Maschinenbedienung],MATCH($B87,tab_MinKomp[[Stanowisko / Position ]:[Stanowisko / Position ]],0))="n/a","n/a",BQ87-INDEX(tab_MinKomp[Obsługa maszyn KVT / KVT Maschinenbedienung],MATCH($B87,tab_MinKomp[[Stanowisko / Position ]:[Stanowisko / Position ]],0)))</f>
        <v>0</v>
      </c>
      <c r="BR88" s="341">
        <f>IF(INDEX(tab_MinKomp[Obsługa maszyn ASL / ASL Maschinenbedienung],MATCH($B87,tab_MinKomp[[Stanowisko / Position ]:[Stanowisko / Position ]],0))="n/a","n/a",BR87-INDEX(tab_MinKomp[Obsługa maszyn ASL / ASL Maschinenbedienung],MATCH($B87,tab_MinKomp[[Stanowisko / Position ]:[Stanowisko / Position ]],0)))</f>
        <v>0</v>
      </c>
      <c r="BS88" s="341">
        <f>IF(INDEX(tab_MinKomp[Obsługa maszyn Branson / Branson Maschinenbedienung],MATCH($B87,tab_MinKomp[[Stanowisko / Position ]:[Stanowisko / Position ]],0))="n/a","n/a",BS87-INDEX(tab_MinKomp[Obsługa maszyn Branson / Branson Maschinenbedienung],MATCH($B87,tab_MinKomp[[Stanowisko / Position ]:[Stanowisko / Position ]],0)))</f>
        <v>0</v>
      </c>
      <c r="BT88" s="341">
        <f>IF(INDEX(tab_MinKomp[Obsługa maszyn Kamtec / Kamtec Maschinenbedienung],MATCH($B87,tab_MinKomp[[Stanowisko / Position ]:[Stanowisko / Position ]],0))="n/a","n/a",BT87-INDEX(tab_MinKomp[Obsługa maszyn Kamtec / Kamtec Maschinenbedienung],MATCH($B87,tab_MinKomp[[Stanowisko / Position ]:[Stanowisko / Position ]],0)))</f>
        <v>0</v>
      </c>
      <c r="BU88" s="341">
        <f>IF(INDEX(tab_MinKomp[Obsługa maszyn REP / REP Maschinenbedienung],MATCH($B87,tab_MinKomp[[Stanowisko / Position ]:[Stanowisko / Position ]],0))="n/a","n/a",BU87-INDEX(tab_MinKomp[Obsługa maszyn REP / REP Maschinenbedienung],MATCH($B87,tab_MinKomp[[Stanowisko / Position ]:[Stanowisko / Position ]],0)))</f>
        <v>0</v>
      </c>
      <c r="BV88" s="341">
        <f>IF(INDEX(tab_MinKomp[Eliminacja awarii / Beseitigung von Ausfällen],MATCH($B87,tab_MinKomp[[Stanowisko / Position ]:[Stanowisko / Position ]],0))="n/a","n/a",BV87-INDEX(tab_MinKomp[Eliminacja awarii / Beseitigung von Ausfällen],MATCH($B87,tab_MinKomp[[Stanowisko / Position ]:[Stanowisko / Position ]],0)))</f>
        <v>0</v>
      </c>
      <c r="BW88" s="341">
        <f>IF(INDEX(tab_MinKomp[Informatyka ogólna (techniczne i systemowe) / Allgemeine IT (Technik und System)],MATCH($B87,tab_MinKomp[[Stanowisko / Position ]:[Stanowisko / Position ]],0))="n/a","n/a",BW87-INDEX(tab_MinKomp[Informatyka ogólna (techniczne i systemowe) / Allgemeine IT (Technik und System)],MATCH($B87,tab_MinKomp[[Stanowisko / Position ]:[Stanowisko / Position ]],0)))</f>
        <v>0</v>
      </c>
      <c r="BX88" s="341">
        <f>IF(INDEX(tab_MinKomp[Sieci komputerowe / Computernetzwerke],MATCH($B87,tab_MinKomp[[Stanowisko / Position ]:[Stanowisko / Position ]],0))="n/a","n/a",BX87-INDEX(tab_MinKomp[Sieci komputerowe / Computernetzwerke],MATCH($B87,tab_MinKomp[[Stanowisko / Position ]:[Stanowisko / Position ]],0)))</f>
        <v>0</v>
      </c>
      <c r="BY88" s="341">
        <f>IF(INDEX(tab_MinKomp[Hardware (komputery PC, drukarki biurowe i etykietowe, telefonia stacjonarna i mobilna) (PC, Drucker, Telefpne, Handys)],MATCH($B87,tab_MinKomp[[Stanowisko / Position ]:[Stanowisko / Position ]],0))="n/a","n/a",BY87-INDEX(tab_MinKomp[Hardware (komputery PC, drukarki biurowe i etykietowe, telefonia stacjonarna i mobilna) (PC, Drucker, Telefpne, Handys)],MATCH($B87,tab_MinKomp[[Stanowisko / Position ]:[Stanowisko / Position ]],0)))</f>
        <v>0</v>
      </c>
      <c r="BZ88" s="341" t="str">
        <f>IF(INDEX(tab_MinKomp[Software &amp; Systems (MS Office, MS Remote Desktop)],MATCH($B87,tab_MinKomp[[Stanowisko / Position ]:[Stanowisko / Position ]],0))="n/a","n/a",BZ87-INDEX(tab_MinKomp[Software &amp; Systems (MS Office, MS Remote Desktop)],MATCH($B87,tab_MinKomp[[Stanowisko / Position ]:[Stanowisko / Position ]],0)))</f>
        <v>n/a</v>
      </c>
      <c r="CA88" s="341" t="str">
        <f>IF(INDEX(tab_MinKomp[Software &amp; Systems (MS Office, MS Remote Desktop)],MATCH($B87,tab_MinKomp[[Stanowisko / Position ]:[Stanowisko / Position ]],0))="n/a","n/a",CA87-INDEX(tab_MinKomp[Software &amp; Systems (MS Office, MS Remote Desktop)],MATCH($B87,tab_MinKomp[[Stanowisko / Position ]:[Stanowisko / Position ]],0)))</f>
        <v>n/a</v>
      </c>
      <c r="CB88" s="341" t="str">
        <f>IF(INDEX(tab_MinKomp[Programowanie obiektowe (PHP) / Objektprogrammierung],MATCH($B87,tab_MinKomp[[Stanowisko / Position ]:[Stanowisko / Position ]],0))="n/a","n/a",CB87-INDEX(tab_MinKomp[Programowanie obiektowe (PHP) / Objektprogrammierung],MATCH($B87,tab_MinKomp[[Stanowisko / Position ]:[Stanowisko / Position ]],0)))</f>
        <v>n/a</v>
      </c>
      <c r="CC88" s="341" t="str">
        <f>IF(INDEX(tab_MinKomp[Scrum],MATCH($B87,tab_MinKomp[[Stanowisko / Position ]:[Stanowisko / Position ]],0))="n/a","n/a",CC87-INDEX(tab_MinKomp[Scrum],MATCH($B87,tab_MinKomp[[Stanowisko / Position ]:[Stanowisko / Position ]],0)))</f>
        <v>n/a</v>
      </c>
      <c r="CD88" s="341" t="str">
        <f>IF(INDEX(tab_MinKomp[SQL (MySQL)],MATCH($B87,tab_MinKomp[[Stanowisko / Position ]:[Stanowisko / Position ]],0))="n/a","n/a",CD87-INDEX(tab_MinKomp[SQL (MySQL)],MATCH($B87,tab_MinKomp[[Stanowisko / Position ]:[Stanowisko / Position ]],0)))</f>
        <v>n/a</v>
      </c>
      <c r="CE88" s="341" t="str">
        <f>IF(INDEX(tab_MinKomp[Javascript],MATCH($B87,tab_MinKomp[[Stanowisko / Position ]:[Stanowisko / Position ]],0))="n/a","n/a",CE87-INDEX(tab_MinKomp[Javascript],MATCH($B87,tab_MinKomp[[Stanowisko / Position ]:[Stanowisko / Position ]],0)))</f>
        <v>n/a</v>
      </c>
      <c r="CF88" s="341" t="str">
        <f>IF(INDEX(tab_MinKomp[Joomla],MATCH($B87,tab_MinKomp[[Stanowisko / Position ]:[Stanowisko / Position ]],0))="n/a","n/a",CF87-INDEX(tab_MinKomp[Joomla],MATCH($B87,tab_MinKomp[[Stanowisko / Position ]:[Stanowisko / Position ]],0)))</f>
        <v>n/a</v>
      </c>
      <c r="CG88" s="341" t="str">
        <f>IF(INDEX(tab_MinKomp[Bash],MATCH($B87,tab_MinKomp[[Stanowisko / Position ]:[Stanowisko / Position ]],0))="n/a","n/a",CG87-INDEX(tab_MinKomp[Bash],MATCH($B87,tab_MinKomp[[Stanowisko / Position ]:[Stanowisko / Position ]],0)))</f>
        <v>n/a</v>
      </c>
      <c r="CH88" s="341" t="str">
        <f>IF(INDEX(tab_MinKomp[Systemy MES (HYDRA / SFMS)],MATCH($B87,tab_MinKomp[[Stanowisko / Position ]:[Stanowisko / Position ]],0))="n/a","n/a",CH87-INDEX(tab_MinKomp[Systemy MES (HYDRA / SFMS)],MATCH($B87,tab_MinKomp[[Stanowisko / Position ]:[Stanowisko / Position ]],0)))</f>
        <v>n/a</v>
      </c>
      <c r="CI88" s="341">
        <f>IF(INDEX(tab_MinKomp[SYSTEM PR],MATCH($B87,tab_MinKomp[[Stanowisko / Position ]:[Stanowisko / Position ]],0))="n/a","n/a",CI87-INDEX(tab_MinKomp[SYSTEM PR],MATCH($B87,tab_MinKomp[[Stanowisko / Position ]:[Stanowisko / Position ]],0)))</f>
        <v>0</v>
      </c>
      <c r="CJ88" s="341" t="str">
        <f>IF(INDEX(tab_MinKomp[System Einkauf XP / EBA],MATCH($B87,tab_MinKomp[[Stanowisko / Position ]:[Stanowisko / Position ]],0))="n/a","n/a",CJ87-INDEX(tab_MinKomp[System Einkauf XP / EBA],MATCH($B87,tab_MinKomp[[Stanowisko / Position ]:[Stanowisko / Position ]],0)))</f>
        <v>n/a</v>
      </c>
      <c r="CK88" s="341">
        <f>IF(INDEX(tab_MinKomp[Techniki negocjacyjne / Verhandlungstechniken],MATCH($B87,tab_MinKomp[[Stanowisko / Position ]:[Stanowisko / Position ]],0))="n/a","n/a",CK87-INDEX(tab_MinKomp[Techniki negocjacyjne / Verhandlungstechniken],MATCH($B87,tab_MinKomp[[Stanowisko / Position ]:[Stanowisko / Position ]],0)))</f>
        <v>0</v>
      </c>
      <c r="CL88" s="341">
        <f>IF(INDEX(tab_MinKomp[Znajomość rynku branżowego / Kenntnis des Industrie Marktes],MATCH($B87,tab_MinKomp[[Stanowisko / Position ]:[Stanowisko / Position ]],0))="n/a","n/a",CL87-INDEX(tab_MinKomp[Znajomość rynku branżowego / Kenntnis des Industrie Marktes],MATCH($B87,tab_MinKomp[[Stanowisko / Position ]:[Stanowisko / Position ]],0)))</f>
        <v>0</v>
      </c>
      <c r="CM88" s="341" t="str">
        <f>IF(INDEX(tab_MinKomp[RAPORTY 8D / 8D Berichten],MATCH($B87,tab_MinKomp[[Stanowisko / Position ]:[Stanowisko / Position ]],0))="n/a","n/a",CM87-INDEX(tab_MinKomp[RAPORTY 8D / 8D Berichten],MATCH($B87,tab_MinKomp[[Stanowisko / Position ]:[Stanowisko / Position ]],0)))</f>
        <v>n/a</v>
      </c>
      <c r="CN88" s="341">
        <f>IF(INDEX(tab_MinKomp[NARZĘDZIA JAKOŚCIOWE (5WHY, Ishikawa, etc) / QS-Werkzeuge],MATCH($B87,tab_MinKomp[[Stanowisko / Position ]:[Stanowisko / Position ]],0))="n/a","n/a",CN87-INDEX(tab_MinKomp[NARZĘDZIA JAKOŚCIOWE (5WHY, Ishikawa, etc) / QS-Werkzeuge],MATCH($B87,tab_MinKomp[[Stanowisko / Position ]:[Stanowisko / Position ]],0)))</f>
        <v>0</v>
      </c>
      <c r="CO88" s="341">
        <f>IF(INDEX(tab_MinKomp[PDCA],MATCH($B87,tab_MinKomp[[Stanowisko / Position ]:[Stanowisko / Position ]],0))="n/a","n/a",CO87-INDEX(tab_MinKomp[PDCA],MATCH($B87,tab_MinKomp[[Stanowisko / Position ]:[Stanowisko / Position ]],0)))</f>
        <v>0</v>
      </c>
      <c r="CP88" s="341">
        <f>IF(INDEX(tab_MinKomp[Pareto],MATCH($B87,tab_MinKomp[[Stanowisko / Position ]:[Stanowisko / Position ]],0))="n/a","n/a",CP87-INDEX(tab_MinKomp[Pareto],MATCH($B87,tab_MinKomp[[Stanowisko / Position ]:[Stanowisko / Position ]],0)))</f>
        <v>0</v>
      </c>
      <c r="CQ88" s="341" t="str">
        <f>IF(INDEX(tab_MinKomp[PPAP/PSW],MATCH($B87,tab_MinKomp[[Stanowisko / Position ]:[Stanowisko / Position ]],0))="n/a","n/a",CQ87-INDEX(tab_MinKomp[PPAP/PSW],MATCH($B87,tab_MinKomp[[Stanowisko / Position ]:[Stanowisko / Position ]],0)))</f>
        <v>n/a</v>
      </c>
      <c r="CR88" s="341">
        <f>IF(INDEX(tab_MinKomp[SUPPLIER MANAGEMENT],MATCH($B87,tab_MinKomp[[Stanowisko / Position ]:[Stanowisko / Position ]],0))="n/a","n/a",CR87-INDEX(tab_MinKomp[SUPPLIER MANAGEMENT],MATCH($B87,tab_MinKomp[[Stanowisko / Position ]:[Stanowisko / Position ]],0)))</f>
        <v>0</v>
      </c>
      <c r="CS88" s="341" t="str">
        <f>IF(INDEX(tab_MinKomp[OBSŁUGA PORTALI KLIENTA / Kundenportale],MATCH($B87,tab_MinKomp[[Stanowisko / Position ]:[Stanowisko / Position ]],0))="n/a","n/a",CS87-INDEX(tab_MinKomp[OBSŁUGA PORTALI KLIENTA / Kundenportale],MATCH($B87,tab_MinKomp[[Stanowisko / Position ]:[Stanowisko / Position ]],0)))</f>
        <v>n/a</v>
      </c>
      <c r="CT88" s="341" t="str">
        <f>IF(INDEX(tab_MinKomp[Obsługa systemu BABTECQ / BABTECQ System],MATCH($B87,tab_MinKomp[[Stanowisko / Position ]:[Stanowisko / Position ]],0))="n/a","n/a",CT87-INDEX(tab_MinKomp[Obsługa systemu BABTECQ / BABTECQ System],MATCH($B87,tab_MinKomp[[Stanowisko / Position ]:[Stanowisko / Position ]],0)))</f>
        <v>n/a</v>
      </c>
      <c r="CU88" s="341">
        <f>IF(INDEX(tab_MinKomp[Rysunek techniczny / technische Zeichnung],MATCH($B87,tab_MinKomp[[Stanowisko / Position ]:[Stanowisko / Position ]],0))="n/a","n/a",CU87-INDEX(tab_MinKomp[Rysunek techniczny / technische Zeichnung],MATCH($B87,tab_MinKomp[[Stanowisko / Position ]:[Stanowisko / Position ]],0)))</f>
        <v>0</v>
      </c>
      <c r="CV88" s="341">
        <f>IF(INDEX(tab_MinKomp[Kalibracja / Kalibrierung],MATCH($B87,tab_MinKomp[[Stanowisko / Position ]:[Stanowisko / Position ]],0))="n/a","n/a",CV87-INDEX(tab_MinKomp[Kalibracja / Kalibrierung],MATCH($B87,tab_MinKomp[[Stanowisko / Position ]:[Stanowisko / Position ]],0)))</f>
        <v>0</v>
      </c>
      <c r="CW88" s="341" t="str">
        <f>IF(INDEX(tab_MinKomp[Rekwalifikacja / Requalifizierung],MATCH($B87,tab_MinKomp[[Stanowisko / Position ]:[Stanowisko / Position ]],0))="n/a","n/a",CW87-INDEX(tab_MinKomp[Rekwalifikacja / Requalifizierung],MATCH($B87,tab_MinKomp[[Stanowisko / Position ]:[Stanowisko / Position ]],0)))</f>
        <v>n/a</v>
      </c>
      <c r="CX88" s="341" t="str">
        <f>IF(INDEX(tab_MinKomp[Obsługa mikroskopu optycznego / Bedienung eines optischen Mikroskops],MATCH($B87,tab_MinKomp[[Stanowisko / Position ]:[Stanowisko / Position ]],0))="n/a","n/a",CX87-INDEX(tab_MinKomp[Obsługa mikroskopu optycznego / Bedienung eines optischen Mikroskops],MATCH($B87,tab_MinKomp[[Stanowisko / Position ]:[Stanowisko / Position ]],0)))</f>
        <v>n/a</v>
      </c>
      <c r="CY88" s="341" t="str">
        <f>IF(INDEX(tab_MinKomp[Wykonywanie pomiarów optycznych - ocena wizualna / Optische Messungen durchführen – visuelle Beurteilung],MATCH($B87,tab_MinKomp[[Stanowisko / Position ]:[Stanowisko / Position ]],0))="n/a","n/a",CY87-INDEX(tab_MinKomp[Wykonywanie pomiarów optycznych - ocena wizualna / Optische Messungen durchführen – visuelle Beurteilung],MATCH($B87,tab_MinKomp[[Stanowisko / Position ]:[Stanowisko / Position ]],0)))</f>
        <v>n/a</v>
      </c>
      <c r="CZ88" s="341" t="str">
        <f>IF(INDEX(tab_MinKomp[Obsługa Rheometra / Rheometra-Unterstützung],MATCH($B87,tab_MinKomp[[Stanowisko / Position ]:[Stanowisko / Position ]],0))="n/a","n/a",CZ87-INDEX(tab_MinKomp[Obsługa Rheometra / Rheometra-Unterstützung],MATCH($B87,tab_MinKomp[[Stanowisko / Position ]:[Stanowisko / Position ]],0)))</f>
        <v>n/a</v>
      </c>
      <c r="DA88" s="341" t="str">
        <f>IF(INDEX(tab_MinKomp[Testy właściwości Rheometra mieszanki gumy],MATCH($B87,tab_MinKomp[[Stanowisko / Position ]:[Stanowisko / Position ]],0))="n/a","n/a",DA87-INDEX(tab_MinKomp[Testy właściwości Rheometra mieszanki gumy],MATCH($B87,tab_MinKomp[[Stanowisko / Position ]:[Stanowisko / Position ]],0)))</f>
        <v>n/a</v>
      </c>
      <c r="DB88" s="341" t="str">
        <f>IF(INDEX(tab_MinKomp[CMM - Contura Zeiss],MATCH($B87,tab_MinKomp[[Stanowisko / Position ]:[Stanowisko / Position ]],0))="n/a","n/a",DB87-INDEX(tab_MinKomp[CMM - Contura Zeiss],MATCH($B87,tab_MinKomp[[Stanowisko / Position ]:[Stanowisko / Position ]],0)))</f>
        <v>n/a</v>
      </c>
      <c r="DC88" s="341" t="str">
        <f>IF(INDEX(tab_MinKomp[Wykonywanie precyzyjnych pomiarów metrycznych, pomiary 3D],MATCH($B87,tab_MinKomp[[Stanowisko / Position ]:[Stanowisko / Position ]],0))="n/a","n/a",DC87-INDEX(tab_MinKomp[Wykonywanie precyzyjnych pomiarów metrycznych, pomiary 3D],MATCH($B87,tab_MinKomp[[Stanowisko / Position ]:[Stanowisko / Position ]],0)))</f>
        <v>n/a</v>
      </c>
      <c r="DD88" s="341" t="str">
        <f>IF(INDEX(tab_MinKomp[Pisanie programów / Programme schreiben],MATCH($B87,tab_MinKomp[[Stanowisko / Position ]:[Stanowisko / Position ]],0))="n/a","n/a",DD87-INDEX(tab_MinKomp[Pisanie programów / Programme schreiben],MATCH($B87,tab_MinKomp[[Stanowisko / Position ]:[Stanowisko / Position ]],0)))</f>
        <v>n/a</v>
      </c>
      <c r="DE88" s="341" t="str">
        <f>IF(INDEX(tab_MinKomp[Obsługa wyposażenia do testów czystości (myjka + analizator) / Betrieb von Sauberkeitsprüfgeräten (Waschmaschine + Analysegerät)],MATCH($B87,tab_MinKomp[[Stanowisko / Position ]:[Stanowisko / Position ]],0))="n/a","n/a",DE87-INDEX(tab_MinKomp[Obsługa wyposażenia do testów czystości (myjka + analizator) / Betrieb von Sauberkeitsprüfgeräten (Waschmaschine + Analysegerät)],MATCH($B87,tab_MinKomp[[Stanowisko / Position ]:[Stanowisko / Position ]],0)))</f>
        <v>n/a</v>
      </c>
      <c r="DF88" s="341" t="str">
        <f>IF(INDEX(tab_MinKomp[Testy czystości / Reinheitstests],MATCH($B87,tab_MinKomp[[Stanowisko / Position ]:[Stanowisko / Position ]],0))="n/a","n/a",DF87-INDEX(tab_MinKomp[Testy czystości / Reinheitstests],MATCH($B87,tab_MinKomp[[Stanowisko / Position ]:[Stanowisko / Position ]],0)))</f>
        <v>n/a</v>
      </c>
      <c r="DG88" s="341" t="str">
        <f>IF(INDEX(tab_MinKomp[Obsługa wysokościomierza / Unterstützung für Höhenmesser],MATCH($B87,tab_MinKomp[[Stanowisko / Position ]:[Stanowisko / Position ]],0))="n/a","n/a",DG87-INDEX(tab_MinKomp[Obsługa wysokościomierza / Unterstützung für Höhenmesser],MATCH($B87,tab_MinKomp[[Stanowisko / Position ]:[Stanowisko / Position ]],0)))</f>
        <v>n/a</v>
      </c>
      <c r="DH88" s="341" t="str">
        <f>IF(INDEX(tab_MinKomp[Pomiary wysokości materiału / Materialhöhenmessungen],MATCH($B87,tab_MinKomp[[Stanowisko / Position ]:[Stanowisko / Position ]],0))="n/a","n/a",DH87-INDEX(tab_MinKomp[Pomiary wysokości materiału / Materialhöhenmessungen],MATCH($B87,tab_MinKomp[[Stanowisko / Position ]:[Stanowisko / Position ]],0)))</f>
        <v>n/a</v>
      </c>
      <c r="DI88" s="341" t="str">
        <f>IF(INDEX(tab_MinKomp[Obsługa okrągłościomierza / Unterstützung für Rundheitsmessgeräte],MATCH($B87,tab_MinKomp[[Stanowisko / Position ]:[Stanowisko / Position ]],0))="n/a","n/a",DI87-INDEX(tab_MinKomp[Obsługa okrągłościomierza / Unterstützung für Rundheitsmessgeräte],MATCH($B87,tab_MinKomp[[Stanowisko / Position ]:[Stanowisko / Position ]],0)))</f>
        <v>n/a</v>
      </c>
      <c r="DJ88" s="341" t="str">
        <f>IF(INDEX(tab_MinKomp[Wykonywania pomiarów owalności, srednicy materiału / Messung der Ovalität und des Durchmessers des Materials],MATCH($B87,tab_MinKomp[[Stanowisko / Position ]:[Stanowisko / Position ]],0))="n/a","n/a",DJ87-INDEX(tab_MinKomp[Wykonywania pomiarów owalności, srednicy materiału / Messung der Ovalität und des Durchmessers des Materials],MATCH($B87,tab_MinKomp[[Stanowisko / Position ]:[Stanowisko / Position ]],0)))</f>
        <v>n/a</v>
      </c>
      <c r="DK88" s="341" t="str">
        <f>IF(INDEX(tab_MinKomp[Obsługa urządzenia do pomiarów chropowoatości powierzchni materiału],MATCH($B87,tab_MinKomp[[Stanowisko / Position ]:[Stanowisko / Position ]],0))="n/a","n/a",DK87-INDEX(tab_MinKomp[Obsługa urządzenia do pomiarów chropowoatości powierzchni materiału],MATCH($B87,tab_MinKomp[[Stanowisko / Position ]:[Stanowisko / Position ]],0)))</f>
        <v>n/a</v>
      </c>
      <c r="DL88" s="341" t="str">
        <f>IF(INDEX(tab_MinKomp[Wykonywanie pomiarów chropowatości powierzchni materiału / Durchführung von Messungen der Materialoberflächenrauheit],MATCH($B87,tab_MinKomp[[Stanowisko / Position ]:[Stanowisko / Position ]],0))="n/a","n/a",DL87-INDEX(tab_MinKomp[Wykonywanie pomiarów chropowatości powierzchni materiału / Durchführung von Messungen der Materialoberflächenrauheit],MATCH($B87,tab_MinKomp[[Stanowisko / Position ]:[Stanowisko / Position ]],0)))</f>
        <v>n/a</v>
      </c>
      <c r="DM88" s="341" t="str">
        <f>IF(INDEX(tab_MinKomp[Obsługa urządzenia do pomiaru siły radialnej części - postępowanie z trzpieniami. / Funktionsweise des Geräts zur Messung der Radialkraft von Teilen – Handhabungsstifte.],MATCH($B87,tab_MinKomp[[Stanowisko / Position ]:[Stanowisko / Position ]],0))="n/a","n/a",DM87-INDEX(tab_MinKomp[Obsługa urządzenia do pomiaru siły radialnej części - postępowanie z trzpieniami. / Funktionsweise des Geräts zur Messung der Radialkraft von Teilen – Handhabungsstifte.],MATCH($B87,tab_MinKomp[[Stanowisko / Position ]:[Stanowisko / Position ]],0)))</f>
        <v>n/a</v>
      </c>
      <c r="DN88" s="341" t="str">
        <f>IF(INDEX(tab_MinKomp[Wykonywanie pomiarów siły radialnej części / Führen Sie Radialkraftmessungen an Teilen durch],MATCH($B87,tab_MinKomp[[Stanowisko / Position ]:[Stanowisko / Position ]],0))="n/a","n/a",DN87-INDEX(tab_MinKomp[Wykonywanie pomiarów siły radialnej części / Führen Sie Radialkraftmessungen an Teilen durch],MATCH($B87,tab_MinKomp[[Stanowisko / Position ]:[Stanowisko / Position ]],0)))</f>
        <v>n/a</v>
      </c>
      <c r="DO88" s="341" t="str">
        <f>IF(INDEX(tab_MinKomp[Obsługa komory do testów wybuchwych / Betrieb einer Explosionsprüfkammer],MATCH($B87,tab_MinKomp[[Stanowisko / Position ]:[Stanowisko / Position ]],0))="n/a","n/a",DO87-INDEX(tab_MinKomp[Obsługa komory do testów wybuchwych / Betrieb einer Explosionsprüfkammer],MATCH($B87,tab_MinKomp[[Stanowisko / Position ]:[Stanowisko / Position ]],0)))</f>
        <v>n/a</v>
      </c>
      <c r="DP88" s="341" t="str">
        <f>IF(INDEX(tab_MinKomp[Wykonywanie testów wybuchowych części / Durchführung von Explosionstests an Teilen],MATCH($B87,tab_MinKomp[[Stanowisko / Position ]:[Stanowisko / Position ]],0))="n/a","n/a",DP87-INDEX(tab_MinKomp[Wykonywanie testów wybuchowych części / Durchführung von Explosionstests an Teilen],MATCH($B87,tab_MinKomp[[Stanowisko / Position ]:[Stanowisko / Position ]],0)))</f>
        <v>n/a</v>
      </c>
      <c r="DQ88" s="341" t="str">
        <f>IF(INDEX(tab_MinKomp[Obsługa urządzeń do mierzenia siły trzymania i/lub rozciągania / Betrieb von Geräten zur Messung der Halte- und/oder Dehnkraft],MATCH($B87,tab_MinKomp[[Stanowisko / Position ]:[Stanowisko / Position ]],0))="n/a","n/a",DQ87-INDEX(tab_MinKomp[Obsługa urządzeń do mierzenia siły trzymania i/lub rozciągania / Betrieb von Geräten zur Messung der Halte- und/oder Dehnkraft],MATCH($B87,tab_MinKomp[[Stanowisko / Position ]:[Stanowisko / Position ]],0)))</f>
        <v>n/a</v>
      </c>
      <c r="DR88" s="341" t="str">
        <f>IF(INDEX(tab_MinKomp[Wykonywanie testów mierzenia siły trzymania i/lub rozciągania / Durchführung von Tests zur Messung der Halte- und/oder Streckkraft],MATCH($B87,tab_MinKomp[[Stanowisko / Position ]:[Stanowisko / Position ]],0))="n/a","n/a",DR87-INDEX(tab_MinKomp[Wykonywanie testów mierzenia siły trzymania i/lub rozciągania / Durchführung von Tests zur Messung der Halte- und/oder Streckkraft],MATCH($B87,tab_MinKomp[[Stanowisko / Position ]:[Stanowisko / Position ]],0)))</f>
        <v>n/a</v>
      </c>
      <c r="DS88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Luftstrom)],MATCH($B87,tab_MinKomp[[Stanowisko / Position ]:[Stanowisko / Position ]],0))="n/a","n/a",DS87-INDEX(tab_MinKomp[Obsługa multimetru do pomiarów środowiskowych (temperatura, wilgotność, hałas, oświetlenie, przepływ powietrza) / Betrieb eines Multimeters für Umweltmessungen (Temperatur, Luftfeuchtigkeit, Lärm, Beleuchtung, Luftstrom)],MATCH($B87,tab_MinKomp[[Stanowisko / Position ]:[Stanowisko / Position ]],0)))</f>
        <v>n/a</v>
      </c>
      <c r="DT88" s="341" t="str">
        <f>IF(INDEX(tab_MinKomp[Kontrola warunków środowiskowych pracy (temperatura, wilgotność, hałas, oświetlenie, przepływ powietrza) / Kontrolle der Arbeitsumgebungsbedingungen (Temperatur, Luftfeuchtigkeit, Lärm, Beleuchtung, Luftstrom)],MATCH($B87,tab_MinKomp[[Stanowisko / Position ]:[Stanowisko / Position ]],0))="n/a","n/a",DT87-INDEX(tab_MinKomp[Kontrola warunków środowiskowych pracy (temperatura, wilgotność, hałas, oświetlenie, przepływ powietrza) / Kontrolle der Arbeitsumgebungsbedingungen (Temperatur, Luftfeuchtigkeit, Lärm, Beleuchtung, Luftstrom)],MATCH($B87,tab_MinKomp[[Stanowisko / Position ]:[Stanowisko / Position ]],0)))</f>
        <v>n/a</v>
      </c>
      <c r="DU88" s="341">
        <f>IF(INDEX(tab_MinKomp[MSA i SPC],MATCH($B87,tab_MinKomp[[Stanowisko / Position ]:[Stanowisko / Position ]],0))="n/a","n/a",DU87-INDEX(tab_MinKomp[MSA i SPC],MATCH($B87,tab_MinKomp[[Stanowisko / Position ]:[Stanowisko / Position ]],0)))</f>
        <v>0</v>
      </c>
      <c r="DV88" s="341" t="str">
        <f>IF(INDEX(tab_MinKomp[Kontrola wejściowa komponentów/ Eingangskontrolle],MATCH($B87,tab_MinKomp[[Stanowisko / Position ]:[Stanowisko / Position ]],0))="n/a","n/a",DV87-INDEX(tab_MinKomp[Kontrola wejściowa komponentów/ Eingangskontrolle],MATCH($B87,tab_MinKomp[[Stanowisko / Position ]:[Stanowisko / Position ]],0)))</f>
        <v>n/a</v>
      </c>
      <c r="DW88" s="341" t="str">
        <f>IF(INDEX(tab_MinKomp[Kontrola wyjściowa produktu / Ausgangskontrolle],MATCH($B87,tab_MinKomp[[Stanowisko / Position ]:[Stanowisko / Position ]],0))="n/a","n/a",DW87-INDEX(tab_MinKomp[Kontrola wyjściowa produktu / Ausgangskontrolle],MATCH($B87,tab_MinKomp[[Stanowisko / Position ]:[Stanowisko / Position ]],0)))</f>
        <v>n/a</v>
      </c>
      <c r="DX88" s="341" t="str">
        <f>IF(INDEX(tab_MinKomp[Kontrola codzienna produkcji / Tägliche Produktionskontrolle],MATCH($B87,tab_MinKomp[[Stanowisko / Position ]:[Stanowisko / Position ]],0))="n/a","n/a",DX87-INDEX(tab_MinKomp[Kontrola codzienna produkcji / Tägliche Produktionskontrolle],MATCH($B87,tab_MinKomp[[Stanowisko / Position ]:[Stanowisko / Position ]],0)))</f>
        <v>n/a</v>
      </c>
      <c r="DY88" s="341">
        <f>IF(INDEX(tab_MinKomp[Konserwacja Rep],MATCH($B87,tab_MinKomp[[Stanowisko / Position ]:[Stanowisko / Position ]],0))="n/a","n/a",DY87-INDEX(tab_MinKomp[Konserwacja Rep],MATCH($B87,tab_MinKomp[[Stanowisko / Position ]:[Stanowisko / Position ]],0)))</f>
        <v>1</v>
      </c>
      <c r="DZ88" s="341">
        <f>IF(INDEX(tab_MinKomp[[Konserwacja Engel ]],MATCH($B87,tab_MinKomp[[Stanowisko / Position ]:[Stanowisko / Position ]],0))="n/a","n/a",DZ87-INDEX(tab_MinKomp[[Konserwacja Engel ]],MATCH($B87,tab_MinKomp[[Stanowisko / Position ]:[Stanowisko / Position ]],0)))</f>
        <v>1</v>
      </c>
      <c r="EA88" s="341">
        <f>IF(INDEX(tab_MinKomp[Konserwacja B 50],MATCH($B87,tab_MinKomp[[Stanowisko / Position ]:[Stanowisko / Position ]],0))="n/a","n/a",EA87-INDEX(tab_MinKomp[Konserwacja B 50],MATCH($B87,tab_MinKomp[[Stanowisko / Position ]:[Stanowisko / Position ]],0)))</f>
        <v>1</v>
      </c>
      <c r="EB88" s="341">
        <f>IF(INDEX(tab_MinKomp[[Konserwacja EOL ]],MATCH($B87,tab_MinKomp[[Stanowisko / Position ]:[Stanowisko / Position ]],0))="n/a","n/a",EB87-INDEX(tab_MinKomp[[Konserwacja EOL ]],MATCH($B87,tab_MinKomp[[Stanowisko / Position ]:[Stanowisko / Position ]],0)))</f>
        <v>2</v>
      </c>
      <c r="EC88" s="341">
        <f>IF(INDEX(tab_MinKomp[Konserwacja Branson],MATCH($B87,tab_MinKomp[[Stanowisko / Position ]:[Stanowisko / Position ]],0))="n/a","n/a",EC87-INDEX(tab_MinKomp[Konserwacja Branson],MATCH($B87,tab_MinKomp[[Stanowisko / Position ]:[Stanowisko / Position ]],0)))</f>
        <v>1</v>
      </c>
      <c r="ED88" s="341">
        <f>IF(INDEX(tab_MinKomp[Konserwacja coolery],MATCH($B87,tab_MinKomp[[Stanowisko / Position ]:[Stanowisko / Position ]],0))="n/a","n/a",ED87-INDEX(tab_MinKomp[Konserwacja coolery],MATCH($B87,tab_MinKomp[[Stanowisko / Position ]:[Stanowisko / Position ]],0)))</f>
        <v>1</v>
      </c>
      <c r="EE88" s="341">
        <f>IF(INDEX(tab_MinKomp[Konserwacja piecy],MATCH($B87,tab_MinKomp[[Stanowisko / Position ]:[Stanowisko / Position ]],0))="n/a","n/a",EE87-INDEX(tab_MinKomp[Konserwacja piecy],MATCH($B87,tab_MinKomp[[Stanowisko / Position ]:[Stanowisko / Position ]],0)))</f>
        <v>1</v>
      </c>
      <c r="EF88" s="341">
        <f>IF(INDEX(tab_MinKomp[Rysunek techniczny- czytanie],MATCH($B87,tab_MinKomp[[Stanowisko / Position ]:[Stanowisko / Position ]],0))="n/a","n/a",EF87-INDEX(tab_MinKomp[Rysunek techniczny- czytanie],MATCH($B87,tab_MinKomp[[Stanowisko / Position ]:[Stanowisko / Position ]],0)))</f>
        <v>0</v>
      </c>
      <c r="EG88" s="341">
        <f>IF(INDEX(tab_MinKomp[Elektryka],MATCH($B87,tab_MinKomp[[Stanowisko / Position ]:[Stanowisko / Position ]],0))="n/a","n/a",EG87-INDEX(tab_MinKomp[Elektryka],MATCH($B87,tab_MinKomp[[Stanowisko / Position ]:[Stanowisko / Position ]],0)))</f>
        <v>1</v>
      </c>
      <c r="EH88" s="341">
        <f>IF(INDEX(tab_MinKomp[Pneumatyka],MATCH($B87,tab_MinKomp[[Stanowisko / Position ]:[Stanowisko / Position ]],0))="n/a","n/a",EH87-INDEX(tab_MinKomp[Pneumatyka],MATCH($B87,tab_MinKomp[[Stanowisko / Position ]:[Stanowisko / Position ]],0)))</f>
        <v>1</v>
      </c>
      <c r="EI88" s="341">
        <f>IF(INDEX(tab_MinKomp[[Hydraulika ]],MATCH($B87,tab_MinKomp[[Stanowisko / Position ]:[Stanowisko / Position ]],0))="n/a","n/a",EI87-INDEX(tab_MinKomp[[Hydraulika ]],MATCH($B87,tab_MinKomp[[Stanowisko / Position ]:[Stanowisko / Position ]],0)))</f>
        <v>1</v>
      </c>
      <c r="EJ88" s="341">
        <f>IF(INDEX(tab_MinKomp[Podciśnienie],MATCH($B87,tab_MinKomp[[Stanowisko / Position ]:[Stanowisko / Position ]],0))="n/a","n/a",EJ87-INDEX(tab_MinKomp[Podciśnienie],MATCH($B87,tab_MinKomp[[Stanowisko / Position ]:[Stanowisko / Position ]],0)))</f>
        <v>1</v>
      </c>
      <c r="EK88" s="341">
        <f>IF(INDEX(tab_MinKomp[Usuwanie awarii],MATCH($B87,tab_MinKomp[[Stanowisko / Position ]:[Stanowisko / Position ]],0))="n/a","n/a",EK87-INDEX(tab_MinKomp[Usuwanie awarii],MATCH($B87,tab_MinKomp[[Stanowisko / Position ]:[Stanowisko / Position ]],0)))</f>
        <v>1</v>
      </c>
      <c r="EL88" s="341">
        <f>IF(INDEX(tab_MinKomp[Obsługa robotów],MATCH($B87,tab_MinKomp[[Stanowisko / Position ]:[Stanowisko / Position ]],0))="n/a","n/a",EL87-INDEX(tab_MinKomp[Obsługa robotów],MATCH($B87,tab_MinKomp[[Stanowisko / Position ]:[Stanowisko / Position ]],0)))</f>
        <v>0</v>
      </c>
      <c r="EM88" s="341">
        <f>IF(INDEX(tab_MinKomp[Obsługa sterowania maszyny],MATCH($B87,tab_MinKomp[[Stanowisko / Position ]:[Stanowisko / Position ]],0))="n/a","n/a",EM87-INDEX(tab_MinKomp[Obsługa sterowania maszyny],MATCH($B87,tab_MinKomp[[Stanowisko / Position ]:[Stanowisko / Position ]],0)))</f>
        <v>0</v>
      </c>
      <c r="EN88" s="341">
        <f>IF(INDEX(tab_MinKomp[Usuwanie przyczyn żródłowych],MATCH($B87,tab_MinKomp[[Stanowisko / Position ]:[Stanowisko / Position ]],0))="n/a","n/a",EN87-INDEX(tab_MinKomp[Usuwanie przyczyn żródłowych],MATCH($B87,tab_MinKomp[[Stanowisko / Position ]:[Stanowisko / Position ]],0)))</f>
        <v>0</v>
      </c>
      <c r="EO88" s="341">
        <f>IF(INDEX(tab_MinKomp[Cmms stosowanie],MATCH($B87,tab_MinKomp[[Stanowisko / Position ]:[Stanowisko / Position ]],0))="n/a","n/a",EO87-INDEX(tab_MinKomp[Cmms stosowanie],MATCH($B87,tab_MinKomp[[Stanowisko / Position ]:[Stanowisko / Position ]],0)))</f>
        <v>-1</v>
      </c>
      <c r="EP88" s="341" t="str">
        <f>IF(INDEX(tab_MinKomp[[Czyszczenie form gumowych ]],MATCH($B87,tab_MinKomp[[Stanowisko / Position ]:[Stanowisko / Position ]],0))="n/a","n/a",EP87-INDEX(tab_MinKomp[[Czyszczenie form gumowych ]],MATCH($B87,tab_MinKomp[[Stanowisko / Position ]:[Stanowisko / Position ]],0)))</f>
        <v>n/a</v>
      </c>
      <c r="EQ88" s="341" t="str">
        <f>IF(INDEX(tab_MinKomp[Czyszczenie form plastikowych],MATCH($B87,tab_MinKomp[[Stanowisko / Position ]:[Stanowisko / Position ]],0))="n/a","n/a",EQ87-INDEX(tab_MinKomp[Czyszczenie form plastikowych],MATCH($B87,tab_MinKomp[[Stanowisko / Position ]:[Stanowisko / Position ]],0)))</f>
        <v>n/a</v>
      </c>
      <c r="ER88" s="341" t="str">
        <f>IF(INDEX(tab_MinKomp[Wymiana form plastik],MATCH($B87,tab_MinKomp[[Stanowisko / Position ]:[Stanowisko / Position ]],0))="n/a","n/a",ER87-INDEX(tab_MinKomp[Wymiana form plastik],MATCH($B87,tab_MinKomp[[Stanowisko / Position ]:[Stanowisko / Position ]],0)))</f>
        <v>n/a</v>
      </c>
      <c r="ES88" s="341" t="str">
        <f>IF(INDEX(tab_MinKomp[Wymiana form guma],MATCH($B87,tab_MinKomp[[Stanowisko / Position ]:[Stanowisko / Position ]],0))="n/a","n/a",ES87-INDEX(tab_MinKomp[Wymiana form guma],MATCH($B87,tab_MinKomp[[Stanowisko / Position ]:[Stanowisko / Position ]],0)))</f>
        <v>n/a</v>
      </c>
      <c r="ET88" s="341" t="str">
        <f>IF(INDEX(tab_MinKomp[Konserwacja KK],MATCH($B87,tab_MinKomp[[Stanowisko / Position ]:[Stanowisko / Position ]],0))="n/a","n/a",ET87-INDEX(tab_MinKomp[Konserwacja KK],MATCH($B87,tab_MinKomp[[Stanowisko / Position ]:[Stanowisko / Position ]],0)))</f>
        <v>n/a</v>
      </c>
      <c r="EU88" s="341" t="str">
        <f>IF(INDEX(tab_MinKomp[Konserwacja form guma],MATCH($B87,tab_MinKomp[[Stanowisko / Position ]:[Stanowisko / Position ]],0))="n/a","n/a",EU87-INDEX(tab_MinKomp[Konserwacja form guma],MATCH($B87,tab_MinKomp[[Stanowisko / Position ]:[Stanowisko / Position ]],0)))</f>
        <v>n/a</v>
      </c>
      <c r="EV88" s="341" t="str">
        <f>IF(INDEX(tab_MinKomp[Konserwacja form plastiki],MATCH($B87,tab_MinKomp[[Stanowisko / Position ]:[Stanowisko / Position ]],0))="n/a","n/a",EV87-INDEX(tab_MinKomp[Konserwacja form plastiki],MATCH($B87,tab_MinKomp[[Stanowisko / Position ]:[Stanowisko / Position ]],0)))</f>
        <v>n/a</v>
      </c>
      <c r="EW88" s="330" t="str">
        <f>IF(INDEX(tab_MinKomp[Konserwacja form plastiki],MATCH($B87,tab_MinKomp[[Stanowisko / Position ]:[Stanowisko / Position ]],0))="n/a","n/a",EW87-INDEX(tab_MinKomp[Konserwacja form plastiki],MATCH($B87,tab_MinKomp[[Stanowisko / Position ]:[Stanowisko / Position ]],0)))</f>
        <v>n/a</v>
      </c>
      <c r="EX88" s="341" t="str">
        <f>IF(INDEX(tab_MinKomp[Konserwacja Gorącego Kanału],MATCH($B87,tab_MinKomp[[Stanowisko / Position ]:[Stanowisko / Position ]],0))="n/a","n/a",EX87-INDEX(tab_MinKomp[Konserwacja Gorącego Kanału],MATCH($B87,tab_MinKomp[[Stanowisko / Position ]:[Stanowisko / Position ]],0)))</f>
        <v>n/a</v>
      </c>
      <c r="EY88" s="341">
        <f>IF(INDEX(tab_MinKomp[MS Office (Excel)],MATCH($B87,tab_MinKomp[[Stanowisko / Position ]:[Stanowisko / Position ]],0))="n/a","n/a",EY87-INDEX(tab_MinKomp[MS Office (Excel)],MATCH($B87,tab_MinKomp[[Stanowisko / Position ]:[Stanowisko / Position ]],0)))</f>
        <v>-1</v>
      </c>
      <c r="EZ88" s="341">
        <f>IF(INDEX(tab_MinKomp[MS Office (Word)],MATCH($B87,tab_MinKomp[[Stanowisko / Position ]:[Stanowisko / Position ]],0))="n/a","n/a",EZ87-INDEX(tab_MinKomp[MS Office (Word)],MATCH($B87,tab_MinKomp[[Stanowisko / Position ]:[Stanowisko / Position ]],0)))</f>
        <v>-1</v>
      </c>
      <c r="FA88" s="341">
        <f>IF(INDEX(tab_MinKomp[MS Office (Power Point)],MATCH($B87,tab_MinKomp[[Stanowisko / Position ]:[Stanowisko / Position ]],0))="n/a","n/a",FA87-INDEX(tab_MinKomp[MS Office (Power Point)],MATCH($B87,tab_MinKomp[[Stanowisko / Position ]:[Stanowisko / Position ]],0)))</f>
        <v>-1</v>
      </c>
      <c r="FB88" s="341">
        <f>IF(INDEX(tab_MinKomp[Język angielski / Englisch],MATCH($B87,tab_MinKomp[[Stanowisko / Position ]:[Stanowisko / Position ]],0))="n/a","n/a",FB87-INDEX(tab_MinKomp[Język angielski / Englisch],MATCH($B87,tab_MinKomp[[Stanowisko / Position ]:[Stanowisko / Position ]],0)))</f>
        <v>-1</v>
      </c>
      <c r="FC88" s="341" t="str">
        <f>IF(INDEX(tab_MinKomp[Język niemiecki / Deutsch],MATCH($B87,tab_MinKomp[[Stanowisko / Position ]:[Stanowisko / Position ]],0))="n/a","n/a",FC87-INDEX(tab_MinKomp[Język niemiecki / Deutsch],MATCH($B87,tab_MinKomp[[Stanowisko / Position ]:[Stanowisko / Position ]],0)))</f>
        <v>n/a</v>
      </c>
      <c r="FD88" s="341">
        <f>IF(INDEX(tab_MinKomp[Zarządzanie dokumentacją procesową / Process dokumentation management],MATCH($B87,tab_MinKomp[[Stanowisko / Position ]:[Stanowisko / Position ]],0))="n/a","n/a",FD87-INDEX(tab_MinKomp[Zarządzanie dokumentacją procesową / Process dokumentation management],MATCH($B87,tab_MinKomp[[Stanowisko / Position ]:[Stanowisko / Position ]],0)))</f>
        <v>0</v>
      </c>
      <c r="FE88" s="341">
        <f>IF(INDEX(tab_MinKomp[Znajomość procesów z obszaru / Kenntiss der prozesse in dem Bereich],MATCH($B87,tab_MinKomp[[Stanowisko / Position ]:[Stanowisko / Position ]],0))="n/a","n/a",FE87-INDEX(tab_MinKomp[Znajomość procesów z obszaru / Kenntiss der prozesse in dem Bereich],MATCH($B87,tab_MinKomp[[Stanowisko / Position ]:[Stanowisko / Position ]],0)))</f>
        <v>0</v>
      </c>
      <c r="FF88" s="341">
        <f>IF(INDEX(tab_MinKomp[optymalizacja procesów / Prozessoptymalisierung],MATCH($B87,tab_MinKomp[[Stanowisko / Position ]:[Stanowisko / Position ]],0))="n/a","n/a",FF87-INDEX(tab_MinKomp[optymalizacja procesów / Prozessoptymalisierung],MATCH($B87,tab_MinKomp[[Stanowisko / Position ]:[Stanowisko / Position ]],0)))</f>
        <v>0</v>
      </c>
      <c r="FG88" s="341">
        <f>IF(INDEX(tab_MinKomp[Umiejętności szkoleniowe / Trainingsfähigkeiten],MATCH($B87,tab_MinKomp[[Stanowisko / Position ]:[Stanowisko / Position ]],0))="n/a","n/a",FG87-INDEX(tab_MinKomp[Umiejętności szkoleniowe / Trainingsfähigkeiten],MATCH($B87,tab_MinKomp[[Stanowisko / Position ]:[Stanowisko / Position ]],0)))</f>
        <v>0</v>
      </c>
      <c r="FH88" s="341">
        <f>IF(INDEX(tab_MinKomp[Analityczne myślenie, podejście / Analitysches Denken, Einstellung],MATCH($B87,tab_MinKomp[[Stanowisko / Position ]:[Stanowisko / Position ]],0))="n/a","n/a",FH87-INDEX(tab_MinKomp[Analityczne myślenie, podejście / Analitysches Denken, Einstellung],MATCH($B87,tab_MinKomp[[Stanowisko / Position ]:[Stanowisko / Position ]],0)))</f>
        <v>1</v>
      </c>
      <c r="FI88" s="341">
        <f>IF(INDEX(tab_MinKomp[Dokładność, precyzja w dzialaniu / Genauigkeit, Präzision in die Arbeit],MATCH($B87,tab_MinKomp[[Stanowisko / Position ]:[Stanowisko / Position ]],0))="n/a","n/a",FI87-INDEX(tab_MinKomp[Dokładność, precyzja w dzialaniu / Genauigkeit, Präzision in die Arbeit],MATCH($B87,tab_MinKomp[[Stanowisko / Position ]:[Stanowisko / Position ]],0)))</f>
        <v>-1</v>
      </c>
      <c r="FJ88" s="341">
        <f>IF(INDEX(tab_MinKomp[Dyspozycyjność / Verfügbarkeit],MATCH($B87,tab_MinKomp[[Stanowisko / Position ]:[Stanowisko / Position ]],0))="n/a","n/a",FJ87-INDEX(tab_MinKomp[Dyspozycyjność / Verfügbarkeit],MATCH($B87,tab_MinKomp[[Stanowisko / Position ]:[Stanowisko / Position ]],0)))</f>
        <v>0</v>
      </c>
      <c r="FK88" s="341">
        <f>IF(INDEX(tab_MinKomp[Zaangażowanie / 
Engagement],MATCH($B87,tab_MinKomp[[Stanowisko / Position ]:[Stanowisko / Position ]],0))="n/a","n/a",FK87-INDEX(tab_MinKomp[Zaangażowanie / 
Engagement],MATCH($B87,tab_MinKomp[[Stanowisko / Position ]:[Stanowisko / Position ]],0)))</f>
        <v>-1</v>
      </c>
      <c r="FL88" s="341">
        <f>IF(INDEX(tab_MinKomp[Planowanie strategiczne / Strategische Planung],MATCH($B87,tab_MinKomp[[Stanowisko / Position ]:[Stanowisko / Position ]],0))="n/a","n/a",FL87-INDEX(tab_MinKomp[Planowanie strategiczne / Strategische Planung],MATCH($B87,tab_MinKomp[[Stanowisko / Position ]:[Stanowisko / Position ]],0)))</f>
        <v>0</v>
      </c>
      <c r="FM88" s="341">
        <f>IF(INDEX(tab_MinKomp[Konsekwentne i dynamiczne działanie],MATCH($B87,tab_MinKomp[[Stanowisko / Position ]:[Stanowisko / Position ]],0))="n/a","n/a",FM87-INDEX(tab_MinKomp[Konsekwentne i dynamiczne działanie],MATCH($B87,tab_MinKomp[[Stanowisko / Position ]:[Stanowisko / Position ]],0)))</f>
        <v>0</v>
      </c>
      <c r="FN88" s="341">
        <f>IF(INDEX(tab_MinKomp[Elastyczność w działaniu],MATCH($B87,tab_MinKomp[[Stanowisko / Position ]:[Stanowisko / Position ]],0))="n/a","n/a",FN87-INDEX(tab_MinKomp[Elastyczność w działaniu],MATCH($B87,tab_MinKomp[[Stanowisko / Position ]:[Stanowisko / Position ]],0)))</f>
        <v>-1</v>
      </c>
      <c r="FO88" s="341">
        <f>IF(INDEX(tab_MinKomp[Komunikatywność],MATCH($B87,tab_MinKomp[[Stanowisko / Position ]:[Stanowisko / Position ]],0))="n/a","n/a",FO87-INDEX(tab_MinKomp[Komunikatywność],MATCH($B87,tab_MinKomp[[Stanowisko / Position ]:[Stanowisko / Position ]],0)))</f>
        <v>-1</v>
      </c>
      <c r="FP88" s="341" t="str">
        <f>IF(INDEX(tab_MinKomp[Motywowanie i budowanie zaangażowania zespołu],MATCH($B87,tab_MinKomp[[Stanowisko / Position ]:[Stanowisko / Position ]],0))="n/a","n/a",FP87-INDEX(tab_MinKomp[Motywowanie i budowanie zaangażowania zespołu],MATCH($B87,tab_MinKomp[[Stanowisko / Position ]:[Stanowisko / Position ]],0)))</f>
        <v>n/a</v>
      </c>
      <c r="FQ88" s="341" t="str">
        <f>IF(INDEX(tab_MinKomp[Motywowanie i budowanie zaangażowania zespołu],MATCH($B87,tab_MinKomp[[Stanowisko / Position ]:[Stanowisko / Position ]],0))="n/a","n/a",FQ87-INDEX(tab_MinKomp[Motywowanie i budowanie zaangażowania zespołu],MATCH($B87,tab_MinKomp[[Stanowisko / Position ]:[Stanowisko / Position ]],0)))</f>
        <v>n/a</v>
      </c>
      <c r="FR88" s="341" t="str">
        <f>IF(INDEX(tab_MinKomp[BRAK / Keine],MATCH($B87,tab_MinKomp[[Stanowisko / Position ]:[Stanowisko / Position ]],0))="n/a","n/a",FR87-INDEX(tab_MinKomp[BRAK / Keine],MATCH($B87,tab_MinKomp[[Stanowisko / Position ]:[Stanowisko / Position ]],0)))</f>
        <v>n/a</v>
      </c>
      <c r="FS88" s="341" t="str">
        <f>IF(INDEX(tab_MinKomp[MINIMUM 1 ROK / min. 1 Jahr],MATCH($B87,tab_MinKomp[[Stanowisko / Position ]:[Stanowisko / Position ]],0))="n/a","n/a",FS87-INDEX(tab_MinKomp[MINIMUM 1 ROK / min. 1 Jahr],MATCH($B87,tab_MinKomp[[Stanowisko / Position ]:[Stanowisko / Position ]],0)))</f>
        <v>n/a</v>
      </c>
      <c r="FT88" s="341" t="str">
        <f>IF(INDEX(tab_MinKomp[MINIMUM 2 LATA / min. 2 Jahre],MATCH($B87,tab_MinKomp[[Stanowisko / Position ]:[Stanowisko / Position ]],0))="n/a","n/a",FT87-INDEX(tab_MinKomp[MINIMUM 2 LATA / min. 2 Jahre],MATCH($B87,tab_MinKomp[[Stanowisko / Position ]:[Stanowisko / Position ]],0)))</f>
        <v>n/a</v>
      </c>
      <c r="FU88" s="341" t="str">
        <f>IF(INDEX(tab_MinKomp[MINIMUM 3 LATA / min. 3 Jahre],MATCH($B87,tab_MinKomp[[Stanowisko / Position ]:[Stanowisko / Position ]],0))="n/a","n/a",FU87-INDEX(tab_MinKomp[MINIMUM 3 LATA / min. 3 Jahre],MATCH($B87,tab_MinKomp[[Stanowisko / Position ]:[Stanowisko / Position ]],0)))</f>
        <v>n/a</v>
      </c>
      <c r="FV88" s="341" t="str">
        <f>IF(INDEX(tab_MinKomp[MINIMUM 4 LATA / min. 4 Jahre],MATCH($B87,tab_MinKomp[[Stanowisko / Position ]:[Stanowisko / Position ]],0))="n/a","n/a",FV87-INDEX(tab_MinKomp[MINIMUM 4 LATA / min. 4 Jahre],MATCH($B87,tab_MinKomp[[Stanowisko / Position ]:[Stanowisko / Position ]],0)))</f>
        <v>n/a</v>
      </c>
      <c r="FW88" s="341" t="str">
        <f>IF(INDEX(tab_MinKomp[MINIMUM 5 LAT / min. 5 Jahre],MATCH($B87,tab_MinKomp[[Stanowisko / Position ]:[Stanowisko / Position ]],0))="n/a","n/a",FW87-INDEX(tab_MinKomp[MINIMUM 5 LAT / min. 5 Jahre],MATCH($B87,tab_MinKomp[[Stanowisko / Position ]:[Stanowisko / Position ]],0)))</f>
        <v>n/a</v>
      </c>
      <c r="FX88" s="341" t="str">
        <f>IF(INDEX(tab_MinKomp[BRAK / Keine9],MATCH($B87,tab_MinKomp[[Stanowisko / Position ]:[Stanowisko / Position ]],0))="n/a","n/a",FX87-INDEX(tab_MinKomp[BRAK / Keine9],MATCH($B87,tab_MinKomp[[Stanowisko / Position ]:[Stanowisko / Position ]],0)))</f>
        <v>n/a</v>
      </c>
      <c r="FY88" s="341" t="str">
        <f>IF(INDEX(tab_MinKomp[ZAWODOWE / Berufsausbildung],MATCH($B87,tab_MinKomp[[Stanowisko / Position ]:[Stanowisko / Position ]],0))="n/a","n/a",FY87-INDEX(tab_MinKomp[ZAWODOWE / Berufsausbildung],MATCH($B87,tab_MinKomp[[Stanowisko / Position ]:[Stanowisko / Position ]],0)))</f>
        <v>n/a</v>
      </c>
      <c r="FZ88" s="341" t="s">
        <v>387</v>
      </c>
      <c r="GA88" s="341" t="str">
        <f>IF(INDEX(tab_MinKomp[WYŻSZE OGÓLNE / Hochschule allgemeine],MATCH($B87,tab_MinKomp[[Stanowisko / Position ]:[Stanowisko / Position ]],0))="n/a","n/a",GA87-INDEX(tab_MinKomp[WYŻSZE OGÓLNE / Hochschule allgemeine],MATCH($B87,tab_MinKomp[[Stanowisko / Position ]:[Stanowisko / Position ]],0)))</f>
        <v>n/a</v>
      </c>
      <c r="GB88" s="341" t="str">
        <f>IF(INDEX(tab_MinKomp[WYŻSZE OGÓLNE / Hochschule allgemeine],MATCH($B87,tab_MinKomp[[Stanowisko / Position ]:[Stanowisko / Position ]],0))="n/a","n/a",GB87-INDEX(tab_MinKomp[WYŻSZE OGÓLNE / Hochschule allgemeine],MATCH($B87,tab_MinKomp[[Stanowisko / Position ]:[Stanowisko / Position ]],0)))</f>
        <v>n/a</v>
      </c>
      <c r="GC88" s="341" t="str">
        <f>IF(INDEX(tab_MinKomp[WYŻSZE KIERUNKOWE / Hochschule berufliche],MATCH($B87,tab_MinKomp[[Stanowisko / Position ]:[Stanowisko / Position ]],0))="n/a","n/a",GC87-INDEX(tab_MinKomp[WYŻSZE KIERUNKOWE / Hochschule berufliche],MATCH($B87,tab_MinKomp[[Stanowisko / Position ]:[Stanowisko / Position ]],0)))</f>
        <v>n/a</v>
      </c>
      <c r="GD88" s="341" t="str">
        <f>IF(INDEX(tab_MinKomp[PIERWSZA POMOC / Erste Hilfe],MATCH($B87,tab_MinKomp[[Stanowisko / Position ]:[Stanowisko / Position ]],0))="n/a","n/a",GD87-INDEX(tab_MinKomp[PIERWSZA POMOC / Erste Hilfe],MATCH($B87,tab_MinKomp[[Stanowisko / Position ]:[Stanowisko / Position ]],0)))</f>
        <v>n/a</v>
      </c>
      <c r="GE88" s="341" t="str">
        <f>IF(INDEX(tab_MinKomp[Specjalista BHP / BHP Spezialist],MATCH($B87,tab_MinKomp[[Stanowisko / Position ]:[Stanowisko / Position ]],0))="n/a","n/a",GE87-INDEX(tab_MinKomp[Specjalista BHP / BHP Spezialist],MATCH($B87,tab_MinKomp[[Stanowisko / Position ]:[Stanowisko / Position ]],0)))</f>
        <v>n/a</v>
      </c>
      <c r="GF88" s="341" t="str">
        <f>IF(INDEX(tab_MinKomp[Inspektor ochrony PPOŻ / Brandschutzinspektor],MATCH($B87,tab_MinKomp[[Stanowisko / Position ]:[Stanowisko / Position ]],0))="n/a","n/a",GD87-INDEX(tab_MinKomp[Inspektor ochrony PPOŻ / Brandschutzinspektor],MATCH($B87,tab_MinKomp[[Stanowisko / Position ]:[Stanowisko / Position ]],0)))</f>
        <v>n/a</v>
      </c>
      <c r="GG88" s="341" t="s">
        <v>387</v>
      </c>
      <c r="GH88" s="341" t="str">
        <f>IF(INDEX(tab_MinKomp[Inspektor ochrony PPOŻ / Brandschutzinspektor],MATCH($B87,tab_MinKomp[[Stanowisko / Position ]:[Stanowisko / Position ]],0))="n/a","n/a",GF87-INDEX(tab_MinKomp[Inspektor ochrony PPOŻ / Brandschutzinspektor],MATCH($B87,tab_MinKomp[[Stanowisko / Position ]:[Stanowisko / Position ]],0)))</f>
        <v>n/a</v>
      </c>
      <c r="GI88" s="341" t="s">
        <v>387</v>
      </c>
      <c r="GJ88" s="341" t="str">
        <f>IF(INDEX(tab_MinKomp[Inspektor ochrony PPOŻ / Brandschutzinspektor],MATCH($B87,tab_MinKomp[[Stanowisko / Position ]:[Stanowisko / Position ]],0))="n/a","n/a",#REF!-INDEX(tab_MinKomp[Inspektor ochrony PPOŻ / Brandschutzinspektor],MATCH($B87,tab_MinKomp[[Stanowisko / Position ]:[Stanowisko / Position ]],0)))</f>
        <v>n/a</v>
      </c>
      <c r="GK88" s="341" t="s">
        <v>387</v>
      </c>
      <c r="GL88" s="320">
        <f>SUM(G88:FP88)/(GL87-(SUM(G88:FP88)))</f>
        <v>3.968253968253968E-2</v>
      </c>
      <c r="GM88" s="132"/>
    </row>
    <row r="89" spans="1:195" ht="28.35" customHeight="1" x14ac:dyDescent="0.25">
      <c r="A89" s="135" t="s">
        <v>185</v>
      </c>
      <c r="B89" s="135" t="s">
        <v>581</v>
      </c>
      <c r="C89" s="135" t="s">
        <v>558</v>
      </c>
      <c r="D89" s="135">
        <v>134</v>
      </c>
      <c r="E89" s="563" t="s">
        <v>673</v>
      </c>
      <c r="F89" s="307" t="s">
        <v>165</v>
      </c>
      <c r="G89" s="308">
        <v>2</v>
      </c>
      <c r="H89" s="308">
        <v>2</v>
      </c>
      <c r="I89" s="308">
        <v>1</v>
      </c>
      <c r="J89" s="308">
        <v>1</v>
      </c>
      <c r="K89" s="308">
        <v>1</v>
      </c>
      <c r="L89" s="308">
        <v>1</v>
      </c>
      <c r="M89" s="308" t="s">
        <v>176</v>
      </c>
      <c r="N89" s="308" t="s">
        <v>176</v>
      </c>
      <c r="O89" s="308">
        <v>1</v>
      </c>
      <c r="P89" s="308">
        <v>1</v>
      </c>
      <c r="Q89" s="308" t="s">
        <v>176</v>
      </c>
      <c r="R89" s="308" t="s">
        <v>176</v>
      </c>
      <c r="S89" s="308" t="s">
        <v>176</v>
      </c>
      <c r="T89" s="308">
        <v>1</v>
      </c>
      <c r="U89" s="308" t="s">
        <v>176</v>
      </c>
      <c r="V89" s="308" t="s">
        <v>176</v>
      </c>
      <c r="W89" s="308" t="s">
        <v>176</v>
      </c>
      <c r="X89" s="308" t="s">
        <v>176</v>
      </c>
      <c r="Y89" s="308" t="s">
        <v>176</v>
      </c>
      <c r="Z89" s="308" t="s">
        <v>176</v>
      </c>
      <c r="AA89" s="308" t="s">
        <v>176</v>
      </c>
      <c r="AB89" s="308" t="s">
        <v>176</v>
      </c>
      <c r="AC89" s="308" t="s">
        <v>176</v>
      </c>
      <c r="AD89" s="308" t="s">
        <v>176</v>
      </c>
      <c r="AE89" s="308" t="s">
        <v>176</v>
      </c>
      <c r="AF89" s="308" t="s">
        <v>176</v>
      </c>
      <c r="AG89" s="308" t="s">
        <v>176</v>
      </c>
      <c r="AH89" s="308" t="s">
        <v>176</v>
      </c>
      <c r="AI89" s="308" t="s">
        <v>176</v>
      </c>
      <c r="AJ89" s="308" t="s">
        <v>176</v>
      </c>
      <c r="AK89" s="308" t="s">
        <v>176</v>
      </c>
      <c r="AL89" s="308">
        <v>2</v>
      </c>
      <c r="AM89" s="308" t="s">
        <v>176</v>
      </c>
      <c r="AN89" s="308" t="s">
        <v>176</v>
      </c>
      <c r="AO89" s="308">
        <v>2</v>
      </c>
      <c r="AP89" s="308" t="s">
        <v>176</v>
      </c>
      <c r="AQ89" s="308">
        <v>1</v>
      </c>
      <c r="AR89" s="308" t="s">
        <v>176</v>
      </c>
      <c r="AS89" s="308" t="s">
        <v>176</v>
      </c>
      <c r="AT89" s="308" t="s">
        <v>176</v>
      </c>
      <c r="AU89" s="308">
        <v>1</v>
      </c>
      <c r="AV89" s="308">
        <v>1</v>
      </c>
      <c r="AW89" s="308">
        <v>1</v>
      </c>
      <c r="AX89" s="308" t="s">
        <v>176</v>
      </c>
      <c r="AY89" s="308" t="s">
        <v>176</v>
      </c>
      <c r="AZ89" s="308" t="s">
        <v>176</v>
      </c>
      <c r="BA89" s="308">
        <v>1</v>
      </c>
      <c r="BB89" s="308">
        <v>1</v>
      </c>
      <c r="BC89" s="308" t="s">
        <v>176</v>
      </c>
      <c r="BD89" s="308" t="s">
        <v>176</v>
      </c>
      <c r="BE89" s="308" t="s">
        <v>176</v>
      </c>
      <c r="BF89" s="308" t="s">
        <v>176</v>
      </c>
      <c r="BG89" s="308" t="s">
        <v>176</v>
      </c>
      <c r="BH89" s="308" t="s">
        <v>176</v>
      </c>
      <c r="BI89" s="308" t="s">
        <v>176</v>
      </c>
      <c r="BJ89" s="308" t="s">
        <v>176</v>
      </c>
      <c r="BK89" s="308" t="s">
        <v>176</v>
      </c>
      <c r="BL89" s="308" t="s">
        <v>176</v>
      </c>
      <c r="BM89" s="308">
        <v>2</v>
      </c>
      <c r="BN89" s="308" t="s">
        <v>176</v>
      </c>
      <c r="BO89" s="308">
        <v>2</v>
      </c>
      <c r="BP89" s="308" t="s">
        <v>176</v>
      </c>
      <c r="BQ89" s="308" t="s">
        <v>176</v>
      </c>
      <c r="BR89" s="308" t="s">
        <v>176</v>
      </c>
      <c r="BS89" s="308" t="s">
        <v>176</v>
      </c>
      <c r="BT89" s="308" t="s">
        <v>176</v>
      </c>
      <c r="BU89" s="308">
        <v>3</v>
      </c>
      <c r="BV89" s="308">
        <v>3</v>
      </c>
      <c r="BW89" s="308" t="s">
        <v>176</v>
      </c>
      <c r="BX89" s="308" t="s">
        <v>176</v>
      </c>
      <c r="BY89" s="308" t="s">
        <v>176</v>
      </c>
      <c r="BZ89" s="308" t="s">
        <v>176</v>
      </c>
      <c r="CA89" s="308" t="s">
        <v>176</v>
      </c>
      <c r="CB89" s="308" t="s">
        <v>176</v>
      </c>
      <c r="CC89" s="308" t="s">
        <v>176</v>
      </c>
      <c r="CD89" s="308" t="s">
        <v>176</v>
      </c>
      <c r="CE89" s="308" t="s">
        <v>176</v>
      </c>
      <c r="CF89" s="308" t="s">
        <v>176</v>
      </c>
      <c r="CG89" s="308">
        <v>2</v>
      </c>
      <c r="CH89" s="308" t="s">
        <v>176</v>
      </c>
      <c r="CI89" s="308" t="s">
        <v>176</v>
      </c>
      <c r="CJ89" s="308" t="s">
        <v>176</v>
      </c>
      <c r="CK89" s="308" t="s">
        <v>176</v>
      </c>
      <c r="CL89" s="308" t="s">
        <v>176</v>
      </c>
      <c r="CM89" s="308">
        <v>1</v>
      </c>
      <c r="CN89" s="308">
        <v>1</v>
      </c>
      <c r="CO89" s="308">
        <v>1</v>
      </c>
      <c r="CP89" s="308">
        <v>2</v>
      </c>
      <c r="CQ89" s="308" t="s">
        <v>176</v>
      </c>
      <c r="CR89" s="308" t="s">
        <v>176</v>
      </c>
      <c r="CS89" s="308" t="s">
        <v>176</v>
      </c>
      <c r="CT89" s="308" t="s">
        <v>176</v>
      </c>
      <c r="CU89" s="308" t="s">
        <v>176</v>
      </c>
      <c r="CV89" s="308" t="s">
        <v>176</v>
      </c>
      <c r="CW89" s="308" t="s">
        <v>176</v>
      </c>
      <c r="CX89" s="308" t="s">
        <v>176</v>
      </c>
      <c r="CY89" s="308" t="s">
        <v>176</v>
      </c>
      <c r="CZ89" s="308" t="s">
        <v>176</v>
      </c>
      <c r="DA89" s="308" t="s">
        <v>176</v>
      </c>
      <c r="DB89" s="308" t="s">
        <v>176</v>
      </c>
      <c r="DC89" s="308" t="s">
        <v>176</v>
      </c>
      <c r="DD89" s="308" t="s">
        <v>176</v>
      </c>
      <c r="DE89" s="308" t="s">
        <v>176</v>
      </c>
      <c r="DF89" s="308" t="s">
        <v>176</v>
      </c>
      <c r="DG89" s="308" t="s">
        <v>176</v>
      </c>
      <c r="DH89" s="308" t="s">
        <v>176</v>
      </c>
      <c r="DI89" s="308" t="s">
        <v>176</v>
      </c>
      <c r="DJ89" s="308" t="s">
        <v>176</v>
      </c>
      <c r="DK89" s="308" t="s">
        <v>176</v>
      </c>
      <c r="DL89" s="308" t="s">
        <v>176</v>
      </c>
      <c r="DM89" s="308" t="s">
        <v>176</v>
      </c>
      <c r="DN89" s="308" t="s">
        <v>176</v>
      </c>
      <c r="DO89" s="308" t="s">
        <v>176</v>
      </c>
      <c r="DP89" s="308" t="s">
        <v>176</v>
      </c>
      <c r="DQ89" s="308" t="s">
        <v>176</v>
      </c>
      <c r="DR89" s="308" t="s">
        <v>176</v>
      </c>
      <c r="DS89" s="308" t="s">
        <v>176</v>
      </c>
      <c r="DT89" s="308" t="s">
        <v>176</v>
      </c>
      <c r="DU89" s="308" t="s">
        <v>176</v>
      </c>
      <c r="DV89" s="306" t="s">
        <v>176</v>
      </c>
      <c r="DW89" s="306" t="s">
        <v>176</v>
      </c>
      <c r="DX89" s="306" t="s">
        <v>176</v>
      </c>
      <c r="DY89" s="308" t="s">
        <v>176</v>
      </c>
      <c r="DZ89" s="308" t="s">
        <v>176</v>
      </c>
      <c r="EA89" s="308" t="s">
        <v>176</v>
      </c>
      <c r="EB89" s="308" t="s">
        <v>176</v>
      </c>
      <c r="EC89" s="308" t="s">
        <v>176</v>
      </c>
      <c r="ED89" s="308" t="s">
        <v>176</v>
      </c>
      <c r="EE89" s="308" t="s">
        <v>176</v>
      </c>
      <c r="EF89" s="308" t="s">
        <v>176</v>
      </c>
      <c r="EG89" s="308" t="s">
        <v>176</v>
      </c>
      <c r="EH89" s="308" t="s">
        <v>176</v>
      </c>
      <c r="EI89" s="308" t="s">
        <v>176</v>
      </c>
      <c r="EJ89" s="308" t="s">
        <v>176</v>
      </c>
      <c r="EK89" s="308" t="s">
        <v>176</v>
      </c>
      <c r="EL89" s="308" t="s">
        <v>176</v>
      </c>
      <c r="EM89" s="308" t="s">
        <v>176</v>
      </c>
      <c r="EN89" s="308" t="s">
        <v>176</v>
      </c>
      <c r="EO89" s="308" t="s">
        <v>176</v>
      </c>
      <c r="EP89" s="308" t="s">
        <v>176</v>
      </c>
      <c r="EQ89" s="308" t="s">
        <v>176</v>
      </c>
      <c r="ER89" s="308" t="s">
        <v>176</v>
      </c>
      <c r="ES89" s="308" t="s">
        <v>176</v>
      </c>
      <c r="ET89" s="308" t="s">
        <v>176</v>
      </c>
      <c r="EU89" s="308" t="s">
        <v>176</v>
      </c>
      <c r="EV89" s="308" t="s">
        <v>176</v>
      </c>
      <c r="EW89" s="308" t="s">
        <v>176</v>
      </c>
      <c r="EX89" s="308" t="s">
        <v>176</v>
      </c>
      <c r="EY89" s="308">
        <v>1</v>
      </c>
      <c r="EZ89" s="308">
        <v>1</v>
      </c>
      <c r="FA89" s="308">
        <v>1</v>
      </c>
      <c r="FB89" s="308" t="s">
        <v>176</v>
      </c>
      <c r="FC89" s="308" t="s">
        <v>176</v>
      </c>
      <c r="FD89" s="308">
        <v>1</v>
      </c>
      <c r="FE89" s="308">
        <v>2</v>
      </c>
      <c r="FF89" s="308">
        <v>1</v>
      </c>
      <c r="FG89" s="308">
        <v>2</v>
      </c>
      <c r="FH89" s="308">
        <v>2</v>
      </c>
      <c r="FI89" s="308">
        <v>2</v>
      </c>
      <c r="FJ89" s="308">
        <v>2</v>
      </c>
      <c r="FK89" s="308">
        <v>2</v>
      </c>
      <c r="FL89" s="308">
        <v>2</v>
      </c>
      <c r="FM89" s="308">
        <v>1</v>
      </c>
      <c r="FN89" s="308">
        <v>2</v>
      </c>
      <c r="FO89" s="308">
        <v>2</v>
      </c>
      <c r="FP89" s="308">
        <v>2</v>
      </c>
      <c r="FQ89" s="308" t="s">
        <v>176</v>
      </c>
      <c r="FR89" s="308" t="s">
        <v>176</v>
      </c>
      <c r="FS89" s="308" t="s">
        <v>387</v>
      </c>
      <c r="FT89" s="308" t="s">
        <v>176</v>
      </c>
      <c r="FU89" s="308" t="s">
        <v>176</v>
      </c>
      <c r="FV89" s="308" t="s">
        <v>176</v>
      </c>
      <c r="FW89" s="308" t="s">
        <v>176</v>
      </c>
      <c r="FX89" s="308" t="s">
        <v>176</v>
      </c>
      <c r="FY89" s="308" t="s">
        <v>387</v>
      </c>
      <c r="FZ89" s="308" t="s">
        <v>176</v>
      </c>
      <c r="GA89" s="308" t="s">
        <v>176</v>
      </c>
      <c r="GB89" s="308" t="s">
        <v>176</v>
      </c>
      <c r="GC89" s="308" t="s">
        <v>176</v>
      </c>
      <c r="GD89" s="308" t="s">
        <v>387</v>
      </c>
      <c r="GE89" s="308" t="s">
        <v>176</v>
      </c>
      <c r="GF89" s="308" t="s">
        <v>176</v>
      </c>
      <c r="GG89" s="308" t="s">
        <v>387</v>
      </c>
      <c r="GH89" s="308" t="s">
        <v>176</v>
      </c>
      <c r="GI89" s="308" t="s">
        <v>176</v>
      </c>
      <c r="GJ89" s="308" t="s">
        <v>176</v>
      </c>
      <c r="GK89" s="308" t="s">
        <v>176</v>
      </c>
      <c r="GL89" s="329">
        <f>SUM(G89:FP89)</f>
        <v>64</v>
      </c>
    </row>
    <row r="90" spans="1:195" ht="28.35" customHeight="1" thickBot="1" x14ac:dyDescent="0.3">
      <c r="A90" s="138" t="str">
        <f>A89</f>
        <v>Prod.-Q-2</v>
      </c>
      <c r="B90" s="138" t="str">
        <f>B89</f>
        <v>Teamleder zespołu produkcji</v>
      </c>
      <c r="C90" s="138" t="str">
        <f>C89</f>
        <v>JŻ</v>
      </c>
      <c r="D90" s="138">
        <f>D89</f>
        <v>134</v>
      </c>
      <c r="E90" s="564"/>
      <c r="F90" s="312" t="s">
        <v>166</v>
      </c>
      <c r="G90" s="341">
        <f>IF(INDEX(tab_MinKomp[Przepisy BHP / BHP Vorschriften],MATCH($B89,tab_MinKomp[[Stanowisko / Position ]:[Stanowisko / Position ]],0))="n/a","n/a",G89-INDEX(tab_MinKomp[Przepisy BHP / BHP Vorschriften],MATCH($B89,tab_MinKomp[[Stanowisko / Position ]:[Stanowisko / Position ]],0)))</f>
        <v>0</v>
      </c>
      <c r="H90" s="342">
        <f>IF(INDEX(tab_MinKomp[Przepisy PPOŻ / Brandschutzbestimmungen],MATCH($B89,tab_MinKomp[[Stanowisko / Position ]:[Stanowisko / Position ]],0))="n/a","n/a",H89-INDEX(tab_MinKomp[Przepisy PPOŻ / Brandschutzbestimmungen],MATCH($B89,tab_MinKomp[[Stanowisko / Position ]:[Stanowisko / Position ]],0)))</f>
        <v>0</v>
      </c>
      <c r="I90" s="342">
        <f>IF(INDEX(tab_MinKomp[Ryzyko zawodowe na stanowiskach pracyv/ Berufliche Risiken an Arbeitsstellen],MATCH($B89,tab_MinKomp[[Stanowisko / Position ]:[Stanowisko / Position ]],0))="n/a","n/a",I89-INDEX(tab_MinKomp[Ryzyko zawodowe na stanowiskach pracyv/ Berufliche Risiken an Arbeitsstellen],MATCH($B89,tab_MinKomp[[Stanowisko / Position ]:[Stanowisko / Position ]],0)))</f>
        <v>0</v>
      </c>
      <c r="J90" s="342">
        <f>IF(INDEX(tab_MinKomp[Gospodarka substancjami niebezpiecznymi / Gefahrstoffmanagement],MATCH($B89,tab_MinKomp[[Stanowisko / Position ]:[Stanowisko / Position ]],0))="n/a","n/a",J89-INDEX(tab_MinKomp[Gospodarka substancjami niebezpiecznymi / Gefahrstoffmanagement],MATCH($B89,tab_MinKomp[[Stanowisko / Position ]:[Stanowisko / Position ]],0)))</f>
        <v>0</v>
      </c>
      <c r="K90" s="342">
        <f>IF(INDEX(tab_MinKomp[Gospodarka odpadami / Abfallwirtschaft],MATCH($B89,tab_MinKomp[[Stanowisko / Position ]:[Stanowisko / Position ]],0))="n/a","n/a",K89-INDEX(tab_MinKomp[Gospodarka odpadami / Abfallwirtschaft],MATCH($B89,tab_MinKomp[[Stanowisko / Position ]:[Stanowisko / Position ]],0)))</f>
        <v>0</v>
      </c>
      <c r="L90" s="343">
        <f>IF(INDEX(tab_MinKomp[Przepisy kodeksu pracy / Bestimmungen des Arbeitsgesetzes],MATCH($B89,tab_MinKomp[[Stanowisko / Position ]:[Stanowisko / Position ]],0))="n/a","n/a",L89-INDEX(tab_MinKomp[Przepisy kodeksu pracy / Bestimmungen des Arbeitsgesetzes],MATCH($B89,tab_MinKomp[[Stanowisko / Position ]:[Stanowisko / Position ]],0)))</f>
        <v>0</v>
      </c>
      <c r="M90" s="344" t="str">
        <f>IF(INDEX(tab_MinKomp[Przepisy o ub.społ. ZUS  / Sozialversicherungsvorschriften],MATCH($B89,tab_MinKomp[[Stanowisko / Position ]:[Stanowisko / Position ]],0))="n/a","n/a",M89-INDEX(tab_MinKomp[Przepisy o ub.społ. ZUS  / Sozialversicherungsvorschriften],MATCH($B89,tab_MinKomp[[Stanowisko / Position ]:[Stanowisko / Position ]],0)))</f>
        <v>n/a</v>
      </c>
      <c r="N90" s="343" t="str">
        <f>IF(INDEX(tab_MinKomp[PRZEPISY O PDOF /persönlich Einkommensteuergesetz ],MATCH($B89,tab_MinKomp[[Stanowisko / Position ]:[Stanowisko / Position ]],0))="n/a","n/a",N89-INDEX(tab_MinKomp[PRZEPISY O PDOF /persönlich Einkommensteuergesetz ],MATCH($B89,tab_MinKomp[[Stanowisko / Position ]:[Stanowisko / Position ]],0)))</f>
        <v>n/a</v>
      </c>
      <c r="O90" s="343">
        <f>IF(INDEX(tab_MinKomp[Regulamin pracy / Arbeitsordnung],MATCH($B89,tab_MinKomp[[Stanowisko / Position ]:[Stanowisko / Position ]],0))="n/a","n/a",O89-INDEX(tab_MinKomp[Regulamin pracy / Arbeitsordnung],MATCH($B89,tab_MinKomp[[Stanowisko / Position ]:[Stanowisko / Position ]],0)))</f>
        <v>0</v>
      </c>
      <c r="P90" s="343">
        <f>IF(INDEX(tab_MinKomp[Regulamin wynagradzania / Vergütungsordnung],MATCH($B89,tab_MinKomp[[Stanowisko / Position ]:[Stanowisko / Position ]],0))="n/a","n/a",P89-INDEX(tab_MinKomp[Regulamin wynagradzania / Vergütungsordnung],MATCH($B89,tab_MinKomp[[Stanowisko / Position ]:[Stanowisko / Position ]],0)))</f>
        <v>0</v>
      </c>
      <c r="Q90" s="343" t="str">
        <f>IF(INDEX(tab_MinKomp[System R2PŁATNIK PRO: Płace / Lohnabrechnung],MATCH($B89,tab_MinKomp[[Stanowisko / Position ]:[Stanowisko / Position ]],0))="n/a","n/a",Q89-INDEX(tab_MinKomp[System R2PŁATNIK PRO: Płace / Lohnabrechnung],MATCH($B89,tab_MinKomp[[Stanowisko / Position ]:[Stanowisko / Position ]],0)))</f>
        <v>n/a</v>
      </c>
      <c r="R90" s="343" t="str">
        <f>IF(INDEX(tab_MinKomp[SystemR2PŁATNIK PRO: KADRY / Personaldaten],MATCH($B89,tab_MinKomp[[Stanowisko / Position ]:[Stanowisko / Position ]],0))="n/a","n/a",R89-INDEX(tab_MinKomp[SystemR2PŁATNIK PRO: KADRY / Personaldaten],MATCH($B89,tab_MinKomp[[Stanowisko / Position ]:[Stanowisko / Position ]],0)))</f>
        <v>n/a</v>
      </c>
      <c r="S90" s="343" t="str">
        <f>IF(INDEX(tab_MinKomp[SYSTEM R2PŁATNIK PRO: zarządzanie pracownikami / Arbeitsverwaltung],MATCH($B89,tab_MinKomp[[Stanowisko / Position ]:[Stanowisko / Position ]],0))="n/a","n/a",S89-INDEX(tab_MinKomp[SYSTEM R2PŁATNIK PRO: zarządzanie pracownikami / Arbeitsverwaltung],MATCH($B89,tab_MinKomp[[Stanowisko / Position ]:[Stanowisko / Position ]],0)))</f>
        <v>n/a</v>
      </c>
      <c r="T90" s="343">
        <f>IF(INDEX(tab_MinKomp[Doradztwo, wsparcie personalne / Personalberatung und Unterstützung],MATCH($B89,tab_MinKomp[[Stanowisko / Position ]:[Stanowisko / Position ]],0))="n/a","n/a",T89-INDEX(tab_MinKomp[Doradztwo, wsparcie personalne / Personalberatung und Unterstützung],MATCH($B89,tab_MinKomp[[Stanowisko / Position ]:[Stanowisko / Position ]],0)))</f>
        <v>0</v>
      </c>
      <c r="U90" s="343" t="str">
        <f>IF(INDEX(tab_MinKomp[Przepisy o podatku VAT / MwSt.- Gesetz],MATCH($B89,tab_MinKomp[[Stanowisko / Position ]:[Stanowisko / Position ]],0))="n/a","n/a",U89-INDEX(tab_MinKomp[Przepisy o podatku VAT / MwSt.- Gesetz],MATCH($B89,tab_MinKomp[[Stanowisko / Position ]:[Stanowisko / Position ]],0)))</f>
        <v>n/a</v>
      </c>
      <c r="V90" s="343" t="str">
        <f>IF(INDEX(tab_MinKomp[PrzepisyPDOP / geschäftlich Einkommensteuergesetz],MATCH($B89,tab_MinKomp[[Stanowisko / Position ]:[Stanowisko / Position ]],0))="n/a","n/a",V89-INDEX(tab_MinKomp[PrzepisyPDOP / geschäftlich Einkommensteuergesetz],MATCH($B89,tab_MinKomp[[Stanowisko / Position ]:[Stanowisko / Position ]],0)))</f>
        <v>n/a</v>
      </c>
      <c r="W90" s="343" t="str">
        <f>IF(INDEX(tab_MinKomp[System BAAN / FINANSE (FIBU)],MATCH($B89,tab_MinKomp[[Stanowisko / Position ]:[Stanowisko / Position ]],0))="n/a","n/a",W89-INDEX(tab_MinKomp[System BAAN / FINANSE (FIBU)],MATCH($B89,tab_MinKomp[[Stanowisko / Position ]:[Stanowisko / Position ]],0)))</f>
        <v>n/a</v>
      </c>
      <c r="X90" s="343" t="str">
        <f>IF(INDEX(tab_MinKomp[Systemy pomocnicze / Hilfssysteme(STOCKPROGRAM, KALK2000 etc.)],MATCH($B89,tab_MinKomp[[Stanowisko / Position ]:[Stanowisko / Position ]],0))="n/a","n/a",X89-INDEX(tab_MinKomp[Systemy pomocnicze / Hilfssysteme(STOCKPROGRAM, KALK2000 etc.)],MATCH($B89,tab_MinKomp[[Stanowisko / Position ]:[Stanowisko / Position ]],0)))</f>
        <v>n/a</v>
      </c>
      <c r="Y90" s="343" t="str">
        <f>IF(INDEX(tab_MinKomp[Polityka rachunkowości / Buchführungspolitik],MATCH($B89,tab_MinKomp[[Stanowisko / Position ]:[Stanowisko / Position ]],0))="n/a","n/a",Y89-INDEX(tab_MinKomp[Polityka rachunkowości / Buchführungspolitik],MATCH($B89,tab_MinKomp[[Stanowisko / Position ]:[Stanowisko / Position ]],0)))</f>
        <v>n/a</v>
      </c>
      <c r="Z90" s="343" t="str">
        <f>IF(INDEX(tab_MinKomp[Ustawa o rachunkowości / Rechnungslegungsgesetz],MATCH($B89,tab_MinKomp[[Stanowisko / Position ]:[Stanowisko / Position ]],0))="n/a","n/a",Z89-INDEX(tab_MinKomp[Ustawa o rachunkowości / Rechnungslegungsgesetz],MATCH($B89,tab_MinKomp[[Stanowisko / Position ]:[Stanowisko / Position ]],0)))</f>
        <v>n/a</v>
      </c>
      <c r="AA90" s="343" t="str">
        <f>IF(INDEX(tab_MinKomp[WORKFLOW - TS-100],MATCH($B89,tab_MinKomp[[Stanowisko / Position ]:[Stanowisko / Position ]],0))="n/a","n/a",AA89-INDEX(tab_MinKomp[WORKFLOW - TS-100],MATCH($B89,tab_MinKomp[[Stanowisko / Position ]:[Stanowisko / Position ]],0)))</f>
        <v>n/a</v>
      </c>
      <c r="AB90" s="343" t="str">
        <f>IF(INDEX(tab_MinKomp[WORKFLOW - SFMS],MATCH($B89,tab_MinKomp[[Stanowisko / Position ]:[Stanowisko / Position ]],0))="n/a","n/a",AB89-INDEX(tab_MinKomp[WORKFLOW - SFMS],MATCH($B89,tab_MinKomp[[Stanowisko / Position ]:[Stanowisko / Position ]],0)))</f>
        <v>n/a</v>
      </c>
      <c r="AC90" s="343" t="str">
        <f>IF(INDEX(tab_MinKomp[System ISO 9001:2015],MATCH($B89,tab_MinKomp[[Stanowisko / Position ]:[Stanowisko / Position ]],0))="n/a","n/a",AC89-INDEX(tab_MinKomp[System ISO 9001:2015],MATCH($B89,tab_MinKomp[[Stanowisko / Position ]:[Stanowisko / Position ]],0)))</f>
        <v>n/a</v>
      </c>
      <c r="AD90" s="343" t="str">
        <f>IF(INDEX(tab_MinKomp[System IATF 16949:2016],MATCH($B89,tab_MinKomp[[Stanowisko / Position ]:[Stanowisko / Position ]],0))="n/a","n/a",AD89-INDEX(tab_MinKomp[System IATF 16949:2016],MATCH($B89,tab_MinKomp[[Stanowisko / Position ]:[Stanowisko / Position ]],0)))</f>
        <v>n/a</v>
      </c>
      <c r="AE90" s="343" t="str">
        <f>IF(INDEX(tab_MinKomp[System ISO 14001:2015],MATCH($B89,tab_MinKomp[[Stanowisko / Position ]:[Stanowisko / Position ]],0))="n/a","n/a",AE89-INDEX(tab_MinKomp[System ISO 14001:2015],MATCH($B89,tab_MinKomp[[Stanowisko / Position ]:[Stanowisko / Position ]],0)))</f>
        <v>n/a</v>
      </c>
      <c r="AF90" s="343" t="str">
        <f>IF(INDEX(tab_MinKomp[System PN-N 18001:2004 / ISO 45001:2018],MATCH($B89,tab_MinKomp[[Stanowisko / Position ]:[Stanowisko / Position ]],0))="n/a","n/a",AF89-INDEX(tab_MinKomp[System PN-N 18001:2004 / ISO 45001:2018],MATCH($B89,tab_MinKomp[[Stanowisko / Position ]:[Stanowisko / Position ]],0)))</f>
        <v>n/a</v>
      </c>
      <c r="AG90" s="343" t="str">
        <f>IF(INDEX(tab_MinKomp[Wymagania VDA 6.3 Process / Forderungen],MATCH($B89,tab_MinKomp[[Stanowisko / Position ]:[Stanowisko / Position ]],0))="n/a","n/a",AG89-INDEX(tab_MinKomp[Wymagania VDA 6.3 Process / Forderungen],MATCH($B89,tab_MinKomp[[Stanowisko / Position ]:[Stanowisko / Position ]],0)))</f>
        <v>n/a</v>
      </c>
      <c r="AH90" s="343" t="str">
        <f>IF(INDEX(tab_MinKomp[Wymagania VDA 6.5 Product / Forderungen],MATCH($B89,tab_MinKomp[[Stanowisko / Position ]:[Stanowisko / Position ]],0))="n/a","n/a",AH89-INDEX(tab_MinKomp[Wymagania VDA 6.5 Product / Forderungen],MATCH($B89,tab_MinKomp[[Stanowisko / Position ]:[Stanowisko / Position ]],0)))</f>
        <v>n/a</v>
      </c>
      <c r="AI90" s="343" t="str">
        <f>IF(INDEX(tab_MinKomp[PSCR (VW Product Safety &amp; Conformity Representative)],MATCH($B89,tab_MinKomp[[Stanowisko / Position ]:[Stanowisko / Position ]],0))="n/a","n/a",AI89-INDEX(tab_MinKomp[PSCR (VW Product Safety &amp; Conformity Representative)],MATCH($B89,tab_MinKomp[[Stanowisko / Position ]:[Stanowisko / Position ]],0)))</f>
        <v>n/a</v>
      </c>
      <c r="AJ90" s="343" t="str">
        <f>IF(INDEX(tab_MinKomp[Auditor systemu ISO 17025:2018],MATCH($B89,tab_MinKomp[[Stanowisko / Position ]:[Stanowisko / Position ]],0))="n/a","n/a",AJ89-INDEX(tab_MinKomp[Auditor systemu ISO 17025:2018],MATCH($B89,tab_MinKomp[[Stanowisko / Position ]:[Stanowisko / Position ]],0)))</f>
        <v>n/a</v>
      </c>
      <c r="AK90" s="343" t="str">
        <f>IF(INDEX(tab_MinKomp[Pełnomocnik systemu / Systemvertreter],MATCH($B89,tab_MinKomp[[Stanowisko / Position ]:[Stanowisko / Position ]],0))="n/a","n/a",AK89-INDEX(tab_MinKomp[Pełnomocnik systemu / Systemvertreter],MATCH($B89,tab_MinKomp[[Stanowisko / Position ]:[Stanowisko / Position ]],0)))</f>
        <v>n/a</v>
      </c>
      <c r="AL90" s="343" t="str">
        <f>IF(INDEX(tab_MinKomp[Polityka Etyczna - Compliance],MATCH($B89,tab_MinKomp[[Stanowisko / Position ]:[Stanowisko / Position ]],0))="n/a","n/a",AL89-INDEX(tab_MinKomp[Polityka Etyczna - Compliance],MATCH($B89,tab_MinKomp[[Stanowisko / Position ]:[Stanowisko / Position ]],0)))</f>
        <v>n/a</v>
      </c>
      <c r="AM90" s="343" t="str">
        <f>IF(INDEX(tab_MinKomp[WDRAŻANIE NOWYCH PROJEKTÓW/ PROCEDURA CTM],MATCH($B89,tab_MinKomp[[Stanowisko / Position ]:[Stanowisko / Position ]],0))="n/a","n/a",AM89-INDEX(tab_MinKomp[WDRAŻANIE NOWYCH PROJEKTÓW/ PROCEDURA CTM],MATCH($B89,tab_MinKomp[[Stanowisko / Position ]:[Stanowisko / Position ]],0)))</f>
        <v>n/a</v>
      </c>
      <c r="AN90" s="343" t="str">
        <f>IF(INDEX(tab_MinKomp[KAMIENIE MILOWE MSL/PIFF],MATCH($B89,tab_MinKomp[[Stanowisko / Position ]:[Stanowisko / Position ]],0))="n/a","n/a",AN89-INDEX(tab_MinKomp[KAMIENIE MILOWE MSL/PIFF],MATCH($B89,tab_MinKomp[[Stanowisko / Position ]:[Stanowisko / Position ]],0)))</f>
        <v>n/a</v>
      </c>
      <c r="AO90" s="343">
        <f>IF(INDEX(tab_MinKomp[CP],MATCH($B89,tab_MinKomp[[Stanowisko / Position ]:[Stanowisko / Position ]],0))="n/a","n/a",AO89-INDEX(tab_MinKomp[CP],MATCH($B89,tab_MinKomp[[Stanowisko / Position ]:[Stanowisko / Position ]],0)))</f>
        <v>0</v>
      </c>
      <c r="AP90" s="343" t="str">
        <f>IF(INDEX(tab_MinKomp[FMEA],MATCH($B89,tab_MinKomp[[Stanowisko / Position ]:[Stanowisko / Position ]],0))="n/a","n/a",AP89-INDEX(tab_MinKomp[FMEA],MATCH($B89,tab_MinKomp[[Stanowisko / Position ]:[Stanowisko / Position ]],0)))</f>
        <v>n/a</v>
      </c>
      <c r="AQ90" s="343">
        <f>IF(INDEX(tab_MinKomp[FLOW CHART],MATCH($B89,tab_MinKomp[[Stanowisko / Position ]:[Stanowisko / Position ]],0))="n/a","n/a",AQ89-INDEX(tab_MinKomp[FLOW CHART],MATCH($B89,tab_MinKomp[[Stanowisko / Position ]:[Stanowisko / Position ]],0)))</f>
        <v>0</v>
      </c>
      <c r="AR90" s="343" t="str">
        <f>IF(INDEX(tab_MinKomp[APQP],MATCH($B89,tab_MinKomp[[Stanowisko / Position ]:[Stanowisko / Position ]],0))="n/a","n/a",AR89-INDEX(tab_MinKomp[APQP],MATCH($B89,tab_MinKomp[[Stanowisko / Position ]:[Stanowisko / Position ]],0)))</f>
        <v>n/a</v>
      </c>
      <c r="AS90" s="343" t="str">
        <f>IF(INDEX(tab_MinKomp[MSA],MATCH($B89,tab_MinKomp[[Stanowisko / Position ]:[Stanowisko / Position ]],0))="n/a","n/a",AS89-INDEX(tab_MinKomp[MSA],MATCH($B89,tab_MinKomp[[Stanowisko / Position ]:[Stanowisko / Position ]],0)))</f>
        <v>n/a</v>
      </c>
      <c r="AT90" s="343" t="str">
        <f>IF(INDEX(tab_MinKomp[SPC],MATCH($B89,tab_MinKomp[[Stanowisko / Position ]:[Stanowisko / Position ]],0))="n/a","n/a",AT89-INDEX(tab_MinKomp[SPC],MATCH($B89,tab_MinKomp[[Stanowisko / Position ]:[Stanowisko / Position ]],0)))</f>
        <v>n/a</v>
      </c>
      <c r="AU90" s="343">
        <f>IF(INDEX(tab_MinKomp[CSR (SPECYFICZNE WYMAGANIA KLIENTA)],MATCH($B89,tab_MinKomp[[Stanowisko / Position ]:[Stanowisko / Position ]],0))="n/a","n/a",AU89-INDEX(tab_MinKomp[CSR (SPECYFICZNE WYMAGANIA KLIENTA)],MATCH($B89,tab_MinKomp[[Stanowisko / Position ]:[Stanowisko / Position ]],0)))</f>
        <v>0</v>
      </c>
      <c r="AV90" s="343">
        <f>IF(INDEX(tab_MinKomp[5S],MATCH($B89,tab_MinKomp[[Stanowisko / Position ]:[Stanowisko / Position ]],0))="n/a","n/a",AV89-INDEX(tab_MinKomp[5S],MATCH($B89,tab_MinKomp[[Stanowisko / Position ]:[Stanowisko / Position ]],0)))</f>
        <v>0</v>
      </c>
      <c r="AW90" s="343">
        <f>IF(INDEX(tab_MinKomp[LEAN MANAGEMENT],MATCH($B89,tab_MinKomp[[Stanowisko / Position ]:[Stanowisko / Position ]],0))="n/a","n/a",AW89-INDEX(tab_MinKomp[LEAN MANAGEMENT],MATCH($B89,tab_MinKomp[[Stanowisko / Position ]:[Stanowisko / Position ]],0)))</f>
        <v>0</v>
      </c>
      <c r="AX90" s="343" t="str">
        <f>IF(INDEX(tab_MinKomp[5R],MATCH($B89,tab_MinKomp[[Stanowisko / Position ]:[Stanowisko / Position ]],0))="n/a","n/a",AX89-INDEX(tab_MinKomp[5R],MATCH($B89,tab_MinKomp[[Stanowisko / Position ]:[Stanowisko / Position ]],0)))</f>
        <v>n/a</v>
      </c>
      <c r="AY90" s="343" t="str">
        <f>IF(INDEX(tab_MinKomp[Six Sigma],MATCH($B89,tab_MinKomp[[Stanowisko / Position ]:[Stanowisko / Position ]],0))="n/a","n/a",AY89-INDEX(tab_MinKomp[Six Sigma],MATCH($B89,tab_MinKomp[[Stanowisko / Position ]:[Stanowisko / Position ]],0)))</f>
        <v>n/a</v>
      </c>
      <c r="AZ90" s="343" t="str">
        <f>IF(INDEX(tab_MinKomp[System BAAN / Distribution &amp; Supply Chain],MATCH($B89,tab_MinKomp[[Stanowisko / Position ]:[Stanowisko / Position ]],0))="n/a","n/a",AZ89-INDEX(tab_MinKomp[System BAAN / Distribution &amp; Supply Chain],MATCH($B89,tab_MinKomp[[Stanowisko / Position ]:[Stanowisko / Position ]],0)))</f>
        <v>n/a</v>
      </c>
      <c r="BA90" s="343">
        <f>IF(INDEX(tab_MinKomp[Gospodarka magazynowa / Lagerverwaltung],MATCH($B89,tab_MinKomp[[Stanowisko / Position ]:[Stanowisko / Position ]],0))="n/a","n/a",BA89-INDEX(tab_MinKomp[Gospodarka magazynowa / Lagerverwaltung],MATCH($B89,tab_MinKomp[[Stanowisko / Position ]:[Stanowisko / Position ]],0)))</f>
        <v>0</v>
      </c>
      <c r="BB90" s="343">
        <f>IF(INDEX(tab_MinKomp[Inwentaryzacja - organizacja i przebieg / Inventurprozess],MATCH($B89,tab_MinKomp[[Stanowisko / Position ]:[Stanowisko / Position ]],0))="n/a","n/a",BB89-INDEX(tab_MinKomp[Inwentaryzacja - organizacja i przebieg / Inventurprozess],MATCH($B89,tab_MinKomp[[Stanowisko / Position ]:[Stanowisko / Position ]],0)))</f>
        <v>0</v>
      </c>
      <c r="BC90" s="343" t="str">
        <f>IF(INDEX(tab_MinKomp[Organizacja dostaw / Versorgungsorganisation],MATCH($B89,tab_MinKomp[[Stanowisko / Position ]:[Stanowisko / Position ]],0))="n/a","n/a",BC89-INDEX(tab_MinKomp[Organizacja dostaw / Versorgungsorganisation],MATCH($B89,tab_MinKomp[[Stanowisko / Position ]:[Stanowisko / Position ]],0)))</f>
        <v>n/a</v>
      </c>
      <c r="BD90" s="343" t="str">
        <f>IF(INDEX(tab_MinKomp[Organizacja wysyłek / Organisation von Lieferungen],MATCH($B89,tab_MinKomp[[Stanowisko / Position ]:[Stanowisko / Position ]],0))="n/a","n/a",BD89-INDEX(tab_MinKomp[Organizacja wysyłek / Organisation von Lieferungen],MATCH($B89,tab_MinKomp[[Stanowisko / Position ]:[Stanowisko / Position ]],0)))</f>
        <v>n/a</v>
      </c>
      <c r="BE90" s="343" t="str">
        <f>IF(INDEX(tab_MinKomp[Analiza magazynowa - Program Polen.mdb / Inventuranalyse],MATCH($B89,tab_MinKomp[[Stanowisko / Position ]:[Stanowisko / Position ]],0))="n/a","n/a",BE89-INDEX(tab_MinKomp[Analiza magazynowa - Program Polen.mdb / Inventuranalyse],MATCH($B89,tab_MinKomp[[Stanowisko / Position ]:[Stanowisko / Position ]],0)))</f>
        <v>n/a</v>
      </c>
      <c r="BF90" s="315" t="str">
        <f>IF(INDEX(tab_MinKomp[MMOG (Materials Management Operations Guidelines)],MATCH($B89,tab_MinKomp[[Stanowisko / Position ]:[Stanowisko / Position ]],0))="n/a","n/a",BF89-INDEX(tab_MinKomp[MMOG (Materials Management Operations Guidelines)],MATCH($B89,tab_MinKomp[[Stanowisko / Position ]:[Stanowisko / Position ]],0)))</f>
        <v>n/a</v>
      </c>
      <c r="BG90" s="315" t="str">
        <f>IF(INDEX(tab_MinKomp[GPP],MATCH($B89,tab_MinKomp[[Stanowisko / Position ]:[Stanowisko / Position ]],0))="n/a","n/a",BG89-INDEX(tab_MinKomp[GPP],MATCH($B89,tab_MinKomp[[Stanowisko / Position ]:[Stanowisko / Position ]],0)))</f>
        <v>n/a</v>
      </c>
      <c r="BH90" s="315" t="str">
        <f>IF(INDEX(tab_MinKomp[AIAG (Automotive Industry Action Group)],MATCH($B89,tab_MinKomp[[Stanowisko / Position ]:[Stanowisko / Position ]],0))="n/a","n/a",BH89-INDEX(tab_MinKomp[AIAG (Automotive Industry Action Group)],MATCH($B89,tab_MinKomp[[Stanowisko / Position ]:[Stanowisko / Position ]],0)))</f>
        <v>n/a</v>
      </c>
      <c r="BI90" s="315" t="str">
        <f>IF(INDEX(tab_MinKomp[Super-G disputes],MATCH($B89,tab_MinKomp[[Stanowisko / Position ]:[Stanowisko / Position ]],0))="n/a","n/a",BI89-INDEX(tab_MinKomp[Super-G disputes],MATCH($B89,tab_MinKomp[[Stanowisko / Position ]:[Stanowisko / Position ]],0)))</f>
        <v>n/a</v>
      </c>
      <c r="BJ90" s="315" t="str">
        <f>IF(INDEX(tab_MinKomp[CMMS3/eDDL (Direct Data Link)],MATCH($B89,tab_MinKomp[[Stanowisko / Position ]:[Stanowisko / Position ]],0))="n/a","n/a",BJ89-INDEX(tab_MinKomp[CMMS3/eDDL (Direct Data Link)],MATCH($B89,tab_MinKomp[[Stanowisko / Position ]:[Stanowisko / Position ]],0)))</f>
        <v>n/a</v>
      </c>
      <c r="BK90" s="315" t="str">
        <f>IF(INDEX(tab_MinKomp[MP&amp;L (Material Planning and Logistics)],MATCH($B89,tab_MinKomp[[Stanowisko / Position ]:[Stanowisko / Position ]],0))="n/a","n/a",BK89-INDEX(tab_MinKomp[MP&amp;L (Material Planning and Logistics)],MATCH($B89,tab_MinKomp[[Stanowisko / Position ]:[Stanowisko / Position ]],0)))</f>
        <v>n/a</v>
      </c>
      <c r="BL90" s="315" t="str">
        <f>IF(INDEX(tab_MinKomp[Supplier delivery rating],MATCH($B89,tab_MinKomp[[Stanowisko / Position ]:[Stanowisko / Position ]],0))="n/a","n/a",BL89-INDEX(tab_MinKomp[Supplier delivery rating],MATCH($B89,tab_MinKomp[[Stanowisko / Position ]:[Stanowisko / Position ]],0)))</f>
        <v>n/a</v>
      </c>
      <c r="BM90" s="343">
        <f>IF(INDEX(tab_MinKomp[Planowanie produkcji / Produktionsplanung],MATCH($B89,tab_MinKomp[[Stanowisko / Position ]:[Stanowisko / Position ]],0))="n/a","n/a",BM89-INDEX(tab_MinKomp[Planowanie produkcji / Produktionsplanung],MATCH($B89,tab_MinKomp[[Stanowisko / Position ]:[Stanowisko / Position ]],0)))</f>
        <v>-1</v>
      </c>
      <c r="BN90" s="343" t="str">
        <f>IF(INDEX(tab_MinKomp[Obsługa maszyn Engel / Engel Maschinenbedienung],MATCH($B89,tab_MinKomp[[Stanowisko / Position ]:[Stanowisko / Position ]],0))="n/a","n/a",BN89-INDEX(tab_MinKomp[Obsługa maszyn Engel / Engel Maschinenbedienung],MATCH($B89,tab_MinKomp[[Stanowisko / Position ]:[Stanowisko / Position ]],0)))</f>
        <v>n/a</v>
      </c>
      <c r="BO90" s="343" t="str">
        <f>IF(INDEX(tab_MinKomp[Obsługa maszyn KVT / KVT Maschinenbedienung],MATCH($B89,tab_MinKomp[[Stanowisko / Position ]:[Stanowisko / Position ]],0))="n/a","n/a",BO89-INDEX(tab_MinKomp[Obsługa maszyn KVT / KVT Maschinenbedienung],MATCH($B89,tab_MinKomp[[Stanowisko / Position ]:[Stanowisko / Position ]],0)))</f>
        <v>n/a</v>
      </c>
      <c r="BP90" s="343" t="str">
        <f>IF(INDEX(tab_MinKomp[Obsługa maszyn KVT / KVT Maschinenbedienung],MATCH($B89,tab_MinKomp[[Stanowisko / Position ]:[Stanowisko / Position ]],0))="n/a","n/a",BP89-INDEX(tab_MinKomp[Obsługa maszyn KVT / KVT Maschinenbedienung],MATCH($B89,tab_MinKomp[[Stanowisko / Position ]:[Stanowisko / Position ]],0)))</f>
        <v>n/a</v>
      </c>
      <c r="BQ90" s="343" t="str">
        <f>IF(INDEX(tab_MinKomp[Obsługa maszyn ASL / ASL Maschinenbedienung],MATCH($B89,tab_MinKomp[[Stanowisko / Position ]:[Stanowisko / Position ]],0))="n/a","n/a",BQ89-INDEX(tab_MinKomp[Obsługa maszyn ASL / ASL Maschinenbedienung],MATCH($B89,tab_MinKomp[[Stanowisko / Position ]:[Stanowisko / Position ]],0)))</f>
        <v>n/a</v>
      </c>
      <c r="BR90" s="343" t="str">
        <f>IF(INDEX(tab_MinKomp[Obsługa maszyn Branson / Branson Maschinenbedienung],MATCH($B89,tab_MinKomp[[Stanowisko / Position ]:[Stanowisko / Position ]],0))="n/a","n/a",BR89-INDEX(tab_MinKomp[Obsługa maszyn Branson / Branson Maschinenbedienung],MATCH($B89,tab_MinKomp[[Stanowisko / Position ]:[Stanowisko / Position ]],0)))</f>
        <v>n/a</v>
      </c>
      <c r="BS90" s="343" t="str">
        <f>IF(INDEX(tab_MinKomp[Obsługa maszyn Piovan / Piovan Maschinenbedienung],MATCH($B89,tab_MinKomp[[Stanowisko / Position ]:[Stanowisko / Position ]],0))="n/a","n/a",BS89-INDEX(tab_MinKomp[Obsługa maszyn Piovan / Piovan Maschinenbedienung],MATCH($B89,tab_MinKomp[[Stanowisko / Position ]:[Stanowisko / Position ]],0)))</f>
        <v>n/a</v>
      </c>
      <c r="BT90" s="343" t="str">
        <f>IF(INDEX(tab_MinKomp[Obsługa maszyn Piovan / Piovan Maschinenbedienung],MATCH($B89,tab_MinKomp[[Stanowisko / Position ]:[Stanowisko / Position ]],0))="n/a","n/a",BT89-INDEX(tab_MinKomp[Obsługa maszyn Piovan / Piovan Maschinenbedienung],MATCH($B89,tab_MinKomp[[Stanowisko / Position ]:[Stanowisko / Position ]],0)))</f>
        <v>n/a</v>
      </c>
      <c r="BU90" s="343">
        <f>IF(INDEX(tab_MinKomp[Obsługa maszyn Novapax / Novapax Maschinenbedienung],MATCH($B89,tab_MinKomp[[Stanowisko / Position ]:[Stanowisko / Position ]],0))="n/a","n/a",BU89-INDEX(tab_MinKomp[Obsługa maszyn Novapax / Novapax Maschinenbedienung],MATCH($B89,tab_MinKomp[[Stanowisko / Position ]:[Stanowisko / Position ]],0)))</f>
        <v>0</v>
      </c>
      <c r="BV90" s="343">
        <f>IF(INDEX(tab_MinKomp[Eliminacja awarii / Beseitigung von Ausfällen],MATCH($B89,tab_MinKomp[[Stanowisko / Position ]:[Stanowisko / Position ]],0))="n/a","n/a",BV89-INDEX(tab_MinKomp[Eliminacja awarii / Beseitigung von Ausfällen],MATCH($B89,tab_MinKomp[[Stanowisko / Position ]:[Stanowisko / Position ]],0)))</f>
        <v>0</v>
      </c>
      <c r="BW90" s="343" t="str">
        <f>IF(INDEX(tab_MinKomp[Informatyka ogólna (techniczne i systemowe) / Allgemeine IT (Technik und System)],MATCH($B89,tab_MinKomp[[Stanowisko / Position ]:[Stanowisko / Position ]],0))="n/a","n/a",BW89-INDEX(tab_MinKomp[Informatyka ogólna (techniczne i systemowe) / Allgemeine IT (Technik und System)],MATCH($B89,tab_MinKomp[[Stanowisko / Position ]:[Stanowisko / Position ]],0)))</f>
        <v>n/a</v>
      </c>
      <c r="BX90" s="343" t="str">
        <f>IF(INDEX(tab_MinKomp[Sieci komputerowe / Computernetzwerke],MATCH($B89,tab_MinKomp[[Stanowisko / Position ]:[Stanowisko / Position ]],0))="n/a","n/a",BX89-INDEX(tab_MinKomp[Sieci komputerowe / Computernetzwerke],MATCH($B89,tab_MinKomp[[Stanowisko / Position ]:[Stanowisko / Position ]],0)))</f>
        <v>n/a</v>
      </c>
      <c r="BY90" s="343" t="str">
        <f>IF(INDEX(tab_MinKomp[Hardware (komputery PC, drukarki biurowe i etykietowe, telefonia stacjonarna i mobilna) (PC, Drucker, Telefpne, Handys)],MATCH($B89,tab_MinKomp[[Stanowisko / Position ]:[Stanowisko / Position ]],0))="n/a","n/a",BY89-INDEX(tab_MinKomp[Hardware (komputery PC, drukarki biurowe i etykietowe, telefonia stacjonarna i mobilna) (PC, Drucker, Telefpne, Handys)],MATCH($B89,tab_MinKomp[[Stanowisko / Position ]:[Stanowisko / Position ]],0)))</f>
        <v>n/a</v>
      </c>
      <c r="BZ90" s="343" t="str">
        <f>IF(INDEX(tab_MinKomp[Software &amp; Systems (MS Office, MS Remote Desktop)],MATCH($B89,tab_MinKomp[[Stanowisko / Position ]:[Stanowisko / Position ]],0))="n/a","n/a",BZ89-INDEX(tab_MinKomp[Software &amp; Systems (MS Office, MS Remote Desktop)],MATCH($B89,tab_MinKomp[[Stanowisko / Position ]:[Stanowisko / Position ]],0)))</f>
        <v>n/a</v>
      </c>
      <c r="CA90" s="343" t="str">
        <f>IF(INDEX(tab_MinKomp[Programowanie obiektowe (PHP) / Objektprogrammierung],MATCH($B89,tab_MinKomp[[Stanowisko / Position ]:[Stanowisko / Position ]],0))="n/a","n/a",CA89-INDEX(tab_MinKomp[Programowanie obiektowe (PHP) / Objektprogrammierung],MATCH($B89,tab_MinKomp[[Stanowisko / Position ]:[Stanowisko / Position ]],0)))</f>
        <v>n/a</v>
      </c>
      <c r="CB90" s="343" t="str">
        <f>IF(INDEX(tab_MinKomp[Scrum],MATCH($B89,tab_MinKomp[[Stanowisko / Position ]:[Stanowisko / Position ]],0))="n/a","n/a",CB89-INDEX(tab_MinKomp[Scrum],MATCH($B89,tab_MinKomp[[Stanowisko / Position ]:[Stanowisko / Position ]],0)))</f>
        <v>n/a</v>
      </c>
      <c r="CC90" s="343" t="str">
        <f>IF(INDEX(tab_MinKomp[SQL (MySQL)],MATCH($B89,tab_MinKomp[[Stanowisko / Position ]:[Stanowisko / Position ]],0))="n/a","n/a",CC89-INDEX(tab_MinKomp[SQL (MySQL)],MATCH($B89,tab_MinKomp[[Stanowisko / Position ]:[Stanowisko / Position ]],0)))</f>
        <v>n/a</v>
      </c>
      <c r="CD90" s="343" t="str">
        <f>IF(INDEX(tab_MinKomp[Javascript],MATCH($B89,tab_MinKomp[[Stanowisko / Position ]:[Stanowisko / Position ]],0))="n/a","n/a",CD89-INDEX(tab_MinKomp[Javascript],MATCH($B89,tab_MinKomp[[Stanowisko / Position ]:[Stanowisko / Position ]],0)))</f>
        <v>n/a</v>
      </c>
      <c r="CE90" s="343" t="str">
        <f>IF(INDEX(tab_MinKomp[Joomla],MATCH($B89,tab_MinKomp[[Stanowisko / Position ]:[Stanowisko / Position ]],0))="n/a","n/a",CE89-INDEX(tab_MinKomp[Joomla],MATCH($B89,tab_MinKomp[[Stanowisko / Position ]:[Stanowisko / Position ]],0)))</f>
        <v>n/a</v>
      </c>
      <c r="CF90" s="343" t="str">
        <f>IF(INDEX(tab_MinKomp[Bash],MATCH($B89,tab_MinKomp[[Stanowisko / Position ]:[Stanowisko / Position ]],0))="n/a","n/a",CF89-INDEX(tab_MinKomp[Bash],MATCH($B89,tab_MinKomp[[Stanowisko / Position ]:[Stanowisko / Position ]],0)))</f>
        <v>n/a</v>
      </c>
      <c r="CG90" s="343">
        <f>IF(INDEX(tab_MinKomp[Systemy MES (HYDRA / SFMS)],MATCH($B89,tab_MinKomp[[Stanowisko / Position ]:[Stanowisko / Position ]],0))="n/a","n/a",CG89-INDEX(tab_MinKomp[Systemy MES (HYDRA / SFMS)],MATCH($B89,tab_MinKomp[[Stanowisko / Position ]:[Stanowisko / Position ]],0)))</f>
        <v>0</v>
      </c>
      <c r="CH90" s="343" t="str">
        <f>IF(INDEX(tab_MinKomp[HTML / CSS],MATCH($B89,tab_MinKomp[[Stanowisko / Position ]:[Stanowisko / Position ]],0))="n/a","n/a",CH89-INDEX(tab_MinKomp[HTML / CSS],MATCH($B89,tab_MinKomp[[Stanowisko / Position ]:[Stanowisko / Position ]],0)))</f>
        <v>n/a</v>
      </c>
      <c r="CI90" s="343" t="str">
        <f>IF(INDEX(tab_MinKomp[SYSTEM PR],MATCH($B89,tab_MinKomp[[Stanowisko / Position ]:[Stanowisko / Position ]],0))="n/a","n/a",CI89-INDEX(tab_MinKomp[SYSTEM PR],MATCH($B89,tab_MinKomp[[Stanowisko / Position ]:[Stanowisko / Position ]],0)))</f>
        <v>n/a</v>
      </c>
      <c r="CJ90" s="343" t="str">
        <f>IF(INDEX(tab_MinKomp[System Einkauf XP / EBA],MATCH($B89,tab_MinKomp[[Stanowisko / Position ]:[Stanowisko / Position ]],0))="n/a","n/a",CJ89-INDEX(tab_MinKomp[System Einkauf XP / EBA],MATCH($B89,tab_MinKomp[[Stanowisko / Position ]:[Stanowisko / Position ]],0)))</f>
        <v>n/a</v>
      </c>
      <c r="CK90" s="343" t="str">
        <f>IF(INDEX(tab_MinKomp[Techniki negocjacyjne / Verhandlungstechniken],MATCH($B89,tab_MinKomp[[Stanowisko / Position ]:[Stanowisko / Position ]],0))="n/a","n/a",CK89-INDEX(tab_MinKomp[Techniki negocjacyjne / Verhandlungstechniken],MATCH($B89,tab_MinKomp[[Stanowisko / Position ]:[Stanowisko / Position ]],0)))</f>
        <v>n/a</v>
      </c>
      <c r="CL90" s="343" t="str">
        <f>IF(INDEX(tab_MinKomp[Znajomość rynku branżowego / Kenntnis des Industrie Marktes],MATCH($B89,tab_MinKomp[[Stanowisko / Position ]:[Stanowisko / Position ]],0))="n/a","n/a",CL89-INDEX(tab_MinKomp[Znajomość rynku branżowego / Kenntnis des Industrie Marktes],MATCH($B89,tab_MinKomp[[Stanowisko / Position ]:[Stanowisko / Position ]],0)))</f>
        <v>n/a</v>
      </c>
      <c r="CM90" s="343">
        <f>IF(INDEX(tab_MinKomp[RAPORTY 8D / 8D Berichten],MATCH($B89,tab_MinKomp[[Stanowisko / Position ]:[Stanowisko / Position ]],0))="n/a","n/a",CM89-INDEX(tab_MinKomp[RAPORTY 8D / 8D Berichten],MATCH($B89,tab_MinKomp[[Stanowisko / Position ]:[Stanowisko / Position ]],0)))</f>
        <v>0</v>
      </c>
      <c r="CN90" s="343">
        <f>IF(INDEX(tab_MinKomp[NARZĘDZIA JAKOŚCIOWE (5WHY, Ishikawa, etc) / QS-Werkzeuge],MATCH($B89,tab_MinKomp[[Stanowisko / Position ]:[Stanowisko / Position ]],0))="n/a","n/a",CN89-INDEX(tab_MinKomp[NARZĘDZIA JAKOŚCIOWE (5WHY, Ishikawa, etc) / QS-Werkzeuge],MATCH($B89,tab_MinKomp[[Stanowisko / Position ]:[Stanowisko / Position ]],0)))</f>
        <v>0</v>
      </c>
      <c r="CO90" s="343">
        <f>IF(INDEX(tab_MinKomp[PDCA],MATCH($B89,tab_MinKomp[[Stanowisko / Position ]:[Stanowisko / Position ]],0))="n/a","n/a",CO89-INDEX(tab_MinKomp[PDCA],MATCH($B89,tab_MinKomp[[Stanowisko / Position ]:[Stanowisko / Position ]],0)))</f>
        <v>0</v>
      </c>
      <c r="CP90" s="343">
        <f>IF(INDEX(tab_MinKomp[Pareto],MATCH($B89,tab_MinKomp[[Stanowisko / Position ]:[Stanowisko / Position ]],0))="n/a","n/a",CP89-INDEX(tab_MinKomp[Pareto],MATCH($B89,tab_MinKomp[[Stanowisko / Position ]:[Stanowisko / Position ]],0)))</f>
        <v>0</v>
      </c>
      <c r="CQ90" s="343" t="str">
        <f>IF(INDEX(tab_MinKomp[PPAP/PSW],MATCH($B89,tab_MinKomp[[Stanowisko / Position ]:[Stanowisko / Position ]],0))="n/a","n/a",CQ89-INDEX(tab_MinKomp[PPAP/PSW],MATCH($B89,tab_MinKomp[[Stanowisko / Position ]:[Stanowisko / Position ]],0)))</f>
        <v>n/a</v>
      </c>
      <c r="CR90" s="343" t="str">
        <f>IF(INDEX(tab_MinKomp[SUPPLIER MANAGEMENT],MATCH($B89,tab_MinKomp[[Stanowisko / Position ]:[Stanowisko / Position ]],0))="n/a","n/a",CR89-INDEX(tab_MinKomp[SUPPLIER MANAGEMENT],MATCH($B89,tab_MinKomp[[Stanowisko / Position ]:[Stanowisko / Position ]],0)))</f>
        <v>n/a</v>
      </c>
      <c r="CS90" s="343" t="str">
        <f>IF(INDEX(tab_MinKomp[OBSŁUGA PORTALI KLIENTA / Kundenportale],MATCH($B89,tab_MinKomp[[Stanowisko / Position ]:[Stanowisko / Position ]],0))="n/a","n/a",CS89-INDEX(tab_MinKomp[OBSŁUGA PORTALI KLIENTA / Kundenportale],MATCH($B89,tab_MinKomp[[Stanowisko / Position ]:[Stanowisko / Position ]],0)))</f>
        <v>n/a</v>
      </c>
      <c r="CT90" s="343" t="str">
        <f>IF(INDEX(tab_MinKomp[Obsługa systemu BABTECQ / BABTECQ System],MATCH($B89,tab_MinKomp[[Stanowisko / Position ]:[Stanowisko / Position ]],0))="n/a","n/a",CT89-INDEX(tab_MinKomp[Obsługa systemu BABTECQ / BABTECQ System],MATCH($B89,tab_MinKomp[[Stanowisko / Position ]:[Stanowisko / Position ]],0)))</f>
        <v>n/a</v>
      </c>
      <c r="CU90" s="343" t="str">
        <f>IF(INDEX(tab_MinKomp[Rysunek techniczny / technische Zeichnung],MATCH($B89,tab_MinKomp[[Stanowisko / Position ]:[Stanowisko / Position ]],0))="n/a","n/a",CU89-INDEX(tab_MinKomp[Rysunek techniczny / technische Zeichnung],MATCH($B89,tab_MinKomp[[Stanowisko / Position ]:[Stanowisko / Position ]],0)))</f>
        <v>n/a</v>
      </c>
      <c r="CV90" s="343" t="str">
        <f>IF(INDEX(tab_MinKomp[Kalibracja / Kalibrierung],MATCH($B89,tab_MinKomp[[Stanowisko / Position ]:[Stanowisko / Position ]],0))="n/a","n/a",CV89-INDEX(tab_MinKomp[Kalibracja / Kalibrierung],MATCH($B89,tab_MinKomp[[Stanowisko / Position ]:[Stanowisko / Position ]],0)))</f>
        <v>n/a</v>
      </c>
      <c r="CW90" s="343" t="str">
        <f>IF(INDEX(tab_MinKomp[Rekwalifikacja / Requalifizierung],MATCH($B89,tab_MinKomp[[Stanowisko / Position ]:[Stanowisko / Position ]],0))="n/a","n/a",CW89-INDEX(tab_MinKomp[Rekwalifikacja / Requalifizierung],MATCH($B89,tab_MinKomp[[Stanowisko / Position ]:[Stanowisko / Position ]],0)))</f>
        <v>n/a</v>
      </c>
      <c r="CX90" s="315" t="str">
        <f>IF(INDEX(tab_MinKomp[CMM - Contura Zeiss],MATCH($B89,tab_MinKomp[[Stanowisko / Position ]:[Stanowisko / Position ]],0))="n/a","n/a",CX89-INDEX(tab_MinKomp[CMM - Contura Zeiss],MATCH($B89,tab_MinKomp[[Stanowisko / Position ]:[Stanowisko / Position ]],0)))</f>
        <v>n/a</v>
      </c>
      <c r="CY90" s="315" t="str">
        <f>IF(INDEX(tab_MinKomp[CMM - Contura Zeiss],MATCH($B89,tab_MinKomp[[Stanowisko / Position ]:[Stanowisko / Position ]],0))="n/a","n/a",CY89-INDEX(tab_MinKomp[CMM - Contura Zeiss],MATCH($B89,tab_MinKomp[[Stanowisko / Position ]:[Stanowisko / Position ]],0)))</f>
        <v>n/a</v>
      </c>
      <c r="CZ90" s="315" t="str">
        <f>IF(INDEX(tab_MinKomp[CMM - Contura Zeiss],MATCH($B89,tab_MinKomp[[Stanowisko / Position ]:[Stanowisko / Position ]],0))="n/a","n/a",CZ89-INDEX(tab_MinKomp[CMM - Contura Zeiss],MATCH($B89,tab_MinKomp[[Stanowisko / Position ]:[Stanowisko / Position ]],0)))</f>
        <v>n/a</v>
      </c>
      <c r="DA90" s="315" t="str">
        <f>IF(INDEX(tab_MinKomp[CMM - Contura Zeiss],MATCH($B89,tab_MinKomp[[Stanowisko / Position ]:[Stanowisko / Position ]],0))="n/a","n/a",DA89-INDEX(tab_MinKomp[CMM - Contura Zeiss],MATCH($B89,tab_MinKomp[[Stanowisko / Position ]:[Stanowisko / Position ]],0)))</f>
        <v>n/a</v>
      </c>
      <c r="DB90" s="315" t="str">
        <f>IF(INDEX(tab_MinKomp[CMM - Contura Zeiss],MATCH($B89,tab_MinKomp[[Stanowisko / Position ]:[Stanowisko / Position ]],0))="n/a","n/a",DB89-INDEX(tab_MinKomp[CMM - Contura Zeiss],MATCH($B89,tab_MinKomp[[Stanowisko / Position ]:[Stanowisko / Position ]],0)))</f>
        <v>n/a</v>
      </c>
      <c r="DC90" s="315" t="str">
        <f>IF(INDEX(tab_MinKomp[CMM - Contura Zeiss],MATCH($B89,tab_MinKomp[[Stanowisko / Position ]:[Stanowisko / Position ]],0))="n/a","n/a",DC89-INDEX(tab_MinKomp[CMM - Contura Zeiss],MATCH($B89,tab_MinKomp[[Stanowisko / Position ]:[Stanowisko / Position ]],0)))</f>
        <v>n/a</v>
      </c>
      <c r="DD90" s="315" t="str">
        <f>IF(INDEX(tab_MinKomp[Pisanie programów / Programme schreiben],MATCH($B89,tab_MinKomp[[Stanowisko / Position ]:[Stanowisko / Position ]],0))="n/a","n/a",DD89-INDEX(tab_MinKomp[Pisanie programów / Programme schreiben],MATCH($B89,tab_MinKomp[[Stanowisko / Position ]:[Stanowisko / Position ]],0)))</f>
        <v>n/a</v>
      </c>
      <c r="DE90" s="315" t="str">
        <f>IF(INDEX(tab_MinKomp[CMM - Contura Zeiss],MATCH($B89,tab_MinKomp[[Stanowisko / Position ]:[Stanowisko / Position ]],0))="n/a","n/a",DE89-INDEX(tab_MinKomp[CMM - Contura Zeiss],MATCH($B89,tab_MinKomp[[Stanowisko / Position ]:[Stanowisko / Position ]],0)))</f>
        <v>n/a</v>
      </c>
      <c r="DF90" s="315" t="str">
        <f>IF(INDEX(tab_MinKomp[CMM - Contura Zeiss],MATCH($B89,tab_MinKomp[[Stanowisko / Position ]:[Stanowisko / Position ]],0))="n/a","n/a",DF89-INDEX(tab_MinKomp[CMM - Contura Zeiss],MATCH($B89,tab_MinKomp[[Stanowisko / Position ]:[Stanowisko / Position ]],0)))</f>
        <v>n/a</v>
      </c>
      <c r="DG90" s="315" t="str">
        <f>IF(INDEX(tab_MinKomp[CMM - Contura Zeiss],MATCH($B89,tab_MinKomp[[Stanowisko / Position ]:[Stanowisko / Position ]],0))="n/a","n/a",DG89-INDEX(tab_MinKomp[CMM - Contura Zeiss],MATCH($B89,tab_MinKomp[[Stanowisko / Position ]:[Stanowisko / Position ]],0)))</f>
        <v>n/a</v>
      </c>
      <c r="DH90" s="315" t="str">
        <f>IF(INDEX(tab_MinKomp[CMM - Contura Zeiss],MATCH($B89,tab_MinKomp[[Stanowisko / Position ]:[Stanowisko / Position ]],0))="n/a","n/a",DH89-INDEX(tab_MinKomp[CMM - Contura Zeiss],MATCH($B89,tab_MinKomp[[Stanowisko / Position ]:[Stanowisko / Position ]],0)))</f>
        <v>n/a</v>
      </c>
      <c r="DI90" s="315" t="str">
        <f>IF(INDEX(tab_MinKomp[CMM - Contura Zeiss],MATCH($B89,tab_MinKomp[[Stanowisko / Position ]:[Stanowisko / Position ]],0))="n/a","n/a",DI89-INDEX(tab_MinKomp[CMM - Contura Zeiss],MATCH($B89,tab_MinKomp[[Stanowisko / Position ]:[Stanowisko / Position ]],0)))</f>
        <v>n/a</v>
      </c>
      <c r="DJ90" s="315" t="str">
        <f>IF(INDEX(tab_MinKomp[CMM - Contura Zeiss],MATCH($B89,tab_MinKomp[[Stanowisko / Position ]:[Stanowisko / Position ]],0))="n/a","n/a",DJ89-INDEX(tab_MinKomp[CMM - Contura Zeiss],MATCH($B89,tab_MinKomp[[Stanowisko / Position ]:[Stanowisko / Position ]],0)))</f>
        <v>n/a</v>
      </c>
      <c r="DK90" s="315" t="str">
        <f>IF(INDEX(tab_MinKomp[Pisanie programów / Programme schreiben],MATCH($B89,tab_MinKomp[[Stanowisko / Position ]:[Stanowisko / Position ]],0))="n/a","n/a",DK89-INDEX(tab_MinKomp[Pisanie programów / Programme schreiben],MATCH($B89,tab_MinKomp[[Stanowisko / Position ]:[Stanowisko / Position ]],0)))</f>
        <v>n/a</v>
      </c>
      <c r="DL90" s="315" t="str">
        <f>IF(INDEX(tab_MinKomp[CMM - Contura Zeiss],MATCH($B89,tab_MinKomp[[Stanowisko / Position ]:[Stanowisko / Position ]],0))="n/a","n/a",DL89-INDEX(tab_MinKomp[CMM - Contura Zeiss],MATCH($B89,tab_MinKomp[[Stanowisko / Position ]:[Stanowisko / Position ]],0)))</f>
        <v>n/a</v>
      </c>
      <c r="DM90" s="315" t="str">
        <f>IF(INDEX(tab_MinKomp[CMM - Contura Zeiss],MATCH($B89,tab_MinKomp[[Stanowisko / Position ]:[Stanowisko / Position ]],0))="n/a","n/a",DM89-INDEX(tab_MinKomp[CMM - Contura Zeiss],MATCH($B89,tab_MinKomp[[Stanowisko / Position ]:[Stanowisko / Position ]],0)))</f>
        <v>n/a</v>
      </c>
      <c r="DN90" s="315" t="str">
        <f>IF(INDEX(tab_MinKomp[CMM - Contura Zeiss],MATCH($B89,tab_MinKomp[[Stanowisko / Position ]:[Stanowisko / Position ]],0))="n/a","n/a",DN89-INDEX(tab_MinKomp[CMM - Contura Zeiss],MATCH($B89,tab_MinKomp[[Stanowisko / Position ]:[Stanowisko / Position ]],0)))</f>
        <v>n/a</v>
      </c>
      <c r="DO90" s="315" t="str">
        <f>IF(INDEX(tab_MinKomp[CMM - Contura Zeiss],MATCH($B89,tab_MinKomp[[Stanowisko / Position ]:[Stanowisko / Position ]],0))="n/a","n/a",DO89-INDEX(tab_MinKomp[CMM - Contura Zeiss],MATCH($B89,tab_MinKomp[[Stanowisko / Position ]:[Stanowisko / Position ]],0)))</f>
        <v>n/a</v>
      </c>
      <c r="DP90" s="315" t="str">
        <f>IF(INDEX(tab_MinKomp[CMM - Contura Zeiss],MATCH($B89,tab_MinKomp[[Stanowisko / Position ]:[Stanowisko / Position ]],0))="n/a","n/a",DP89-INDEX(tab_MinKomp[CMM - Contura Zeiss],MATCH($B89,tab_MinKomp[[Stanowisko / Position ]:[Stanowisko / Position ]],0)))</f>
        <v>n/a</v>
      </c>
      <c r="DQ90" s="315" t="str">
        <f>IF(INDEX(tab_MinKomp[CMM - Contura Zeiss],MATCH($B89,tab_MinKomp[[Stanowisko / Position ]:[Stanowisko / Position ]],0))="n/a","n/a",DQ89-INDEX(tab_MinKomp[CMM - Contura Zeiss],MATCH($B89,tab_MinKomp[[Stanowisko / Position ]:[Stanowisko / Position ]],0)))</f>
        <v>n/a</v>
      </c>
      <c r="DR90" s="315" t="str">
        <f>IF(INDEX(tab_MinKomp[Pisanie programów / Programme schreiben],MATCH($B89,tab_MinKomp[[Stanowisko / Position ]:[Stanowisko / Position ]],0))="n/a","n/a",DR89-INDEX(tab_MinKomp[Pisanie programów / Programme schreiben],MATCH($B89,tab_MinKomp[[Stanowisko / Position ]:[Stanowisko / Position ]],0)))</f>
        <v>n/a</v>
      </c>
      <c r="DS90" s="315" t="str">
        <f>IF(INDEX(tab_MinKomp[CMM - Contura Zeiss],MATCH($B89,tab_MinKomp[[Stanowisko / Position ]:[Stanowisko / Position ]],0))="n/a","n/a",DS89-INDEX(tab_MinKomp[CMM - Contura Zeiss],MATCH($B89,tab_MinKomp[[Stanowisko / Position ]:[Stanowisko / Position ]],0)))</f>
        <v>n/a</v>
      </c>
      <c r="DT90" s="315" t="str">
        <f>IF(INDEX(tab_MinKomp[CMM - Contura Zeiss],MATCH($B89,tab_MinKomp[[Stanowisko / Position ]:[Stanowisko / Position ]],0))="n/a","n/a",DT89-INDEX(tab_MinKomp[CMM - Contura Zeiss],MATCH($B89,tab_MinKomp[[Stanowisko / Position ]:[Stanowisko / Position ]],0)))</f>
        <v>n/a</v>
      </c>
      <c r="DU90" s="315" t="str">
        <f>IF(INDEX(tab_MinKomp[CMM - Contura Zeiss],MATCH($B89,tab_MinKomp[[Stanowisko / Position ]:[Stanowisko / Position ]],0))="n/a","n/a",DU89-INDEX(tab_MinKomp[CMM - Contura Zeiss],MATCH($B89,tab_MinKomp[[Stanowisko / Position ]:[Stanowisko / Position ]],0)))</f>
        <v>n/a</v>
      </c>
      <c r="DV90" s="315" t="str">
        <f>IF(INDEX(tab_MinKomp[CMM - Contura Zeiss],MATCH($B89,tab_MinKomp[[Stanowisko / Position ]:[Stanowisko / Position ]],0))="n/a","n/a",DV89-INDEX(tab_MinKomp[CMM - Contura Zeiss],MATCH($B89,tab_MinKomp[[Stanowisko / Position ]:[Stanowisko / Position ]],0)))</f>
        <v>n/a</v>
      </c>
      <c r="DW90" s="315" t="str">
        <f>IF(INDEX(tab_MinKomp[CMM - Contura Zeiss],MATCH($B89,tab_MinKomp[[Stanowisko / Position ]:[Stanowisko / Position ]],0))="n/a","n/a",DW89-INDEX(tab_MinKomp[CMM - Contura Zeiss],MATCH($B89,tab_MinKomp[[Stanowisko / Position ]:[Stanowisko / Position ]],0)))</f>
        <v>n/a</v>
      </c>
      <c r="DX90" s="315" t="str">
        <f>IF(INDEX(tab_MinKomp[CMM - Contura Zeiss],MATCH($B89,tab_MinKomp[[Stanowisko / Position ]:[Stanowisko / Position ]],0))="n/a","n/a",DX89-INDEX(tab_MinKomp[CMM - Contura Zeiss],MATCH($B89,tab_MinKomp[[Stanowisko / Position ]:[Stanowisko / Position ]],0)))</f>
        <v>n/a</v>
      </c>
      <c r="DY90" s="343" t="str">
        <f>IF(INDEX(tab_MinKomp[Konserwacja Rep],MATCH($B89,tab_MinKomp[[Stanowisko / Position ]:[Stanowisko / Position ]],0))="n/a","n/a",DY89-INDEX(tab_MinKomp[Konserwacja Rep],MATCH($B89,tab_MinKomp[[Stanowisko / Position ]:[Stanowisko / Position ]],0)))</f>
        <v>n/a</v>
      </c>
      <c r="DZ90" s="343" t="str">
        <f>IF(INDEX(tab_MinKomp[[Konserwacja Engel ]],MATCH($B89,tab_MinKomp[[Stanowisko / Position ]:[Stanowisko / Position ]],0))="n/a","n/a",DZ89-INDEX(tab_MinKomp[[Konserwacja Engel ]],MATCH($B89,tab_MinKomp[[Stanowisko / Position ]:[Stanowisko / Position ]],0)))</f>
        <v>n/a</v>
      </c>
      <c r="EA90" s="343" t="str">
        <f>IF(INDEX(tab_MinKomp[Konserwacja B 50],MATCH($B89,tab_MinKomp[[Stanowisko / Position ]:[Stanowisko / Position ]],0))="n/a","n/a",EA89-INDEX(tab_MinKomp[Konserwacja B 50],MATCH($B89,tab_MinKomp[[Stanowisko / Position ]:[Stanowisko / Position ]],0)))</f>
        <v>n/a</v>
      </c>
      <c r="EB90" s="343" t="str">
        <f>IF(INDEX(tab_MinKomp[[Konserwacja EOL ]],MATCH($B89,tab_MinKomp[[Stanowisko / Position ]:[Stanowisko / Position ]],0))="n/a","n/a",EB89-INDEX(tab_MinKomp[[Konserwacja EOL ]],MATCH($B89,tab_MinKomp[[Stanowisko / Position ]:[Stanowisko / Position ]],0)))</f>
        <v>n/a</v>
      </c>
      <c r="EC90" s="343" t="str">
        <f>IF(INDEX(tab_MinKomp[Konserwacja Branson],MATCH($B89,tab_MinKomp[[Stanowisko / Position ]:[Stanowisko / Position ]],0))="n/a","n/a",EC89-INDEX(tab_MinKomp[Konserwacja Branson],MATCH($B89,tab_MinKomp[[Stanowisko / Position ]:[Stanowisko / Position ]],0)))</f>
        <v>n/a</v>
      </c>
      <c r="ED90" s="343" t="str">
        <f>IF(INDEX(tab_MinKomp[Konserwacja coolery],MATCH($B89,tab_MinKomp[[Stanowisko / Position ]:[Stanowisko / Position ]],0))="n/a","n/a",ED89-INDEX(tab_MinKomp[Konserwacja coolery],MATCH($B89,tab_MinKomp[[Stanowisko / Position ]:[Stanowisko / Position ]],0)))</f>
        <v>n/a</v>
      </c>
      <c r="EE90" s="343" t="str">
        <f>IF(INDEX(tab_MinKomp[Konserwacja piecy],MATCH($B89,tab_MinKomp[[Stanowisko / Position ]:[Stanowisko / Position ]],0))="n/a","n/a",EE89-INDEX(tab_MinKomp[Konserwacja piecy],MATCH($B89,tab_MinKomp[[Stanowisko / Position ]:[Stanowisko / Position ]],0)))</f>
        <v>n/a</v>
      </c>
      <c r="EF90" s="343" t="str">
        <f>IF(INDEX(tab_MinKomp[Rysunek techniczny- czytanie],MATCH($B89,tab_MinKomp[[Stanowisko / Position ]:[Stanowisko / Position ]],0))="n/a","n/a",EF89-INDEX(tab_MinKomp[Rysunek techniczny- czytanie],MATCH($B89,tab_MinKomp[[Stanowisko / Position ]:[Stanowisko / Position ]],0)))</f>
        <v>n/a</v>
      </c>
      <c r="EG90" s="343" t="str">
        <f>IF(INDEX(tab_MinKomp[Elektryka],MATCH($B89,tab_MinKomp[[Stanowisko / Position ]:[Stanowisko / Position ]],0))="n/a","n/a",EG89-INDEX(tab_MinKomp[Elektryka],MATCH($B89,tab_MinKomp[[Stanowisko / Position ]:[Stanowisko / Position ]],0)))</f>
        <v>n/a</v>
      </c>
      <c r="EH90" s="343" t="str">
        <f>IF(INDEX(tab_MinKomp[Pneumatyka],MATCH($B89,tab_MinKomp[[Stanowisko / Position ]:[Stanowisko / Position ]],0))="n/a","n/a",EH89-INDEX(tab_MinKomp[Pneumatyka],MATCH($B89,tab_MinKomp[[Stanowisko / Position ]:[Stanowisko / Position ]],0)))</f>
        <v>n/a</v>
      </c>
      <c r="EI90" s="343" t="str">
        <f>IF(INDEX(tab_MinKomp[[Hydraulika ]],MATCH($B89,tab_MinKomp[[Stanowisko / Position ]:[Stanowisko / Position ]],0))="n/a","n/a",EI89-INDEX(tab_MinKomp[[Hydraulika ]],MATCH($B89,tab_MinKomp[[Stanowisko / Position ]:[Stanowisko / Position ]],0)))</f>
        <v>n/a</v>
      </c>
      <c r="EJ90" s="343" t="str">
        <f>IF(INDEX(tab_MinKomp[Podciśnienie],MATCH($B89,tab_MinKomp[[Stanowisko / Position ]:[Stanowisko / Position ]],0))="n/a","n/a",EJ89-INDEX(tab_MinKomp[Podciśnienie],MATCH($B89,tab_MinKomp[[Stanowisko / Position ]:[Stanowisko / Position ]],0)))</f>
        <v>n/a</v>
      </c>
      <c r="EK90" s="343" t="str">
        <f>IF(INDEX(tab_MinKomp[Usuwanie awarii],MATCH($B89,tab_MinKomp[[Stanowisko / Position ]:[Stanowisko / Position ]],0))="n/a","n/a",EK89-INDEX(tab_MinKomp[Usuwanie awarii],MATCH($B89,tab_MinKomp[[Stanowisko / Position ]:[Stanowisko / Position ]],0)))</f>
        <v>n/a</v>
      </c>
      <c r="EL90" s="343" t="str">
        <f>IF(INDEX(tab_MinKomp[Obsługa robotów],MATCH($B89,tab_MinKomp[[Stanowisko / Position ]:[Stanowisko / Position ]],0))="n/a","n/a",EL89-INDEX(tab_MinKomp[Obsługa robotów],MATCH($B89,tab_MinKomp[[Stanowisko / Position ]:[Stanowisko / Position ]],0)))</f>
        <v>n/a</v>
      </c>
      <c r="EM90" s="343" t="str">
        <f>IF(INDEX(tab_MinKomp[Obsługa sterowania maszyny],MATCH($B89,tab_MinKomp[[Stanowisko / Position ]:[Stanowisko / Position ]],0))="n/a","n/a",EM89-INDEX(tab_MinKomp[Obsługa sterowania maszyny],MATCH($B89,tab_MinKomp[[Stanowisko / Position ]:[Stanowisko / Position ]],0)))</f>
        <v>n/a</v>
      </c>
      <c r="EN90" s="343" t="str">
        <f>IF(INDEX(tab_MinKomp[Usuwanie przyczyn żródłowych],MATCH($B89,tab_MinKomp[[Stanowisko / Position ]:[Stanowisko / Position ]],0))="n/a","n/a",EN89-INDEX(tab_MinKomp[Usuwanie przyczyn żródłowych],MATCH($B89,tab_MinKomp[[Stanowisko / Position ]:[Stanowisko / Position ]],0)))</f>
        <v>n/a</v>
      </c>
      <c r="EO90" s="343" t="str">
        <f>IF(INDEX(tab_MinKomp[Cmms stosowanie],MATCH($B89,tab_MinKomp[[Stanowisko / Position ]:[Stanowisko / Position ]],0))="n/a","n/a",EO89-INDEX(tab_MinKomp[Cmms stosowanie],MATCH($B89,tab_MinKomp[[Stanowisko / Position ]:[Stanowisko / Position ]],0)))</f>
        <v>n/a</v>
      </c>
      <c r="EP90" s="343" t="str">
        <f>IF(INDEX(tab_MinKomp[[Czyszczenie form gumowych ]],MATCH($B89,tab_MinKomp[[Stanowisko / Position ]:[Stanowisko / Position ]],0))="n/a","n/a",EP89-INDEX(tab_MinKomp[[Czyszczenie form gumowych ]],MATCH($B89,tab_MinKomp[[Stanowisko / Position ]:[Stanowisko / Position ]],0)))</f>
        <v>n/a</v>
      </c>
      <c r="EQ90" s="343" t="str">
        <f>IF(INDEX(tab_MinKomp[Czyszczenie form plastikowych],MATCH($B89,tab_MinKomp[[Stanowisko / Position ]:[Stanowisko / Position ]],0))="n/a","n/a",EQ89-INDEX(tab_MinKomp[Czyszczenie form plastikowych],MATCH($B89,tab_MinKomp[[Stanowisko / Position ]:[Stanowisko / Position ]],0)))</f>
        <v>n/a</v>
      </c>
      <c r="ER90" s="343" t="str">
        <f>IF(INDEX(tab_MinKomp[Wymiana form plastik],MATCH($B89,tab_MinKomp[[Stanowisko / Position ]:[Stanowisko / Position ]],0))="n/a","n/a",ER89-INDEX(tab_MinKomp[Wymiana form plastik],MATCH($B89,tab_MinKomp[[Stanowisko / Position ]:[Stanowisko / Position ]],0)))</f>
        <v>n/a</v>
      </c>
      <c r="ES90" s="343" t="str">
        <f>IF(INDEX(tab_MinKomp[Wymiana form guma],MATCH($B89,tab_MinKomp[[Stanowisko / Position ]:[Stanowisko / Position ]],0))="n/a","n/a",ES89-INDEX(tab_MinKomp[Wymiana form guma],MATCH($B89,tab_MinKomp[[Stanowisko / Position ]:[Stanowisko / Position ]],0)))</f>
        <v>n/a</v>
      </c>
      <c r="ET90" s="343" t="str">
        <f>IF(INDEX(tab_MinKomp[Konserwacja KK],MATCH($B89,tab_MinKomp[[Stanowisko / Position ]:[Stanowisko / Position ]],0))="n/a","n/a",ET89-INDEX(tab_MinKomp[Konserwacja KK],MATCH($B89,tab_MinKomp[[Stanowisko / Position ]:[Stanowisko / Position ]],0)))</f>
        <v>n/a</v>
      </c>
      <c r="EU90" s="343" t="str">
        <f>IF(INDEX(tab_MinKomp[Konserwacja form guma],MATCH($B89,tab_MinKomp[[Stanowisko / Position ]:[Stanowisko / Position ]],0))="n/a","n/a",EU89-INDEX(tab_MinKomp[Konserwacja form guma],MATCH($B89,tab_MinKomp[[Stanowisko / Position ]:[Stanowisko / Position ]],0)))</f>
        <v>n/a</v>
      </c>
      <c r="EV90" s="343" t="str">
        <f>IF(INDEX(tab_MinKomp[Konserwacja form plastiki],MATCH($B89,tab_MinKomp[[Stanowisko / Position ]:[Stanowisko / Position ]],0))="n/a","n/a",EV89-INDEX(tab_MinKomp[Konserwacja form plastiki],MATCH($B89,tab_MinKomp[[Stanowisko / Position ]:[Stanowisko / Position ]],0)))</f>
        <v>n/a</v>
      </c>
      <c r="EW90" s="330" t="str">
        <f>IF(INDEX(tab_MinKomp[Konserwacja form plastiki],MATCH($B89,tab_MinKomp[[Stanowisko / Position ]:[Stanowisko / Position ]],0))="n/a","n/a",EW89-INDEX(tab_MinKomp[Konserwacja form plastiki],MATCH($B89,tab_MinKomp[[Stanowisko / Position ]:[Stanowisko / Position ]],0)))</f>
        <v>n/a</v>
      </c>
      <c r="EX90" s="343" t="str">
        <f>IF(INDEX(tab_MinKomp[Konserwacja Gorącego Kanału],MATCH($B89,tab_MinKomp[[Stanowisko / Position ]:[Stanowisko / Position ]],0))="n/a","n/a",EX89-INDEX(tab_MinKomp[Konserwacja Gorącego Kanału],MATCH($B89,tab_MinKomp[[Stanowisko / Position ]:[Stanowisko / Position ]],0)))</f>
        <v>n/a</v>
      </c>
      <c r="EY90" s="343">
        <f>IF(INDEX(tab_MinKomp[MS Office (Excel)],MATCH($B89,tab_MinKomp[[Stanowisko / Position ]:[Stanowisko / Position ]],0))="n/a","n/a",EY89-INDEX(tab_MinKomp[MS Office (Excel)],MATCH($B89,tab_MinKomp[[Stanowisko / Position ]:[Stanowisko / Position ]],0)))</f>
        <v>0</v>
      </c>
      <c r="EZ90" s="343">
        <f>IF(INDEX(tab_MinKomp[MS Office (Word)],MATCH($B89,tab_MinKomp[[Stanowisko / Position ]:[Stanowisko / Position ]],0))="n/a","n/a",EZ89-INDEX(tab_MinKomp[MS Office (Word)],MATCH($B89,tab_MinKomp[[Stanowisko / Position ]:[Stanowisko / Position ]],0)))</f>
        <v>0</v>
      </c>
      <c r="FA90" s="343">
        <f>IF(INDEX(tab_MinKomp[MS Office (Power Point)],MATCH($B89,tab_MinKomp[[Stanowisko / Position ]:[Stanowisko / Position ]],0))="n/a","n/a",FA89-INDEX(tab_MinKomp[MS Office (Power Point)],MATCH($B89,tab_MinKomp[[Stanowisko / Position ]:[Stanowisko / Position ]],0)))</f>
        <v>0</v>
      </c>
      <c r="FB90" s="343" t="str">
        <f>IF(INDEX(tab_MinKomp[Język angielski / Englisch],MATCH($B89,tab_MinKomp[[Stanowisko / Position ]:[Stanowisko / Position ]],0))="n/a","n/a",FB89-INDEX(tab_MinKomp[Język angielski / Englisch],MATCH($B89,tab_MinKomp[[Stanowisko / Position ]:[Stanowisko / Position ]],0)))</f>
        <v>n/a</v>
      </c>
      <c r="FC90" s="343" t="str">
        <f>IF(INDEX(tab_MinKomp[Język niemiecki / Deutsch],MATCH($B89,tab_MinKomp[[Stanowisko / Position ]:[Stanowisko / Position ]],0))="n/a","n/a",FC89-INDEX(tab_MinKomp[Język niemiecki / Deutsch],MATCH($B89,tab_MinKomp[[Stanowisko / Position ]:[Stanowisko / Position ]],0)))</f>
        <v>n/a</v>
      </c>
      <c r="FD90" s="343">
        <f>IF(INDEX(tab_MinKomp[Zarządzanie dokumentacją procesową / Process dokumentation management],MATCH($B89,tab_MinKomp[[Stanowisko / Position ]:[Stanowisko / Position ]],0))="n/a","n/a",FD89-INDEX(tab_MinKomp[Zarządzanie dokumentacją procesową / Process dokumentation management],MATCH($B89,tab_MinKomp[[Stanowisko / Position ]:[Stanowisko / Position ]],0)))</f>
        <v>-1</v>
      </c>
      <c r="FE90" s="343">
        <f>IF(INDEX(tab_MinKomp[Znajomość procesów z obszaru / Kenntiss der prozesse in dem Bereich],MATCH($B89,tab_MinKomp[[Stanowisko / Position ]:[Stanowisko / Position ]],0))="n/a","n/a",FE89-INDEX(tab_MinKomp[Znajomość procesów z obszaru / Kenntiss der prozesse in dem Bereich],MATCH($B89,tab_MinKomp[[Stanowisko / Position ]:[Stanowisko / Position ]],0)))</f>
        <v>0</v>
      </c>
      <c r="FF90" s="343">
        <f>IF(INDEX(tab_MinKomp[optymalizacja procesów / Prozessoptymalisierung],MATCH($B89,tab_MinKomp[[Stanowisko / Position ]:[Stanowisko / Position ]],0))="n/a","n/a",FF89-INDEX(tab_MinKomp[optymalizacja procesów / Prozessoptymalisierung],MATCH($B89,tab_MinKomp[[Stanowisko / Position ]:[Stanowisko / Position ]],0)))</f>
        <v>-1</v>
      </c>
      <c r="FG90" s="343">
        <f>IF(INDEX(tab_MinKomp[Umiejętności szkoleniowe / Trainingsfähigkeiten],MATCH($B89,tab_MinKomp[[Stanowisko / Position ]:[Stanowisko / Position ]],0))="n/a","n/a",FG89-INDEX(tab_MinKomp[Umiejętności szkoleniowe / Trainingsfähigkeiten],MATCH($B89,tab_MinKomp[[Stanowisko / Position ]:[Stanowisko / Position ]],0)))</f>
        <v>0</v>
      </c>
      <c r="FH90" s="343">
        <f>IF(INDEX(tab_MinKomp[Analityczne myślenie, podejście / Analitysches Denken, Einstellung],MATCH($B89,tab_MinKomp[[Stanowisko / Position ]:[Stanowisko / Position ]],0))="n/a","n/a",FH89-INDEX(tab_MinKomp[Analityczne myślenie, podejście / Analitysches Denken, Einstellung],MATCH($B89,tab_MinKomp[[Stanowisko / Position ]:[Stanowisko / Position ]],0)))</f>
        <v>0</v>
      </c>
      <c r="FI90" s="343">
        <f>IF(INDEX(tab_MinKomp[Dokładność, precyzja w dzialaniu / Genauigkeit, Präzision in die Arbeit],MATCH($B89,tab_MinKomp[[Stanowisko / Position ]:[Stanowisko / Position ]],0))="n/a","n/a",FI89-INDEX(tab_MinKomp[Dokładność, precyzja w dzialaniu / Genauigkeit, Präzision in die Arbeit],MATCH($B89,tab_MinKomp[[Stanowisko / Position ]:[Stanowisko / Position ]],0)))</f>
        <v>0</v>
      </c>
      <c r="FJ90" s="343">
        <f>IF(INDEX(tab_MinKomp[Dyspozycyjność / Verfügbarkeit],MATCH($B89,tab_MinKomp[[Stanowisko / Position ]:[Stanowisko / Position ]],0))="n/a","n/a",FJ89-INDEX(tab_MinKomp[Dyspozycyjność / Verfügbarkeit],MATCH($B89,tab_MinKomp[[Stanowisko / Position ]:[Stanowisko / Position ]],0)))</f>
        <v>0</v>
      </c>
      <c r="FK90" s="343">
        <f>IF(INDEX(tab_MinKomp[Zaangażowanie / 
Engagement],MATCH($B89,tab_MinKomp[[Stanowisko / Position ]:[Stanowisko / Position ]],0))="n/a","n/a",FK89-INDEX(tab_MinKomp[Zaangażowanie / 
Engagement],MATCH($B89,tab_MinKomp[[Stanowisko / Position ]:[Stanowisko / Position ]],0)))</f>
        <v>0</v>
      </c>
      <c r="FL90" s="343">
        <f>IF(INDEX(tab_MinKomp[Planowanie strategiczne / Strategische Planung],MATCH($B89,tab_MinKomp[[Stanowisko / Position ]:[Stanowisko / Position ]],0))="n/a","n/a",FL89-INDEX(tab_MinKomp[Planowanie strategiczne / Strategische Planung],MATCH($B89,tab_MinKomp[[Stanowisko / Position ]:[Stanowisko / Position ]],0)))</f>
        <v>0</v>
      </c>
      <c r="FM90" s="343">
        <f>IF(INDEX(tab_MinKomp[Konsekwentne i dynamiczne działanie],MATCH($B89,tab_MinKomp[[Stanowisko / Position ]:[Stanowisko / Position ]],0))="n/a","n/a",FM89-INDEX(tab_MinKomp[Konsekwentne i dynamiczne działanie],MATCH($B89,tab_MinKomp[[Stanowisko / Position ]:[Stanowisko / Position ]],0)))</f>
        <v>-1</v>
      </c>
      <c r="FN90" s="343">
        <f>IF(INDEX(tab_MinKomp[Elastyczność w działaniu],MATCH($B89,tab_MinKomp[[Stanowisko / Position ]:[Stanowisko / Position ]],0))="n/a","n/a",FN89-INDEX(tab_MinKomp[Elastyczność w działaniu],MATCH($B89,tab_MinKomp[[Stanowisko / Position ]:[Stanowisko / Position ]],0)))</f>
        <v>0</v>
      </c>
      <c r="FO90" s="343">
        <f>IF(INDEX(tab_MinKomp[Komunikatywność],MATCH($B89,tab_MinKomp[[Stanowisko / Position ]:[Stanowisko / Position ]],0))="n/a","n/a",FO89-INDEX(tab_MinKomp[Komunikatywność],MATCH($B89,tab_MinKomp[[Stanowisko / Position ]:[Stanowisko / Position ]],0)))</f>
        <v>0</v>
      </c>
      <c r="FP90" s="342">
        <f>IF(INDEX(tab_MinKomp[Motywowanie i budowanie zaangażowania zespołu],MATCH($B89,tab_MinKomp[[Stanowisko / Position ]:[Stanowisko / Position ]],0))="n/a","n/a",FP89-INDEX(tab_MinKomp[Motywowanie i budowanie zaangażowania zespołu],MATCH($B89,tab_MinKomp[[Stanowisko / Position ]:[Stanowisko / Position ]],0)))</f>
        <v>0</v>
      </c>
      <c r="FQ90" s="346" t="str">
        <f>IFERROR(IF(INDEX(tab_MinKomp[BRAK / Keine],MATCH($B89,tab_MinKomp[[Stanowisko / Position ]:[Stanowisko / Position ]],0))="n/a","n/a",INDEX(tab_MinKomp[BRAK / Keine],MATCH($B89,tab_MinKomp[[Stanowisko / Position ]:[Stanowisko / Position ]],0))-FQ89),"")</f>
        <v>n/a</v>
      </c>
      <c r="FR90" s="343" t="str">
        <f>IF(INDEX(tab_MinKomp[MINIMUM 1 ROK / min. 1 Jahr],MATCH($B89,tab_MinKomp[[Stanowisko / Position ]:[Stanowisko / Position ]],0))="n/a","n/a",INDEX(tab_MinKomp[MINIMUM 1 ROK / min. 1 Jahr],MATCH($B89,tab_MinKomp[[Stanowisko / Position ]:[Stanowisko / Position ]],0)))</f>
        <v>x</v>
      </c>
      <c r="FS90" s="343" t="str">
        <f>IF(INDEX(tab_MinKomp[MINIMUM 2 LATA / min. 2 Jahre],MATCH($B89,tab_MinKomp[[Stanowisko / Position ]:[Stanowisko / Position ]],0))="n/a","n/a",INDEX(tab_MinKomp[MINIMUM 2 LATA / min. 2 Jahre],MATCH($B89,tab_MinKomp[[Stanowisko / Position ]:[Stanowisko / Position ]],0)))</f>
        <v>n/a</v>
      </c>
      <c r="FT90" s="343" t="str">
        <f>IF(INDEX(tab_MinKomp[MINIMUM 3 LATA / min. 3 Jahre],MATCH($B89,tab_MinKomp[[Stanowisko / Position ]:[Stanowisko / Position ]],0))="n/a","n/a",INDEX(tab_MinKomp[MINIMUM 3 LATA / min. 3 Jahre],MATCH($B89,tab_MinKomp[[Stanowisko / Position ]:[Stanowisko / Position ]],0)))</f>
        <v>n/a</v>
      </c>
      <c r="FU90" s="343" t="str">
        <f>IF(INDEX(tab_MinKomp[MINIMUM 4 LATA / min. 4 Jahre],MATCH($B89,tab_MinKomp[[Stanowisko / Position ]:[Stanowisko / Position ]],0))="n/a","n/a",INDEX(tab_MinKomp[MINIMUM 4 LATA / min. 4 Jahre],MATCH($B89,tab_MinKomp[[Stanowisko / Position ]:[Stanowisko / Position ]],0)))</f>
        <v>n/a</v>
      </c>
      <c r="FV90" s="347" t="str">
        <f>IF(INDEX(tab_MinKomp[MINIMUM 5 LAT / min. 5 Jahre],MATCH($B89,tab_MinKomp[[Stanowisko / Position ]:[Stanowisko / Position ]],0))="n/a","n/a",INDEX(tab_MinKomp[MINIMUM 5 LAT / min. 5 Jahre],MATCH($B89,tab_MinKomp[[Stanowisko / Position ]:[Stanowisko / Position ]],0)))</f>
        <v>n/a</v>
      </c>
      <c r="FW90" s="346" t="str">
        <f>IF(INDEX(tab_MinKomp[BRAK / Keine9],MATCH($B89,tab_MinKomp[[Stanowisko / Position ]:[Stanowisko / Position ]],0))="n/a","n/a",INDEX(tab_MinKomp[BRAK / Keine9],MATCH($B89,tab_MinKomp[[Stanowisko / Position ]:[Stanowisko / Position ]],0)))</f>
        <v>n/a</v>
      </c>
      <c r="FX90" s="343" t="str">
        <f>IF(INDEX(tab_MinKomp[ZAWODOWE / Berufsausbildung],MATCH($B89,tab_MinKomp[[Stanowisko / Position ]:[Stanowisko / Position ]],0))="n/a","n/a",INDEX(tab_MinKomp[ZAWODOWE / Berufsausbildung],MATCH($B89,tab_MinKomp[[Stanowisko / Position ]:[Stanowisko / Position ]],0)))</f>
        <v>x</v>
      </c>
      <c r="FY90" s="343" t="str">
        <f>IF(INDEX(tab_MinKomp[ŚREDNIE OGÓLNE / Abitur allgemeine],MATCH($B89,tab_MinKomp[[Stanowisko / Position ]:[Stanowisko / Position ]],0))="n/a","n/a",INDEX(tab_MinKomp[ŚREDNIE OGÓLNE / Abitur allgemeine],MATCH($B89,tab_MinKomp[[Stanowisko / Position ]:[Stanowisko / Position ]],0)))</f>
        <v>n/a</v>
      </c>
      <c r="FZ90" s="343" t="str">
        <f>IF(INDEX(tab_MinKomp[ŚREDNIE KIERUNKOWE / berufliches Gymnasium],MATCH($B89,tab_MinKomp[[Stanowisko / Position ]:[Stanowisko / Position ]],0))="n/a","n/a",INDEX(tab_MinKomp[ŚREDNIE KIERUNKOWE / berufliches Gymnasium],MATCH($B89,tab_MinKomp[[Stanowisko / Position ]:[Stanowisko / Position ]],0)))</f>
        <v>n/a</v>
      </c>
      <c r="GA90" s="343" t="str">
        <f>IF(INDEX(tab_MinKomp[WYŻSZE OGÓLNE / Hochschule allgemeine],MATCH($B89,tab_MinKomp[[Stanowisko / Position ]:[Stanowisko / Position ]],0))="n/a","n/a",INDEX(tab_MinKomp[WYŻSZE OGÓLNE / Hochschule allgemeine],MATCH($B89,tab_MinKomp[[Stanowisko / Position ]:[Stanowisko / Position ]],0)))</f>
        <v>n/a</v>
      </c>
      <c r="GB90" s="347" t="str">
        <f>IF(INDEX(tab_MinKomp[WYŻSZE KIERUNKOWE / Hochschule berufliche],MATCH($B89,tab_MinKomp[[Stanowisko / Position ]:[Stanowisko / Position ]],0))="n/a","n/a",INDEX(tab_MinKomp[WYŻSZE KIERUNKOWE / Hochschule berufliche],MATCH($B89,tab_MinKomp[[Stanowisko / Position ]:[Stanowisko / Position ]],0)))</f>
        <v>n/a</v>
      </c>
      <c r="GC90" s="346" t="str">
        <f>IF(INDEX(tab_MinKomp[PIERWSZA POMOC / Erste Hilfe],MATCH($B89,tab_MinKomp[[Stanowisko / Position ]:[Stanowisko / Position ]],0))="n/a","n/a",INDEX(tab_MinKomp[PIERWSZA POMOC / Erste Hilfe],MATCH($B89,tab_MinKomp[[Stanowisko / Position ]:[Stanowisko / Position ]],0)))</f>
        <v>x</v>
      </c>
      <c r="GD90" s="343" t="str">
        <f>IF(INDEX(tab_MinKomp[Specjalista BHP / BHP Spezialist],MATCH($B89,tab_MinKomp[[Stanowisko / Position ]:[Stanowisko / Position ]],0))="n/a","n/a",INDEX(tab_MinKomp[Specjalista BHP / BHP Spezialist],MATCH($B89,tab_MinKomp[[Stanowisko / Position ]:[Stanowisko / Position ]],0)))</f>
        <v>n/a</v>
      </c>
      <c r="GE90" s="343" t="str">
        <f>IF(INDEX(tab_MinKomp[Inspektor ochrony PPOŻ / Brandschutzinspektor],MATCH($B89,tab_MinKomp[[Stanowisko / Position ]:[Stanowisko / Position ]],0))="n/a","n/a",INDEX(tab_MinKomp[Inspektor ochrony PPOŻ / Brandschutzinspektor],MATCH($B89,tab_MinKomp[[Stanowisko / Position ]:[Stanowisko / Position ]],0)))</f>
        <v>n/a</v>
      </c>
      <c r="GF90" s="343" t="str">
        <f>IF(INDEX(tab_MinKomp[WÓZKI JEZDNIOWE / Gebelstapler],MATCH($B89,tab_MinKomp[[Stanowisko / Position ]:[Stanowisko / Position ]],0))="n/a","n/a",INDEX(tab_MinKomp[WÓZKI JEZDNIOWE / Gebelstapler],MATCH($B89,tab_MinKomp[[Stanowisko / Position ]:[Stanowisko / Position ]],0)))</f>
        <v>x</v>
      </c>
      <c r="GG90" s="343" t="str">
        <f>IF(INDEX(tab_MinKomp[SEP],MATCH($B89,tab_MinKomp[[Stanowisko / Position ]:[Stanowisko / Position ]],0))="n/a","n/a",INDEX(tab_MinKomp[SEP],MATCH($B89,tab_MinKomp[[Stanowisko / Position ]:[Stanowisko / Position ]],0)))</f>
        <v>n/a</v>
      </c>
      <c r="GH90" s="343" t="str">
        <f>IF(INDEX(tab_MinKomp[SEP  DOZÓR / SEP Aufsicht],MATCH($B89,tab_MinKomp[[Stanowisko / Position ]:[Stanowisko / Position ]],0))="n/a","n/a",INDEX(tab_MinKomp[SEP  DOZÓR / SEP Aufsicht],MATCH($B89,tab_MinKomp[[Stanowisko / Position ]:[Stanowisko / Position ]],0)))</f>
        <v>n/a</v>
      </c>
      <c r="GI90" s="343" t="str">
        <f>IF(INDEX(tab_MinKomp[PODNOŚNIKI / Hebevorrichtung],MATCH($B89,tab_MinKomp[[Stanowisko / Position ]:[Stanowisko / Position ]],0))="n/a","n/a",INDEX(tab_MinKomp[PODNOŚNIKI / Hebevorrichtung],MATCH($B89,tab_MinKomp[[Stanowisko / Position ]:[Stanowisko / Position ]],0)))</f>
        <v>n/a</v>
      </c>
      <c r="GJ90" s="343" t="str">
        <f>IF(INDEX(tab_MinKomp[SUWNICE / Laufkran],MATCH($B89,tab_MinKomp[[Stanowisko / Position ]:[Stanowisko / Position ]],0))="n/a","n/a",INDEX(tab_MinKomp[SUWNICE / Laufkran],MATCH($B89,tab_MinKomp[[Stanowisko / Position ]:[Stanowisko / Position ]],0)))</f>
        <v>n/a</v>
      </c>
      <c r="GK90" s="347" t="str">
        <f>IF(INDEX(tab_MinKomp[WYSOKOŚCIOWE / Höhenberechtigungen],MATCH($B89,tab_MinKomp[[Stanowisko / Position ]:[Stanowisko / Position ]],0))="n/a","n/a",INDEX(tab_MinKomp[WYSOKOŚCIOWE / Höhenberechtigungen],MATCH($B89,tab_MinKomp[[Stanowisko / Position ]:[Stanowisko / Position ]],0)))</f>
        <v>n/a</v>
      </c>
      <c r="GL90" s="320">
        <f>SUM(G90:FP90)/(GL89-(SUM(G90:FP90)))</f>
        <v>-5.8823529411764705E-2</v>
      </c>
    </row>
    <row r="91" spans="1:195" ht="32.25" customHeight="1" x14ac:dyDescent="0.25">
      <c r="A91" s="135" t="s">
        <v>184</v>
      </c>
      <c r="B91" s="135" t="s">
        <v>581</v>
      </c>
      <c r="C91" s="135" t="s">
        <v>229</v>
      </c>
      <c r="D91" s="135">
        <v>331</v>
      </c>
      <c r="E91" s="563" t="s">
        <v>235</v>
      </c>
      <c r="F91" s="307" t="s">
        <v>165</v>
      </c>
      <c r="G91" s="308">
        <v>2</v>
      </c>
      <c r="H91" s="308">
        <v>2</v>
      </c>
      <c r="I91" s="308">
        <v>1</v>
      </c>
      <c r="J91" s="308">
        <v>1</v>
      </c>
      <c r="K91" s="308">
        <v>1</v>
      </c>
      <c r="L91" s="308">
        <v>1</v>
      </c>
      <c r="M91" s="308" t="s">
        <v>176</v>
      </c>
      <c r="N91" s="308" t="s">
        <v>176</v>
      </c>
      <c r="O91" s="308">
        <v>1</v>
      </c>
      <c r="P91" s="308">
        <v>1</v>
      </c>
      <c r="Q91" s="308" t="s">
        <v>176</v>
      </c>
      <c r="R91" s="308" t="s">
        <v>176</v>
      </c>
      <c r="S91" s="308" t="s">
        <v>176</v>
      </c>
      <c r="T91" s="308">
        <v>1</v>
      </c>
      <c r="U91" s="308" t="s">
        <v>176</v>
      </c>
      <c r="V91" s="308" t="s">
        <v>176</v>
      </c>
      <c r="W91" s="308" t="s">
        <v>176</v>
      </c>
      <c r="X91" s="308" t="s">
        <v>176</v>
      </c>
      <c r="Y91" s="308" t="s">
        <v>176</v>
      </c>
      <c r="Z91" s="308" t="s">
        <v>176</v>
      </c>
      <c r="AA91" s="308" t="s">
        <v>176</v>
      </c>
      <c r="AB91" s="308" t="s">
        <v>176</v>
      </c>
      <c r="AC91" s="308" t="s">
        <v>176</v>
      </c>
      <c r="AD91" s="308" t="s">
        <v>176</v>
      </c>
      <c r="AE91" s="308" t="s">
        <v>176</v>
      </c>
      <c r="AF91" s="308" t="s">
        <v>176</v>
      </c>
      <c r="AG91" s="308" t="s">
        <v>176</v>
      </c>
      <c r="AH91" s="308" t="s">
        <v>176</v>
      </c>
      <c r="AI91" s="308" t="s">
        <v>176</v>
      </c>
      <c r="AJ91" s="308" t="s">
        <v>176</v>
      </c>
      <c r="AK91" s="308" t="s">
        <v>176</v>
      </c>
      <c r="AL91" s="308">
        <v>2</v>
      </c>
      <c r="AM91" s="308" t="s">
        <v>176</v>
      </c>
      <c r="AN91" s="308" t="s">
        <v>176</v>
      </c>
      <c r="AO91" s="308">
        <v>2</v>
      </c>
      <c r="AP91" s="308" t="s">
        <v>176</v>
      </c>
      <c r="AQ91" s="308">
        <v>1</v>
      </c>
      <c r="AR91" s="308" t="s">
        <v>176</v>
      </c>
      <c r="AS91" s="308" t="s">
        <v>176</v>
      </c>
      <c r="AT91" s="308" t="s">
        <v>176</v>
      </c>
      <c r="AU91" s="308">
        <v>1</v>
      </c>
      <c r="AV91" s="308">
        <v>1</v>
      </c>
      <c r="AW91" s="308">
        <v>1</v>
      </c>
      <c r="AX91" s="308" t="s">
        <v>176</v>
      </c>
      <c r="AY91" s="308" t="s">
        <v>176</v>
      </c>
      <c r="AZ91" s="308" t="s">
        <v>176</v>
      </c>
      <c r="BA91" s="308">
        <v>1</v>
      </c>
      <c r="BB91" s="308">
        <v>3</v>
      </c>
      <c r="BC91" s="308" t="s">
        <v>176</v>
      </c>
      <c r="BD91" s="308" t="s">
        <v>176</v>
      </c>
      <c r="BE91" s="308" t="s">
        <v>176</v>
      </c>
      <c r="BF91" s="308" t="s">
        <v>176</v>
      </c>
      <c r="BG91" s="308" t="s">
        <v>176</v>
      </c>
      <c r="BH91" s="308" t="s">
        <v>176</v>
      </c>
      <c r="BI91" s="308" t="s">
        <v>176</v>
      </c>
      <c r="BJ91" s="308" t="s">
        <v>176</v>
      </c>
      <c r="BK91" s="308" t="s">
        <v>176</v>
      </c>
      <c r="BL91" s="308" t="s">
        <v>176</v>
      </c>
      <c r="BM91" s="308">
        <v>3</v>
      </c>
      <c r="BN91" s="308">
        <v>3</v>
      </c>
      <c r="BO91" s="308" t="s">
        <v>176</v>
      </c>
      <c r="BP91" s="308">
        <v>3</v>
      </c>
      <c r="BQ91" s="308">
        <v>3</v>
      </c>
      <c r="BR91" s="308">
        <v>3</v>
      </c>
      <c r="BS91" s="308">
        <v>3</v>
      </c>
      <c r="BT91" s="308">
        <v>3</v>
      </c>
      <c r="BU91" s="308" t="s">
        <v>176</v>
      </c>
      <c r="BV91" s="308">
        <v>3</v>
      </c>
      <c r="BW91" s="308" t="s">
        <v>176</v>
      </c>
      <c r="BX91" s="308" t="s">
        <v>176</v>
      </c>
      <c r="BY91" s="308" t="s">
        <v>176</v>
      </c>
      <c r="BZ91" s="308" t="s">
        <v>176</v>
      </c>
      <c r="CA91" s="308" t="s">
        <v>176</v>
      </c>
      <c r="CB91" s="308" t="s">
        <v>176</v>
      </c>
      <c r="CC91" s="308" t="s">
        <v>176</v>
      </c>
      <c r="CD91" s="308" t="s">
        <v>176</v>
      </c>
      <c r="CE91" s="308" t="s">
        <v>176</v>
      </c>
      <c r="CF91" s="308" t="s">
        <v>176</v>
      </c>
      <c r="CG91" s="308">
        <v>2</v>
      </c>
      <c r="CH91" s="308" t="s">
        <v>176</v>
      </c>
      <c r="CI91" s="308" t="s">
        <v>176</v>
      </c>
      <c r="CJ91" s="308" t="s">
        <v>176</v>
      </c>
      <c r="CK91" s="308" t="s">
        <v>176</v>
      </c>
      <c r="CL91" s="308" t="s">
        <v>176</v>
      </c>
      <c r="CM91" s="308">
        <v>1</v>
      </c>
      <c r="CN91" s="308">
        <v>1</v>
      </c>
      <c r="CO91" s="308">
        <v>2</v>
      </c>
      <c r="CP91" s="308">
        <v>2</v>
      </c>
      <c r="CQ91" s="308" t="s">
        <v>176</v>
      </c>
      <c r="CR91" s="308" t="s">
        <v>176</v>
      </c>
      <c r="CS91" s="308" t="s">
        <v>176</v>
      </c>
      <c r="CT91" s="308" t="s">
        <v>176</v>
      </c>
      <c r="CU91" s="308" t="s">
        <v>176</v>
      </c>
      <c r="CV91" s="308" t="s">
        <v>176</v>
      </c>
      <c r="CW91" s="308" t="s">
        <v>176</v>
      </c>
      <c r="CX91" s="308" t="s">
        <v>176</v>
      </c>
      <c r="CY91" s="308" t="s">
        <v>176</v>
      </c>
      <c r="CZ91" s="308" t="s">
        <v>176</v>
      </c>
      <c r="DA91" s="308" t="s">
        <v>176</v>
      </c>
      <c r="DB91" s="308" t="s">
        <v>176</v>
      </c>
      <c r="DC91" s="308" t="s">
        <v>176</v>
      </c>
      <c r="DD91" s="308" t="s">
        <v>176</v>
      </c>
      <c r="DE91" s="308" t="s">
        <v>176</v>
      </c>
      <c r="DF91" s="308" t="s">
        <v>176</v>
      </c>
      <c r="DG91" s="308" t="s">
        <v>176</v>
      </c>
      <c r="DH91" s="308" t="s">
        <v>176</v>
      </c>
      <c r="DI91" s="308" t="s">
        <v>176</v>
      </c>
      <c r="DJ91" s="308" t="s">
        <v>176</v>
      </c>
      <c r="DK91" s="308" t="s">
        <v>176</v>
      </c>
      <c r="DL91" s="308" t="s">
        <v>176</v>
      </c>
      <c r="DM91" s="308" t="s">
        <v>176</v>
      </c>
      <c r="DN91" s="308" t="s">
        <v>176</v>
      </c>
      <c r="DO91" s="308" t="s">
        <v>176</v>
      </c>
      <c r="DP91" s="308" t="s">
        <v>176</v>
      </c>
      <c r="DQ91" s="308" t="s">
        <v>176</v>
      </c>
      <c r="DR91" s="308" t="s">
        <v>176</v>
      </c>
      <c r="DS91" s="308" t="s">
        <v>176</v>
      </c>
      <c r="DT91" s="308" t="s">
        <v>176</v>
      </c>
      <c r="DU91" s="308" t="s">
        <v>176</v>
      </c>
      <c r="DV91" s="306" t="s">
        <v>176</v>
      </c>
      <c r="DW91" s="306" t="s">
        <v>176</v>
      </c>
      <c r="DX91" s="306" t="s">
        <v>176</v>
      </c>
      <c r="DY91" s="308" t="s">
        <v>176</v>
      </c>
      <c r="DZ91" s="308" t="s">
        <v>176</v>
      </c>
      <c r="EA91" s="308" t="s">
        <v>176</v>
      </c>
      <c r="EB91" s="308" t="s">
        <v>176</v>
      </c>
      <c r="EC91" s="308" t="s">
        <v>176</v>
      </c>
      <c r="ED91" s="308" t="s">
        <v>176</v>
      </c>
      <c r="EE91" s="308" t="s">
        <v>176</v>
      </c>
      <c r="EF91" s="308" t="s">
        <v>176</v>
      </c>
      <c r="EG91" s="308" t="s">
        <v>176</v>
      </c>
      <c r="EH91" s="308" t="s">
        <v>176</v>
      </c>
      <c r="EI91" s="308" t="s">
        <v>176</v>
      </c>
      <c r="EJ91" s="308" t="s">
        <v>176</v>
      </c>
      <c r="EK91" s="308" t="s">
        <v>176</v>
      </c>
      <c r="EL91" s="308" t="s">
        <v>176</v>
      </c>
      <c r="EM91" s="308" t="s">
        <v>176</v>
      </c>
      <c r="EN91" s="308" t="s">
        <v>176</v>
      </c>
      <c r="EO91" s="308" t="s">
        <v>176</v>
      </c>
      <c r="EP91" s="308" t="s">
        <v>176</v>
      </c>
      <c r="EQ91" s="308" t="s">
        <v>176</v>
      </c>
      <c r="ER91" s="308" t="s">
        <v>176</v>
      </c>
      <c r="ES91" s="308" t="s">
        <v>176</v>
      </c>
      <c r="ET91" s="308" t="s">
        <v>176</v>
      </c>
      <c r="EU91" s="308" t="s">
        <v>176</v>
      </c>
      <c r="EV91" s="308" t="s">
        <v>176</v>
      </c>
      <c r="EW91" s="308" t="s">
        <v>176</v>
      </c>
      <c r="EX91" s="308" t="s">
        <v>176</v>
      </c>
      <c r="EY91" s="308">
        <v>1</v>
      </c>
      <c r="EZ91" s="308">
        <v>1</v>
      </c>
      <c r="FA91" s="308">
        <v>1</v>
      </c>
      <c r="FB91" s="308" t="s">
        <v>176</v>
      </c>
      <c r="FC91" s="308" t="s">
        <v>176</v>
      </c>
      <c r="FD91" s="308">
        <v>2</v>
      </c>
      <c r="FE91" s="308">
        <v>2</v>
      </c>
      <c r="FF91" s="308">
        <v>2</v>
      </c>
      <c r="FG91" s="308">
        <v>3</v>
      </c>
      <c r="FH91" s="308">
        <v>3</v>
      </c>
      <c r="FI91" s="308">
        <v>2</v>
      </c>
      <c r="FJ91" s="308">
        <v>3</v>
      </c>
      <c r="FK91" s="308">
        <v>3</v>
      </c>
      <c r="FL91" s="308">
        <v>3</v>
      </c>
      <c r="FM91" s="308">
        <v>2</v>
      </c>
      <c r="FN91" s="308">
        <v>3</v>
      </c>
      <c r="FO91" s="308">
        <v>2</v>
      </c>
      <c r="FP91" s="308">
        <v>2</v>
      </c>
      <c r="FQ91" s="308" t="s">
        <v>176</v>
      </c>
      <c r="FR91" s="308" t="s">
        <v>176</v>
      </c>
      <c r="FS91" s="308" t="s">
        <v>387</v>
      </c>
      <c r="FT91" s="308" t="s">
        <v>176</v>
      </c>
      <c r="FU91" s="308" t="s">
        <v>176</v>
      </c>
      <c r="FV91" s="308" t="s">
        <v>176</v>
      </c>
      <c r="FW91" s="308" t="s">
        <v>176</v>
      </c>
      <c r="FX91" s="308" t="s">
        <v>176</v>
      </c>
      <c r="FY91" s="308" t="s">
        <v>387</v>
      </c>
      <c r="FZ91" s="308" t="s">
        <v>176</v>
      </c>
      <c r="GA91" s="308" t="s">
        <v>176</v>
      </c>
      <c r="GB91" s="308" t="s">
        <v>176</v>
      </c>
      <c r="GC91" s="308" t="s">
        <v>176</v>
      </c>
      <c r="GD91" s="308" t="s">
        <v>387</v>
      </c>
      <c r="GE91" s="308" t="s">
        <v>176</v>
      </c>
      <c r="GF91" s="308" t="s">
        <v>176</v>
      </c>
      <c r="GG91" s="308" t="s">
        <v>387</v>
      </c>
      <c r="GH91" s="308" t="s">
        <v>176</v>
      </c>
      <c r="GI91" s="308" t="s">
        <v>176</v>
      </c>
      <c r="GJ91" s="308" t="s">
        <v>176</v>
      </c>
      <c r="GK91" s="308" t="s">
        <v>176</v>
      </c>
      <c r="GL91" s="311">
        <f>SUM(G91:FP91)</f>
        <v>90</v>
      </c>
    </row>
    <row r="92" spans="1:195" ht="28.35" customHeight="1" thickBot="1" x14ac:dyDescent="0.3">
      <c r="A92" s="138" t="str">
        <f>A91</f>
        <v>Prod.-Q-6</v>
      </c>
      <c r="B92" s="138" t="str">
        <f>B91</f>
        <v>Teamleder zespołu produkcji</v>
      </c>
      <c r="C92" s="138" t="str">
        <f>C91</f>
        <v>KW</v>
      </c>
      <c r="D92" s="138">
        <f>D91</f>
        <v>331</v>
      </c>
      <c r="E92" s="564"/>
      <c r="F92" s="312" t="s">
        <v>166</v>
      </c>
      <c r="G92" s="387">
        <f>IF(INDEX(tab_MinKomp[Przepisy BHP / BHP Vorschriften],MATCH($B91,tab_MinKomp[[Stanowisko / Position ]:[Stanowisko / Position ]],0))="n/a","n/a",G91-INDEX(tab_MinKomp[Przepisy BHP / BHP Vorschriften],MATCH($B91,tab_MinKomp[[Stanowisko / Position ]:[Stanowisko / Position ]],0)))</f>
        <v>0</v>
      </c>
      <c r="H92" s="350">
        <f>IF(INDEX(tab_MinKomp[Przepisy PPOŻ / Brandschutzbestimmungen],MATCH($B91,tab_MinKomp[[Stanowisko / Position ]:[Stanowisko / Position ]],0))="n/a","n/a",H91-INDEX(tab_MinKomp[Przepisy PPOŻ / Brandschutzbestimmungen],MATCH($B91,tab_MinKomp[[Stanowisko / Position ]:[Stanowisko / Position ]],0)))</f>
        <v>0</v>
      </c>
      <c r="I92" s="350">
        <f>IF(INDEX(tab_MinKomp[Ryzyko zawodowe na stanowiskach pracyv/ Berufliche Risiken an Arbeitsstellen],MATCH($B91,tab_MinKomp[[Stanowisko / Position ]:[Stanowisko / Position ]],0))="n/a","n/a",I91-INDEX(tab_MinKomp[Ryzyko zawodowe na stanowiskach pracyv/ Berufliche Risiken an Arbeitsstellen],MATCH($B91,tab_MinKomp[[Stanowisko / Position ]:[Stanowisko / Position ]],0)))</f>
        <v>0</v>
      </c>
      <c r="J92" s="350">
        <f>IF(INDEX(tab_MinKomp[Gospodarka substancjami niebezpiecznymi / Gefahrstoffmanagement],MATCH($B91,tab_MinKomp[[Stanowisko / Position ]:[Stanowisko / Position ]],0))="n/a","n/a",J91-INDEX(tab_MinKomp[Gospodarka substancjami niebezpiecznymi / Gefahrstoffmanagement],MATCH($B91,tab_MinKomp[[Stanowisko / Position ]:[Stanowisko / Position ]],0)))</f>
        <v>0</v>
      </c>
      <c r="K92" s="350">
        <f>IF(INDEX(tab_MinKomp[Gospodarka odpadami / Abfallwirtschaft],MATCH($B91,tab_MinKomp[[Stanowisko / Position ]:[Stanowisko / Position ]],0))="n/a","n/a",K91-INDEX(tab_MinKomp[Gospodarka odpadami / Abfallwirtschaft],MATCH($B91,tab_MinKomp[[Stanowisko / Position ]:[Stanowisko / Position ]],0)))</f>
        <v>0</v>
      </c>
      <c r="L92" s="349">
        <f>IF(INDEX(tab_MinKomp[Przepisy kodeksu pracy / Bestimmungen des Arbeitsgesetzes],MATCH($B91,tab_MinKomp[[Stanowisko / Position ]:[Stanowisko / Position ]],0))="n/a","n/a",L91-INDEX(tab_MinKomp[Przepisy kodeksu pracy / Bestimmungen des Arbeitsgesetzes],MATCH($B91,tab_MinKomp[[Stanowisko / Position ]:[Stanowisko / Position ]],0)))</f>
        <v>0</v>
      </c>
      <c r="M92" s="359" t="str">
        <f>IF(INDEX(tab_MinKomp[Przepisy o ub.społ. ZUS  / Sozialversicherungsvorschriften],MATCH($B91,tab_MinKomp[[Stanowisko / Position ]:[Stanowisko / Position ]],0))="n/a","n/a",M91-INDEX(tab_MinKomp[Przepisy o ub.społ. ZUS  / Sozialversicherungsvorschriften],MATCH($B91,tab_MinKomp[[Stanowisko / Position ]:[Stanowisko / Position ]],0)))</f>
        <v>n/a</v>
      </c>
      <c r="N92" s="349" t="str">
        <f>IF(INDEX(tab_MinKomp[PRZEPISY O PDOF /persönlich Einkommensteuergesetz ],MATCH($B91,tab_MinKomp[[Stanowisko / Position ]:[Stanowisko / Position ]],0))="n/a","n/a",N91-INDEX(tab_MinKomp[PRZEPISY O PDOF /persönlich Einkommensteuergesetz ],MATCH($B91,tab_MinKomp[[Stanowisko / Position ]:[Stanowisko / Position ]],0)))</f>
        <v>n/a</v>
      </c>
      <c r="O92" s="349">
        <f>IF(INDEX(tab_MinKomp[Regulamin pracy / Arbeitsordnung],MATCH($B91,tab_MinKomp[[Stanowisko / Position ]:[Stanowisko / Position ]],0))="n/a","n/a",O91-INDEX(tab_MinKomp[Regulamin pracy / Arbeitsordnung],MATCH($B91,tab_MinKomp[[Stanowisko / Position ]:[Stanowisko / Position ]],0)))</f>
        <v>0</v>
      </c>
      <c r="P92" s="349">
        <f>IF(INDEX(tab_MinKomp[Regulamin wynagradzania / Vergütungsordnung],MATCH($B91,tab_MinKomp[[Stanowisko / Position ]:[Stanowisko / Position ]],0))="n/a","n/a",P91-INDEX(tab_MinKomp[Regulamin wynagradzania / Vergütungsordnung],MATCH($B91,tab_MinKomp[[Stanowisko / Position ]:[Stanowisko / Position ]],0)))</f>
        <v>0</v>
      </c>
      <c r="Q92" s="349" t="str">
        <f>IF(INDEX(tab_MinKomp[System R2PŁATNIK PRO: Płace / Lohnabrechnung],MATCH($B91,tab_MinKomp[[Stanowisko / Position ]:[Stanowisko / Position ]],0))="n/a","n/a",Q91-INDEX(tab_MinKomp[System R2PŁATNIK PRO: Płace / Lohnabrechnung],MATCH($B91,tab_MinKomp[[Stanowisko / Position ]:[Stanowisko / Position ]],0)))</f>
        <v>n/a</v>
      </c>
      <c r="R92" s="349" t="str">
        <f>IF(INDEX(tab_MinKomp[SystemR2PŁATNIK PRO: KADRY / Personaldaten],MATCH($B91,tab_MinKomp[[Stanowisko / Position ]:[Stanowisko / Position ]],0))="n/a","n/a",R91-INDEX(tab_MinKomp[SystemR2PŁATNIK PRO: KADRY / Personaldaten],MATCH($B91,tab_MinKomp[[Stanowisko / Position ]:[Stanowisko / Position ]],0)))</f>
        <v>n/a</v>
      </c>
      <c r="S92" s="349" t="str">
        <f>IF(INDEX(tab_MinKomp[SYSTEM R2PŁATNIK PRO: zarządzanie pracownikami / Arbeitsverwaltung],MATCH($B91,tab_MinKomp[[Stanowisko / Position ]:[Stanowisko / Position ]],0))="n/a","n/a",S91-INDEX(tab_MinKomp[SYSTEM R2PŁATNIK PRO: zarządzanie pracownikami / Arbeitsverwaltung],MATCH($B91,tab_MinKomp[[Stanowisko / Position ]:[Stanowisko / Position ]],0)))</f>
        <v>n/a</v>
      </c>
      <c r="T92" s="349">
        <f>IF(INDEX(tab_MinKomp[Doradztwo, wsparcie personalne / Personalberatung und Unterstützung],MATCH($B91,tab_MinKomp[[Stanowisko / Position ]:[Stanowisko / Position ]],0))="n/a","n/a",T91-INDEX(tab_MinKomp[Doradztwo, wsparcie personalne / Personalberatung und Unterstützung],MATCH($B91,tab_MinKomp[[Stanowisko / Position ]:[Stanowisko / Position ]],0)))</f>
        <v>0</v>
      </c>
      <c r="U92" s="349" t="str">
        <f>IF(INDEX(tab_MinKomp[Przepisy o podatku VAT / MwSt.- Gesetz],MATCH($B91,tab_MinKomp[[Stanowisko / Position ]:[Stanowisko / Position ]],0))="n/a","n/a",U91-INDEX(tab_MinKomp[Przepisy o podatku VAT / MwSt.- Gesetz],MATCH($B91,tab_MinKomp[[Stanowisko / Position ]:[Stanowisko / Position ]],0)))</f>
        <v>n/a</v>
      </c>
      <c r="V92" s="349" t="str">
        <f>IF(INDEX(tab_MinKomp[PrzepisyPDOP / geschäftlich Einkommensteuergesetz],MATCH($B91,tab_MinKomp[[Stanowisko / Position ]:[Stanowisko / Position ]],0))="n/a","n/a",V91-INDEX(tab_MinKomp[PrzepisyPDOP / geschäftlich Einkommensteuergesetz],MATCH($B91,tab_MinKomp[[Stanowisko / Position ]:[Stanowisko / Position ]],0)))</f>
        <v>n/a</v>
      </c>
      <c r="W92" s="349" t="str">
        <f>IF(INDEX(tab_MinKomp[System BAAN / FINANSE (FIBU)],MATCH($B91,tab_MinKomp[[Stanowisko / Position ]:[Stanowisko / Position ]],0))="n/a","n/a",W91-INDEX(tab_MinKomp[System BAAN / FINANSE (FIBU)],MATCH($B91,tab_MinKomp[[Stanowisko / Position ]:[Stanowisko / Position ]],0)))</f>
        <v>n/a</v>
      </c>
      <c r="X92" s="349" t="str">
        <f>IF(INDEX(tab_MinKomp[Systemy pomocnicze / Hilfssysteme(STOCKPROGRAM, KALK2000 etc.)],MATCH($B91,tab_MinKomp[[Stanowisko / Position ]:[Stanowisko / Position ]],0))="n/a","n/a",X91-INDEX(tab_MinKomp[Systemy pomocnicze / Hilfssysteme(STOCKPROGRAM, KALK2000 etc.)],MATCH($B91,tab_MinKomp[[Stanowisko / Position ]:[Stanowisko / Position ]],0)))</f>
        <v>n/a</v>
      </c>
      <c r="Y92" s="349" t="str">
        <f>IF(INDEX(tab_MinKomp[Polityka rachunkowości / Buchführungspolitik],MATCH($B91,tab_MinKomp[[Stanowisko / Position ]:[Stanowisko / Position ]],0))="n/a","n/a",Y91-INDEX(tab_MinKomp[Polityka rachunkowości / Buchführungspolitik],MATCH($B91,tab_MinKomp[[Stanowisko / Position ]:[Stanowisko / Position ]],0)))</f>
        <v>n/a</v>
      </c>
      <c r="Z92" s="349" t="str">
        <f>IF(INDEX(tab_MinKomp[Ustawa o rachunkowości / Rechnungslegungsgesetz],MATCH($B91,tab_MinKomp[[Stanowisko / Position ]:[Stanowisko / Position ]],0))="n/a","n/a",Z91-INDEX(tab_MinKomp[Ustawa o rachunkowości / Rechnungslegungsgesetz],MATCH($B91,tab_MinKomp[[Stanowisko / Position ]:[Stanowisko / Position ]],0)))</f>
        <v>n/a</v>
      </c>
      <c r="AA92" s="349" t="str">
        <f>IF(INDEX(tab_MinKomp[WORKFLOW - TS-100],MATCH($B91,tab_MinKomp[[Stanowisko / Position ]:[Stanowisko / Position ]],0))="n/a","n/a",AA91-INDEX(tab_MinKomp[WORKFLOW - TS-100],MATCH($B91,tab_MinKomp[[Stanowisko / Position ]:[Stanowisko / Position ]],0)))</f>
        <v>n/a</v>
      </c>
      <c r="AB92" s="349" t="str">
        <f>IF(INDEX(tab_MinKomp[WORKFLOW - SFMS],MATCH($B91,tab_MinKomp[[Stanowisko / Position ]:[Stanowisko / Position ]],0))="n/a","n/a",AB91-INDEX(tab_MinKomp[WORKFLOW - SFMS],MATCH($B91,tab_MinKomp[[Stanowisko / Position ]:[Stanowisko / Position ]],0)))</f>
        <v>n/a</v>
      </c>
      <c r="AC92" s="349" t="str">
        <f>IF(INDEX(tab_MinKomp[System ISO 9001:2015],MATCH($B91,tab_MinKomp[[Stanowisko / Position ]:[Stanowisko / Position ]],0))="n/a","n/a",AC91-INDEX(tab_MinKomp[System ISO 9001:2015],MATCH($B91,tab_MinKomp[[Stanowisko / Position ]:[Stanowisko / Position ]],0)))</f>
        <v>n/a</v>
      </c>
      <c r="AD92" s="349" t="str">
        <f>IF(INDEX(tab_MinKomp[System IATF 16949:2016],MATCH($B91,tab_MinKomp[[Stanowisko / Position ]:[Stanowisko / Position ]],0))="n/a","n/a",AD91-INDEX(tab_MinKomp[System IATF 16949:2016],MATCH($B91,tab_MinKomp[[Stanowisko / Position ]:[Stanowisko / Position ]],0)))</f>
        <v>n/a</v>
      </c>
      <c r="AE92" s="349" t="str">
        <f>IF(INDEX(tab_MinKomp[System ISO 14001:2015],MATCH($B91,tab_MinKomp[[Stanowisko / Position ]:[Stanowisko / Position ]],0))="n/a","n/a",AE91-INDEX(tab_MinKomp[System ISO 14001:2015],MATCH($B91,tab_MinKomp[[Stanowisko / Position ]:[Stanowisko / Position ]],0)))</f>
        <v>n/a</v>
      </c>
      <c r="AF92" s="349" t="str">
        <f>IF(INDEX(tab_MinKomp[System PN-N 18001:2004 / ISO 45001:2018],MATCH($B91,tab_MinKomp[[Stanowisko / Position ]:[Stanowisko / Position ]],0))="n/a","n/a",AF91-INDEX(tab_MinKomp[System PN-N 18001:2004 / ISO 45001:2018],MATCH($B91,tab_MinKomp[[Stanowisko / Position ]:[Stanowisko / Position ]],0)))</f>
        <v>n/a</v>
      </c>
      <c r="AG92" s="349" t="str">
        <f>IF(INDEX(tab_MinKomp[Wymagania VDA 6.3 Process / Forderungen],MATCH($B91,tab_MinKomp[[Stanowisko / Position ]:[Stanowisko / Position ]],0))="n/a","n/a",AG91-INDEX(tab_MinKomp[Wymagania VDA 6.3 Process / Forderungen],MATCH($B91,tab_MinKomp[[Stanowisko / Position ]:[Stanowisko / Position ]],0)))</f>
        <v>n/a</v>
      </c>
      <c r="AH92" s="349" t="str">
        <f>IF(INDEX(tab_MinKomp[Wymagania VDA 6.5 Product / Forderungen],MATCH($B91,tab_MinKomp[[Stanowisko / Position ]:[Stanowisko / Position ]],0))="n/a","n/a",AH91-INDEX(tab_MinKomp[Wymagania VDA 6.5 Product / Forderungen],MATCH($B91,tab_MinKomp[[Stanowisko / Position ]:[Stanowisko / Position ]],0)))</f>
        <v>n/a</v>
      </c>
      <c r="AI92" s="349" t="str">
        <f>IF(INDEX(tab_MinKomp[PSCR (VW Product Safety &amp; Conformity Representative)],MATCH($B91,tab_MinKomp[[Stanowisko / Position ]:[Stanowisko / Position ]],0))="n/a","n/a",AI91-INDEX(tab_MinKomp[PSCR (VW Product Safety &amp; Conformity Representative)],MATCH($B91,tab_MinKomp[[Stanowisko / Position ]:[Stanowisko / Position ]],0)))</f>
        <v>n/a</v>
      </c>
      <c r="AJ92" s="349" t="str">
        <f>IF(INDEX(tab_MinKomp[Auditor systemu ISO 17025:2018],MATCH($B91,tab_MinKomp[[Stanowisko / Position ]:[Stanowisko / Position ]],0))="n/a","n/a",AJ91-INDEX(tab_MinKomp[Auditor systemu ISO 17025:2018],MATCH($B91,tab_MinKomp[[Stanowisko / Position ]:[Stanowisko / Position ]],0)))</f>
        <v>n/a</v>
      </c>
      <c r="AK92" s="349" t="str">
        <f>IF(INDEX(tab_MinKomp[Pełnomocnik systemu / Systemvertreter],MATCH($B91,tab_MinKomp[[Stanowisko / Position ]:[Stanowisko / Position ]],0))="n/a","n/a",AK91-INDEX(tab_MinKomp[Pełnomocnik systemu / Systemvertreter],MATCH($B91,tab_MinKomp[[Stanowisko / Position ]:[Stanowisko / Position ]],0)))</f>
        <v>n/a</v>
      </c>
      <c r="AL92" s="349" t="str">
        <f>IF(INDEX(tab_MinKomp[Polityka Etyczna - Compliance],MATCH($B91,tab_MinKomp[[Stanowisko / Position ]:[Stanowisko / Position ]],0))="n/a","n/a",AL91-INDEX(tab_MinKomp[Polityka Etyczna - Compliance],MATCH($B91,tab_MinKomp[[Stanowisko / Position ]:[Stanowisko / Position ]],0)))</f>
        <v>n/a</v>
      </c>
      <c r="AM92" s="349" t="str">
        <f>IF(INDEX(tab_MinKomp[WDRAŻANIE NOWYCH PROJEKTÓW/ PROCEDURA CTM],MATCH($B91,tab_MinKomp[[Stanowisko / Position ]:[Stanowisko / Position ]],0))="n/a","n/a",AM91-INDEX(tab_MinKomp[WDRAŻANIE NOWYCH PROJEKTÓW/ PROCEDURA CTM],MATCH($B91,tab_MinKomp[[Stanowisko / Position ]:[Stanowisko / Position ]],0)))</f>
        <v>n/a</v>
      </c>
      <c r="AN92" s="349" t="str">
        <f>IF(INDEX(tab_MinKomp[KAMIENIE MILOWE MSL/PIFF],MATCH($B91,tab_MinKomp[[Stanowisko / Position ]:[Stanowisko / Position ]],0))="n/a","n/a",AN91-INDEX(tab_MinKomp[KAMIENIE MILOWE MSL/PIFF],MATCH($B91,tab_MinKomp[[Stanowisko / Position ]:[Stanowisko / Position ]],0)))</f>
        <v>n/a</v>
      </c>
      <c r="AO92" s="349">
        <f>IF(INDEX(tab_MinKomp[CP],MATCH($B91,tab_MinKomp[[Stanowisko / Position ]:[Stanowisko / Position ]],0))="n/a","n/a",AO91-INDEX(tab_MinKomp[CP],MATCH($B91,tab_MinKomp[[Stanowisko / Position ]:[Stanowisko / Position ]],0)))</f>
        <v>0</v>
      </c>
      <c r="AP92" s="349" t="str">
        <f>IF(INDEX(tab_MinKomp[FMEA],MATCH($B91,tab_MinKomp[[Stanowisko / Position ]:[Stanowisko / Position ]],0))="n/a","n/a",AP91-INDEX(tab_MinKomp[FMEA],MATCH($B91,tab_MinKomp[[Stanowisko / Position ]:[Stanowisko / Position ]],0)))</f>
        <v>n/a</v>
      </c>
      <c r="AQ92" s="349">
        <f>IF(INDEX(tab_MinKomp[FLOW CHART],MATCH($B91,tab_MinKomp[[Stanowisko / Position ]:[Stanowisko / Position ]],0))="n/a","n/a",AQ91-INDEX(tab_MinKomp[FLOW CHART],MATCH($B91,tab_MinKomp[[Stanowisko / Position ]:[Stanowisko / Position ]],0)))</f>
        <v>0</v>
      </c>
      <c r="AR92" s="349" t="str">
        <f>IF(INDEX(tab_MinKomp[APQP],MATCH($B91,tab_MinKomp[[Stanowisko / Position ]:[Stanowisko / Position ]],0))="n/a","n/a",AR91-INDEX(tab_MinKomp[APQP],MATCH($B91,tab_MinKomp[[Stanowisko / Position ]:[Stanowisko / Position ]],0)))</f>
        <v>n/a</v>
      </c>
      <c r="AS92" s="349" t="str">
        <f>IF(INDEX(tab_MinKomp[MSA],MATCH($B91,tab_MinKomp[[Stanowisko / Position ]:[Stanowisko / Position ]],0))="n/a","n/a",AS91-INDEX(tab_MinKomp[MSA],MATCH($B91,tab_MinKomp[[Stanowisko / Position ]:[Stanowisko / Position ]],0)))</f>
        <v>n/a</v>
      </c>
      <c r="AT92" s="349" t="str">
        <f>IF(INDEX(tab_MinKomp[SPC],MATCH($B91,tab_MinKomp[[Stanowisko / Position ]:[Stanowisko / Position ]],0))="n/a","n/a",AT91-INDEX(tab_MinKomp[SPC],MATCH($B91,tab_MinKomp[[Stanowisko / Position ]:[Stanowisko / Position ]],0)))</f>
        <v>n/a</v>
      </c>
      <c r="AU92" s="349">
        <f>IF(INDEX(tab_MinKomp[CSR (SPECYFICZNE WYMAGANIA KLIENTA)],MATCH($B91,tab_MinKomp[[Stanowisko / Position ]:[Stanowisko / Position ]],0))="n/a","n/a",AU91-INDEX(tab_MinKomp[CSR (SPECYFICZNE WYMAGANIA KLIENTA)],MATCH($B91,tab_MinKomp[[Stanowisko / Position ]:[Stanowisko / Position ]],0)))</f>
        <v>0</v>
      </c>
      <c r="AV92" s="349">
        <f>IF(INDEX(tab_MinKomp[5S],MATCH($B91,tab_MinKomp[[Stanowisko / Position ]:[Stanowisko / Position ]],0))="n/a","n/a",AV91-INDEX(tab_MinKomp[5S],MATCH($B91,tab_MinKomp[[Stanowisko / Position ]:[Stanowisko / Position ]],0)))</f>
        <v>0</v>
      </c>
      <c r="AW92" s="349">
        <f>IF(INDEX(tab_MinKomp[LEAN MANAGEMENT],MATCH($B91,tab_MinKomp[[Stanowisko / Position ]:[Stanowisko / Position ]],0))="n/a","n/a",AW91-INDEX(tab_MinKomp[LEAN MANAGEMENT],MATCH($B91,tab_MinKomp[[Stanowisko / Position ]:[Stanowisko / Position ]],0)))</f>
        <v>0</v>
      </c>
      <c r="AX92" s="349" t="str">
        <f>IF(INDEX(tab_MinKomp[5R],MATCH($B91,tab_MinKomp[[Stanowisko / Position ]:[Stanowisko / Position ]],0))="n/a","n/a",AX91-INDEX(tab_MinKomp[5R],MATCH($B91,tab_MinKomp[[Stanowisko / Position ]:[Stanowisko / Position ]],0)))</f>
        <v>n/a</v>
      </c>
      <c r="AY92" s="349" t="str">
        <f>IF(INDEX(tab_MinKomp[Six Sigma],MATCH($B91,tab_MinKomp[[Stanowisko / Position ]:[Stanowisko / Position ]],0))="n/a","n/a",AY91-INDEX(tab_MinKomp[Six Sigma],MATCH($B91,tab_MinKomp[[Stanowisko / Position ]:[Stanowisko / Position ]],0)))</f>
        <v>n/a</v>
      </c>
      <c r="AZ92" s="349" t="str">
        <f>IF(INDEX(tab_MinKomp[System BAAN / Distribution &amp; Supply Chain],MATCH($B91,tab_MinKomp[[Stanowisko / Position ]:[Stanowisko / Position ]],0))="n/a","n/a",AZ91-INDEX(tab_MinKomp[System BAAN / Distribution &amp; Supply Chain],MATCH($B91,tab_MinKomp[[Stanowisko / Position ]:[Stanowisko / Position ]],0)))</f>
        <v>n/a</v>
      </c>
      <c r="BA92" s="349">
        <f>IF(INDEX(tab_MinKomp[Gospodarka magazynowa / Lagerverwaltung],MATCH($B91,tab_MinKomp[[Stanowisko / Position ]:[Stanowisko / Position ]],0))="n/a","n/a",BA91-INDEX(tab_MinKomp[Gospodarka magazynowa / Lagerverwaltung],MATCH($B91,tab_MinKomp[[Stanowisko / Position ]:[Stanowisko / Position ]],0)))</f>
        <v>0</v>
      </c>
      <c r="BB92" s="349">
        <f>IF(INDEX(tab_MinKomp[Inwentaryzacja - organizacja i przebieg / Inventurprozess],MATCH($B91,tab_MinKomp[[Stanowisko / Position ]:[Stanowisko / Position ]],0))="n/a","n/a",BB91-INDEX(tab_MinKomp[Inwentaryzacja - organizacja i przebieg / Inventurprozess],MATCH($B91,tab_MinKomp[[Stanowisko / Position ]:[Stanowisko / Position ]],0)))</f>
        <v>2</v>
      </c>
      <c r="BC92" s="349" t="str">
        <f>IF(INDEX(tab_MinKomp[Organizacja dostaw / Versorgungsorganisation],MATCH($B91,tab_MinKomp[[Stanowisko / Position ]:[Stanowisko / Position ]],0))="n/a","n/a",BC91-INDEX(tab_MinKomp[Organizacja dostaw / Versorgungsorganisation],MATCH($B91,tab_MinKomp[[Stanowisko / Position ]:[Stanowisko / Position ]],0)))</f>
        <v>n/a</v>
      </c>
      <c r="BD92" s="349" t="str">
        <f>IF(INDEX(tab_MinKomp[Organizacja wysyłek / Organisation von Lieferungen],MATCH($B91,tab_MinKomp[[Stanowisko / Position ]:[Stanowisko / Position ]],0))="n/a","n/a",BD91-INDEX(tab_MinKomp[Organizacja wysyłek / Organisation von Lieferungen],MATCH($B91,tab_MinKomp[[Stanowisko / Position ]:[Stanowisko / Position ]],0)))</f>
        <v>n/a</v>
      </c>
      <c r="BE92" s="349" t="str">
        <f>IF(INDEX(tab_MinKomp[Analiza magazynowa - Program Polen.mdb / Inventuranalyse],MATCH($B91,tab_MinKomp[[Stanowisko / Position ]:[Stanowisko / Position ]],0))="n/a","n/a",BE91-INDEX(tab_MinKomp[Analiza magazynowa - Program Polen.mdb / Inventuranalyse],MATCH($B91,tab_MinKomp[[Stanowisko / Position ]:[Stanowisko / Position ]],0)))</f>
        <v>n/a</v>
      </c>
      <c r="BF92" s="333" t="str">
        <f>IF(INDEX(tab_MinKomp[MMOG (Materials Management Operations Guidelines)],MATCH($B91,tab_MinKomp[[Stanowisko / Position ]:[Stanowisko / Position ]],0))="n/a","n/a",BF91-INDEX(tab_MinKomp[MMOG (Materials Management Operations Guidelines)],MATCH($B91,tab_MinKomp[[Stanowisko / Position ]:[Stanowisko / Position ]],0)))</f>
        <v>n/a</v>
      </c>
      <c r="BG92" s="333" t="str">
        <f>IF(INDEX(tab_MinKomp[GPP],MATCH($B91,tab_MinKomp[[Stanowisko / Position ]:[Stanowisko / Position ]],0))="n/a","n/a",BG91-INDEX(tab_MinKomp[GPP],MATCH($B91,tab_MinKomp[[Stanowisko / Position ]:[Stanowisko / Position ]],0)))</f>
        <v>n/a</v>
      </c>
      <c r="BH92" s="333" t="str">
        <f>IF(INDEX(tab_MinKomp[AIAG (Automotive Industry Action Group)],MATCH($B91,tab_MinKomp[[Stanowisko / Position ]:[Stanowisko / Position ]],0))="n/a","n/a",BH91-INDEX(tab_MinKomp[AIAG (Automotive Industry Action Group)],MATCH($B91,tab_MinKomp[[Stanowisko / Position ]:[Stanowisko / Position ]],0)))</f>
        <v>n/a</v>
      </c>
      <c r="BI92" s="333" t="str">
        <f>IF(INDEX(tab_MinKomp[Super-G disputes],MATCH($B91,tab_MinKomp[[Stanowisko / Position ]:[Stanowisko / Position ]],0))="n/a","n/a",BI91-INDEX(tab_MinKomp[Super-G disputes],MATCH($B91,tab_MinKomp[[Stanowisko / Position ]:[Stanowisko / Position ]],0)))</f>
        <v>n/a</v>
      </c>
      <c r="BJ92" s="333" t="str">
        <f>IF(INDEX(tab_MinKomp[CMMS3/eDDL (Direct Data Link)],MATCH($B91,tab_MinKomp[[Stanowisko / Position ]:[Stanowisko / Position ]],0))="n/a","n/a",BJ91-INDEX(tab_MinKomp[CMMS3/eDDL (Direct Data Link)],MATCH($B91,tab_MinKomp[[Stanowisko / Position ]:[Stanowisko / Position ]],0)))</f>
        <v>n/a</v>
      </c>
      <c r="BK92" s="333" t="str">
        <f>IF(INDEX(tab_MinKomp[MP&amp;L (Material Planning and Logistics)],MATCH($B91,tab_MinKomp[[Stanowisko / Position ]:[Stanowisko / Position ]],0))="n/a","n/a",BK91-INDEX(tab_MinKomp[MP&amp;L (Material Planning and Logistics)],MATCH($B91,tab_MinKomp[[Stanowisko / Position ]:[Stanowisko / Position ]],0)))</f>
        <v>n/a</v>
      </c>
      <c r="BL92" s="333" t="str">
        <f>IF(INDEX(tab_MinKomp[Supplier delivery rating],MATCH($B91,tab_MinKomp[[Stanowisko / Position ]:[Stanowisko / Position ]],0))="n/a","n/a",BL91-INDEX(tab_MinKomp[Supplier delivery rating],MATCH($B91,tab_MinKomp[[Stanowisko / Position ]:[Stanowisko / Position ]],0)))</f>
        <v>n/a</v>
      </c>
      <c r="BM92" s="349">
        <f>IF(INDEX(tab_MinKomp[Planowanie produkcji / Produktionsplanung],MATCH($B91,tab_MinKomp[[Stanowisko / Position ]:[Stanowisko / Position ]],0))="n/a","n/a",BM91-INDEX(tab_MinKomp[Planowanie produkcji / Produktionsplanung],MATCH($B91,tab_MinKomp[[Stanowisko / Position ]:[Stanowisko / Position ]],0)))</f>
        <v>0</v>
      </c>
      <c r="BN92" s="349" t="str">
        <f>IF(INDEX(tab_MinKomp[Obsługa maszyn Engel / Engel Maschinenbedienung],MATCH($B91,tab_MinKomp[[Stanowisko / Position ]:[Stanowisko / Position ]],0))="n/a","n/a",BN91-INDEX(tab_MinKomp[Obsługa maszyn Engel / Engel Maschinenbedienung],MATCH($B91,tab_MinKomp[[Stanowisko / Position ]:[Stanowisko / Position ]],0)))</f>
        <v>n/a</v>
      </c>
      <c r="BO92" s="349" t="str">
        <f>IF(INDEX(tab_MinKomp[Obsługa maszyn KVT / KVT Maschinenbedienung],MATCH($B91,tab_MinKomp[[Stanowisko / Position ]:[Stanowisko / Position ]],0))="n/a","n/a",BO91-INDEX(tab_MinKomp[Obsługa maszyn KVT / KVT Maschinenbedienung],MATCH($B91,tab_MinKomp[[Stanowisko / Position ]:[Stanowisko / Position ]],0)))</f>
        <v>n/a</v>
      </c>
      <c r="BP92" s="349" t="str">
        <f>IF(INDEX(tab_MinKomp[Obsługa maszyn KVT / KVT Maschinenbedienung],MATCH($B91,tab_MinKomp[[Stanowisko / Position ]:[Stanowisko / Position ]],0))="n/a","n/a",BP91-INDEX(tab_MinKomp[Obsługa maszyn KVT / KVT Maschinenbedienung],MATCH($B91,tab_MinKomp[[Stanowisko / Position ]:[Stanowisko / Position ]],0)))</f>
        <v>n/a</v>
      </c>
      <c r="BQ92" s="349" t="str">
        <f>IF(INDEX(tab_MinKomp[Obsługa maszyn ASL / ASL Maschinenbedienung],MATCH($B91,tab_MinKomp[[Stanowisko / Position ]:[Stanowisko / Position ]],0))="n/a","n/a",BQ91-INDEX(tab_MinKomp[Obsługa maszyn ASL / ASL Maschinenbedienung],MATCH($B91,tab_MinKomp[[Stanowisko / Position ]:[Stanowisko / Position ]],0)))</f>
        <v>n/a</v>
      </c>
      <c r="BR92" s="349" t="str">
        <f>IF(INDEX(tab_MinKomp[Obsługa maszyn Branson / Branson Maschinenbedienung],MATCH($B91,tab_MinKomp[[Stanowisko / Position ]:[Stanowisko / Position ]],0))="n/a","n/a",BR91-INDEX(tab_MinKomp[Obsługa maszyn Branson / Branson Maschinenbedienung],MATCH($B91,tab_MinKomp[[Stanowisko / Position ]:[Stanowisko / Position ]],0)))</f>
        <v>n/a</v>
      </c>
      <c r="BS92" s="349">
        <f>IF(INDEX(tab_MinKomp[Obsługa maszyn Novapax / Novapax Maschinenbedienung],MATCH($B91,tab_MinKomp[[Stanowisko / Position ]:[Stanowisko / Position ]],0))="n/a","n/a",BS91-INDEX(tab_MinKomp[Obsługa maszyn Novapax / Novapax Maschinenbedienung],MATCH($B91,tab_MinKomp[[Stanowisko / Position ]:[Stanowisko / Position ]],0)))</f>
        <v>0</v>
      </c>
      <c r="BT92" s="349" t="str">
        <f>IF(INDEX(tab_MinKomp[Obsługa maszyn Piovan / Piovan Maschinenbedienung],MATCH($B91,tab_MinKomp[[Stanowisko / Position ]:[Stanowisko / Position ]],0))="n/a","n/a",BT91-INDEX(tab_MinKomp[Obsługa maszyn Piovan / Piovan Maschinenbedienung],MATCH($B91,tab_MinKomp[[Stanowisko / Position ]:[Stanowisko / Position ]],0)))</f>
        <v>n/a</v>
      </c>
      <c r="BU92" s="349"/>
      <c r="BV92" s="349"/>
      <c r="BW92" s="349" t="str">
        <f>IF(INDEX(tab_MinKomp[Informatyka ogólna (techniczne i systemowe) / Allgemeine IT (Technik und System)],MATCH($B91,tab_MinKomp[[Stanowisko / Position ]:[Stanowisko / Position ]],0))="n/a","n/a",BW91-INDEX(tab_MinKomp[Informatyka ogólna (techniczne i systemowe) / Allgemeine IT (Technik und System)],MATCH($B91,tab_MinKomp[[Stanowisko / Position ]:[Stanowisko / Position ]],0)))</f>
        <v>n/a</v>
      </c>
      <c r="BX92" s="349" t="str">
        <f>IF(INDEX(tab_MinKomp[Sieci komputerowe / Computernetzwerke],MATCH($B91,tab_MinKomp[[Stanowisko / Position ]:[Stanowisko / Position ]],0))="n/a","n/a",BX91-INDEX(tab_MinKomp[Sieci komputerowe / Computernetzwerke],MATCH($B91,tab_MinKomp[[Stanowisko / Position ]:[Stanowisko / Position ]],0)))</f>
        <v>n/a</v>
      </c>
      <c r="BY92" s="349" t="str">
        <f>IF(INDEX(tab_MinKomp[Hardware (komputery PC, drukarki biurowe i etykietowe, telefonia stacjonarna i mobilna) (PC, Drucker, Telefpne, Handys)],MATCH($B91,tab_MinKomp[[Stanowisko / Position ]:[Stanowisko / Position ]],0))="n/a","n/a",BY91-INDEX(tab_MinKomp[Hardware (komputery PC, drukarki biurowe i etykietowe, telefonia stacjonarna i mobilna) (PC, Drucker, Telefpne, Handys)],MATCH($B91,tab_MinKomp[[Stanowisko / Position ]:[Stanowisko / Position ]],0)))</f>
        <v>n/a</v>
      </c>
      <c r="BZ92" s="349" t="str">
        <f>IF(INDEX(tab_MinKomp[Software &amp; Systems (MS Office, MS Remote Desktop)],MATCH($B91,tab_MinKomp[[Stanowisko / Position ]:[Stanowisko / Position ]],0))="n/a","n/a",BZ91-INDEX(tab_MinKomp[Software &amp; Systems (MS Office, MS Remote Desktop)],MATCH($B91,tab_MinKomp[[Stanowisko / Position ]:[Stanowisko / Position ]],0)))</f>
        <v>n/a</v>
      </c>
      <c r="CA92" s="349" t="str">
        <f>IF(INDEX(tab_MinKomp[Programowanie obiektowe (PHP) / Objektprogrammierung],MATCH($B91,tab_MinKomp[[Stanowisko / Position ]:[Stanowisko / Position ]],0))="n/a","n/a",CA91-INDEX(tab_MinKomp[Programowanie obiektowe (PHP) / Objektprogrammierung],MATCH($B91,tab_MinKomp[[Stanowisko / Position ]:[Stanowisko / Position ]],0)))</f>
        <v>n/a</v>
      </c>
      <c r="CB92" s="349" t="str">
        <f>IF(INDEX(tab_MinKomp[Scrum],MATCH($B91,tab_MinKomp[[Stanowisko / Position ]:[Stanowisko / Position ]],0))="n/a","n/a",CB91-INDEX(tab_MinKomp[Scrum],MATCH($B91,tab_MinKomp[[Stanowisko / Position ]:[Stanowisko / Position ]],0)))</f>
        <v>n/a</v>
      </c>
      <c r="CC92" s="349" t="str">
        <f>IF(INDEX(tab_MinKomp[SQL (MySQL)],MATCH($B91,tab_MinKomp[[Stanowisko / Position ]:[Stanowisko / Position ]],0))="n/a","n/a",CC91-INDEX(tab_MinKomp[SQL (MySQL)],MATCH($B91,tab_MinKomp[[Stanowisko / Position ]:[Stanowisko / Position ]],0)))</f>
        <v>n/a</v>
      </c>
      <c r="CD92" s="349" t="str">
        <f>IF(INDEX(tab_MinKomp[Javascript],MATCH($B91,tab_MinKomp[[Stanowisko / Position ]:[Stanowisko / Position ]],0))="n/a","n/a",CD91-INDEX(tab_MinKomp[Javascript],MATCH($B91,tab_MinKomp[[Stanowisko / Position ]:[Stanowisko / Position ]],0)))</f>
        <v>n/a</v>
      </c>
      <c r="CE92" s="349" t="str">
        <f>IF(INDEX(tab_MinKomp[Joomla],MATCH($B91,tab_MinKomp[[Stanowisko / Position ]:[Stanowisko / Position ]],0))="n/a","n/a",CE91-INDEX(tab_MinKomp[Joomla],MATCH($B91,tab_MinKomp[[Stanowisko / Position ]:[Stanowisko / Position ]],0)))</f>
        <v>n/a</v>
      </c>
      <c r="CF92" s="349" t="str">
        <f>IF(INDEX(tab_MinKomp[Bash],MATCH($B91,tab_MinKomp[[Stanowisko / Position ]:[Stanowisko / Position ]],0))="n/a","n/a",CF91-INDEX(tab_MinKomp[Bash],MATCH($B91,tab_MinKomp[[Stanowisko / Position ]:[Stanowisko / Position ]],0)))</f>
        <v>n/a</v>
      </c>
      <c r="CG92" s="349">
        <f>IF(INDEX(tab_MinKomp[Systemy MES (HYDRA / SFMS)],MATCH($B91,tab_MinKomp[[Stanowisko / Position ]:[Stanowisko / Position ]],0))="n/a","n/a",CG91-INDEX(tab_MinKomp[Systemy MES (HYDRA / SFMS)],MATCH($B91,tab_MinKomp[[Stanowisko / Position ]:[Stanowisko / Position ]],0)))</f>
        <v>0</v>
      </c>
      <c r="CH92" s="349" t="str">
        <f>IF(INDEX(tab_MinKomp[HTML / CSS],MATCH($B91,tab_MinKomp[[Stanowisko / Position ]:[Stanowisko / Position ]],0))="n/a","n/a",CH91-INDEX(tab_MinKomp[HTML / CSS],MATCH($B91,tab_MinKomp[[Stanowisko / Position ]:[Stanowisko / Position ]],0)))</f>
        <v>n/a</v>
      </c>
      <c r="CI92" s="349" t="str">
        <f>IF(INDEX(tab_MinKomp[SYSTEM PR],MATCH($B91,tab_MinKomp[[Stanowisko / Position ]:[Stanowisko / Position ]],0))="n/a","n/a",CI91-INDEX(tab_MinKomp[SYSTEM PR],MATCH($B91,tab_MinKomp[[Stanowisko / Position ]:[Stanowisko / Position ]],0)))</f>
        <v>n/a</v>
      </c>
      <c r="CJ92" s="349" t="str">
        <f>IF(INDEX(tab_MinKomp[System Einkauf XP / EBA],MATCH($B91,tab_MinKomp[[Stanowisko / Position ]:[Stanowisko / Position ]],0))="n/a","n/a",CJ91-INDEX(tab_MinKomp[System Einkauf XP / EBA],MATCH($B91,tab_MinKomp[[Stanowisko / Position ]:[Stanowisko / Position ]],0)))</f>
        <v>n/a</v>
      </c>
      <c r="CK92" s="349" t="str">
        <f>IF(INDEX(tab_MinKomp[Techniki negocjacyjne / Verhandlungstechniken],MATCH($B91,tab_MinKomp[[Stanowisko / Position ]:[Stanowisko / Position ]],0))="n/a","n/a",CK91-INDEX(tab_MinKomp[Techniki negocjacyjne / Verhandlungstechniken],MATCH($B91,tab_MinKomp[[Stanowisko / Position ]:[Stanowisko / Position ]],0)))</f>
        <v>n/a</v>
      </c>
      <c r="CL92" s="349" t="str">
        <f>IF(INDEX(tab_MinKomp[Znajomość rynku branżowego / Kenntnis des Industrie Marktes],MATCH($B91,tab_MinKomp[[Stanowisko / Position ]:[Stanowisko / Position ]],0))="n/a","n/a",CL91-INDEX(tab_MinKomp[Znajomość rynku branżowego / Kenntnis des Industrie Marktes],MATCH($B91,tab_MinKomp[[Stanowisko / Position ]:[Stanowisko / Position ]],0)))</f>
        <v>n/a</v>
      </c>
      <c r="CM92" s="349">
        <f>IF(INDEX(tab_MinKomp[RAPORTY 8D / 8D Berichten],MATCH($B91,tab_MinKomp[[Stanowisko / Position ]:[Stanowisko / Position ]],0))="n/a","n/a",CM91-INDEX(tab_MinKomp[RAPORTY 8D / 8D Berichten],MATCH($B91,tab_MinKomp[[Stanowisko / Position ]:[Stanowisko / Position ]],0)))</f>
        <v>0</v>
      </c>
      <c r="CN92" s="349">
        <f>IF(INDEX(tab_MinKomp[NARZĘDZIA JAKOŚCIOWE (5WHY, Ishikawa, etc) / QS-Werkzeuge],MATCH($B91,tab_MinKomp[[Stanowisko / Position ]:[Stanowisko / Position ]],0))="n/a","n/a",CN91-INDEX(tab_MinKomp[NARZĘDZIA JAKOŚCIOWE (5WHY, Ishikawa, etc) / QS-Werkzeuge],MATCH($B91,tab_MinKomp[[Stanowisko / Position ]:[Stanowisko / Position ]],0)))</f>
        <v>0</v>
      </c>
      <c r="CO92" s="349">
        <f>IF(INDEX(tab_MinKomp[PDCA],MATCH($B91,tab_MinKomp[[Stanowisko / Position ]:[Stanowisko / Position ]],0))="n/a","n/a",CO91-INDEX(tab_MinKomp[PDCA],MATCH($B91,tab_MinKomp[[Stanowisko / Position ]:[Stanowisko / Position ]],0)))</f>
        <v>1</v>
      </c>
      <c r="CP92" s="349">
        <f>IF(INDEX(tab_MinKomp[Pareto],MATCH($B91,tab_MinKomp[[Stanowisko / Position ]:[Stanowisko / Position ]],0))="n/a","n/a",CP91-INDEX(tab_MinKomp[Pareto],MATCH($B91,tab_MinKomp[[Stanowisko / Position ]:[Stanowisko / Position ]],0)))</f>
        <v>0</v>
      </c>
      <c r="CQ92" s="349" t="str">
        <f>IF(INDEX(tab_MinKomp[PPAP/PSW],MATCH($B91,tab_MinKomp[[Stanowisko / Position ]:[Stanowisko / Position ]],0))="n/a","n/a",CQ91-INDEX(tab_MinKomp[PPAP/PSW],MATCH($B91,tab_MinKomp[[Stanowisko / Position ]:[Stanowisko / Position ]],0)))</f>
        <v>n/a</v>
      </c>
      <c r="CR92" s="349" t="str">
        <f>IF(INDEX(tab_MinKomp[SUPPLIER MANAGEMENT],MATCH($B91,tab_MinKomp[[Stanowisko / Position ]:[Stanowisko / Position ]],0))="n/a","n/a",CR91-INDEX(tab_MinKomp[SUPPLIER MANAGEMENT],MATCH($B91,tab_MinKomp[[Stanowisko / Position ]:[Stanowisko / Position ]],0)))</f>
        <v>n/a</v>
      </c>
      <c r="CS92" s="349" t="str">
        <f>IF(INDEX(tab_MinKomp[OBSŁUGA PORTALI KLIENTA / Kundenportale],MATCH($B91,tab_MinKomp[[Stanowisko / Position ]:[Stanowisko / Position ]],0))="n/a","n/a",CS91-INDEX(tab_MinKomp[OBSŁUGA PORTALI KLIENTA / Kundenportale],MATCH($B91,tab_MinKomp[[Stanowisko / Position ]:[Stanowisko / Position ]],0)))</f>
        <v>n/a</v>
      </c>
      <c r="CT92" s="349" t="str">
        <f>IF(INDEX(tab_MinKomp[Obsługa systemu BABTECQ / BABTECQ System],MATCH($B91,tab_MinKomp[[Stanowisko / Position ]:[Stanowisko / Position ]],0))="n/a","n/a",CT91-INDEX(tab_MinKomp[Obsługa systemu BABTECQ / BABTECQ System],MATCH($B91,tab_MinKomp[[Stanowisko / Position ]:[Stanowisko / Position ]],0)))</f>
        <v>n/a</v>
      </c>
      <c r="CU92" s="349" t="str">
        <f>IF(INDEX(tab_MinKomp[Rysunek techniczny / technische Zeichnung],MATCH($B91,tab_MinKomp[[Stanowisko / Position ]:[Stanowisko / Position ]],0))="n/a","n/a",CU91-INDEX(tab_MinKomp[Rysunek techniczny / technische Zeichnung],MATCH($B91,tab_MinKomp[[Stanowisko / Position ]:[Stanowisko / Position ]],0)))</f>
        <v>n/a</v>
      </c>
      <c r="CV92" s="349" t="str">
        <f>IF(INDEX(tab_MinKomp[Kalibracja / Kalibrierung],MATCH($B91,tab_MinKomp[[Stanowisko / Position ]:[Stanowisko / Position ]],0))="n/a","n/a",CV91-INDEX(tab_MinKomp[Kalibracja / Kalibrierung],MATCH($B91,tab_MinKomp[[Stanowisko / Position ]:[Stanowisko / Position ]],0)))</f>
        <v>n/a</v>
      </c>
      <c r="CW92" s="349" t="str">
        <f>IF(INDEX(tab_MinKomp[Rekwalifikacja / Requalifizierung],MATCH($B91,tab_MinKomp[[Stanowisko / Position ]:[Stanowisko / Position ]],0))="n/a","n/a",CW91-INDEX(tab_MinKomp[Rekwalifikacja / Requalifizierung],MATCH($B91,tab_MinKomp[[Stanowisko / Position ]:[Stanowisko / Position ]],0)))</f>
        <v>n/a</v>
      </c>
      <c r="CX92" s="333" t="str">
        <f>IF(INDEX(tab_MinKomp[CMM - Contura Zeiss],MATCH($B91,tab_MinKomp[[Stanowisko / Position ]:[Stanowisko / Position ]],0))="n/a","n/a",CX91-INDEX(tab_MinKomp[CMM - Contura Zeiss],MATCH($B91,tab_MinKomp[[Stanowisko / Position ]:[Stanowisko / Position ]],0)))</f>
        <v>n/a</v>
      </c>
      <c r="CY92" s="333" t="str">
        <f>IF(INDEX(tab_MinKomp[CMM - Contura Zeiss],MATCH($B91,tab_MinKomp[[Stanowisko / Position ]:[Stanowisko / Position ]],0))="n/a","n/a",CY91-INDEX(tab_MinKomp[CMM - Contura Zeiss],MATCH($B91,tab_MinKomp[[Stanowisko / Position ]:[Stanowisko / Position ]],0)))</f>
        <v>n/a</v>
      </c>
      <c r="CZ92" s="333" t="str">
        <f>IF(INDEX(tab_MinKomp[CMM - Contura Zeiss],MATCH($B91,tab_MinKomp[[Stanowisko / Position ]:[Stanowisko / Position ]],0))="n/a","n/a",CZ91-INDEX(tab_MinKomp[CMM - Contura Zeiss],MATCH($B91,tab_MinKomp[[Stanowisko / Position ]:[Stanowisko / Position ]],0)))</f>
        <v>n/a</v>
      </c>
      <c r="DA92" s="333" t="str">
        <f>IF(INDEX(tab_MinKomp[CMM - Contura Zeiss],MATCH($B91,tab_MinKomp[[Stanowisko / Position ]:[Stanowisko / Position ]],0))="n/a","n/a",DA91-INDEX(tab_MinKomp[CMM - Contura Zeiss],MATCH($B91,tab_MinKomp[[Stanowisko / Position ]:[Stanowisko / Position ]],0)))</f>
        <v>n/a</v>
      </c>
      <c r="DB92" s="333" t="str">
        <f>IF(INDEX(tab_MinKomp[CMM - Contura Zeiss],MATCH($B91,tab_MinKomp[[Stanowisko / Position ]:[Stanowisko / Position ]],0))="n/a","n/a",DB91-INDEX(tab_MinKomp[CMM - Contura Zeiss],MATCH($B91,tab_MinKomp[[Stanowisko / Position ]:[Stanowisko / Position ]],0)))</f>
        <v>n/a</v>
      </c>
      <c r="DC92" s="333" t="str">
        <f>IF(INDEX(tab_MinKomp[CMM - Contura Zeiss],MATCH($B91,tab_MinKomp[[Stanowisko / Position ]:[Stanowisko / Position ]],0))="n/a","n/a",DC91-INDEX(tab_MinKomp[CMM - Contura Zeiss],MATCH($B91,tab_MinKomp[[Stanowisko / Position ]:[Stanowisko / Position ]],0)))</f>
        <v>n/a</v>
      </c>
      <c r="DD92" s="333" t="str">
        <f>IF(INDEX(tab_MinKomp[Pisanie programów / Programme schreiben],MATCH($B91,tab_MinKomp[[Stanowisko / Position ]:[Stanowisko / Position ]],0))="n/a","n/a",DD91-INDEX(tab_MinKomp[Pisanie programów / Programme schreiben],MATCH($B91,tab_MinKomp[[Stanowisko / Position ]:[Stanowisko / Position ]],0)))</f>
        <v>n/a</v>
      </c>
      <c r="DE92" s="333" t="str">
        <f>IF(INDEX(tab_MinKomp[CMM - Contura Zeiss],MATCH($B91,tab_MinKomp[[Stanowisko / Position ]:[Stanowisko / Position ]],0))="n/a","n/a",DE91-INDEX(tab_MinKomp[CMM - Contura Zeiss],MATCH($B91,tab_MinKomp[[Stanowisko / Position ]:[Stanowisko / Position ]],0)))</f>
        <v>n/a</v>
      </c>
      <c r="DF92" s="333" t="str">
        <f>IF(INDEX(tab_MinKomp[CMM - Contura Zeiss],MATCH($B91,tab_MinKomp[[Stanowisko / Position ]:[Stanowisko / Position ]],0))="n/a","n/a",DF91-INDEX(tab_MinKomp[CMM - Contura Zeiss],MATCH($B91,tab_MinKomp[[Stanowisko / Position ]:[Stanowisko / Position ]],0)))</f>
        <v>n/a</v>
      </c>
      <c r="DG92" s="333" t="str">
        <f>IF(INDEX(tab_MinKomp[CMM - Contura Zeiss],MATCH($B91,tab_MinKomp[[Stanowisko / Position ]:[Stanowisko / Position ]],0))="n/a","n/a",DG91-INDEX(tab_MinKomp[CMM - Contura Zeiss],MATCH($B91,tab_MinKomp[[Stanowisko / Position ]:[Stanowisko / Position ]],0)))</f>
        <v>n/a</v>
      </c>
      <c r="DH92" s="333" t="str">
        <f>IF(INDEX(tab_MinKomp[CMM - Contura Zeiss],MATCH($B91,tab_MinKomp[[Stanowisko / Position ]:[Stanowisko / Position ]],0))="n/a","n/a",DH91-INDEX(tab_MinKomp[CMM - Contura Zeiss],MATCH($B91,tab_MinKomp[[Stanowisko / Position ]:[Stanowisko / Position ]],0)))</f>
        <v>n/a</v>
      </c>
      <c r="DI92" s="333" t="str">
        <f>IF(INDEX(tab_MinKomp[CMM - Contura Zeiss],MATCH($B91,tab_MinKomp[[Stanowisko / Position ]:[Stanowisko / Position ]],0))="n/a","n/a",DI91-INDEX(tab_MinKomp[CMM - Contura Zeiss],MATCH($B91,tab_MinKomp[[Stanowisko / Position ]:[Stanowisko / Position ]],0)))</f>
        <v>n/a</v>
      </c>
      <c r="DJ92" s="333" t="str">
        <f>IF(INDEX(tab_MinKomp[CMM - Contura Zeiss],MATCH($B91,tab_MinKomp[[Stanowisko / Position ]:[Stanowisko / Position ]],0))="n/a","n/a",DJ91-INDEX(tab_MinKomp[CMM - Contura Zeiss],MATCH($B91,tab_MinKomp[[Stanowisko / Position ]:[Stanowisko / Position ]],0)))</f>
        <v>n/a</v>
      </c>
      <c r="DK92" s="333" t="str">
        <f>IF(INDEX(tab_MinKomp[Pisanie programów / Programme schreiben],MATCH($B91,tab_MinKomp[[Stanowisko / Position ]:[Stanowisko / Position ]],0))="n/a","n/a",DK91-INDEX(tab_MinKomp[Pisanie programów / Programme schreiben],MATCH($B91,tab_MinKomp[[Stanowisko / Position ]:[Stanowisko / Position ]],0)))</f>
        <v>n/a</v>
      </c>
      <c r="DL92" s="333" t="str">
        <f>IF(INDEX(tab_MinKomp[CMM - Contura Zeiss],MATCH($B91,tab_MinKomp[[Stanowisko / Position ]:[Stanowisko / Position ]],0))="n/a","n/a",DL91-INDEX(tab_MinKomp[CMM - Contura Zeiss],MATCH($B91,tab_MinKomp[[Stanowisko / Position ]:[Stanowisko / Position ]],0)))</f>
        <v>n/a</v>
      </c>
      <c r="DM92" s="333" t="str">
        <f>IF(INDEX(tab_MinKomp[CMM - Contura Zeiss],MATCH($B91,tab_MinKomp[[Stanowisko / Position ]:[Stanowisko / Position ]],0))="n/a","n/a",DM91-INDEX(tab_MinKomp[CMM - Contura Zeiss],MATCH($B91,tab_MinKomp[[Stanowisko / Position ]:[Stanowisko / Position ]],0)))</f>
        <v>n/a</v>
      </c>
      <c r="DN92" s="333" t="str">
        <f>IF(INDEX(tab_MinKomp[CMM - Contura Zeiss],MATCH($B91,tab_MinKomp[[Stanowisko / Position ]:[Stanowisko / Position ]],0))="n/a","n/a",DN91-INDEX(tab_MinKomp[CMM - Contura Zeiss],MATCH($B91,tab_MinKomp[[Stanowisko / Position ]:[Stanowisko / Position ]],0)))</f>
        <v>n/a</v>
      </c>
      <c r="DO92" s="333" t="str">
        <f>IF(INDEX(tab_MinKomp[CMM - Contura Zeiss],MATCH($B91,tab_MinKomp[[Stanowisko / Position ]:[Stanowisko / Position ]],0))="n/a","n/a",DO91-INDEX(tab_MinKomp[CMM - Contura Zeiss],MATCH($B91,tab_MinKomp[[Stanowisko / Position ]:[Stanowisko / Position ]],0)))</f>
        <v>n/a</v>
      </c>
      <c r="DP92" s="333" t="str">
        <f>IF(INDEX(tab_MinKomp[CMM - Contura Zeiss],MATCH($B91,tab_MinKomp[[Stanowisko / Position ]:[Stanowisko / Position ]],0))="n/a","n/a",DP91-INDEX(tab_MinKomp[CMM - Contura Zeiss],MATCH($B91,tab_MinKomp[[Stanowisko / Position ]:[Stanowisko / Position ]],0)))</f>
        <v>n/a</v>
      </c>
      <c r="DQ92" s="333" t="str">
        <f>IF(INDEX(tab_MinKomp[CMM - Contura Zeiss],MATCH($B91,tab_MinKomp[[Stanowisko / Position ]:[Stanowisko / Position ]],0))="n/a","n/a",DQ91-INDEX(tab_MinKomp[CMM - Contura Zeiss],MATCH($B91,tab_MinKomp[[Stanowisko / Position ]:[Stanowisko / Position ]],0)))</f>
        <v>n/a</v>
      </c>
      <c r="DR92" s="333" t="str">
        <f>IF(INDEX(tab_MinKomp[Pisanie programów / Programme schreiben],MATCH($B91,tab_MinKomp[[Stanowisko / Position ]:[Stanowisko / Position ]],0))="n/a","n/a",DR91-INDEX(tab_MinKomp[Pisanie programów / Programme schreiben],MATCH($B91,tab_MinKomp[[Stanowisko / Position ]:[Stanowisko / Position ]],0)))</f>
        <v>n/a</v>
      </c>
      <c r="DS92" s="333" t="str">
        <f>IF(INDEX(tab_MinKomp[CMM - Contura Zeiss],MATCH($B91,tab_MinKomp[[Stanowisko / Position ]:[Stanowisko / Position ]],0))="n/a","n/a",DS91-INDEX(tab_MinKomp[CMM - Contura Zeiss],MATCH($B91,tab_MinKomp[[Stanowisko / Position ]:[Stanowisko / Position ]],0)))</f>
        <v>n/a</v>
      </c>
      <c r="DT92" s="333" t="str">
        <f>IF(INDEX(tab_MinKomp[CMM - Contura Zeiss],MATCH($B91,tab_MinKomp[[Stanowisko / Position ]:[Stanowisko / Position ]],0))="n/a","n/a",DT91-INDEX(tab_MinKomp[CMM - Contura Zeiss],MATCH($B91,tab_MinKomp[[Stanowisko / Position ]:[Stanowisko / Position ]],0)))</f>
        <v>n/a</v>
      </c>
      <c r="DU92" s="333" t="str">
        <f>IF(INDEX(tab_MinKomp[CMM - Contura Zeiss],MATCH($B91,tab_MinKomp[[Stanowisko / Position ]:[Stanowisko / Position ]],0))="n/a","n/a",DU91-INDEX(tab_MinKomp[CMM - Contura Zeiss],MATCH($B91,tab_MinKomp[[Stanowisko / Position ]:[Stanowisko / Position ]],0)))</f>
        <v>n/a</v>
      </c>
      <c r="DV92" s="333" t="str">
        <f>IF(INDEX(tab_MinKomp[CMM - Contura Zeiss],MATCH($B91,tab_MinKomp[[Stanowisko / Position ]:[Stanowisko / Position ]],0))="n/a","n/a",DV91-INDEX(tab_MinKomp[CMM - Contura Zeiss],MATCH($B91,tab_MinKomp[[Stanowisko / Position ]:[Stanowisko / Position ]],0)))</f>
        <v>n/a</v>
      </c>
      <c r="DW92" s="333" t="str">
        <f>IF(INDEX(tab_MinKomp[CMM - Contura Zeiss],MATCH($B91,tab_MinKomp[[Stanowisko / Position ]:[Stanowisko / Position ]],0))="n/a","n/a",DW91-INDEX(tab_MinKomp[CMM - Contura Zeiss],MATCH($B91,tab_MinKomp[[Stanowisko / Position ]:[Stanowisko / Position ]],0)))</f>
        <v>n/a</v>
      </c>
      <c r="DX92" s="333" t="str">
        <f>IF(INDEX(tab_MinKomp[CMM - Contura Zeiss],MATCH($B91,tab_MinKomp[[Stanowisko / Position ]:[Stanowisko / Position ]],0))="n/a","n/a",DX91-INDEX(tab_MinKomp[CMM - Contura Zeiss],MATCH($B91,tab_MinKomp[[Stanowisko / Position ]:[Stanowisko / Position ]],0)))</f>
        <v>n/a</v>
      </c>
      <c r="DY92" s="349" t="str">
        <f>IF(INDEX(tab_MinKomp[Konserwacja Rep],MATCH($B91,tab_MinKomp[[Stanowisko / Position ]:[Stanowisko / Position ]],0))="n/a","n/a",DY91-INDEX(tab_MinKomp[Konserwacja Rep],MATCH($B91,tab_MinKomp[[Stanowisko / Position ]:[Stanowisko / Position ]],0)))</f>
        <v>n/a</v>
      </c>
      <c r="DZ92" s="349" t="str">
        <f>IF(INDEX(tab_MinKomp[[Konserwacja Engel ]],MATCH($B91,tab_MinKomp[[Stanowisko / Position ]:[Stanowisko / Position ]],0))="n/a","n/a",DZ91-INDEX(tab_MinKomp[[Konserwacja Engel ]],MATCH($B91,tab_MinKomp[[Stanowisko / Position ]:[Stanowisko / Position ]],0)))</f>
        <v>n/a</v>
      </c>
      <c r="EA92" s="349" t="str">
        <f>IF(INDEX(tab_MinKomp[Konserwacja B 50],MATCH($B91,tab_MinKomp[[Stanowisko / Position ]:[Stanowisko / Position ]],0))="n/a","n/a",EA91-INDEX(tab_MinKomp[Konserwacja B 50],MATCH($B91,tab_MinKomp[[Stanowisko / Position ]:[Stanowisko / Position ]],0)))</f>
        <v>n/a</v>
      </c>
      <c r="EB92" s="349" t="str">
        <f>IF(INDEX(tab_MinKomp[[Konserwacja EOL ]],MATCH($B91,tab_MinKomp[[Stanowisko / Position ]:[Stanowisko / Position ]],0))="n/a","n/a",EB91-INDEX(tab_MinKomp[[Konserwacja EOL ]],MATCH($B91,tab_MinKomp[[Stanowisko / Position ]:[Stanowisko / Position ]],0)))</f>
        <v>n/a</v>
      </c>
      <c r="EC92" s="349" t="str">
        <f>IF(INDEX(tab_MinKomp[Konserwacja Branson],MATCH($B91,tab_MinKomp[[Stanowisko / Position ]:[Stanowisko / Position ]],0))="n/a","n/a",EC91-INDEX(tab_MinKomp[Konserwacja Branson],MATCH($B91,tab_MinKomp[[Stanowisko / Position ]:[Stanowisko / Position ]],0)))</f>
        <v>n/a</v>
      </c>
      <c r="ED92" s="349" t="str">
        <f>IF(INDEX(tab_MinKomp[Konserwacja coolery],MATCH($B91,tab_MinKomp[[Stanowisko / Position ]:[Stanowisko / Position ]],0))="n/a","n/a",ED91-INDEX(tab_MinKomp[Konserwacja coolery],MATCH($B91,tab_MinKomp[[Stanowisko / Position ]:[Stanowisko / Position ]],0)))</f>
        <v>n/a</v>
      </c>
      <c r="EE92" s="349" t="str">
        <f>IF(INDEX(tab_MinKomp[Konserwacja piecy],MATCH($B91,tab_MinKomp[[Stanowisko / Position ]:[Stanowisko / Position ]],0))="n/a","n/a",EE91-INDEX(tab_MinKomp[Konserwacja piecy],MATCH($B91,tab_MinKomp[[Stanowisko / Position ]:[Stanowisko / Position ]],0)))</f>
        <v>n/a</v>
      </c>
      <c r="EF92" s="349" t="str">
        <f>IF(INDEX(tab_MinKomp[Rysunek techniczny- czytanie],MATCH($B91,tab_MinKomp[[Stanowisko / Position ]:[Stanowisko / Position ]],0))="n/a","n/a",EF91-INDEX(tab_MinKomp[Rysunek techniczny- czytanie],MATCH($B91,tab_MinKomp[[Stanowisko / Position ]:[Stanowisko / Position ]],0)))</f>
        <v>n/a</v>
      </c>
      <c r="EG92" s="349" t="str">
        <f>IF(INDEX(tab_MinKomp[Elektryka],MATCH($B91,tab_MinKomp[[Stanowisko / Position ]:[Stanowisko / Position ]],0))="n/a","n/a",EG91-INDEX(tab_MinKomp[Elektryka],MATCH($B91,tab_MinKomp[[Stanowisko / Position ]:[Stanowisko / Position ]],0)))</f>
        <v>n/a</v>
      </c>
      <c r="EH92" s="349" t="str">
        <f>IF(INDEX(tab_MinKomp[Pneumatyka],MATCH($B91,tab_MinKomp[[Stanowisko / Position ]:[Stanowisko / Position ]],0))="n/a","n/a",EH91-INDEX(tab_MinKomp[Pneumatyka],MATCH($B91,tab_MinKomp[[Stanowisko / Position ]:[Stanowisko / Position ]],0)))</f>
        <v>n/a</v>
      </c>
      <c r="EI92" s="349" t="str">
        <f>IF(INDEX(tab_MinKomp[[Hydraulika ]],MATCH($B91,tab_MinKomp[[Stanowisko / Position ]:[Stanowisko / Position ]],0))="n/a","n/a",EI91-INDEX(tab_MinKomp[[Hydraulika ]],MATCH($B91,tab_MinKomp[[Stanowisko / Position ]:[Stanowisko / Position ]],0)))</f>
        <v>n/a</v>
      </c>
      <c r="EJ92" s="349" t="str">
        <f>IF(INDEX(tab_MinKomp[Podciśnienie],MATCH($B91,tab_MinKomp[[Stanowisko / Position ]:[Stanowisko / Position ]],0))="n/a","n/a",EJ91-INDEX(tab_MinKomp[Podciśnienie],MATCH($B91,tab_MinKomp[[Stanowisko / Position ]:[Stanowisko / Position ]],0)))</f>
        <v>n/a</v>
      </c>
      <c r="EK92" s="349" t="str">
        <f>IF(INDEX(tab_MinKomp[Usuwanie awarii],MATCH($B91,tab_MinKomp[[Stanowisko / Position ]:[Stanowisko / Position ]],0))="n/a","n/a",EK91-INDEX(tab_MinKomp[Usuwanie awarii],MATCH($B91,tab_MinKomp[[Stanowisko / Position ]:[Stanowisko / Position ]],0)))</f>
        <v>n/a</v>
      </c>
      <c r="EL92" s="349" t="str">
        <f>IF(INDEX(tab_MinKomp[Obsługa robotów],MATCH($B91,tab_MinKomp[[Stanowisko / Position ]:[Stanowisko / Position ]],0))="n/a","n/a",EL91-INDEX(tab_MinKomp[Obsługa robotów],MATCH($B91,tab_MinKomp[[Stanowisko / Position ]:[Stanowisko / Position ]],0)))</f>
        <v>n/a</v>
      </c>
      <c r="EM92" s="349" t="str">
        <f>IF(INDEX(tab_MinKomp[Obsługa sterowania maszyny],MATCH($B91,tab_MinKomp[[Stanowisko / Position ]:[Stanowisko / Position ]],0))="n/a","n/a",EM91-INDEX(tab_MinKomp[Obsługa sterowania maszyny],MATCH($B91,tab_MinKomp[[Stanowisko / Position ]:[Stanowisko / Position ]],0)))</f>
        <v>n/a</v>
      </c>
      <c r="EN92" s="349" t="str">
        <f>IF(INDEX(tab_MinKomp[Usuwanie przyczyn żródłowych],MATCH($B91,tab_MinKomp[[Stanowisko / Position ]:[Stanowisko / Position ]],0))="n/a","n/a",EN91-INDEX(tab_MinKomp[Usuwanie przyczyn żródłowych],MATCH($B91,tab_MinKomp[[Stanowisko / Position ]:[Stanowisko / Position ]],0)))</f>
        <v>n/a</v>
      </c>
      <c r="EO92" s="349" t="str">
        <f>IF(INDEX(tab_MinKomp[Cmms stosowanie],MATCH($B91,tab_MinKomp[[Stanowisko / Position ]:[Stanowisko / Position ]],0))="n/a","n/a",EO91-INDEX(tab_MinKomp[Cmms stosowanie],MATCH($B91,tab_MinKomp[[Stanowisko / Position ]:[Stanowisko / Position ]],0)))</f>
        <v>n/a</v>
      </c>
      <c r="EP92" s="349" t="str">
        <f>IF(INDEX(tab_MinKomp[[Czyszczenie form gumowych ]],MATCH($B91,tab_MinKomp[[Stanowisko / Position ]:[Stanowisko / Position ]],0))="n/a","n/a",EP91-INDEX(tab_MinKomp[[Czyszczenie form gumowych ]],MATCH($B91,tab_MinKomp[[Stanowisko / Position ]:[Stanowisko / Position ]],0)))</f>
        <v>n/a</v>
      </c>
      <c r="EQ92" s="349" t="str">
        <f>IF(INDEX(tab_MinKomp[Czyszczenie form plastikowych],MATCH($B91,tab_MinKomp[[Stanowisko / Position ]:[Stanowisko / Position ]],0))="n/a","n/a",EQ91-INDEX(tab_MinKomp[Czyszczenie form plastikowych],MATCH($B91,tab_MinKomp[[Stanowisko / Position ]:[Stanowisko / Position ]],0)))</f>
        <v>n/a</v>
      </c>
      <c r="ER92" s="349" t="str">
        <f>IF(INDEX(tab_MinKomp[Wymiana form plastik],MATCH($B91,tab_MinKomp[[Stanowisko / Position ]:[Stanowisko / Position ]],0))="n/a","n/a",ER91-INDEX(tab_MinKomp[Wymiana form plastik],MATCH($B91,tab_MinKomp[[Stanowisko / Position ]:[Stanowisko / Position ]],0)))</f>
        <v>n/a</v>
      </c>
      <c r="ES92" s="349" t="str">
        <f>IF(INDEX(tab_MinKomp[Wymiana form guma],MATCH($B91,tab_MinKomp[[Stanowisko / Position ]:[Stanowisko / Position ]],0))="n/a","n/a",ES91-INDEX(tab_MinKomp[Wymiana form guma],MATCH($B91,tab_MinKomp[[Stanowisko / Position ]:[Stanowisko / Position ]],0)))</f>
        <v>n/a</v>
      </c>
      <c r="ET92" s="349" t="str">
        <f>IF(INDEX(tab_MinKomp[Konserwacja KK],MATCH($B91,tab_MinKomp[[Stanowisko / Position ]:[Stanowisko / Position ]],0))="n/a","n/a",ET91-INDEX(tab_MinKomp[Konserwacja KK],MATCH($B91,tab_MinKomp[[Stanowisko / Position ]:[Stanowisko / Position ]],0)))</f>
        <v>n/a</v>
      </c>
      <c r="EU92" s="349" t="str">
        <f>IF(INDEX(tab_MinKomp[Konserwacja form guma],MATCH($B91,tab_MinKomp[[Stanowisko / Position ]:[Stanowisko / Position ]],0))="n/a","n/a",EU91-INDEX(tab_MinKomp[Konserwacja form guma],MATCH($B91,tab_MinKomp[[Stanowisko / Position ]:[Stanowisko / Position ]],0)))</f>
        <v>n/a</v>
      </c>
      <c r="EV92" s="349" t="str">
        <f>IF(INDEX(tab_MinKomp[Konserwacja form plastiki],MATCH($B91,tab_MinKomp[[Stanowisko / Position ]:[Stanowisko / Position ]],0))="n/a","n/a",EV91-INDEX(tab_MinKomp[Konserwacja form plastiki],MATCH($B91,tab_MinKomp[[Stanowisko / Position ]:[Stanowisko / Position ]],0)))</f>
        <v>n/a</v>
      </c>
      <c r="EW92" s="330" t="str">
        <f>IF(INDEX(tab_MinKomp[Konserwacja form plastiki],MATCH($B91,tab_MinKomp[[Stanowisko / Position ]:[Stanowisko / Position ]],0))="n/a","n/a",EW91-INDEX(tab_MinKomp[Konserwacja form plastiki],MATCH($B91,tab_MinKomp[[Stanowisko / Position ]:[Stanowisko / Position ]],0)))</f>
        <v>n/a</v>
      </c>
      <c r="EX92" s="349" t="str">
        <f>IF(INDEX(tab_MinKomp[Konserwacja Gorącego Kanału],MATCH($B91,tab_MinKomp[[Stanowisko / Position ]:[Stanowisko / Position ]],0))="n/a","n/a",EX91-INDEX(tab_MinKomp[Konserwacja Gorącego Kanału],MATCH($B91,tab_MinKomp[[Stanowisko / Position ]:[Stanowisko / Position ]],0)))</f>
        <v>n/a</v>
      </c>
      <c r="EY92" s="349">
        <f>IF(INDEX(tab_MinKomp[MS Office (Excel)],MATCH($B91,tab_MinKomp[[Stanowisko / Position ]:[Stanowisko / Position ]],0))="n/a","n/a",EY91-INDEX(tab_MinKomp[MS Office (Excel)],MATCH($B91,tab_MinKomp[[Stanowisko / Position ]:[Stanowisko / Position ]],0)))</f>
        <v>0</v>
      </c>
      <c r="EZ92" s="349">
        <f>IF(INDEX(tab_MinKomp[MS Office (Word)],MATCH($B91,tab_MinKomp[[Stanowisko / Position ]:[Stanowisko / Position ]],0))="n/a","n/a",EZ91-INDEX(tab_MinKomp[MS Office (Word)],MATCH($B91,tab_MinKomp[[Stanowisko / Position ]:[Stanowisko / Position ]],0)))</f>
        <v>0</v>
      </c>
      <c r="FA92" s="349">
        <f>IF(INDEX(tab_MinKomp[MS Office (Power Point)],MATCH($B91,tab_MinKomp[[Stanowisko / Position ]:[Stanowisko / Position ]],0))="n/a","n/a",FA91-INDEX(tab_MinKomp[MS Office (Power Point)],MATCH($B91,tab_MinKomp[[Stanowisko / Position ]:[Stanowisko / Position ]],0)))</f>
        <v>0</v>
      </c>
      <c r="FB92" s="349" t="str">
        <f>IF(INDEX(tab_MinKomp[Język angielski / Englisch],MATCH($B91,tab_MinKomp[[Stanowisko / Position ]:[Stanowisko / Position ]],0))="n/a","n/a",FB91-INDEX(tab_MinKomp[Język angielski / Englisch],MATCH($B91,tab_MinKomp[[Stanowisko / Position ]:[Stanowisko / Position ]],0)))</f>
        <v>n/a</v>
      </c>
      <c r="FC92" s="349" t="str">
        <f>IF(INDEX(tab_MinKomp[Język niemiecki / Deutsch],MATCH($B91,tab_MinKomp[[Stanowisko / Position ]:[Stanowisko / Position ]],0))="n/a","n/a",FC91-INDEX(tab_MinKomp[Język niemiecki / Deutsch],MATCH($B91,tab_MinKomp[[Stanowisko / Position ]:[Stanowisko / Position ]],0)))</f>
        <v>n/a</v>
      </c>
      <c r="FD92" s="349">
        <f>IF(INDEX(tab_MinKomp[Zarządzanie dokumentacją procesową / Process dokumentation management],MATCH($B91,tab_MinKomp[[Stanowisko / Position ]:[Stanowisko / Position ]],0))="n/a","n/a",FD91-INDEX(tab_MinKomp[Zarządzanie dokumentacją procesową / Process dokumentation management],MATCH($B91,tab_MinKomp[[Stanowisko / Position ]:[Stanowisko / Position ]],0)))</f>
        <v>0</v>
      </c>
      <c r="FE92" s="349">
        <f>IF(INDEX(tab_MinKomp[Znajomość procesów z obszaru / Kenntiss der prozesse in dem Bereich],MATCH($B91,tab_MinKomp[[Stanowisko / Position ]:[Stanowisko / Position ]],0))="n/a","n/a",FE91-INDEX(tab_MinKomp[Znajomość procesów z obszaru / Kenntiss der prozesse in dem Bereich],MATCH($B91,tab_MinKomp[[Stanowisko / Position ]:[Stanowisko / Position ]],0)))</f>
        <v>0</v>
      </c>
      <c r="FF92" s="349">
        <f>IF(INDEX(tab_MinKomp[optymalizacja procesów / Prozessoptymalisierung],MATCH($B91,tab_MinKomp[[Stanowisko / Position ]:[Stanowisko / Position ]],0))="n/a","n/a",FF91-INDEX(tab_MinKomp[optymalizacja procesów / Prozessoptymalisierung],MATCH($B91,tab_MinKomp[[Stanowisko / Position ]:[Stanowisko / Position ]],0)))</f>
        <v>0</v>
      </c>
      <c r="FG92" s="349">
        <f>IF(INDEX(tab_MinKomp[Umiejętności szkoleniowe / Trainingsfähigkeiten],MATCH($B91,tab_MinKomp[[Stanowisko / Position ]:[Stanowisko / Position ]],0))="n/a","n/a",FG91-INDEX(tab_MinKomp[Umiejętności szkoleniowe / Trainingsfähigkeiten],MATCH($B91,tab_MinKomp[[Stanowisko / Position ]:[Stanowisko / Position ]],0)))</f>
        <v>1</v>
      </c>
      <c r="FH92" s="349">
        <f>IF(INDEX(tab_MinKomp[Analityczne myślenie, podejście / Analitysches Denken, Einstellung],MATCH($B91,tab_MinKomp[[Stanowisko / Position ]:[Stanowisko / Position ]],0))="n/a","n/a",FH91-INDEX(tab_MinKomp[Analityczne myślenie, podejście / Analitysches Denken, Einstellung],MATCH($B91,tab_MinKomp[[Stanowisko / Position ]:[Stanowisko / Position ]],0)))</f>
        <v>1</v>
      </c>
      <c r="FI92" s="349">
        <f>IF(INDEX(tab_MinKomp[Dokładność, precyzja w dzialaniu / Genauigkeit, Präzision in die Arbeit],MATCH($B91,tab_MinKomp[[Stanowisko / Position ]:[Stanowisko / Position ]],0))="n/a","n/a",FI91-INDEX(tab_MinKomp[Dokładność, precyzja w dzialaniu / Genauigkeit, Präzision in die Arbeit],MATCH($B91,tab_MinKomp[[Stanowisko / Position ]:[Stanowisko / Position ]],0)))</f>
        <v>0</v>
      </c>
      <c r="FJ92" s="349">
        <f>IF(INDEX(tab_MinKomp[Dyspozycyjność / Verfügbarkeit],MATCH($B91,tab_MinKomp[[Stanowisko / Position ]:[Stanowisko / Position ]],0))="n/a","n/a",FJ91-INDEX(tab_MinKomp[Dyspozycyjność / Verfügbarkeit],MATCH($B91,tab_MinKomp[[Stanowisko / Position ]:[Stanowisko / Position ]],0)))</f>
        <v>1</v>
      </c>
      <c r="FK92" s="349">
        <f>IF(INDEX(tab_MinKomp[Zaangażowanie / 
Engagement],MATCH($B91,tab_MinKomp[[Stanowisko / Position ]:[Stanowisko / Position ]],0))="n/a","n/a",FK91-INDEX(tab_MinKomp[Zaangażowanie / 
Engagement],MATCH($B91,tab_MinKomp[[Stanowisko / Position ]:[Stanowisko / Position ]],0)))</f>
        <v>1</v>
      </c>
      <c r="FL92" s="349">
        <f>IF(INDEX(tab_MinKomp[Planowanie strategiczne / Strategische Planung],MATCH($B91,tab_MinKomp[[Stanowisko / Position ]:[Stanowisko / Position ]],0))="n/a","n/a",FL91-INDEX(tab_MinKomp[Planowanie strategiczne / Strategische Planung],MATCH($B91,tab_MinKomp[[Stanowisko / Position ]:[Stanowisko / Position ]],0)))</f>
        <v>1</v>
      </c>
      <c r="FM92" s="349">
        <f>IF(INDEX(tab_MinKomp[Konsekwentne i dynamiczne działanie],MATCH($B91,tab_MinKomp[[Stanowisko / Position ]:[Stanowisko / Position ]],0))="n/a","n/a",FM91-INDEX(tab_MinKomp[Konsekwentne i dynamiczne działanie],MATCH($B91,tab_MinKomp[[Stanowisko / Position ]:[Stanowisko / Position ]],0)))</f>
        <v>0</v>
      </c>
      <c r="FN92" s="349">
        <f>IF(INDEX(tab_MinKomp[Elastyczność w działaniu],MATCH($B91,tab_MinKomp[[Stanowisko / Position ]:[Stanowisko / Position ]],0))="n/a","n/a",FN91-INDEX(tab_MinKomp[Elastyczność w działaniu],MATCH($B91,tab_MinKomp[[Stanowisko / Position ]:[Stanowisko / Position ]],0)))</f>
        <v>1</v>
      </c>
      <c r="FO92" s="349">
        <f>IF(INDEX(tab_MinKomp[Komunikatywność],MATCH($B91,tab_MinKomp[[Stanowisko / Position ]:[Stanowisko / Position ]],0))="n/a","n/a",FO91-INDEX(tab_MinKomp[Komunikatywność],MATCH($B91,tab_MinKomp[[Stanowisko / Position ]:[Stanowisko / Position ]],0)))</f>
        <v>0</v>
      </c>
      <c r="FP92" s="350">
        <f>IF(INDEX(tab_MinKomp[Motywowanie i budowanie zaangażowania zespołu],MATCH($B91,tab_MinKomp[[Stanowisko / Position ]:[Stanowisko / Position ]],0))="n/a","n/a",FP91-INDEX(tab_MinKomp[Motywowanie i budowanie zaangażowania zespołu],MATCH($B91,tab_MinKomp[[Stanowisko / Position ]:[Stanowisko / Position ]],0)))</f>
        <v>0</v>
      </c>
      <c r="FQ92" s="388" t="str">
        <f>IFERROR(IF(INDEX(tab_MinKomp[BRAK / Keine],MATCH($B91,tab_MinKomp[[Stanowisko / Position ]:[Stanowisko / Position ]],0))="n/a","n/a",INDEX(tab_MinKomp[BRAK / Keine],MATCH($B91,tab_MinKomp[[Stanowisko / Position ]:[Stanowisko / Position ]],0))-FQ91),"")</f>
        <v>n/a</v>
      </c>
      <c r="FR92" s="349" t="str">
        <f>IF(INDEX(tab_MinKomp[MINIMUM 1 ROK / min. 1 Jahr],MATCH($B91,tab_MinKomp[[Stanowisko / Position ]:[Stanowisko / Position ]],0))="n/a","n/a",INDEX(tab_MinKomp[MINIMUM 1 ROK / min. 1 Jahr],MATCH($B91,tab_MinKomp[[Stanowisko / Position ]:[Stanowisko / Position ]],0)))</f>
        <v>x</v>
      </c>
      <c r="FS92" s="349" t="str">
        <f>IF(INDEX(tab_MinKomp[MINIMUM 2 LATA / min. 2 Jahre],MATCH($B91,tab_MinKomp[[Stanowisko / Position ]:[Stanowisko / Position ]],0))="n/a","n/a",INDEX(tab_MinKomp[MINIMUM 2 LATA / min. 2 Jahre],MATCH($B91,tab_MinKomp[[Stanowisko / Position ]:[Stanowisko / Position ]],0)))</f>
        <v>n/a</v>
      </c>
      <c r="FT92" s="349" t="str">
        <f>IF(INDEX(tab_MinKomp[MINIMUM 3 LATA / min. 3 Jahre],MATCH($B91,tab_MinKomp[[Stanowisko / Position ]:[Stanowisko / Position ]],0))="n/a","n/a",INDEX(tab_MinKomp[MINIMUM 3 LATA / min. 3 Jahre],MATCH($B91,tab_MinKomp[[Stanowisko / Position ]:[Stanowisko / Position ]],0)))</f>
        <v>n/a</v>
      </c>
      <c r="FU92" s="349" t="str">
        <f>IF(INDEX(tab_MinKomp[MINIMUM 4 LATA / min. 4 Jahre],MATCH($B91,tab_MinKomp[[Stanowisko / Position ]:[Stanowisko / Position ]],0))="n/a","n/a",INDEX(tab_MinKomp[MINIMUM 4 LATA / min. 4 Jahre],MATCH($B91,tab_MinKomp[[Stanowisko / Position ]:[Stanowisko / Position ]],0)))</f>
        <v>n/a</v>
      </c>
      <c r="FV92" s="389" t="str">
        <f>IF(INDEX(tab_MinKomp[MINIMUM 5 LAT / min. 5 Jahre],MATCH($B91,tab_MinKomp[[Stanowisko / Position ]:[Stanowisko / Position ]],0))="n/a","n/a",INDEX(tab_MinKomp[MINIMUM 5 LAT / min. 5 Jahre],MATCH($B91,tab_MinKomp[[Stanowisko / Position ]:[Stanowisko / Position ]],0)))</f>
        <v>n/a</v>
      </c>
      <c r="FW92" s="388" t="str">
        <f>IF(INDEX(tab_MinKomp[BRAK / Keine9],MATCH($B91,tab_MinKomp[[Stanowisko / Position ]:[Stanowisko / Position ]],0))="n/a","n/a",INDEX(tab_MinKomp[BRAK / Keine9],MATCH($B91,tab_MinKomp[[Stanowisko / Position ]:[Stanowisko / Position ]],0)))</f>
        <v>n/a</v>
      </c>
      <c r="FX92" s="349" t="str">
        <f>IF(INDEX(tab_MinKomp[ZAWODOWE / Berufsausbildung],MATCH($B91,tab_MinKomp[[Stanowisko / Position ]:[Stanowisko / Position ]],0))="n/a","n/a",INDEX(tab_MinKomp[ZAWODOWE / Berufsausbildung],MATCH($B91,tab_MinKomp[[Stanowisko / Position ]:[Stanowisko / Position ]],0)))</f>
        <v>x</v>
      </c>
      <c r="FY92" s="349" t="str">
        <f>IF(INDEX(tab_MinKomp[ŚREDNIE OGÓLNE / Abitur allgemeine],MATCH($B91,tab_MinKomp[[Stanowisko / Position ]:[Stanowisko / Position ]],0))="n/a","n/a",INDEX(tab_MinKomp[ŚREDNIE OGÓLNE / Abitur allgemeine],MATCH($B91,tab_MinKomp[[Stanowisko / Position ]:[Stanowisko / Position ]],0)))</f>
        <v>n/a</v>
      </c>
      <c r="FZ92" s="349" t="str">
        <f>IF(INDEX(tab_MinKomp[ŚREDNIE KIERUNKOWE / berufliches Gymnasium],MATCH($B91,tab_MinKomp[[Stanowisko / Position ]:[Stanowisko / Position ]],0))="n/a","n/a",INDEX(tab_MinKomp[ŚREDNIE KIERUNKOWE / berufliches Gymnasium],MATCH($B91,tab_MinKomp[[Stanowisko / Position ]:[Stanowisko / Position ]],0)))</f>
        <v>n/a</v>
      </c>
      <c r="GA92" s="349" t="str">
        <f>IF(INDEX(tab_MinKomp[WYŻSZE OGÓLNE / Hochschule allgemeine],MATCH($B91,tab_MinKomp[[Stanowisko / Position ]:[Stanowisko / Position ]],0))="n/a","n/a",INDEX(tab_MinKomp[WYŻSZE OGÓLNE / Hochschule allgemeine],MATCH($B91,tab_MinKomp[[Stanowisko / Position ]:[Stanowisko / Position ]],0)))</f>
        <v>n/a</v>
      </c>
      <c r="GB92" s="389" t="str">
        <f>IF(INDEX(tab_MinKomp[WYŻSZE KIERUNKOWE / Hochschule berufliche],MATCH($B91,tab_MinKomp[[Stanowisko / Position ]:[Stanowisko / Position ]],0))="n/a","n/a",INDEX(tab_MinKomp[WYŻSZE KIERUNKOWE / Hochschule berufliche],MATCH($B91,tab_MinKomp[[Stanowisko / Position ]:[Stanowisko / Position ]],0)))</f>
        <v>n/a</v>
      </c>
      <c r="GC92" s="388" t="str">
        <f>IF(INDEX(tab_MinKomp[PIERWSZA POMOC / Erste Hilfe],MATCH($B91,tab_MinKomp[[Stanowisko / Position ]:[Stanowisko / Position ]],0))="n/a","n/a",INDEX(tab_MinKomp[PIERWSZA POMOC / Erste Hilfe],MATCH($B91,tab_MinKomp[[Stanowisko / Position ]:[Stanowisko / Position ]],0)))</f>
        <v>x</v>
      </c>
      <c r="GD92" s="349" t="str">
        <f>IF(INDEX(tab_MinKomp[Specjalista BHP / BHP Spezialist],MATCH($B91,tab_MinKomp[[Stanowisko / Position ]:[Stanowisko / Position ]],0))="n/a","n/a",INDEX(tab_MinKomp[Specjalista BHP / BHP Spezialist],MATCH($B91,tab_MinKomp[[Stanowisko / Position ]:[Stanowisko / Position ]],0)))</f>
        <v>n/a</v>
      </c>
      <c r="GE92" s="349" t="str">
        <f>IF(INDEX(tab_MinKomp[Inspektor ochrony PPOŻ / Brandschutzinspektor],MATCH($B91,tab_MinKomp[[Stanowisko / Position ]:[Stanowisko / Position ]],0))="n/a","n/a",INDEX(tab_MinKomp[Inspektor ochrony PPOŻ / Brandschutzinspektor],MATCH($B91,tab_MinKomp[[Stanowisko / Position ]:[Stanowisko / Position ]],0)))</f>
        <v>n/a</v>
      </c>
      <c r="GF92" s="349" t="str">
        <f>IF(INDEX(tab_MinKomp[WÓZKI JEZDNIOWE / Gebelstapler],MATCH($B91,tab_MinKomp[[Stanowisko / Position ]:[Stanowisko / Position ]],0))="n/a","n/a",INDEX(tab_MinKomp[WÓZKI JEZDNIOWE / Gebelstapler],MATCH($B91,tab_MinKomp[[Stanowisko / Position ]:[Stanowisko / Position ]],0)))</f>
        <v>x</v>
      </c>
      <c r="GG92" s="349" t="str">
        <f>IF(INDEX(tab_MinKomp[SEP],MATCH($B91,tab_MinKomp[[Stanowisko / Position ]:[Stanowisko / Position ]],0))="n/a","n/a",INDEX(tab_MinKomp[SEP],MATCH($B91,tab_MinKomp[[Stanowisko / Position ]:[Stanowisko / Position ]],0)))</f>
        <v>n/a</v>
      </c>
      <c r="GH92" s="349" t="str">
        <f>IF(INDEX(tab_MinKomp[SEP  DOZÓR / SEP Aufsicht],MATCH($B91,tab_MinKomp[[Stanowisko / Position ]:[Stanowisko / Position ]],0))="n/a","n/a",INDEX(tab_MinKomp[SEP  DOZÓR / SEP Aufsicht],MATCH($B91,tab_MinKomp[[Stanowisko / Position ]:[Stanowisko / Position ]],0)))</f>
        <v>n/a</v>
      </c>
      <c r="GI92" s="349" t="str">
        <f>IF(INDEX(tab_MinKomp[PODNOŚNIKI / Hebevorrichtung],MATCH($B91,tab_MinKomp[[Stanowisko / Position ]:[Stanowisko / Position ]],0))="n/a","n/a",INDEX(tab_MinKomp[PODNOŚNIKI / Hebevorrichtung],MATCH($B91,tab_MinKomp[[Stanowisko / Position ]:[Stanowisko / Position ]],0)))</f>
        <v>n/a</v>
      </c>
      <c r="GJ92" s="349" t="str">
        <f>IF(INDEX(tab_MinKomp[SUWNICE / Laufkran],MATCH($B91,tab_MinKomp[[Stanowisko / Position ]:[Stanowisko / Position ]],0))="n/a","n/a",INDEX(tab_MinKomp[SUWNICE / Laufkran],MATCH($B91,tab_MinKomp[[Stanowisko / Position ]:[Stanowisko / Position ]],0)))</f>
        <v>n/a</v>
      </c>
      <c r="GK92" s="389" t="str">
        <f>IF(INDEX(tab_MinKomp[WYSOKOŚCIOWE / Höhenberechtigungen],MATCH($B91,tab_MinKomp[[Stanowisko / Position ]:[Stanowisko / Position ]],0))="n/a","n/a",INDEX(tab_MinKomp[WYSOKOŚCIOWE / Höhenberechtigungen],MATCH($B91,tab_MinKomp[[Stanowisko / Position ]:[Stanowisko / Position ]],0)))</f>
        <v>n/a</v>
      </c>
      <c r="GL92" s="320">
        <f>SUM(G92:FP92)/(GL91-(SUM(G92:FP92)))</f>
        <v>0.1111111111111111</v>
      </c>
    </row>
    <row r="93" spans="1:195" ht="28.35" customHeight="1" x14ac:dyDescent="0.25">
      <c r="A93" s="138" t="s">
        <v>559</v>
      </c>
      <c r="B93" s="138" t="s">
        <v>674</v>
      </c>
      <c r="C93" s="138" t="s">
        <v>226</v>
      </c>
      <c r="D93" s="138">
        <v>489</v>
      </c>
      <c r="E93" s="565" t="s">
        <v>233</v>
      </c>
      <c r="F93" s="452" t="s">
        <v>165</v>
      </c>
      <c r="G93" s="308">
        <v>2</v>
      </c>
      <c r="H93" s="308">
        <v>2</v>
      </c>
      <c r="I93" s="308">
        <v>2</v>
      </c>
      <c r="J93" s="308">
        <v>2</v>
      </c>
      <c r="K93" s="308">
        <v>2</v>
      </c>
      <c r="L93" s="308">
        <v>1</v>
      </c>
      <c r="M93" s="308" t="s">
        <v>176</v>
      </c>
      <c r="N93" s="308" t="s">
        <v>176</v>
      </c>
      <c r="O93" s="308">
        <v>1</v>
      </c>
      <c r="P93" s="308">
        <v>1</v>
      </c>
      <c r="Q93" s="308" t="s">
        <v>176</v>
      </c>
      <c r="R93" s="308" t="s">
        <v>176</v>
      </c>
      <c r="S93" s="308" t="s">
        <v>176</v>
      </c>
      <c r="T93" s="308" t="s">
        <v>176</v>
      </c>
      <c r="U93" s="308" t="s">
        <v>176</v>
      </c>
      <c r="V93" s="308" t="s">
        <v>176</v>
      </c>
      <c r="W93" s="308" t="s">
        <v>176</v>
      </c>
      <c r="X93" s="308" t="s">
        <v>176</v>
      </c>
      <c r="Y93" s="308" t="s">
        <v>176</v>
      </c>
      <c r="Z93" s="308" t="s">
        <v>176</v>
      </c>
      <c r="AA93" s="308" t="s">
        <v>176</v>
      </c>
      <c r="AB93" s="308" t="s">
        <v>176</v>
      </c>
      <c r="AC93" s="308">
        <v>1</v>
      </c>
      <c r="AD93" s="308">
        <v>1</v>
      </c>
      <c r="AE93" s="308" t="s">
        <v>176</v>
      </c>
      <c r="AF93" s="308" t="s">
        <v>176</v>
      </c>
      <c r="AG93" s="308" t="s">
        <v>176</v>
      </c>
      <c r="AH93" s="308" t="s">
        <v>176</v>
      </c>
      <c r="AI93" s="308" t="s">
        <v>176</v>
      </c>
      <c r="AJ93" s="308" t="s">
        <v>176</v>
      </c>
      <c r="AK93" s="308" t="s">
        <v>176</v>
      </c>
      <c r="AL93" s="308">
        <v>1</v>
      </c>
      <c r="AM93" s="308">
        <v>1</v>
      </c>
      <c r="AN93" s="308" t="s">
        <v>176</v>
      </c>
      <c r="AO93" s="308">
        <v>1</v>
      </c>
      <c r="AP93" s="308">
        <v>1</v>
      </c>
      <c r="AQ93" s="308">
        <v>1</v>
      </c>
      <c r="AR93" s="308">
        <v>1</v>
      </c>
      <c r="AS93" s="308">
        <v>1</v>
      </c>
      <c r="AT93" s="308">
        <v>1</v>
      </c>
      <c r="AU93" s="308">
        <v>1</v>
      </c>
      <c r="AV93" s="308">
        <v>1</v>
      </c>
      <c r="AW93" s="308">
        <v>1</v>
      </c>
      <c r="AX93" s="308">
        <v>1</v>
      </c>
      <c r="AY93" s="308" t="s">
        <v>176</v>
      </c>
      <c r="AZ93" s="308">
        <v>1</v>
      </c>
      <c r="BA93" s="308" t="s">
        <v>176</v>
      </c>
      <c r="BB93" s="308" t="s">
        <v>176</v>
      </c>
      <c r="BC93" s="308" t="s">
        <v>176</v>
      </c>
      <c r="BD93" s="308" t="s">
        <v>176</v>
      </c>
      <c r="BE93" s="308" t="s">
        <v>176</v>
      </c>
      <c r="BF93" s="308" t="s">
        <v>176</v>
      </c>
      <c r="BG93" s="308" t="s">
        <v>176</v>
      </c>
      <c r="BH93" s="308" t="s">
        <v>176</v>
      </c>
      <c r="BI93" s="308" t="s">
        <v>176</v>
      </c>
      <c r="BJ93" s="308" t="s">
        <v>176</v>
      </c>
      <c r="BK93" s="308" t="s">
        <v>176</v>
      </c>
      <c r="BL93" s="308" t="s">
        <v>176</v>
      </c>
      <c r="BM93" s="308">
        <v>1</v>
      </c>
      <c r="BN93" s="308">
        <v>1</v>
      </c>
      <c r="BO93" s="308">
        <v>2</v>
      </c>
      <c r="BP93" s="308">
        <v>2</v>
      </c>
      <c r="BQ93" s="308">
        <v>2</v>
      </c>
      <c r="BR93" s="308">
        <v>2</v>
      </c>
      <c r="BS93" s="308">
        <v>2</v>
      </c>
      <c r="BT93" s="308">
        <v>2</v>
      </c>
      <c r="BU93" s="308">
        <v>2</v>
      </c>
      <c r="BV93" s="308">
        <v>2</v>
      </c>
      <c r="BW93" s="308">
        <v>1</v>
      </c>
      <c r="BX93" s="308" t="s">
        <v>176</v>
      </c>
      <c r="BY93" s="308">
        <v>1</v>
      </c>
      <c r="BZ93" s="308" t="s">
        <v>176</v>
      </c>
      <c r="CA93" s="308" t="s">
        <v>176</v>
      </c>
      <c r="CB93" s="308" t="s">
        <v>176</v>
      </c>
      <c r="CC93" s="308" t="s">
        <v>176</v>
      </c>
      <c r="CD93" s="308" t="s">
        <v>176</v>
      </c>
      <c r="CE93" s="308" t="s">
        <v>176</v>
      </c>
      <c r="CF93" s="308" t="s">
        <v>176</v>
      </c>
      <c r="CG93" s="308" t="s">
        <v>176</v>
      </c>
      <c r="CH93" s="308" t="s">
        <v>176</v>
      </c>
      <c r="CI93" s="308">
        <v>1</v>
      </c>
      <c r="CJ93" s="308" t="s">
        <v>176</v>
      </c>
      <c r="CK93" s="308" t="s">
        <v>176</v>
      </c>
      <c r="CL93" s="308" t="s">
        <v>176</v>
      </c>
      <c r="CM93" s="308">
        <v>1</v>
      </c>
      <c r="CN93" s="308">
        <v>1</v>
      </c>
      <c r="CO93" s="308">
        <v>1</v>
      </c>
      <c r="CP93" s="308">
        <v>1</v>
      </c>
      <c r="CQ93" s="308" t="s">
        <v>176</v>
      </c>
      <c r="CR93" s="308" t="s">
        <v>176</v>
      </c>
      <c r="CS93" s="308" t="s">
        <v>176</v>
      </c>
      <c r="CT93" s="308" t="s">
        <v>176</v>
      </c>
      <c r="CU93" s="308">
        <v>2</v>
      </c>
      <c r="CV93" s="308">
        <v>1</v>
      </c>
      <c r="CW93" s="308" t="s">
        <v>176</v>
      </c>
      <c r="CX93" s="308" t="s">
        <v>176</v>
      </c>
      <c r="CY93" s="308" t="s">
        <v>176</v>
      </c>
      <c r="CZ93" s="308" t="s">
        <v>176</v>
      </c>
      <c r="DA93" s="308" t="s">
        <v>176</v>
      </c>
      <c r="DB93" s="308" t="s">
        <v>176</v>
      </c>
      <c r="DC93" s="308" t="s">
        <v>176</v>
      </c>
      <c r="DD93" s="308" t="s">
        <v>176</v>
      </c>
      <c r="DE93" s="308" t="s">
        <v>176</v>
      </c>
      <c r="DF93" s="308" t="s">
        <v>176</v>
      </c>
      <c r="DG93" s="308" t="s">
        <v>176</v>
      </c>
      <c r="DH93" s="308" t="s">
        <v>176</v>
      </c>
      <c r="DI93" s="308" t="s">
        <v>176</v>
      </c>
      <c r="DJ93" s="308" t="s">
        <v>176</v>
      </c>
      <c r="DK93" s="308" t="s">
        <v>176</v>
      </c>
      <c r="DL93" s="308" t="s">
        <v>176</v>
      </c>
      <c r="DM93" s="308" t="s">
        <v>176</v>
      </c>
      <c r="DN93" s="308" t="s">
        <v>176</v>
      </c>
      <c r="DO93" s="308" t="s">
        <v>176</v>
      </c>
      <c r="DP93" s="308" t="s">
        <v>176</v>
      </c>
      <c r="DQ93" s="308" t="s">
        <v>176</v>
      </c>
      <c r="DR93" s="308" t="s">
        <v>176</v>
      </c>
      <c r="DS93" s="308" t="s">
        <v>176</v>
      </c>
      <c r="DT93" s="308" t="s">
        <v>176</v>
      </c>
      <c r="DU93" s="308">
        <v>2</v>
      </c>
      <c r="DV93" s="308">
        <v>1</v>
      </c>
      <c r="DW93" s="308">
        <v>1</v>
      </c>
      <c r="DX93" s="308">
        <v>1</v>
      </c>
      <c r="DY93" s="308" t="s">
        <v>176</v>
      </c>
      <c r="DZ93" s="308" t="s">
        <v>176</v>
      </c>
      <c r="EA93" s="308" t="s">
        <v>176</v>
      </c>
      <c r="EB93" s="308" t="s">
        <v>176</v>
      </c>
      <c r="EC93" s="308" t="s">
        <v>176</v>
      </c>
      <c r="ED93" s="308" t="s">
        <v>176</v>
      </c>
      <c r="EE93" s="308" t="s">
        <v>176</v>
      </c>
      <c r="EF93" s="308">
        <v>2</v>
      </c>
      <c r="EG93" s="308">
        <v>1</v>
      </c>
      <c r="EH93" s="308">
        <v>1</v>
      </c>
      <c r="EI93" s="308">
        <v>1</v>
      </c>
      <c r="EJ93" s="308">
        <v>1</v>
      </c>
      <c r="EK93" s="308">
        <v>1</v>
      </c>
      <c r="EL93" s="308">
        <v>1</v>
      </c>
      <c r="EM93" s="308">
        <v>1</v>
      </c>
      <c r="EN93" s="308">
        <v>2</v>
      </c>
      <c r="EO93" s="308">
        <v>2</v>
      </c>
      <c r="EP93" s="308">
        <v>2</v>
      </c>
      <c r="EQ93" s="308">
        <v>2</v>
      </c>
      <c r="ER93" s="308" t="s">
        <v>176</v>
      </c>
      <c r="ES93" s="308" t="s">
        <v>176</v>
      </c>
      <c r="ET93" s="308" t="s">
        <v>176</v>
      </c>
      <c r="EU93" s="308" t="s">
        <v>176</v>
      </c>
      <c r="EV93" s="308" t="s">
        <v>176</v>
      </c>
      <c r="EW93" s="308" t="s">
        <v>176</v>
      </c>
      <c r="EX93" s="308" t="s">
        <v>176</v>
      </c>
      <c r="EY93" s="308">
        <v>2</v>
      </c>
      <c r="EZ93" s="308">
        <v>2</v>
      </c>
      <c r="FA93" s="308">
        <v>2</v>
      </c>
      <c r="FB93" s="308" t="s">
        <v>176</v>
      </c>
      <c r="FC93" s="308" t="s">
        <v>176</v>
      </c>
      <c r="FD93" s="308">
        <v>2</v>
      </c>
      <c r="FE93" s="308">
        <v>2</v>
      </c>
      <c r="FF93" s="308">
        <v>2</v>
      </c>
      <c r="FG93" s="308">
        <v>2</v>
      </c>
      <c r="FH93" s="308">
        <v>2</v>
      </c>
      <c r="FI93" s="308">
        <v>2</v>
      </c>
      <c r="FJ93" s="308">
        <v>2</v>
      </c>
      <c r="FK93" s="308">
        <v>2</v>
      </c>
      <c r="FL93" s="308" t="s">
        <v>176</v>
      </c>
      <c r="FM93" s="308">
        <v>2</v>
      </c>
      <c r="FN93" s="308">
        <v>2</v>
      </c>
      <c r="FO93" s="308">
        <v>2</v>
      </c>
      <c r="FP93" s="308">
        <v>2</v>
      </c>
      <c r="FQ93" s="308" t="s">
        <v>176</v>
      </c>
      <c r="FR93" s="308"/>
      <c r="FS93" s="308" t="s">
        <v>176</v>
      </c>
      <c r="FT93" s="308" t="s">
        <v>176</v>
      </c>
      <c r="FU93" s="308" t="s">
        <v>176</v>
      </c>
      <c r="FV93" s="308" t="s">
        <v>176</v>
      </c>
      <c r="FW93" s="308" t="s">
        <v>176</v>
      </c>
      <c r="FX93" s="308" t="s">
        <v>176</v>
      </c>
      <c r="FY93" s="308" t="s">
        <v>176</v>
      </c>
      <c r="FZ93" s="308" t="s">
        <v>176</v>
      </c>
      <c r="GA93" s="308" t="s">
        <v>176</v>
      </c>
      <c r="GB93" s="308"/>
      <c r="GC93" s="308"/>
      <c r="GD93" s="308" t="s">
        <v>176</v>
      </c>
      <c r="GE93" s="308" t="s">
        <v>176</v>
      </c>
      <c r="GF93" s="308" t="s">
        <v>176</v>
      </c>
      <c r="GG93" s="308" t="s">
        <v>176</v>
      </c>
      <c r="GH93" s="308" t="s">
        <v>176</v>
      </c>
      <c r="GI93" s="308" t="s">
        <v>176</v>
      </c>
      <c r="GJ93" s="308" t="s">
        <v>176</v>
      </c>
      <c r="GK93" s="308" t="s">
        <v>176</v>
      </c>
      <c r="GL93" s="311">
        <f>SUM(G93:FP93)</f>
        <v>108</v>
      </c>
    </row>
    <row r="94" spans="1:195" ht="28.35" customHeight="1" thickBot="1" x14ac:dyDescent="0.3">
      <c r="A94" s="138" t="s">
        <v>559</v>
      </c>
      <c r="B94" s="138" t="s">
        <v>674</v>
      </c>
      <c r="C94" s="138" t="s">
        <v>226</v>
      </c>
      <c r="D94" s="138">
        <v>489</v>
      </c>
      <c r="E94" s="566" t="str">
        <f>E93</f>
        <v>Szpak Bartosz</v>
      </c>
      <c r="F94" s="442" t="s">
        <v>166</v>
      </c>
      <c r="G94" s="443">
        <f>IF(INDEX(tab_MinKomp[Przepisy BHP / BHP Vorschriften],MATCH($B93,tab_MinKomp[[Stanowisko / Position ]:[Stanowisko / Position ]],0))="n/a","n/a",G93-INDEX(tab_MinKomp[Przepisy BHP / BHP Vorschriften],MATCH($B93,tab_MinKomp[[Stanowisko / Position ]:[Stanowisko / Position ]],0)))</f>
        <v>0</v>
      </c>
      <c r="H94" s="443">
        <f>IF(INDEX(tab_MinKomp[Przepisy PPOŻ / Brandschutzbestimmungen],MATCH($B93,tab_MinKomp[[Stanowisko / Position ]:[Stanowisko / Position ]],0))="n/a","n/a",H93-INDEX(tab_MinKomp[Przepisy PPOŻ / Brandschutzbestimmungen],MATCH($B93,tab_MinKomp[[Stanowisko / Position ]:[Stanowisko / Position ]],0)))</f>
        <v>0</v>
      </c>
      <c r="I94" s="443">
        <f>IF(INDEX(tab_MinKomp[Ryzyko zawodowe na stanowiskach pracyv/ Berufliche Risiken an Arbeitsstellen],MATCH($B93,tab_MinKomp[[Stanowisko / Position ]:[Stanowisko / Position ]],0))="n/a","n/a",I93-INDEX(tab_MinKomp[Ryzyko zawodowe na stanowiskach pracyv/ Berufliche Risiken an Arbeitsstellen],MATCH($B93,tab_MinKomp[[Stanowisko / Position ]:[Stanowisko / Position ]],0)))</f>
        <v>0</v>
      </c>
      <c r="J94" s="443">
        <f>IF(INDEX(tab_MinKomp[Gospodarka substancjami niebezpiecznymi / Gefahrstoffmanagement],MATCH($B93,tab_MinKomp[[Stanowisko / Position ]:[Stanowisko / Position ]],0))="n/a","n/a",J93-INDEX(tab_MinKomp[Gospodarka substancjami niebezpiecznymi / Gefahrstoffmanagement],MATCH($B93,tab_MinKomp[[Stanowisko / Position ]:[Stanowisko / Position ]],0)))</f>
        <v>0</v>
      </c>
      <c r="K94" s="443">
        <f>IF(INDEX(tab_MinKomp[Gospodarka odpadami / Abfallwirtschaft],MATCH($B93,tab_MinKomp[[Stanowisko / Position ]:[Stanowisko / Position ]],0))="n/a","n/a",K93-INDEX(tab_MinKomp[Gospodarka odpadami / Abfallwirtschaft],MATCH($B93,tab_MinKomp[[Stanowisko / Position ]:[Stanowisko / Position ]],0)))</f>
        <v>0</v>
      </c>
      <c r="L94" s="443">
        <f>IF(INDEX(tab_MinKomp[Przepisy kodeksu pracy / Bestimmungen des Arbeitsgesetzes],MATCH($B93,tab_MinKomp[[Stanowisko / Position ]:[Stanowisko / Position ]],0))="n/a","n/a",L93-INDEX(tab_MinKomp[Przepisy kodeksu pracy / Bestimmungen des Arbeitsgesetzes],MATCH($B93,tab_MinKomp[[Stanowisko / Position ]:[Stanowisko / Position ]],0)))</f>
        <v>0</v>
      </c>
      <c r="M94" s="443" t="str">
        <f>IF(INDEX(tab_MinKomp[Przepisy o ub.społ. ZUS  / Sozialversicherungsvorschriften],MATCH($B93,tab_MinKomp[[Stanowisko / Position ]:[Stanowisko / Position ]],0))="n/a","n/a",M93-INDEX(tab_MinKomp[Przepisy o ub.społ. ZUS  / Sozialversicherungsvorschriften],MATCH($B93,tab_MinKomp[[Stanowisko / Position ]:[Stanowisko / Position ]],0)))</f>
        <v>n/a</v>
      </c>
      <c r="N94" s="443" t="str">
        <f>IF(INDEX(tab_MinKomp[PRZEPISY O PDOF /persönlich Einkommensteuergesetz ],MATCH($B93,tab_MinKomp[[Stanowisko / Position ]:[Stanowisko / Position ]],0))="n/a","n/a",N93-INDEX(tab_MinKomp[PRZEPISY O PDOF /persönlich Einkommensteuergesetz ],MATCH($B93,tab_MinKomp[[Stanowisko / Position ]:[Stanowisko / Position ]],0)))</f>
        <v>n/a</v>
      </c>
      <c r="O94" s="443">
        <f>IF(INDEX(tab_MinKomp[Regulamin pracy / Arbeitsordnung],MATCH($B93,tab_MinKomp[[Stanowisko / Position ]:[Stanowisko / Position ]],0))="n/a","n/a",O93-INDEX(tab_MinKomp[Regulamin pracy / Arbeitsordnung],MATCH($B93,tab_MinKomp[[Stanowisko / Position ]:[Stanowisko / Position ]],0)))</f>
        <v>0</v>
      </c>
      <c r="P94" s="443">
        <f>IF(INDEX(tab_MinKomp[Regulamin wynagradzania / Vergütungsordnung],MATCH($B93,tab_MinKomp[[Stanowisko / Position ]:[Stanowisko / Position ]],0))="n/a","n/a",P93-INDEX(tab_MinKomp[Regulamin wynagradzania / Vergütungsordnung],MATCH($B93,tab_MinKomp[[Stanowisko / Position ]:[Stanowisko / Position ]],0)))</f>
        <v>0</v>
      </c>
      <c r="Q94" s="443" t="str">
        <f>IF(INDEX(tab_MinKomp[System R2PŁATNIK PRO: Płace / Lohnabrechnung],MATCH($B93,tab_MinKomp[[Stanowisko / Position ]:[Stanowisko / Position ]],0))="n/a","n/a",Q93-INDEX(tab_MinKomp[System R2PŁATNIK PRO: Płace / Lohnabrechnung],MATCH($B93,tab_MinKomp[[Stanowisko / Position ]:[Stanowisko / Position ]],0)))</f>
        <v>n/a</v>
      </c>
      <c r="R94" s="443" t="str">
        <f>IF(INDEX(tab_MinKomp[SystemR2PŁATNIK PRO: KADRY / Personaldaten],MATCH($B93,tab_MinKomp[[Stanowisko / Position ]:[Stanowisko / Position ]],0))="n/a","n/a",R93-INDEX(tab_MinKomp[SystemR2PŁATNIK PRO: KADRY / Personaldaten],MATCH($B93,tab_MinKomp[[Stanowisko / Position ]:[Stanowisko / Position ]],0)))</f>
        <v>n/a</v>
      </c>
      <c r="S94" s="443" t="str">
        <f>IF(INDEX(tab_MinKomp[SYSTEM R2PŁATNIK PRO: zarządzanie pracownikami / Arbeitsverwaltung],MATCH($B93,tab_MinKomp[[Stanowisko / Position ]:[Stanowisko / Position ]],0))="n/a","n/a",S93-INDEX(tab_MinKomp[SYSTEM R2PŁATNIK PRO: zarządzanie pracownikami / Arbeitsverwaltung],MATCH($B93,tab_MinKomp[[Stanowisko / Position ]:[Stanowisko / Position ]],0)))</f>
        <v>n/a</v>
      </c>
      <c r="T94" s="443" t="str">
        <f>IF(INDEX(tab_MinKomp[Doradztwo, wsparcie personalne / Personalberatung und Unterstützung],MATCH($B93,tab_MinKomp[[Stanowisko / Position ]:[Stanowisko / Position ]],0))="n/a","n/a",T93-INDEX(tab_MinKomp[Doradztwo, wsparcie personalne / Personalberatung und Unterstützung],MATCH($B93,tab_MinKomp[[Stanowisko / Position ]:[Stanowisko / Position ]],0)))</f>
        <v>n/a</v>
      </c>
      <c r="U94" s="443" t="str">
        <f>IF(INDEX(tab_MinKomp[Przepisy o podatku VAT / MwSt.- Gesetz],MATCH($B93,tab_MinKomp[[Stanowisko / Position ]:[Stanowisko / Position ]],0))="n/a","n/a",U93-INDEX(tab_MinKomp[Przepisy o podatku VAT / MwSt.- Gesetz],MATCH($B93,tab_MinKomp[[Stanowisko / Position ]:[Stanowisko / Position ]],0)))</f>
        <v>n/a</v>
      </c>
      <c r="V94" s="443" t="str">
        <f>IF(INDEX(tab_MinKomp[PrzepisyPDOP / geschäftlich Einkommensteuergesetz],MATCH($B93,tab_MinKomp[[Stanowisko / Position ]:[Stanowisko / Position ]],0))="n/a","n/a",V93-INDEX(tab_MinKomp[PrzepisyPDOP / geschäftlich Einkommensteuergesetz],MATCH($B93,tab_MinKomp[[Stanowisko / Position ]:[Stanowisko / Position ]],0)))</f>
        <v>n/a</v>
      </c>
      <c r="W94" s="443" t="str">
        <f>IF(INDEX(tab_MinKomp[System BAAN / FINANSE (FIBU)],MATCH($B93,tab_MinKomp[[Stanowisko / Position ]:[Stanowisko / Position ]],0))="n/a","n/a",W93-INDEX(tab_MinKomp[System BAAN / FINANSE (FIBU)],MATCH($B93,tab_MinKomp[[Stanowisko / Position ]:[Stanowisko / Position ]],0)))</f>
        <v>n/a</v>
      </c>
      <c r="X94" s="443" t="str">
        <f>IF(INDEX(tab_MinKomp[Systemy pomocnicze / Hilfssysteme(STOCKPROGRAM, KALK2000 etc.)],MATCH($B93,tab_MinKomp[[Stanowisko / Position ]:[Stanowisko / Position ]],0))="n/a","n/a",X93-INDEX(tab_MinKomp[Systemy pomocnicze / Hilfssysteme(STOCKPROGRAM, KALK2000 etc.)],MATCH($B93,tab_MinKomp[[Stanowisko / Position ]:[Stanowisko / Position ]],0)))</f>
        <v>n/a</v>
      </c>
      <c r="Y94" s="443" t="str">
        <f>IF(INDEX(tab_MinKomp[Polityka rachunkowości / Buchführungspolitik],MATCH($B93,tab_MinKomp[[Stanowisko / Position ]:[Stanowisko / Position ]],0))="n/a","n/a",Y93-INDEX(tab_MinKomp[Polityka rachunkowości / Buchführungspolitik],MATCH($B93,tab_MinKomp[[Stanowisko / Position ]:[Stanowisko / Position ]],0)))</f>
        <v>n/a</v>
      </c>
      <c r="Z94" s="443" t="str">
        <f>IF(INDEX(tab_MinKomp[Ustawa o rachunkowości / Rechnungslegungsgesetz],MATCH($B93,tab_MinKomp[[Stanowisko / Position ]:[Stanowisko / Position ]],0))="n/a","n/a",Z93-INDEX(tab_MinKomp[Ustawa o rachunkowości / Rechnungslegungsgesetz],MATCH($B93,tab_MinKomp[[Stanowisko / Position ]:[Stanowisko / Position ]],0)))</f>
        <v>n/a</v>
      </c>
      <c r="AA94" s="443" t="str">
        <f>IF(INDEX(tab_MinKomp[WORKFLOW - TS-100],MATCH($B93,tab_MinKomp[[Stanowisko / Position ]:[Stanowisko / Position ]],0))="n/a","n/a",AA93-INDEX(tab_MinKomp[WORKFLOW - TS-100],MATCH($B93,tab_MinKomp[[Stanowisko / Position ]:[Stanowisko / Position ]],0)))</f>
        <v>n/a</v>
      </c>
      <c r="AB94" s="443" t="str">
        <f>IF(INDEX(tab_MinKomp[WORKFLOW - SFMS],MATCH($B93,tab_MinKomp[[Stanowisko / Position ]:[Stanowisko / Position ]],0))="n/a","n/a",AB93-INDEX(tab_MinKomp[WORKFLOW - SFMS],MATCH($B93,tab_MinKomp[[Stanowisko / Position ]:[Stanowisko / Position ]],0)))</f>
        <v>n/a</v>
      </c>
      <c r="AC94" s="443">
        <f>IF(INDEX(tab_MinKomp[System ISO 9001:2015],MATCH($B93,tab_MinKomp[[Stanowisko / Position ]:[Stanowisko / Position ]],0))="n/a","n/a",AC93-INDEX(tab_MinKomp[System ISO 9001:2015],MATCH($B93,tab_MinKomp[[Stanowisko / Position ]:[Stanowisko / Position ]],0)))</f>
        <v>0</v>
      </c>
      <c r="AD94" s="443">
        <f>IF(INDEX(tab_MinKomp[System IATF 16949:2016],MATCH($B93,tab_MinKomp[[Stanowisko / Position ]:[Stanowisko / Position ]],0))="n/a","n/a",AD93-INDEX(tab_MinKomp[System IATF 16949:2016],MATCH($B93,tab_MinKomp[[Stanowisko / Position ]:[Stanowisko / Position ]],0)))</f>
        <v>0</v>
      </c>
      <c r="AE94" s="443" t="str">
        <f>IF(INDEX(tab_MinKomp[System ISO 14001:2015],MATCH($B93,tab_MinKomp[[Stanowisko / Position ]:[Stanowisko / Position ]],0))="n/a","n/a",AE93-INDEX(tab_MinKomp[System ISO 14001:2015],MATCH($B93,tab_MinKomp[[Stanowisko / Position ]:[Stanowisko / Position ]],0)))</f>
        <v>n/a</v>
      </c>
      <c r="AF94" s="443" t="str">
        <f>IF(INDEX(tab_MinKomp[System PN-N 18001:2004 / ISO 45001:2018],MATCH($B93,tab_MinKomp[[Stanowisko / Position ]:[Stanowisko / Position ]],0))="n/a","n/a",AF93-INDEX(tab_MinKomp[System PN-N 18001:2004 / ISO 45001:2018],MATCH($B93,tab_MinKomp[[Stanowisko / Position ]:[Stanowisko / Position ]],0)))</f>
        <v>n/a</v>
      </c>
      <c r="AG94" s="443" t="str">
        <f>IF(INDEX(tab_MinKomp[Wymagania VDA 6.3 Process / Forderungen],MATCH($B93,tab_MinKomp[[Stanowisko / Position ]:[Stanowisko / Position ]],0))="n/a","n/a",AG93-INDEX(tab_MinKomp[Wymagania VDA 6.3 Process / Forderungen],MATCH($B93,tab_MinKomp[[Stanowisko / Position ]:[Stanowisko / Position ]],0)))</f>
        <v>n/a</v>
      </c>
      <c r="AH94" s="443" t="str">
        <f>IF(INDEX(tab_MinKomp[Wymagania VDA 6.5 Product / Forderungen],MATCH($B93,tab_MinKomp[[Stanowisko / Position ]:[Stanowisko / Position ]],0))="n/a","n/a",AH93-INDEX(tab_MinKomp[Wymagania VDA 6.5 Product / Forderungen],MATCH($B93,tab_MinKomp[[Stanowisko / Position ]:[Stanowisko / Position ]],0)))</f>
        <v>n/a</v>
      </c>
      <c r="AI94" s="443" t="str">
        <f>IF(INDEX(tab_MinKomp[PSCR (VW Product Safety &amp; Conformity Representative)],MATCH($B93,tab_MinKomp[[Stanowisko / Position ]:[Stanowisko / Position ]],0))="n/a","n/a",AI93-INDEX(tab_MinKomp[PSCR (VW Product Safety &amp; Conformity Representative)],MATCH($B93,tab_MinKomp[[Stanowisko / Position ]:[Stanowisko / Position ]],0)))</f>
        <v>n/a</v>
      </c>
      <c r="AJ94" s="443" t="str">
        <f>IF(INDEX(tab_MinKomp[Auditor systemu ISO 17025:2018],MATCH($B93,tab_MinKomp[[Stanowisko / Position ]:[Stanowisko / Position ]],0))="n/a","n/a",AJ93-INDEX(tab_MinKomp[Auditor systemu ISO 17025:2018],MATCH($B93,tab_MinKomp[[Stanowisko / Position ]:[Stanowisko / Position ]],0)))</f>
        <v>n/a</v>
      </c>
      <c r="AK94" s="443" t="str">
        <f>IF(INDEX(tab_MinKomp[Pełnomocnik systemu / Systemvertreter],MATCH($B93,tab_MinKomp[[Stanowisko / Position ]:[Stanowisko / Position ]],0))="n/a","n/a",AK93-INDEX(tab_MinKomp[Pełnomocnik systemu / Systemvertreter],MATCH($B93,tab_MinKomp[[Stanowisko / Position ]:[Stanowisko / Position ]],0)))</f>
        <v>n/a</v>
      </c>
      <c r="AL94" s="443">
        <f>IF(INDEX(tab_MinKomp[Polityka Etyczna - Compliance],MATCH($B93,tab_MinKomp[[Stanowisko / Position ]:[Stanowisko / Position ]],0))="n/a","n/a",AL93-INDEX(tab_MinKomp[Polityka Etyczna - Compliance],MATCH($B93,tab_MinKomp[[Stanowisko / Position ]:[Stanowisko / Position ]],0)))</f>
        <v>0</v>
      </c>
      <c r="AM94" s="443">
        <f>IF(INDEX(tab_MinKomp[WDRAŻANIE NOWYCH PROJEKTÓW/ PROCEDURA CTM],MATCH($B93,tab_MinKomp[[Stanowisko / Position ]:[Stanowisko / Position ]],0))="n/a","n/a",AM93-INDEX(tab_MinKomp[WDRAŻANIE NOWYCH PROJEKTÓW/ PROCEDURA CTM],MATCH($B93,tab_MinKomp[[Stanowisko / Position ]:[Stanowisko / Position ]],0)))</f>
        <v>0</v>
      </c>
      <c r="AN94" s="443" t="str">
        <f>IF(INDEX(tab_MinKomp[KAMIENIE MILOWE MSL/PIFF],MATCH($B93,tab_MinKomp[[Stanowisko / Position ]:[Stanowisko / Position ]],0))="n/a","n/a",AN93-INDEX(tab_MinKomp[KAMIENIE MILOWE MSL/PIFF],MATCH($B93,tab_MinKomp[[Stanowisko / Position ]:[Stanowisko / Position ]],0)))</f>
        <v>n/a</v>
      </c>
      <c r="AO94" s="443">
        <f>IF(INDEX(tab_MinKomp[CP],MATCH($B93,tab_MinKomp[[Stanowisko / Position ]:[Stanowisko / Position ]],0))="n/a","n/a",AO93-INDEX(tab_MinKomp[CP],MATCH($B93,tab_MinKomp[[Stanowisko / Position ]:[Stanowisko / Position ]],0)))</f>
        <v>0</v>
      </c>
      <c r="AP94" s="443">
        <f>IF(INDEX(tab_MinKomp[FMEA],MATCH($B93,tab_MinKomp[[Stanowisko / Position ]:[Stanowisko / Position ]],0))="n/a","n/a",AP93-INDEX(tab_MinKomp[FMEA],MATCH($B93,tab_MinKomp[[Stanowisko / Position ]:[Stanowisko / Position ]],0)))</f>
        <v>0</v>
      </c>
      <c r="AQ94" s="443">
        <f>IF(INDEX(tab_MinKomp[FLOW CHART],MATCH($B93,tab_MinKomp[[Stanowisko / Position ]:[Stanowisko / Position ]],0))="n/a","n/a",AQ93-INDEX(tab_MinKomp[FLOW CHART],MATCH($B93,tab_MinKomp[[Stanowisko / Position ]:[Stanowisko / Position ]],0)))</f>
        <v>-1</v>
      </c>
      <c r="AR94" s="443">
        <f>IF(INDEX(tab_MinKomp[APQP],MATCH($B93,tab_MinKomp[[Stanowisko / Position ]:[Stanowisko / Position ]],0))="n/a","n/a",AR93-INDEX(tab_MinKomp[APQP],MATCH($B93,tab_MinKomp[[Stanowisko / Position ]:[Stanowisko / Position ]],0)))</f>
        <v>0</v>
      </c>
      <c r="AS94" s="443">
        <f>IF(INDEX(tab_MinKomp[MSA],MATCH($B93,tab_MinKomp[[Stanowisko / Position ]:[Stanowisko / Position ]],0))="n/a","n/a",AS93-INDEX(tab_MinKomp[MSA],MATCH($B93,tab_MinKomp[[Stanowisko / Position ]:[Stanowisko / Position ]],0)))</f>
        <v>0</v>
      </c>
      <c r="AT94" s="443">
        <f>IF(INDEX(tab_MinKomp[SPC],MATCH($B93,tab_MinKomp[[Stanowisko / Position ]:[Stanowisko / Position ]],0))="n/a","n/a",AT93-INDEX(tab_MinKomp[SPC],MATCH($B93,tab_MinKomp[[Stanowisko / Position ]:[Stanowisko / Position ]],0)))</f>
        <v>0</v>
      </c>
      <c r="AU94" s="443">
        <f>IF(INDEX(tab_MinKomp[CSR (SPECYFICZNE WYMAGANIA KLIENTA)],MATCH($B93,tab_MinKomp[[Stanowisko / Position ]:[Stanowisko / Position ]],0))="n/a","n/a",AU93-INDEX(tab_MinKomp[CSR (SPECYFICZNE WYMAGANIA KLIENTA)],MATCH($B93,tab_MinKomp[[Stanowisko / Position ]:[Stanowisko / Position ]],0)))</f>
        <v>0</v>
      </c>
      <c r="AV94" s="443">
        <f>IF(INDEX(tab_MinKomp[5S],MATCH($B93,tab_MinKomp[[Stanowisko / Position ]:[Stanowisko / Position ]],0))="n/a","n/a",AV93-INDEX(tab_MinKomp[5S],MATCH($B93,tab_MinKomp[[Stanowisko / Position ]:[Stanowisko / Position ]],0)))</f>
        <v>-1</v>
      </c>
      <c r="AW94" s="443">
        <f>IF(INDEX(tab_MinKomp[LEAN MANAGEMENT],MATCH($B93,tab_MinKomp[[Stanowisko / Position ]:[Stanowisko / Position ]],0))="n/a","n/a",AW93-INDEX(tab_MinKomp[LEAN MANAGEMENT],MATCH($B93,tab_MinKomp[[Stanowisko / Position ]:[Stanowisko / Position ]],0)))</f>
        <v>0</v>
      </c>
      <c r="AX94" s="443">
        <f>IF(INDEX(tab_MinKomp[5R],MATCH($B93,tab_MinKomp[[Stanowisko / Position ]:[Stanowisko / Position ]],0))="n/a","n/a",AX93-INDEX(tab_MinKomp[5R],MATCH($B93,tab_MinKomp[[Stanowisko / Position ]:[Stanowisko / Position ]],0)))</f>
        <v>0</v>
      </c>
      <c r="AY94" s="443" t="str">
        <f>IF(INDEX(tab_MinKomp[Six Sigma],MATCH($B93,tab_MinKomp[[Stanowisko / Position ]:[Stanowisko / Position ]],0))="n/a","n/a",AY93-INDEX(tab_MinKomp[Six Sigma],MATCH($B93,tab_MinKomp[[Stanowisko / Position ]:[Stanowisko / Position ]],0)))</f>
        <v>n/a</v>
      </c>
      <c r="AZ94" s="443">
        <f>IF(INDEX(tab_MinKomp[System BAAN / Distribution &amp; Supply Chain],MATCH($B93,tab_MinKomp[[Stanowisko / Position ]:[Stanowisko / Position ]],0))="n/a","n/a",AZ93-INDEX(tab_MinKomp[System BAAN / Distribution &amp; Supply Chain],MATCH($B93,tab_MinKomp[[Stanowisko / Position ]:[Stanowisko / Position ]],0)))</f>
        <v>0</v>
      </c>
      <c r="BA94" s="443" t="str">
        <f>IF(INDEX(tab_MinKomp[Gospodarka magazynowa / Lagerverwaltung],MATCH($B93,tab_MinKomp[[Stanowisko / Position ]:[Stanowisko / Position ]],0))="n/a","n/a",BA93-INDEX(tab_MinKomp[Gospodarka magazynowa / Lagerverwaltung],MATCH($B93,tab_MinKomp[[Stanowisko / Position ]:[Stanowisko / Position ]],0)))</f>
        <v>n/a</v>
      </c>
      <c r="BB94" s="443" t="str">
        <f>IF(INDEX(tab_MinKomp[Inwentaryzacja - organizacja i przebieg / Inventurprozess],MATCH($B93,tab_MinKomp[[Stanowisko / Position ]:[Stanowisko / Position ]],0))="n/a","n/a",BB93-INDEX(tab_MinKomp[Inwentaryzacja - organizacja i przebieg / Inventurprozess],MATCH($B93,tab_MinKomp[[Stanowisko / Position ]:[Stanowisko / Position ]],0)))</f>
        <v>n/a</v>
      </c>
      <c r="BC94" s="443" t="str">
        <f>IF(INDEX(tab_MinKomp[Organizacja dostaw / Versorgungsorganisation],MATCH($B93,tab_MinKomp[[Stanowisko / Position ]:[Stanowisko / Position ]],0))="n/a","n/a",BC93-INDEX(tab_MinKomp[Organizacja dostaw / Versorgungsorganisation],MATCH($B93,tab_MinKomp[[Stanowisko / Position ]:[Stanowisko / Position ]],0)))</f>
        <v>n/a</v>
      </c>
      <c r="BD94" s="443" t="str">
        <f>IF(INDEX(tab_MinKomp[Organizacja wysyłek / Organisation von Lieferungen],MATCH($B93,tab_MinKomp[[Stanowisko / Position ]:[Stanowisko / Position ]],0))="n/a","n/a",BD93-INDEX(tab_MinKomp[Organizacja wysyłek / Organisation von Lieferungen],MATCH($B93,tab_MinKomp[[Stanowisko / Position ]:[Stanowisko / Position ]],0)))</f>
        <v>n/a</v>
      </c>
      <c r="BE94" s="443" t="str">
        <f>IF(INDEX(tab_MinKomp[Analiza magazynowa - Program Polen.mdb / Inventuranalyse],MATCH($B93,tab_MinKomp[[Stanowisko / Position ]:[Stanowisko / Position ]],0))="n/a","n/a",BE93-INDEX(tab_MinKomp[Analiza magazynowa - Program Polen.mdb / Inventuranalyse],MATCH($B93,tab_MinKomp[[Stanowisko / Position ]:[Stanowisko / Position ]],0)))</f>
        <v>n/a</v>
      </c>
      <c r="BF94" s="443" t="str">
        <f>IF(INDEX(tab_MinKomp[MMOG (Materials Management Operations Guidelines)],MATCH($B93,tab_MinKomp[[Stanowisko / Position ]:[Stanowisko / Position ]],0))="n/a","n/a",BF93-INDEX(tab_MinKomp[MMOG (Materials Management Operations Guidelines)],MATCH($B93,tab_MinKomp[[Stanowisko / Position ]:[Stanowisko / Position ]],0)))</f>
        <v>n/a</v>
      </c>
      <c r="BG94" s="443" t="str">
        <f>IF(INDEX(tab_MinKomp[DETC],MATCH($B93,tab_MinKomp[[Stanowisko / Position ]:[Stanowisko / Position ]],0))="n/a","n/a",BG93-INDEX(tab_MinKomp[DETC],MATCH($B93,tab_MinKomp[[Stanowisko / Position ]:[Stanowisko / Position ]],0)))</f>
        <v>n/a</v>
      </c>
      <c r="BH94" s="443" t="str">
        <f>IF(INDEX(tab_MinKomp[GPP],MATCH($B93,tab_MinKomp[[Stanowisko / Position ]:[Stanowisko / Position ]],0))="n/a","n/a",BH93-INDEX(tab_MinKomp[GPP],MATCH($B93,tab_MinKomp[[Stanowisko / Position ]:[Stanowisko / Position ]],0)))</f>
        <v>n/a</v>
      </c>
      <c r="BI94" s="443" t="str">
        <f>IF(INDEX(tab_MinKomp[AIAG (Automotive Industry Action Group)],MATCH($B93,tab_MinKomp[[Stanowisko / Position ]:[Stanowisko / Position ]],0))="n/a","n/a",BI93-INDEX(tab_MinKomp[AIAG (Automotive Industry Action Group)],MATCH($B93,tab_MinKomp[[Stanowisko / Position ]:[Stanowisko / Position ]],0)))</f>
        <v>n/a</v>
      </c>
      <c r="BJ94" s="443" t="str">
        <f>IF(INDEX(tab_MinKomp[Super-G disputes],MATCH($B93,tab_MinKomp[[Stanowisko / Position ]:[Stanowisko / Position ]],0))="n/a","n/a",BJ93-INDEX(tab_MinKomp[Super-G disputes],MATCH($B93,tab_MinKomp[[Stanowisko / Position ]:[Stanowisko / Position ]],0)))</f>
        <v>n/a</v>
      </c>
      <c r="BK94" s="443" t="str">
        <f>IF(INDEX(tab_MinKomp[CMMS3/eDDL (Direct Data Link)],MATCH($B93,tab_MinKomp[[Stanowisko / Position ]:[Stanowisko / Position ]],0))="n/a","n/a",BK93-INDEX(tab_MinKomp[CMMS3/eDDL (Direct Data Link)],MATCH($B93,tab_MinKomp[[Stanowisko / Position ]:[Stanowisko / Position ]],0)))</f>
        <v>n/a</v>
      </c>
      <c r="BL94" s="443" t="str">
        <f>IF(INDEX(tab_MinKomp[MP&amp;L (Material Planning and Logistics)],MATCH($B93,tab_MinKomp[[Stanowisko / Position ]:[Stanowisko / Position ]],0))="n/a","n/a",BL93-INDEX(tab_MinKomp[MP&amp;L (Material Planning and Logistics)],MATCH($B93,tab_MinKomp[[Stanowisko / Position ]:[Stanowisko / Position ]],0)))</f>
        <v>n/a</v>
      </c>
      <c r="BM94" s="443" t="str">
        <f>IF(INDEX(tab_MinKomp[Supplier delivery rating],MATCH($B93,tab_MinKomp[[Stanowisko / Position ]:[Stanowisko / Position ]],0))="n/a","n/a",BM93-INDEX(tab_MinKomp[Supplier delivery rating],MATCH($B93,tab_MinKomp[[Stanowisko / Position ]:[Stanowisko / Position ]],0)))</f>
        <v>n/a</v>
      </c>
      <c r="BN94" s="443">
        <f>IF(INDEX(tab_MinKomp[Planowanie produkcji / Produktionsplanung],MATCH($B93,tab_MinKomp[[Stanowisko / Position ]:[Stanowisko / Position ]],0))="n/a","n/a",BN93-INDEX(tab_MinKomp[Planowanie produkcji / Produktionsplanung],MATCH($B93,tab_MinKomp[[Stanowisko / Position ]:[Stanowisko / Position ]],0)))</f>
        <v>0</v>
      </c>
      <c r="BO94" s="443">
        <f>IF(INDEX(tab_MinKomp[Obsługa maszyn Engel / Engel Maschinenbedienung],MATCH($B93,tab_MinKomp[[Stanowisko / Position ]:[Stanowisko / Position ]],0))="n/a","n/a",BO93-INDEX(tab_MinKomp[Obsługa maszyn Engel / Engel Maschinenbedienung],MATCH($B93,tab_MinKomp[[Stanowisko / Position ]:[Stanowisko / Position ]],0)))</f>
        <v>1</v>
      </c>
      <c r="BP94" s="443">
        <f>IF(INDEX(tab_MinKomp[Obsługa maszyn Novapax / Novapax Maschinenbedienung],MATCH($B93,tab_MinKomp[[Stanowisko / Position ]:[Stanowisko / Position ]],0))="n/a","n/a",BP93-INDEX(tab_MinKomp[Obsługa maszyn Novapax / Novapax Maschinenbedienung],MATCH($B93,tab_MinKomp[[Stanowisko / Position ]:[Stanowisko / Position ]],0)))</f>
        <v>1</v>
      </c>
      <c r="BQ94" s="443">
        <f>IF(INDEX(tab_MinKomp[Obsługa maszyn KVT / KVT Maschinenbedienung],MATCH($B93,tab_MinKomp[[Stanowisko / Position ]:[Stanowisko / Position ]],0))="n/a","n/a",BQ93-INDEX(tab_MinKomp[Obsługa maszyn KVT / KVT Maschinenbedienung],MATCH($B93,tab_MinKomp[[Stanowisko / Position ]:[Stanowisko / Position ]],0)))</f>
        <v>1</v>
      </c>
      <c r="BR94" s="443">
        <f>IF(INDEX(tab_MinKomp[Obsługa maszyn ASL / ASL Maschinenbedienung],MATCH($B93,tab_MinKomp[[Stanowisko / Position ]:[Stanowisko / Position ]],0))="n/a","n/a",BR93-INDEX(tab_MinKomp[Obsługa maszyn ASL / ASL Maschinenbedienung],MATCH($B93,tab_MinKomp[[Stanowisko / Position ]:[Stanowisko / Position ]],0)))</f>
        <v>1</v>
      </c>
      <c r="BS94" s="443">
        <f>IF(INDEX(tab_MinKomp[Obsługa maszyn Branson / Branson Maschinenbedienung],MATCH($B93,tab_MinKomp[[Stanowisko / Position ]:[Stanowisko / Position ]],0))="n/a","n/a",BS93-INDEX(tab_MinKomp[Obsługa maszyn Branson / Branson Maschinenbedienung],MATCH($B93,tab_MinKomp[[Stanowisko / Position ]:[Stanowisko / Position ]],0)))</f>
        <v>1</v>
      </c>
      <c r="BT94" s="443">
        <f>IF(INDEX(tab_MinKomp[Obsługa maszyn Kamtec / Kamtec Maschinenbedienung],MATCH($B93,tab_MinKomp[[Stanowisko / Position ]:[Stanowisko / Position ]],0))="n/a","n/a",BT93-INDEX(tab_MinKomp[Obsługa maszyn Kamtec / Kamtec Maschinenbedienung],MATCH($B93,tab_MinKomp[[Stanowisko / Position ]:[Stanowisko / Position ]],0)))</f>
        <v>1</v>
      </c>
      <c r="BU94" s="443">
        <f>IF(INDEX(tab_MinKomp[Obsługa maszyn Piovan / Piovan Maschinenbedienung],MATCH($B93,tab_MinKomp[[Stanowisko / Position ]:[Stanowisko / Position ]],0))="n/a","n/a",BU93-INDEX(tab_MinKomp[Obsługa maszyn Piovan / Piovan Maschinenbedienung],MATCH($B93,tab_MinKomp[[Stanowisko / Position ]:[Stanowisko / Position ]],0)))</f>
        <v>1</v>
      </c>
      <c r="BV94" s="443">
        <f>IF(INDEX(tab_MinKomp[Obsługa maszyn REP / REP Maschinenbedienung],MATCH($B93,tab_MinKomp[[Stanowisko / Position ]:[Stanowisko / Position ]],0))="n/a","n/a",BV93-INDEX(tab_MinKomp[Obsługa maszyn REP / REP Maschinenbedienung],MATCH($B93,tab_MinKomp[[Stanowisko / Position ]:[Stanowisko / Position ]],0)))</f>
        <v>1</v>
      </c>
      <c r="BW94" s="443">
        <f>IF(INDEX(tab_MinKomp[Eliminacja awarii / Beseitigung von Ausfällen],MATCH($B93,tab_MinKomp[[Stanowisko / Position ]:[Stanowisko / Position ]],0))="n/a","n/a",BW93-INDEX(tab_MinKomp[Eliminacja awarii / Beseitigung von Ausfällen],MATCH($B93,tab_MinKomp[[Stanowisko / Position ]:[Stanowisko / Position ]],0)))</f>
        <v>0</v>
      </c>
      <c r="BX94" s="443" t="str">
        <f>IF(INDEX(tab_MinKomp[Specjalista BHP / BHP Spezialist],MATCH($B93,tab_MinKomp[[Stanowisko / Position ]:[Stanowisko / Position ]],0))="n/a","n/a",BX93-INDEX(tab_MinKomp[Specjalista BHP / BHP Spezialist],MATCH($B93,tab_MinKomp[[Stanowisko / Position ]:[Stanowisko / Position ]],0)))</f>
        <v>n/a</v>
      </c>
      <c r="BY94" s="443" t="str">
        <f>IF(INDEX(tab_MinKomp[Sieci komputerowe / Computernetzwerke],MATCH($B93,tab_MinKomp[[Stanowisko / Position ]:[Stanowisko / Position ]],0))="n/a","n/a",BY93-INDEX(tab_MinKomp[Sieci komputerowe / Computernetzwerke],MATCH($B93,tab_MinKomp[[Stanowisko / Position ]:[Stanowisko / Position ]],0)))</f>
        <v>n/a</v>
      </c>
      <c r="BZ94" s="443" t="str">
        <f>IF(INDEX(tab_MinKomp[Specjalista BHP / BHP Spezialist],MATCH($B93,tab_MinKomp[[Stanowisko / Position ]:[Stanowisko / Position ]],0))="n/a","n/a",BZ93-INDEX(tab_MinKomp[Specjalista BHP / BHP Spezialist],MATCH($B93,tab_MinKomp[[Stanowisko / Position ]:[Stanowisko / Position ]],0)))</f>
        <v>n/a</v>
      </c>
      <c r="CA94" s="443" t="str">
        <f>IF(INDEX(tab_MinKomp[Software &amp; Systems (MS Office, MS Remote Desktop)],MATCH($B93,tab_MinKomp[[Stanowisko / Position ]:[Stanowisko / Position ]],0))="n/a","n/a",CA93-INDEX(tab_MinKomp[Software &amp; Systems (MS Office, MS Remote Desktop)],MATCH($B93,tab_MinKomp[[Stanowisko / Position ]:[Stanowisko / Position ]],0)))</f>
        <v>n/a</v>
      </c>
      <c r="CB94" s="443" t="str">
        <f>IF(INDEX(tab_MinKomp[Programowanie obiektowe (PHP) / Objektprogrammierung],MATCH($B93,tab_MinKomp[[Stanowisko / Position ]:[Stanowisko / Position ]],0))="n/a","n/a",CB93-INDEX(tab_MinKomp[Programowanie obiektowe (PHP) / Objektprogrammierung],MATCH($B93,tab_MinKomp[[Stanowisko / Position ]:[Stanowisko / Position ]],0)))</f>
        <v>n/a</v>
      </c>
      <c r="CC94" s="443" t="str">
        <f>IF(INDEX(tab_MinKomp[Scrum],MATCH($B93,tab_MinKomp[[Stanowisko / Position ]:[Stanowisko / Position ]],0))="n/a","n/a",CC93-INDEX(tab_MinKomp[Scrum],MATCH($B93,tab_MinKomp[[Stanowisko / Position ]:[Stanowisko / Position ]],0)))</f>
        <v>n/a</v>
      </c>
      <c r="CD94" s="443" t="str">
        <f>IF(INDEX(tab_MinKomp[SQL (MySQL)],MATCH($B93,tab_MinKomp[[Stanowisko / Position ]:[Stanowisko / Position ]],0))="n/a","n/a",CD93-INDEX(tab_MinKomp[SQL (MySQL)],MATCH($B93,tab_MinKomp[[Stanowisko / Position ]:[Stanowisko / Position ]],0)))</f>
        <v>n/a</v>
      </c>
      <c r="CE94" s="443" t="str">
        <f>IF(INDEX(tab_MinKomp[Javascript],MATCH($B93,tab_MinKomp[[Stanowisko / Position ]:[Stanowisko / Position ]],0))="n/a","n/a",CE93-INDEX(tab_MinKomp[Javascript],MATCH($B93,tab_MinKomp[[Stanowisko / Position ]:[Stanowisko / Position ]],0)))</f>
        <v>n/a</v>
      </c>
      <c r="CF94" s="443" t="str">
        <f>IF(INDEX(tab_MinKomp[Joomla],MATCH($B93,tab_MinKomp[[Stanowisko / Position ]:[Stanowisko / Position ]],0))="n/a","n/a",CF93-INDEX(tab_MinKomp[Joomla],MATCH($B93,tab_MinKomp[[Stanowisko / Position ]:[Stanowisko / Position ]],0)))</f>
        <v>n/a</v>
      </c>
      <c r="CG94" s="443" t="str">
        <f>IF(INDEX(tab_MinKomp[Bash],MATCH($B93,tab_MinKomp[[Stanowisko / Position ]:[Stanowisko / Position ]],0))="n/a","n/a",CG93-INDEX(tab_MinKomp[Bash],MATCH($B93,tab_MinKomp[[Stanowisko / Position ]:[Stanowisko / Position ]],0)))</f>
        <v>n/a</v>
      </c>
      <c r="CH94" s="443" t="str">
        <f>IF(INDEX(tab_MinKomp[Systemy MES (HYDRA / SFMS)],MATCH($B93,tab_MinKomp[[Stanowisko / Position ]:[Stanowisko / Position ]],0))="n/a","n/a",CH93-INDEX(tab_MinKomp[Systemy MES (HYDRA / SFMS)],MATCH($B93,tab_MinKomp[[Stanowisko / Position ]:[Stanowisko / Position ]],0)))</f>
        <v>n/a</v>
      </c>
      <c r="CI94" s="443" t="str">
        <f>IF(INDEX(tab_MinKomp[HTML / CSS],MATCH($B93,tab_MinKomp[[Stanowisko / Position ]:[Stanowisko / Position ]],0))="n/a","n/a",CI93-INDEX(tab_MinKomp[HTML / CSS],MATCH($B93,tab_MinKomp[[Stanowisko / Position ]:[Stanowisko / Position ]],0)))</f>
        <v>n/a</v>
      </c>
      <c r="CJ94" s="443" t="str">
        <f>IF(INDEX(tab_MinKomp[Specjalista BHP / BHP Spezialist],MATCH($B93,tab_MinKomp[[Stanowisko / Position ]:[Stanowisko / Position ]],0))="n/a","n/a",CJ93-INDEX(tab_MinKomp[Specjalista BHP / BHP Spezialist],MATCH($B93,tab_MinKomp[[Stanowisko / Position ]:[Stanowisko / Position ]],0)))</f>
        <v>n/a</v>
      </c>
      <c r="CK94" s="443" t="str">
        <f>IF(INDEX(tab_MinKomp[System Einkauf XP / EBA],MATCH($B93,tab_MinKomp[[Stanowisko / Position ]:[Stanowisko / Position ]],0))="n/a","n/a",CK93-INDEX(tab_MinKomp[System Einkauf XP / EBA],MATCH($B93,tab_MinKomp[[Stanowisko / Position ]:[Stanowisko / Position ]],0)))</f>
        <v>n/a</v>
      </c>
      <c r="CL94" s="443" t="str">
        <f>IF(INDEX(tab_MinKomp[Techniki negocjacyjne / Verhandlungstechniken],MATCH($B93,tab_MinKomp[[Stanowisko / Position ]:[Stanowisko / Position ]],0))="n/a","n/a",CL93-INDEX(tab_MinKomp[Techniki negocjacyjne / Verhandlungstechniken],MATCH($B93,tab_MinKomp[[Stanowisko / Position ]:[Stanowisko / Position ]],0)))</f>
        <v>n/a</v>
      </c>
      <c r="CM94" s="443" t="str">
        <f>IF(INDEX(tab_MinKomp[Znajomość rynku branżowego / Kenntnis des Industrie Marktes],MATCH($B93,tab_MinKomp[[Stanowisko / Position ]:[Stanowisko / Position ]],0))="n/a","n/a",CM93-INDEX(tab_MinKomp[Znajomość rynku branżowego / Kenntnis des Industrie Marktes],MATCH($B93,tab_MinKomp[[Stanowisko / Position ]:[Stanowisko / Position ]],0)))</f>
        <v>n/a</v>
      </c>
      <c r="CN94" s="443">
        <f>IF(INDEX(tab_MinKomp[RAPORTY 8D / 8D Berichten],MATCH($B93,tab_MinKomp[[Stanowisko / Position ]:[Stanowisko / Position ]],0))="n/a","n/a",CN93-INDEX(tab_MinKomp[RAPORTY 8D / 8D Berichten],MATCH($B93,tab_MinKomp[[Stanowisko / Position ]:[Stanowisko / Position ]],0)))</f>
        <v>0</v>
      </c>
      <c r="CO94" s="443">
        <f>IF(INDEX(tab_MinKomp[NARZĘDZIA JAKOŚCIOWE (5WHY, Ishikawa, etc) / QS-Werkzeuge],MATCH($B93,tab_MinKomp[[Stanowisko / Position ]:[Stanowisko / Position ]],0))="n/a","n/a",CO93-INDEX(tab_MinKomp[NARZĘDZIA JAKOŚCIOWE (5WHY, Ishikawa, etc) / QS-Werkzeuge],MATCH($B93,tab_MinKomp[[Stanowisko / Position ]:[Stanowisko / Position ]],0)))</f>
        <v>0</v>
      </c>
      <c r="CP94" s="443">
        <f>IF(INDEX(tab_MinKomp[PDCA],MATCH($B93,tab_MinKomp[[Stanowisko / Position ]:[Stanowisko / Position ]],0))="n/a","n/a",CP93-INDEX(tab_MinKomp[PDCA],MATCH($B93,tab_MinKomp[[Stanowisko / Position ]:[Stanowisko / Position ]],0)))</f>
        <v>0</v>
      </c>
      <c r="CQ94" s="443" t="str">
        <f>IF(INDEX(tab_MinKomp[Specjalista BHP / BHP Spezialist],MATCH($B93,tab_MinKomp[[Stanowisko / Position ]:[Stanowisko / Position ]],0))="n/a","n/a",CQ93-INDEX(tab_MinKomp[Specjalista BHP / BHP Spezialist],MATCH($B93,tab_MinKomp[[Stanowisko / Position ]:[Stanowisko / Position ]],0)))</f>
        <v>n/a</v>
      </c>
      <c r="CR94" s="443" t="str">
        <f>IF(INDEX(tab_MinKomp[PPAP/PSW],MATCH($B93,tab_MinKomp[[Stanowisko / Position ]:[Stanowisko / Position ]],0))="n/a","n/a",CR93-INDEX(tab_MinKomp[PPAP/PSW],MATCH($B93,tab_MinKomp[[Stanowisko / Position ]:[Stanowisko / Position ]],0)))</f>
        <v>n/a</v>
      </c>
      <c r="CS94" s="443" t="str">
        <f>IF(INDEX(tab_MinKomp[SUPPLIER MANAGEMENT],MATCH($B93,tab_MinKomp[[Stanowisko / Position ]:[Stanowisko / Position ]],0))="n/a","n/a",CS93-INDEX(tab_MinKomp[SUPPLIER MANAGEMENT],MATCH($B93,tab_MinKomp[[Stanowisko / Position ]:[Stanowisko / Position ]],0)))</f>
        <v>n/a</v>
      </c>
      <c r="CT94" s="443" t="str">
        <f>IF(INDEX(tab_MinKomp[OBSŁUGA PORTALI KLIENTA / Kundenportale],MATCH($B93,tab_MinKomp[[Stanowisko / Position ]:[Stanowisko / Position ]],0))="n/a","n/a",CT93-INDEX(tab_MinKomp[OBSŁUGA PORTALI KLIENTA / Kundenportale],MATCH($B93,tab_MinKomp[[Stanowisko / Position ]:[Stanowisko / Position ]],0)))</f>
        <v>n/a</v>
      </c>
      <c r="CU94" s="443" t="str">
        <f>IF(INDEX(tab_MinKomp[Obsługa systemu BABTECQ / BABTECQ System],MATCH($B93,tab_MinKomp[[Stanowisko / Position ]:[Stanowisko / Position ]],0))="n/a","n/a",CU93-INDEX(tab_MinKomp[Obsługa systemu BABTECQ / BABTECQ System],MATCH($B93,tab_MinKomp[[Stanowisko / Position ]:[Stanowisko / Position ]],0)))</f>
        <v>n/a</v>
      </c>
      <c r="CV94" s="443">
        <f>IF(INDEX(tab_MinKomp[Rysunek techniczny / technische Zeichnung],MATCH($B93,tab_MinKomp[[Stanowisko / Position ]:[Stanowisko / Position ]],0))="n/a","n/a",CV93-INDEX(tab_MinKomp[Rysunek techniczny / technische Zeichnung],MATCH($B93,tab_MinKomp[[Stanowisko / Position ]:[Stanowisko / Position ]],0)))</f>
        <v>0</v>
      </c>
      <c r="CW94" s="443" t="str">
        <f>IF(INDEX(tab_MinKomp[Specjalista BHP / BHP Spezialist],MATCH($B93,tab_MinKomp[[Stanowisko / Position ]:[Stanowisko / Position ]],0))="n/a","n/a",CW93-INDEX(tab_MinKomp[Specjalista BHP / BHP Spezialist],MATCH($B93,tab_MinKomp[[Stanowisko / Position ]:[Stanowisko / Position ]],0)))</f>
        <v>n/a</v>
      </c>
      <c r="CX94" s="443" t="str">
        <f>IF(INDEX(tab_MinKomp[Rekwalifikacja / Requalifizierung],MATCH($B93,tab_MinKomp[[Stanowisko / Position ]:[Stanowisko / Position ]],0))="n/a","n/a",CX93-INDEX(tab_MinKomp[Rekwalifikacja / Requalifizierung],MATCH($B93,tab_MinKomp[[Stanowisko / Position ]:[Stanowisko / Position ]],0)))</f>
        <v>n/a</v>
      </c>
      <c r="CY94" s="443" t="str">
        <f>IF(INDEX(tab_MinKomp[Obsługa mikroskopu optycznego / Bedienung eines optischen Mikroskops],MATCH($B93,tab_MinKomp[[Stanowisko / Position ]:[Stanowisko / Position ]],0))="n/a","n/a",CY93-INDEX(tab_MinKomp[Obsługa mikroskopu optycznego / Bedienung eines optischen Mikroskops],MATCH($B93,tab_MinKomp[[Stanowisko / Position ]:[Stanowisko / Position ]],0)))</f>
        <v>n/a</v>
      </c>
      <c r="CZ94" s="443" t="str">
        <f>IF(INDEX(tab_MinKomp[Wykonywanie pomiarów optycznych - ocena wizualna / Optische Messungen durchführen – visuelle Beurteilung],MATCH($B93,tab_MinKomp[[Stanowisko / Position ]:[Stanowisko / Position ]],0))="n/a","n/a",CZ93-INDEX(tab_MinKomp[Wykonywanie pomiarów optycznych - ocena wizualna / Optische Messungen durchführen – visuelle Beurteilung],MATCH($B93,tab_MinKomp[[Stanowisko / Position ]:[Stanowisko / Position ]],0)))</f>
        <v>n/a</v>
      </c>
      <c r="DA94" s="443" t="str">
        <f>IF(INDEX(tab_MinKomp[Obsługa Rheometra / Rheometra-Unterstützung],MATCH($B93,tab_MinKomp[[Stanowisko / Position ]:[Stanowisko / Position ]],0))="n/a","n/a",DA93-INDEX(tab_MinKomp[Obsługa Rheometra / Rheometra-Unterstützung],MATCH($B93,tab_MinKomp[[Stanowisko / Position ]:[Stanowisko / Position ]],0)))</f>
        <v>n/a</v>
      </c>
      <c r="DB94" s="443" t="str">
        <f>IF(INDEX(tab_MinKomp[Testy właściwości Rheometra mieszanki gumy],MATCH($B93,tab_MinKomp[[Stanowisko / Position ]:[Stanowisko / Position ]],0))="n/a","n/a",DB93-INDEX(tab_MinKomp[Testy właściwości Rheometra mieszanki gumy],MATCH($B93,tab_MinKomp[[Stanowisko / Position ]:[Stanowisko / Position ]],0)))</f>
        <v>n/a</v>
      </c>
      <c r="DC94" s="443" t="str">
        <f>IF(INDEX(tab_MinKomp[CMM - Contura Zeiss],MATCH($B93,tab_MinKomp[[Stanowisko / Position ]:[Stanowisko / Position ]],0))="n/a","n/a",DC93-INDEX(tab_MinKomp[CMM - Contura Zeiss],MATCH($B93,tab_MinKomp[[Stanowisko / Position ]:[Stanowisko / Position ]],0)))</f>
        <v>n/a</v>
      </c>
      <c r="DD94" s="443" t="str">
        <f>IF(INDEX(tab_MinKomp[Wykonywanie precyzyjnych pomiarów metrycznych, pomiary 3D],MATCH($B93,tab_MinKomp[[Stanowisko / Position ]:[Stanowisko / Position ]],0))="n/a","n/a",DD93-INDEX(tab_MinKomp[Wykonywanie precyzyjnych pomiarów metrycznych, pomiary 3D],MATCH($B93,tab_MinKomp[[Stanowisko / Position ]:[Stanowisko / Position ]],0)))</f>
        <v>n/a</v>
      </c>
      <c r="DE94" s="443" t="str">
        <f>IF(INDEX(tab_MinKomp[Pisanie programów / Programme schreiben],MATCH($B93,tab_MinKomp[[Stanowisko / Position ]:[Stanowisko / Position ]],0))="n/a","n/a",DE93-INDEX(tab_MinKomp[Pisanie programów / Programme schreiben],MATCH($B93,tab_MinKomp[[Stanowisko / Position ]:[Stanowisko / Position ]],0)))</f>
        <v>n/a</v>
      </c>
      <c r="DF94" s="443" t="str">
        <f>IF(INDEX(tab_MinKomp[Obsługa wyposażenia do testów czystości (myjka + analizator) / Betrieb von Sauberkeitsprüfgeräten (Waschmaschine + Analysegerät)],MATCH($B93,tab_MinKomp[[Stanowisko / Position ]:[Stanowisko / Position ]],0))="n/a","n/a",DF93-INDEX(tab_MinKomp[Obsługa wyposażenia do testów czystości (myjka + analizator) / Betrieb von Sauberkeitsprüfgeräten (Waschmaschine + Analysegerät)],MATCH($B93,tab_MinKomp[[Stanowisko / Position ]:[Stanowisko / Position ]],0)))</f>
        <v>n/a</v>
      </c>
      <c r="DG94" s="443" t="str">
        <f>IF(INDEX(tab_MinKomp[Testy czystości / Reinheitstests],MATCH($B93,tab_MinKomp[[Stanowisko / Position ]:[Stanowisko / Position ]],0))="n/a","n/a",DG93-INDEX(tab_MinKomp[Testy czystości / Reinheitstests],MATCH($B93,tab_MinKomp[[Stanowisko / Position ]:[Stanowisko / Position ]],0)))</f>
        <v>n/a</v>
      </c>
      <c r="DH94" s="443" t="str">
        <f>IF(INDEX(tab_MinKomp[Obsługa wysokościomierza / Unterstützung für Höhenmesser],MATCH($B93,tab_MinKomp[[Stanowisko / Position ]:[Stanowisko / Position ]],0))="n/a","n/a",DH93-INDEX(tab_MinKomp[Obsługa wysokościomierza / Unterstützung für Höhenmesser],MATCH($B93,tab_MinKomp[[Stanowisko / Position ]:[Stanowisko / Position ]],0)))</f>
        <v>n/a</v>
      </c>
      <c r="DI94" s="443" t="str">
        <f>IF(INDEX(tab_MinKomp[Pomiary wysokości materiału / Materialhöhenmessungen],MATCH($B93,tab_MinKomp[[Stanowisko / Position ]:[Stanowisko / Position ]],0))="n/a","n/a",DI93-INDEX(tab_MinKomp[Pomiary wysokości materiału / Materialhöhenmessungen],MATCH($B93,tab_MinKomp[[Stanowisko / Position ]:[Stanowisko / Position ]],0)))</f>
        <v>n/a</v>
      </c>
      <c r="DJ94" s="443" t="str">
        <f>IF(INDEX(tab_MinKomp[Obsługa okrągłościomierza / Unterstützung für Rundheitsmessgeräte],MATCH($B93,tab_MinKomp[[Stanowisko / Position ]:[Stanowisko / Position ]],0))="n/a","n/a",DJ93-INDEX(tab_MinKomp[Obsługa okrągłościomierza / Unterstützung für Rundheitsmessgeräte],MATCH($B93,tab_MinKomp[[Stanowisko / Position ]:[Stanowisko / Position ]],0)))</f>
        <v>n/a</v>
      </c>
      <c r="DK94" s="443" t="str">
        <f>IF(INDEX(tab_MinKomp[Wykonywania pomiarów owalności, srednicy materiału / Messung der Ovalität und des Durchmessers des Materials],MATCH($B93,tab_MinKomp[[Stanowisko / Position ]:[Stanowisko / Position ]],0))="n/a","n/a",DK93-INDEX(tab_MinKomp[Wykonywania pomiarów owalności, srednicy materiału / Messung der Ovalität und des Durchmessers des Materials],MATCH($B93,tab_MinKomp[[Stanowisko / Position ]:[Stanowisko / Position ]],0)))</f>
        <v>n/a</v>
      </c>
      <c r="DL94" s="443" t="str">
        <f>IF(INDEX(tab_MinKomp[Obsługa urządzenia do pomiarów chropowoatości powierzchni materiału],MATCH($B93,tab_MinKomp[[Stanowisko / Position ]:[Stanowisko / Position ]],0))="n/a","n/a",DL93-INDEX(tab_MinKomp[Obsługa urządzenia do pomiarów chropowoatości powierzchni materiału],MATCH($B93,tab_MinKomp[[Stanowisko / Position ]:[Stanowisko / Position ]],0)))</f>
        <v>n/a</v>
      </c>
      <c r="DM94" s="443" t="str">
        <f>IF(INDEX(tab_MinKomp[Wykonywanie pomiarów chropowatości powierzchni materiału / Durchführung von Messungen der Materialoberflächenrauheit],MATCH($B93,tab_MinKomp[[Stanowisko / Position ]:[Stanowisko / Position ]],0))="n/a","n/a",DM93-INDEX(tab_MinKomp[Wykonywanie pomiarów chropowatości powierzchni materiału / Durchführung von Messungen der Materialoberflächenrauheit],MATCH($B93,tab_MinKomp[[Stanowisko / Position ]:[Stanowisko / Position ]],0)))</f>
        <v>n/a</v>
      </c>
      <c r="DN94" s="443" t="str">
        <f>IF(INDEX(tab_MinKomp[Obsługa urządzenia do pomiaru siły radialnej części - postępowanie z trzpieniami. / Funktionsweise des Geräts zur Messung der Radialkraft von Teilen – Handhabungsstifte.],MATCH($B93,tab_MinKomp[[Stanowisko / Position ]:[Stanowisko / Position ]],0))="n/a","n/a",DN93-INDEX(tab_MinKomp[Obsługa urządzenia do pomiaru siły radialnej części - postępowanie z trzpieniami. / Funktionsweise des Geräts zur Messung der Radialkraft von Teilen – Handhabungsstifte.],MATCH($B93,tab_MinKomp[[Stanowisko / Position ]:[Stanowisko / Position ]],0)))</f>
        <v>n/a</v>
      </c>
      <c r="DO94" s="443" t="str">
        <f>IF(INDEX(tab_MinKomp[Wykonywanie pomiarów siły radialnej części / Führen Sie Radialkraftmessungen an Teilen durch],MATCH($B93,tab_MinKomp[[Stanowisko / Position ]:[Stanowisko / Position ]],0))="n/a","n/a",DO93-INDEX(tab_MinKomp[Wykonywanie pomiarów siły radialnej części / Führen Sie Radialkraftmessungen an Teilen durch],MATCH($B93,tab_MinKomp[[Stanowisko / Position ]:[Stanowisko / Position ]],0)))</f>
        <v>n/a</v>
      </c>
      <c r="DP94" s="443" t="str">
        <f>IF(INDEX(tab_MinKomp[Obsługa komory do testów wybuchwych / Betrieb einer Explosionsprüfkammer],MATCH($B93,tab_MinKomp[[Stanowisko / Position ]:[Stanowisko / Position ]],0))="n/a","n/a",DP93-INDEX(tab_MinKomp[Obsługa komory do testów wybuchwych / Betrieb einer Explosionsprüfkammer],MATCH($B93,tab_MinKomp[[Stanowisko / Position ]:[Stanowisko / Position ]],0)))</f>
        <v>n/a</v>
      </c>
      <c r="DQ94" s="443" t="str">
        <f>IF(INDEX(tab_MinKomp[Wykonywanie testów wybuchowych części / Durchführung von Explosionstests an Teilen],MATCH($B93,tab_MinKomp[[Stanowisko / Position ]:[Stanowisko / Position ]],0))="n/a","n/a",DQ93-INDEX(tab_MinKomp[Wykonywanie testów wybuchowych części / Durchführung von Explosionstests an Teilen],MATCH($B93,tab_MinKomp[[Stanowisko / Position ]:[Stanowisko / Position ]],0)))</f>
        <v>n/a</v>
      </c>
      <c r="DR94" s="443" t="str">
        <f>IF(INDEX(tab_MinKomp[Obsługa urządzeń do mierzenia siły trzymania i/lub rozciągania / Betrieb von Geräten zur Messung der Halte- und/oder Dehnkraft],MATCH($B93,tab_MinKomp[[Stanowisko / Position ]:[Stanowisko / Position ]],0))="n/a","n/a",DR93-INDEX(tab_MinKomp[Obsługa urządzeń do mierzenia siły trzymania i/lub rozciągania / Betrieb von Geräten zur Messung der Halte- und/oder Dehnkraft],MATCH($B93,tab_MinKomp[[Stanowisko / Position ]:[Stanowisko / Position ]],0)))</f>
        <v>n/a</v>
      </c>
      <c r="DS94" s="443" t="str">
        <f>IF(INDEX(tab_MinKomp[Wykonywanie testów mierzenia siły trzymania i/lub rozciągania / Durchführung von Tests zur Messung der Halte- und/oder Streckkraft],MATCH($B93,tab_MinKomp[[Stanowisko / Position ]:[Stanowisko / Position ]],0))="n/a","n/a",DS93-INDEX(tab_MinKomp[Wykonywanie testów mierzenia siły trzymania i/lub rozciągania / Durchführung von Tests zur Messung der Halte- und/oder Streckkraft],MATCH($B93,tab_MinKomp[[Stanowisko / Position ]:[Stanowisko / Position ]],0)))</f>
        <v>n/a</v>
      </c>
      <c r="DT94" s="443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Luftstrom)],MATCH($B93,tab_MinKomp[[Stanowisko / Position ]:[Stanowisko / Position ]],0))="n/a","n/a",DT93-INDEX(tab_MinKomp[Obsługa multimetru do pomiarów środowiskowych (temperatura, wilgotność, hałas, oświetlenie, przepływ powietrza) / Betrieb eines Multimeters für Umweltmessungen (Temperatur, Luftfeuchtigkeit, Lärm, Beleuchtung, Luftstrom)],MATCH($B93,tab_MinKomp[[Stanowisko / Position ]:[Stanowisko / Position ]],0)))</f>
        <v>n/a</v>
      </c>
      <c r="DU94" s="443" t="str">
        <f>IF(INDEX(tab_MinKomp[Kontrola warunków środowiskowych pracy (temperatura, wilgotność, hałas, oświetlenie, przepływ powietrza) / Kontrolle der Arbeitsumgebungsbedingungen (Temperatur, Luftfeuchtigkeit, Lärm, Beleuchtung, Luftstrom)],MATCH($B93,tab_MinKomp[[Stanowisko / Position ]:[Stanowisko / Position ]],0))="n/a","n/a",DU93-INDEX(tab_MinKomp[Kontrola warunków środowiskowych pracy (temperatura, wilgotność, hałas, oświetlenie, przepływ powietrza) / Kontrolle der Arbeitsumgebungsbedingungen (Temperatur, Luftfeuchtigkeit, Lärm, Beleuchtung, Luftstrom)],MATCH($B93,tab_MinKomp[[Stanowisko / Position ]:[Stanowisko / Position ]],0)))</f>
        <v>n/a</v>
      </c>
      <c r="DV94" s="443">
        <f>IF(INDEX(tab_MinKomp[MSA i SPC],MATCH($B93,tab_MinKomp[[Stanowisko / Position ]:[Stanowisko / Position ]],0))="n/a","n/a",DV93-INDEX(tab_MinKomp[MSA i SPC],MATCH($B93,tab_MinKomp[[Stanowisko / Position ]:[Stanowisko / Position ]],0)))</f>
        <v>0</v>
      </c>
      <c r="DW94" s="443">
        <f>IF(INDEX(tab_MinKomp[Kontrola wejściowa komponentów/ Eingangskontrolle],MATCH($B93,tab_MinKomp[[Stanowisko / Position ]:[Stanowisko / Position ]],0))="n/a","n/a",DW93-INDEX(tab_MinKomp[Kontrola wejściowa komponentów/ Eingangskontrolle],MATCH($B93,tab_MinKomp[[Stanowisko / Position ]:[Stanowisko / Position ]],0)))</f>
        <v>0</v>
      </c>
      <c r="DX94" s="443">
        <f>IF(INDEX(tab_MinKomp[Kontrola wyjściowa produktu / Ausgangskontrolle],MATCH($B93,tab_MinKomp[[Stanowisko / Position ]:[Stanowisko / Position ]],0))="n/a","n/a",DX93-INDEX(tab_MinKomp[Kontrola wyjściowa produktu / Ausgangskontrolle],MATCH($B93,tab_MinKomp[[Stanowisko / Position ]:[Stanowisko / Position ]],0)))</f>
        <v>0</v>
      </c>
      <c r="DY94" s="443" t="str">
        <f>IF(INDEX(tab_MinKomp[Specjalista BHP / BHP Spezialist],MATCH($B93,tab_MinKomp[[Stanowisko / Position ]:[Stanowisko / Position ]],0))="n/a","n/a",DY93-INDEX(tab_MinKomp[Specjalista BHP / BHP Spezialist],MATCH($B93,tab_MinKomp[[Stanowisko / Position ]:[Stanowisko / Position ]],0)))</f>
        <v>n/a</v>
      </c>
      <c r="DZ94" s="443" t="str">
        <f>IF(INDEX(tab_MinKomp[Konserwacja Rep],MATCH($B93,tab_MinKomp[[Stanowisko / Position ]:[Stanowisko / Position ]],0))="n/a","n/a",DZ93-INDEX(tab_MinKomp[Konserwacja Rep],MATCH($B93,tab_MinKomp[[Stanowisko / Position ]:[Stanowisko / Position ]],0)))</f>
        <v>n/a</v>
      </c>
      <c r="EA94" s="443" t="str">
        <f>IF(INDEX(tab_MinKomp[[Konserwacja Engel ]],MATCH($B93,tab_MinKomp[[Stanowisko / Position ]:[Stanowisko / Position ]],0))="n/a","n/a",EA93-INDEX(tab_MinKomp[[Konserwacja Engel ]],MATCH($B93,tab_MinKomp[[Stanowisko / Position ]:[Stanowisko / Position ]],0)))</f>
        <v>n/a</v>
      </c>
      <c r="EB94" s="443" t="str">
        <f>IF(INDEX(tab_MinKomp[Konserwacja B 50],MATCH($B93,tab_MinKomp[[Stanowisko / Position ]:[Stanowisko / Position ]],0))="n/a","n/a",EB93-INDEX(tab_MinKomp[Konserwacja B 50],MATCH($B93,tab_MinKomp[[Stanowisko / Position ]:[Stanowisko / Position ]],0)))</f>
        <v>n/a</v>
      </c>
      <c r="EC94" s="443" t="str">
        <f>IF(INDEX(tab_MinKomp[[Konserwacja EOL ]],MATCH($B93,tab_MinKomp[[Stanowisko / Position ]:[Stanowisko / Position ]],0))="n/a","n/a",EC93-INDEX(tab_MinKomp[[Konserwacja EOL ]],MATCH($B93,tab_MinKomp[[Stanowisko / Position ]:[Stanowisko / Position ]],0)))</f>
        <v>n/a</v>
      </c>
      <c r="ED94" s="443" t="str">
        <f>IF(INDEX(tab_MinKomp[Konserwacja Branson],MATCH($B93,tab_MinKomp[[Stanowisko / Position ]:[Stanowisko / Position ]],0))="n/a","n/a",ED93-INDEX(tab_MinKomp[Konserwacja Branson],MATCH($B93,tab_MinKomp[[Stanowisko / Position ]:[Stanowisko / Position ]],0)))</f>
        <v>n/a</v>
      </c>
      <c r="EE94" s="443" t="str">
        <f>IF(INDEX(tab_MinKomp[Konserwacja coolery],MATCH($B93,tab_MinKomp[[Stanowisko / Position ]:[Stanowisko / Position ]],0))="n/a","n/a",EE93-INDEX(tab_MinKomp[Konserwacja coolery],MATCH($B93,tab_MinKomp[[Stanowisko / Position ]:[Stanowisko / Position ]],0)))</f>
        <v>n/a</v>
      </c>
      <c r="EF94" s="443" t="str">
        <f>IF(INDEX(tab_MinKomp[Konserwacja piecy],MATCH($B93,tab_MinKomp[[Stanowisko / Position ]:[Stanowisko / Position ]],0))="n/a","n/a",EF93-INDEX(tab_MinKomp[Konserwacja piecy],MATCH($B93,tab_MinKomp[[Stanowisko / Position ]:[Stanowisko / Position ]],0)))</f>
        <v>n/a</v>
      </c>
      <c r="EG94" s="443">
        <f>IF(INDEX(tab_MinKomp[Rysunek techniczny- czytanie],MATCH($B93,tab_MinKomp[[Stanowisko / Position ]:[Stanowisko / Position ]],0))="n/a","n/a",EG93-INDEX(tab_MinKomp[Rysunek techniczny- czytanie],MATCH($B93,tab_MinKomp[[Stanowisko / Position ]:[Stanowisko / Position ]],0)))</f>
        <v>0</v>
      </c>
      <c r="EH94" s="443">
        <f>IF(INDEX(tab_MinKomp[Elektryka],MATCH($B93,tab_MinKomp[[Stanowisko / Position ]:[Stanowisko / Position ]],0))="n/a","n/a",EH93-INDEX(tab_MinKomp[Elektryka],MATCH($B93,tab_MinKomp[[Stanowisko / Position ]:[Stanowisko / Position ]],0)))</f>
        <v>0</v>
      </c>
      <c r="EI94" s="443">
        <f>IF(INDEX(tab_MinKomp[Pneumatyka],MATCH($B93,tab_MinKomp[[Stanowisko / Position ]:[Stanowisko / Position ]],0))="n/a","n/a",EI93-INDEX(tab_MinKomp[Pneumatyka],MATCH($B93,tab_MinKomp[[Stanowisko / Position ]:[Stanowisko / Position ]],0)))</f>
        <v>0</v>
      </c>
      <c r="EJ94" s="443">
        <f>IF(INDEX(tab_MinKomp[[Hydraulika ]],MATCH($B93,tab_MinKomp[[Stanowisko / Position ]:[Stanowisko / Position ]],0))="n/a","n/a",EJ93-INDEX(tab_MinKomp[[Hydraulika ]],MATCH($B93,tab_MinKomp[[Stanowisko / Position ]:[Stanowisko / Position ]],0)))</f>
        <v>0</v>
      </c>
      <c r="EK94" s="443">
        <f>IF(INDEX(tab_MinKomp[Podciśnienie],MATCH($B93,tab_MinKomp[[Stanowisko / Position ]:[Stanowisko / Position ]],0))="n/a","n/a",EK93-INDEX(tab_MinKomp[Podciśnienie],MATCH($B93,tab_MinKomp[[Stanowisko / Position ]:[Stanowisko / Position ]],0)))</f>
        <v>0</v>
      </c>
      <c r="EL94" s="443">
        <f>IF(INDEX(tab_MinKomp[Usuwanie awarii],MATCH($B93,tab_MinKomp[[Stanowisko / Position ]:[Stanowisko / Position ]],0))="n/a","n/a",EL93-INDEX(tab_MinKomp[Usuwanie awarii],MATCH($B93,tab_MinKomp[[Stanowisko / Position ]:[Stanowisko / Position ]],0)))</f>
        <v>0</v>
      </c>
      <c r="EM94" s="443">
        <f>IF(INDEX(tab_MinKomp[Obsługa robotów],MATCH($B93,tab_MinKomp[[Stanowisko / Position ]:[Stanowisko / Position ]],0))="n/a","n/a",EM93-INDEX(tab_MinKomp[Obsługa robotów],MATCH($B93,tab_MinKomp[[Stanowisko / Position ]:[Stanowisko / Position ]],0)))</f>
        <v>0</v>
      </c>
      <c r="EN94" s="443">
        <f>IF(INDEX(tab_MinKomp[Obsługa sterowania maszyny],MATCH($B93,tab_MinKomp[[Stanowisko / Position ]:[Stanowisko / Position ]],0))="n/a","n/a",EN93-INDEX(tab_MinKomp[Obsługa sterowania maszyny],MATCH($B93,tab_MinKomp[[Stanowisko / Position ]:[Stanowisko / Position ]],0)))</f>
        <v>1</v>
      </c>
      <c r="EO94" s="443">
        <f>IF(INDEX(tab_MinKomp[Usuwanie przyczyn żródłowych],MATCH($B93,tab_MinKomp[[Stanowisko / Position ]:[Stanowisko / Position ]],0))="n/a","n/a",EO93-INDEX(tab_MinKomp[Usuwanie przyczyn żródłowych],MATCH($B93,tab_MinKomp[[Stanowisko / Position ]:[Stanowisko / Position ]],0)))</f>
        <v>0</v>
      </c>
      <c r="EP94" s="443">
        <f>IF(INDEX(tab_MinKomp[Cmms stosowanie],MATCH($B93,tab_MinKomp[[Stanowisko / Position ]:[Stanowisko / Position ]],0))="n/a","n/a",EP93-INDEX(tab_MinKomp[Cmms stosowanie],MATCH($B93,tab_MinKomp[[Stanowisko / Position ]:[Stanowisko / Position ]],0)))</f>
        <v>1</v>
      </c>
      <c r="EQ94" s="443">
        <f>IF(INDEX(tab_MinKomp[[Czyszczenie form gumowych ]],MATCH($B93,tab_MinKomp[[Stanowisko / Position ]:[Stanowisko / Position ]],0))="n/a","n/a",EQ93-INDEX(tab_MinKomp[[Czyszczenie form gumowych ]],MATCH($B93,tab_MinKomp[[Stanowisko / Position ]:[Stanowisko / Position ]],0)))</f>
        <v>1</v>
      </c>
      <c r="ER94" s="443" t="str">
        <f>IF(INDEX(tab_MinKomp[Specjalista BHP / BHP Spezialist],MATCH($B93,tab_MinKomp[[Stanowisko / Position ]:[Stanowisko / Position ]],0))="n/a","n/a",ER93-INDEX(tab_MinKomp[Specjalista BHP / BHP Spezialist],MATCH($B93,tab_MinKomp[[Stanowisko / Position ]:[Stanowisko / Position ]],0)))</f>
        <v>n/a</v>
      </c>
      <c r="ES94" s="443" t="str">
        <f>IF(INDEX(tab_MinKomp[Wymiana form plastik],MATCH($B93,tab_MinKomp[[Stanowisko / Position ]:[Stanowisko / Position ]],0))="n/a","n/a",ES93-INDEX(tab_MinKomp[Wymiana form plastik],MATCH($B93,tab_MinKomp[[Stanowisko / Position ]:[Stanowisko / Position ]],0)))</f>
        <v>n/a</v>
      </c>
      <c r="ET94" s="443" t="str">
        <f>IF(INDEX(tab_MinKomp[Wymiana form guma],MATCH($B93,tab_MinKomp[[Stanowisko / Position ]:[Stanowisko / Position ]],0))="n/a","n/a",ET93-INDEX(tab_MinKomp[Wymiana form guma],MATCH($B93,tab_MinKomp[[Stanowisko / Position ]:[Stanowisko / Position ]],0)))</f>
        <v>n/a</v>
      </c>
      <c r="EU94" s="443" t="str">
        <f>IF(INDEX(tab_MinKomp[Konserwacja KK],MATCH($B93,tab_MinKomp[[Stanowisko / Position ]:[Stanowisko / Position ]],0))="n/a","n/a",EU93-INDEX(tab_MinKomp[Konserwacja KK],MATCH($B93,tab_MinKomp[[Stanowisko / Position ]:[Stanowisko / Position ]],0)))</f>
        <v>n/a</v>
      </c>
      <c r="EV94" s="443" t="str">
        <f>IF(INDEX(tab_MinKomp[Konserwacja form guma],MATCH($B93,tab_MinKomp[[Stanowisko / Position ]:[Stanowisko / Position ]],0))="n/a","n/a",EV93-INDEX(tab_MinKomp[Konserwacja form guma],MATCH($B93,tab_MinKomp[[Stanowisko / Position ]:[Stanowisko / Position ]],0)))</f>
        <v>n/a</v>
      </c>
      <c r="EW94" s="330" t="str">
        <f>IF(INDEX(tab_MinKomp[Konserwacja form plastiki],MATCH($B93,tab_MinKomp[[Stanowisko / Position ]:[Stanowisko / Position ]],0))="n/a","n/a",EW93-INDEX(tab_MinKomp[Konserwacja form plastiki],MATCH($B93,tab_MinKomp[[Stanowisko / Position ]:[Stanowisko / Position ]],0)))</f>
        <v>n/a</v>
      </c>
      <c r="EX94" s="443" t="str">
        <f>IF(INDEX(tab_MinKomp[Konserwacja form plastiki],MATCH($B93,tab_MinKomp[[Stanowisko / Position ]:[Stanowisko / Position ]],0))="n/a","n/a",EX93-INDEX(tab_MinKomp[Konserwacja form plastiki],MATCH($B93,tab_MinKomp[[Stanowisko / Position ]:[Stanowisko / Position ]],0)))</f>
        <v>n/a</v>
      </c>
      <c r="EY94" s="443" t="str">
        <f>IF(INDEX(tab_MinKomp[Konserwacja Gorącego Kanału],MATCH($B93,tab_MinKomp[[Stanowisko / Position ]:[Stanowisko / Position ]],0))="n/a","n/a",EY93-INDEX(tab_MinKomp[Konserwacja Gorącego Kanału],MATCH($B93,tab_MinKomp[[Stanowisko / Position ]:[Stanowisko / Position ]],0)))</f>
        <v>n/a</v>
      </c>
      <c r="EZ94" s="443">
        <f>IF(INDEX(tab_MinKomp[MS Office (Excel)],MATCH($B93,tab_MinKomp[[Stanowisko / Position ]:[Stanowisko / Position ]],0))="n/a","n/a",EZ93-INDEX(tab_MinKomp[MS Office (Excel)],MATCH($B93,tab_MinKomp[[Stanowisko / Position ]:[Stanowisko / Position ]],0)))</f>
        <v>1</v>
      </c>
      <c r="FA94" s="443">
        <f>IF(INDEX(tab_MinKomp[MS Office (Word)],MATCH($B93,tab_MinKomp[[Stanowisko / Position ]:[Stanowisko / Position ]],0))="n/a","n/a",FA93-INDEX(tab_MinKomp[MS Office (Word)],MATCH($B93,tab_MinKomp[[Stanowisko / Position ]:[Stanowisko / Position ]],0)))</f>
        <v>1</v>
      </c>
      <c r="FB94" s="443" t="str">
        <f>IF(INDEX(tab_MinKomp[Specjalista BHP / BHP Spezialist],MATCH($B93,tab_MinKomp[[Stanowisko / Position ]:[Stanowisko / Position ]],0))="n/a","n/a",FB93-INDEX(tab_MinKomp[Specjalista BHP / BHP Spezialist],MATCH($B93,tab_MinKomp[[Stanowisko / Position ]:[Stanowisko / Position ]],0)))</f>
        <v>n/a</v>
      </c>
      <c r="FC94" s="443" t="str">
        <f>IF(INDEX(tab_MinKomp[Język angielski / Englisch],MATCH($B93,tab_MinKomp[[Stanowisko / Position ]:[Stanowisko / Position ]],0))="n/a","n/a",FC93-INDEX(tab_MinKomp[Język angielski / Englisch],MATCH($B93,tab_MinKomp[[Stanowisko / Position ]:[Stanowisko / Position ]],0)))</f>
        <v>n/a</v>
      </c>
      <c r="FD94" s="443" t="str">
        <f>IF(INDEX(tab_MinKomp[Język niemiecki / Deutsch],MATCH($B93,tab_MinKomp[[Stanowisko / Position ]:[Stanowisko / Position ]],0))="n/a","n/a",FD93-INDEX(tab_MinKomp[Język niemiecki / Deutsch],MATCH($B93,tab_MinKomp[[Stanowisko / Position ]:[Stanowisko / Position ]],0)))</f>
        <v>n/a</v>
      </c>
      <c r="FE94" s="443">
        <f>IF(INDEX(tab_MinKomp[Zarządzanie dokumentacją procesową / Process dokumentation management],MATCH($B93,tab_MinKomp[[Stanowisko / Position ]:[Stanowisko / Position ]],0))="n/a","n/a",FE93-INDEX(tab_MinKomp[Zarządzanie dokumentacją procesową / Process dokumentation management],MATCH($B93,tab_MinKomp[[Stanowisko / Position ]:[Stanowisko / Position ]],0)))</f>
        <v>1</v>
      </c>
      <c r="FF94" s="443">
        <f>IF(INDEX(tab_MinKomp[Znajomość procesów z obszaru / Kenntiss der prozesse in dem Bereich],MATCH($B93,tab_MinKomp[[Stanowisko / Position ]:[Stanowisko / Position ]],0))="n/a","n/a",FF93-INDEX(tab_MinKomp[Znajomość procesów z obszaru / Kenntiss der prozesse in dem Bereich],MATCH($B93,tab_MinKomp[[Stanowisko / Position ]:[Stanowisko / Position ]],0)))</f>
        <v>0</v>
      </c>
      <c r="FG94" s="443">
        <f>IF(INDEX(tab_MinKomp[optymalizacja procesów / Prozessoptymalisierung],MATCH($B93,tab_MinKomp[[Stanowisko / Position ]:[Stanowisko / Position ]],0))="n/a","n/a",FG93-INDEX(tab_MinKomp[optymalizacja procesów / Prozessoptymalisierung],MATCH($B93,tab_MinKomp[[Stanowisko / Position ]:[Stanowisko / Position ]],0)))</f>
        <v>1</v>
      </c>
      <c r="FH94" s="443">
        <f>IF(INDEX(tab_MinKomp[Umiejętności szkoleniowe / Trainingsfähigkeiten],MATCH($B93,tab_MinKomp[[Stanowisko / Position ]:[Stanowisko / Position ]],0))="n/a","n/a",FH93-INDEX(tab_MinKomp[Umiejętności szkoleniowe / Trainingsfähigkeiten],MATCH($B93,tab_MinKomp[[Stanowisko / Position ]:[Stanowisko / Position ]],0)))</f>
        <v>0</v>
      </c>
      <c r="FI94" s="443">
        <f>IF(INDEX(tab_MinKomp[Analityczne myślenie, podejście / Analitysches Denken, Einstellung],MATCH($B93,tab_MinKomp[[Stanowisko / Position ]:[Stanowisko / Position ]],0))="n/a","n/a",FI93-INDEX(tab_MinKomp[Analityczne myślenie, podejście / Analitysches Denken, Einstellung],MATCH($B93,tab_MinKomp[[Stanowisko / Position ]:[Stanowisko / Position ]],0)))</f>
        <v>0</v>
      </c>
      <c r="FJ94" s="443">
        <f>IF(INDEX(tab_MinKomp[Dokładność, precyzja w dzialaniu / Genauigkeit, Präzision in die Arbeit],MATCH($B93,tab_MinKomp[[Stanowisko / Position ]:[Stanowisko / Position ]],0))="n/a","n/a",FJ93-INDEX(tab_MinKomp[Dokładność, precyzja w dzialaniu / Genauigkeit, Präzision in die Arbeit],MATCH($B93,tab_MinKomp[[Stanowisko / Position ]:[Stanowisko / Position ]],0)))</f>
        <v>0</v>
      </c>
      <c r="FK94" s="443">
        <f>IF(INDEX(tab_MinKomp[Dyspozycyjność / Verfügbarkeit],MATCH($B93,tab_MinKomp[[Stanowisko / Position ]:[Stanowisko / Position ]],0))="n/a","n/a",FK93-INDEX(tab_MinKomp[Dyspozycyjność / Verfügbarkeit],MATCH($B93,tab_MinKomp[[Stanowisko / Position ]:[Stanowisko / Position ]],0)))</f>
        <v>0</v>
      </c>
      <c r="FL94" s="443" t="str">
        <f>IF(INDEX(tab_MinKomp[Specjalista BHP / BHP Spezialist],MATCH($B93,tab_MinKomp[[Stanowisko / Position ]:[Stanowisko / Position ]],0))="n/a","n/a",FL93-INDEX(tab_MinKomp[Specjalista BHP / BHP Spezialist],MATCH($B93,tab_MinKomp[[Stanowisko / Position ]:[Stanowisko / Position ]],0)))</f>
        <v>n/a</v>
      </c>
      <c r="FM94" s="443" t="str">
        <f>IF(INDEX(tab_MinKomp[Planowanie strategiczne / Strategische Planung],MATCH($B93,tab_MinKomp[[Stanowisko / Position ]:[Stanowisko / Position ]],0))="n/a","n/a",FM93-INDEX(tab_MinKomp[Planowanie strategiczne / Strategische Planung],MATCH($B93,tab_MinKomp[[Stanowisko / Position ]:[Stanowisko / Position ]],0)))</f>
        <v>n/a</v>
      </c>
      <c r="FN94" s="443">
        <f>IF(INDEX(tab_MinKomp[Konsekwentne i dynamiczne działanie],MATCH($B93,tab_MinKomp[[Stanowisko / Position ]:[Stanowisko / Position ]],0))="n/a","n/a",FN93-INDEX(tab_MinKomp[Konsekwentne i dynamiczne działanie],MATCH($B93,tab_MinKomp[[Stanowisko / Position ]:[Stanowisko / Position ]],0)))</f>
        <v>0</v>
      </c>
      <c r="FO94" s="443">
        <f>IF(INDEX(tab_MinKomp[Elastyczność w działaniu],MATCH($B93,tab_MinKomp[[Stanowisko / Position ]:[Stanowisko / Position ]],0))="n/a","n/a",FO93-INDEX(tab_MinKomp[Elastyczność w działaniu],MATCH($B93,tab_MinKomp[[Stanowisko / Position ]:[Stanowisko / Position ]],0)))</f>
        <v>0</v>
      </c>
      <c r="FP94" s="443">
        <f>IF(INDEX(tab_MinKomp[Komunikatywność],MATCH($B93,tab_MinKomp[[Stanowisko / Position ]:[Stanowisko / Position ]],0))="n/a","n/a",FP93-INDEX(tab_MinKomp[Komunikatywność],MATCH($B93,tab_MinKomp[[Stanowisko / Position ]:[Stanowisko / Position ]],0)))</f>
        <v>0</v>
      </c>
      <c r="FQ94" s="443" t="str">
        <f>IF(INDEX(tab_MinKomp[Specjalista BHP / BHP Spezialist],MATCH($B93,tab_MinKomp[[Stanowisko / Position ]:[Stanowisko / Position ]],0))="n/a","n/a",FQ93-INDEX(tab_MinKomp[Specjalista BHP / BHP Spezialist],MATCH($B93,tab_MinKomp[[Stanowisko / Position ]:[Stanowisko / Position ]],0)))</f>
        <v>n/a</v>
      </c>
      <c r="FR94" s="443" t="s">
        <v>387</v>
      </c>
      <c r="FS94" s="443" t="str">
        <f>IF(INDEX(tab_MinKomp[Specjalista BHP / BHP Spezialist],MATCH($B93,tab_MinKomp[[Stanowisko / Position ]:[Stanowisko / Position ]],0))="n/a","n/a",FS93-INDEX(tab_MinKomp[Specjalista BHP / BHP Spezialist],MATCH($B93,tab_MinKomp[[Stanowisko / Position ]:[Stanowisko / Position ]],0)))</f>
        <v>n/a</v>
      </c>
      <c r="FT94" s="443" t="str">
        <f>IF(INDEX(tab_MinKomp[MINIMUM 2 LATA / min. 2 Jahre],MATCH($B93,tab_MinKomp[[Stanowisko / Position ]:[Stanowisko / Position ]],0))="n/a","n/a",FT93-INDEX(tab_MinKomp[MINIMUM 2 LATA / min. 2 Jahre],MATCH($B93,tab_MinKomp[[Stanowisko / Position ]:[Stanowisko / Position ]],0)))</f>
        <v>n/a</v>
      </c>
      <c r="FU94" s="443" t="str">
        <f>IF(INDEX(tab_MinKomp[MINIMUM 3 LATA / min. 3 Jahre],MATCH($B93,tab_MinKomp[[Stanowisko / Position ]:[Stanowisko / Position ]],0))="n/a","n/a",FU93-INDEX(tab_MinKomp[MINIMUM 3 LATA / min. 3 Jahre],MATCH($B93,tab_MinKomp[[Stanowisko / Position ]:[Stanowisko / Position ]],0)))</f>
        <v>n/a</v>
      </c>
      <c r="FV94" s="443" t="str">
        <f>IF(INDEX(tab_MinKomp[MINIMUM 4 LATA / min. 4 Jahre],MATCH($B93,tab_MinKomp[[Stanowisko / Position ]:[Stanowisko / Position ]],0))="n/a","n/a",FV93-INDEX(tab_MinKomp[MINIMUM 4 LATA / min. 4 Jahre],MATCH($B93,tab_MinKomp[[Stanowisko / Position ]:[Stanowisko / Position ]],0)))</f>
        <v>n/a</v>
      </c>
      <c r="FW94" s="443" t="str">
        <f>IF(INDEX(tab_MinKomp[MINIMUM 5 LAT / min. 5 Jahre],MATCH($B93,tab_MinKomp[[Stanowisko / Position ]:[Stanowisko / Position ]],0))="n/a","n/a",FW93-INDEX(tab_MinKomp[MINIMUM 5 LAT / min. 5 Jahre],MATCH($B93,tab_MinKomp[[Stanowisko / Position ]:[Stanowisko / Position ]],0)))</f>
        <v>n/a</v>
      </c>
      <c r="FX94" s="443" t="str">
        <f>IF(INDEX(tab_MinKomp[BRAK / Keine9],MATCH($B93,tab_MinKomp[[Stanowisko / Position ]:[Stanowisko / Position ]],0))="n/a","n/a",FX93-INDEX(tab_MinKomp[BRAK / Keine9],MATCH($B93,tab_MinKomp[[Stanowisko / Position ]:[Stanowisko / Position ]],0)))</f>
        <v>n/a</v>
      </c>
      <c r="FY94" s="443" t="str">
        <f>IF(INDEX(tab_MinKomp[ZAWODOWE / Berufsausbildung],MATCH($B93,tab_MinKomp[[Stanowisko / Position ]:[Stanowisko / Position ]],0))="n/a","n/a",FY93-INDEX(tab_MinKomp[ZAWODOWE / Berufsausbildung],MATCH($B93,tab_MinKomp[[Stanowisko / Position ]:[Stanowisko / Position ]],0)))</f>
        <v>n/a</v>
      </c>
      <c r="FZ94" s="443" t="str">
        <f>IF(INDEX(tab_MinKomp[ŚREDNIE OGÓLNE / Abitur allgemeine],MATCH($B93,tab_MinKomp[[Stanowisko / Position ]:[Stanowisko / Position ]],0))="n/a","n/a",FZ93-INDEX(tab_MinKomp[ŚREDNIE OGÓLNE / Abitur allgemeine],MATCH($B93,tab_MinKomp[[Stanowisko / Position ]:[Stanowisko / Position ]],0)))</f>
        <v>n/a</v>
      </c>
      <c r="GA94" s="443" t="str">
        <f>IF(INDEX(tab_MinKomp[ŚREDNIE KIERUNKOWE / berufliches Gymnasium],MATCH($B93,tab_MinKomp[[Stanowisko / Position ]:[Stanowisko / Position ]],0))="n/a","n/a",GA93-INDEX(tab_MinKomp[ŚREDNIE KIERUNKOWE / berufliches Gymnasium],MATCH($B93,tab_MinKomp[[Stanowisko / Position ]:[Stanowisko / Position ]],0)))</f>
        <v>n/a</v>
      </c>
      <c r="GB94" s="443" t="s">
        <v>387</v>
      </c>
      <c r="GC94" s="443" t="s">
        <v>387</v>
      </c>
      <c r="GD94" s="443" t="str">
        <f>IF(INDEX(tab_MinKomp[Specjalista BHP / BHP Spezialist],MATCH($B93,tab_MinKomp[[Stanowisko / Position ]:[Stanowisko / Position ]],0))="n/a","n/a",GD93-INDEX(tab_MinKomp[Specjalista BHP / BHP Spezialist],MATCH($B93,tab_MinKomp[[Stanowisko / Position ]:[Stanowisko / Position ]],0)))</f>
        <v>n/a</v>
      </c>
      <c r="GE94" s="443" t="str">
        <f>IF(INDEX(tab_MinKomp[Specjalista BHP / BHP Spezialist],MATCH($B93,tab_MinKomp[[Stanowisko / Position ]:[Stanowisko / Position ]],0))="n/a","n/a",GE93-INDEX(tab_MinKomp[Specjalista BHP / BHP Spezialist],MATCH($B93,tab_MinKomp[[Stanowisko / Position ]:[Stanowisko / Position ]],0)))</f>
        <v>n/a</v>
      </c>
      <c r="GF94" s="443" t="str">
        <f>IF(INDEX(tab_MinKomp[Inspektor ochrony PPOŻ / Brandschutzinspektor],MATCH($B93,tab_MinKomp[[Stanowisko / Position ]:[Stanowisko / Position ]],0))="n/a","n/a",GF93-INDEX(tab_MinKomp[Inspektor ochrony PPOŻ / Brandschutzinspektor],MATCH($B93,tab_MinKomp[[Stanowisko / Position ]:[Stanowisko / Position ]],0)))</f>
        <v>n/a</v>
      </c>
      <c r="GG94" s="443" t="str">
        <f>IF(INDEX(tab_MinKomp[WÓZKI JEZDNIOWE / Gebelstapler],MATCH($B93,tab_MinKomp[[Stanowisko / Position ]:[Stanowisko / Position ]],0))="n/a","n/a",GG93-INDEX(tab_MinKomp[WÓZKI JEZDNIOWE / Gebelstapler],MATCH($B93,tab_MinKomp[[Stanowisko / Position ]:[Stanowisko / Position ]],0)))</f>
        <v>n/a</v>
      </c>
      <c r="GH94" s="443" t="str">
        <f>IF(INDEX(tab_MinKomp[SEP],MATCH($B93,tab_MinKomp[[Stanowisko / Position ]:[Stanowisko / Position ]],0))="n/a","n/a",GH93-INDEX(tab_MinKomp[SEP],MATCH($B93,tab_MinKomp[[Stanowisko / Position ]:[Stanowisko / Position ]],0)))</f>
        <v>n/a</v>
      </c>
      <c r="GI94" s="443" t="str">
        <f>IF(INDEX(tab_MinKomp[SEP  DOZÓR / SEP Aufsicht],MATCH($B93,tab_MinKomp[[Stanowisko / Position ]:[Stanowisko / Position ]],0))="n/a","n/a",GI93-INDEX(tab_MinKomp[SEP  DOZÓR / SEP Aufsicht],MATCH($B93,tab_MinKomp[[Stanowisko / Position ]:[Stanowisko / Position ]],0)))</f>
        <v>n/a</v>
      </c>
      <c r="GJ94" s="443" t="str">
        <f>IF(INDEX(tab_MinKomp[PODNOŚNIKI / Hebevorrichtung],MATCH($B93,tab_MinKomp[[Stanowisko / Position ]:[Stanowisko / Position ]],0))="n/a","n/a",GJ93-INDEX(tab_MinKomp[PODNOŚNIKI / Hebevorrichtung],MATCH($B93,tab_MinKomp[[Stanowisko / Position ]:[Stanowisko / Position ]],0)))</f>
        <v>n/a</v>
      </c>
      <c r="GK94" s="443" t="str">
        <f>IF(INDEX(tab_MinKomp[SUWNICE / Laufkran],MATCH($B93,tab_MinKomp[[Stanowisko / Position ]:[Stanowisko / Position ]],0))="n/a","n/a",GK93-INDEX(tab_MinKomp[SUWNICE / Laufkran],MATCH($B93,tab_MinKomp[[Stanowisko / Position ]:[Stanowisko / Position ]],0)))</f>
        <v>n/a</v>
      </c>
      <c r="GL94" s="320">
        <f>SUM(G94:FP94)/(GL93-(SUM(G94:FP94)))</f>
        <v>0.1368421052631579</v>
      </c>
    </row>
    <row r="95" spans="1:195" ht="28.35" customHeight="1" x14ac:dyDescent="0.25">
      <c r="A95" s="138" t="s">
        <v>559</v>
      </c>
      <c r="B95" s="138" t="s">
        <v>674</v>
      </c>
      <c r="C95" s="138" t="s">
        <v>226</v>
      </c>
      <c r="D95" s="138">
        <v>437</v>
      </c>
      <c r="E95" s="565" t="s">
        <v>641</v>
      </c>
      <c r="F95" s="452" t="s">
        <v>165</v>
      </c>
      <c r="G95" s="308">
        <v>2</v>
      </c>
      <c r="H95" s="308">
        <v>2</v>
      </c>
      <c r="I95" s="308">
        <v>2</v>
      </c>
      <c r="J95" s="308">
        <v>1</v>
      </c>
      <c r="K95" s="308">
        <v>2</v>
      </c>
      <c r="L95" s="308">
        <v>1</v>
      </c>
      <c r="M95" s="308" t="s">
        <v>176</v>
      </c>
      <c r="N95" s="308" t="s">
        <v>176</v>
      </c>
      <c r="O95" s="308">
        <v>1</v>
      </c>
      <c r="P95" s="308">
        <v>1</v>
      </c>
      <c r="Q95" s="308" t="s">
        <v>176</v>
      </c>
      <c r="R95" s="308" t="s">
        <v>176</v>
      </c>
      <c r="S95" s="308" t="s">
        <v>176</v>
      </c>
      <c r="T95" s="308" t="s">
        <v>176</v>
      </c>
      <c r="U95" s="308" t="s">
        <v>176</v>
      </c>
      <c r="V95" s="308" t="s">
        <v>176</v>
      </c>
      <c r="W95" s="308" t="s">
        <v>176</v>
      </c>
      <c r="X95" s="308" t="s">
        <v>176</v>
      </c>
      <c r="Y95" s="308" t="s">
        <v>176</v>
      </c>
      <c r="Z95" s="308" t="s">
        <v>176</v>
      </c>
      <c r="AA95" s="308" t="s">
        <v>176</v>
      </c>
      <c r="AB95" s="308" t="s">
        <v>176</v>
      </c>
      <c r="AC95" s="308">
        <v>1</v>
      </c>
      <c r="AD95" s="308">
        <v>1</v>
      </c>
      <c r="AE95" s="308" t="s">
        <v>176</v>
      </c>
      <c r="AF95" s="308" t="s">
        <v>176</v>
      </c>
      <c r="AG95" s="308" t="s">
        <v>176</v>
      </c>
      <c r="AH95" s="308" t="s">
        <v>176</v>
      </c>
      <c r="AI95" s="308" t="s">
        <v>176</v>
      </c>
      <c r="AJ95" s="308" t="s">
        <v>176</v>
      </c>
      <c r="AK95" s="308" t="s">
        <v>176</v>
      </c>
      <c r="AL95" s="308">
        <v>1</v>
      </c>
      <c r="AM95" s="308">
        <v>1</v>
      </c>
      <c r="AN95" s="308" t="s">
        <v>176</v>
      </c>
      <c r="AO95" s="308">
        <v>1</v>
      </c>
      <c r="AP95" s="308">
        <v>1</v>
      </c>
      <c r="AQ95" s="308">
        <v>2</v>
      </c>
      <c r="AR95" s="308">
        <v>1</v>
      </c>
      <c r="AS95" s="308">
        <v>1</v>
      </c>
      <c r="AT95" s="308">
        <v>1</v>
      </c>
      <c r="AU95" s="308">
        <v>1</v>
      </c>
      <c r="AV95" s="308">
        <v>1</v>
      </c>
      <c r="AW95" s="308">
        <v>1</v>
      </c>
      <c r="AX95" s="308">
        <v>1</v>
      </c>
      <c r="AY95" s="308" t="s">
        <v>176</v>
      </c>
      <c r="AZ95" s="308">
        <v>1</v>
      </c>
      <c r="BA95" s="308" t="s">
        <v>176</v>
      </c>
      <c r="BB95" s="308" t="s">
        <v>176</v>
      </c>
      <c r="BC95" s="308" t="s">
        <v>176</v>
      </c>
      <c r="BD95" s="308" t="s">
        <v>176</v>
      </c>
      <c r="BE95" s="308" t="s">
        <v>176</v>
      </c>
      <c r="BF95" s="308" t="s">
        <v>176</v>
      </c>
      <c r="BG95" s="308" t="s">
        <v>176</v>
      </c>
      <c r="BH95" s="308" t="s">
        <v>176</v>
      </c>
      <c r="BI95" s="308" t="s">
        <v>176</v>
      </c>
      <c r="BJ95" s="308" t="s">
        <v>176</v>
      </c>
      <c r="BK95" s="308" t="s">
        <v>176</v>
      </c>
      <c r="BL95" s="308" t="s">
        <v>176</v>
      </c>
      <c r="BM95" s="308">
        <v>1</v>
      </c>
      <c r="BN95" s="308">
        <v>0</v>
      </c>
      <c r="BO95" s="308">
        <v>1</v>
      </c>
      <c r="BP95" s="308">
        <v>1</v>
      </c>
      <c r="BQ95" s="308">
        <v>1</v>
      </c>
      <c r="BR95" s="308">
        <v>1</v>
      </c>
      <c r="BS95" s="308">
        <v>1</v>
      </c>
      <c r="BT95" s="308">
        <v>0</v>
      </c>
      <c r="BU95" s="308">
        <v>1</v>
      </c>
      <c r="BV95" s="308">
        <v>1</v>
      </c>
      <c r="BW95" s="308">
        <v>1</v>
      </c>
      <c r="BX95" s="308" t="s">
        <v>176</v>
      </c>
      <c r="BY95" s="308">
        <v>1</v>
      </c>
      <c r="BZ95" s="308" t="s">
        <v>176</v>
      </c>
      <c r="CA95" s="308" t="s">
        <v>176</v>
      </c>
      <c r="CB95" s="308" t="s">
        <v>176</v>
      </c>
      <c r="CC95" s="308" t="s">
        <v>176</v>
      </c>
      <c r="CD95" s="308" t="s">
        <v>176</v>
      </c>
      <c r="CE95" s="308" t="s">
        <v>176</v>
      </c>
      <c r="CF95" s="308" t="s">
        <v>176</v>
      </c>
      <c r="CG95" s="308" t="s">
        <v>176</v>
      </c>
      <c r="CH95" s="308" t="s">
        <v>176</v>
      </c>
      <c r="CI95" s="308">
        <v>1</v>
      </c>
      <c r="CJ95" s="308" t="s">
        <v>176</v>
      </c>
      <c r="CK95" s="308" t="s">
        <v>176</v>
      </c>
      <c r="CL95" s="308" t="s">
        <v>176</v>
      </c>
      <c r="CM95" s="308">
        <v>1</v>
      </c>
      <c r="CN95" s="308">
        <v>1</v>
      </c>
      <c r="CO95" s="308">
        <v>1</v>
      </c>
      <c r="CP95" s="308">
        <v>2</v>
      </c>
      <c r="CQ95" s="308" t="s">
        <v>176</v>
      </c>
      <c r="CR95" s="308" t="s">
        <v>176</v>
      </c>
      <c r="CS95" s="308" t="s">
        <v>176</v>
      </c>
      <c r="CT95" s="308" t="s">
        <v>176</v>
      </c>
      <c r="CU95" s="308">
        <v>1</v>
      </c>
      <c r="CV95" s="308">
        <v>1</v>
      </c>
      <c r="CW95" s="308" t="s">
        <v>176</v>
      </c>
      <c r="CX95" s="308" t="s">
        <v>176</v>
      </c>
      <c r="CY95" s="308" t="s">
        <v>176</v>
      </c>
      <c r="CZ95" s="308" t="s">
        <v>176</v>
      </c>
      <c r="DA95" s="308" t="s">
        <v>176</v>
      </c>
      <c r="DB95" s="308" t="s">
        <v>176</v>
      </c>
      <c r="DC95" s="308" t="s">
        <v>176</v>
      </c>
      <c r="DD95" s="308" t="s">
        <v>176</v>
      </c>
      <c r="DE95" s="308" t="s">
        <v>176</v>
      </c>
      <c r="DF95" s="308" t="s">
        <v>176</v>
      </c>
      <c r="DG95" s="308" t="s">
        <v>176</v>
      </c>
      <c r="DH95" s="308" t="s">
        <v>176</v>
      </c>
      <c r="DI95" s="308" t="s">
        <v>176</v>
      </c>
      <c r="DJ95" s="308" t="s">
        <v>176</v>
      </c>
      <c r="DK95" s="308" t="s">
        <v>176</v>
      </c>
      <c r="DL95" s="308" t="s">
        <v>176</v>
      </c>
      <c r="DM95" s="308" t="s">
        <v>176</v>
      </c>
      <c r="DN95" s="308" t="s">
        <v>176</v>
      </c>
      <c r="DO95" s="308" t="s">
        <v>176</v>
      </c>
      <c r="DP95" s="308" t="s">
        <v>176</v>
      </c>
      <c r="DQ95" s="308" t="s">
        <v>176</v>
      </c>
      <c r="DR95" s="308" t="s">
        <v>176</v>
      </c>
      <c r="DS95" s="308" t="s">
        <v>176</v>
      </c>
      <c r="DT95" s="308" t="s">
        <v>176</v>
      </c>
      <c r="DU95" s="308">
        <v>1</v>
      </c>
      <c r="DV95" s="308">
        <v>1</v>
      </c>
      <c r="DW95" s="308">
        <v>1</v>
      </c>
      <c r="DX95" s="308">
        <v>1</v>
      </c>
      <c r="DY95" s="308" t="s">
        <v>176</v>
      </c>
      <c r="DZ95" s="308" t="s">
        <v>176</v>
      </c>
      <c r="EA95" s="308" t="s">
        <v>176</v>
      </c>
      <c r="EB95" s="308" t="s">
        <v>176</v>
      </c>
      <c r="EC95" s="308" t="s">
        <v>176</v>
      </c>
      <c r="ED95" s="308" t="s">
        <v>176</v>
      </c>
      <c r="EE95" s="308" t="s">
        <v>176</v>
      </c>
      <c r="EF95" s="308">
        <v>1</v>
      </c>
      <c r="EG95" s="308">
        <v>1</v>
      </c>
      <c r="EH95" s="308">
        <v>1</v>
      </c>
      <c r="EI95" s="308">
        <v>1</v>
      </c>
      <c r="EJ95" s="308">
        <v>1</v>
      </c>
      <c r="EK95" s="308">
        <v>1</v>
      </c>
      <c r="EL95" s="308">
        <v>1</v>
      </c>
      <c r="EM95" s="308">
        <v>1</v>
      </c>
      <c r="EN95" s="308">
        <v>1</v>
      </c>
      <c r="EO95" s="308">
        <v>1</v>
      </c>
      <c r="EP95" s="308">
        <v>1</v>
      </c>
      <c r="EQ95" s="308">
        <v>1</v>
      </c>
      <c r="ER95" s="308" t="s">
        <v>176</v>
      </c>
      <c r="ES95" s="308" t="s">
        <v>176</v>
      </c>
      <c r="ET95" s="308" t="s">
        <v>176</v>
      </c>
      <c r="EU95" s="308" t="s">
        <v>176</v>
      </c>
      <c r="EV95" s="308" t="s">
        <v>176</v>
      </c>
      <c r="EW95" s="308" t="s">
        <v>176</v>
      </c>
      <c r="EX95" s="308" t="s">
        <v>176</v>
      </c>
      <c r="EY95" s="308">
        <v>1</v>
      </c>
      <c r="EZ95" s="308">
        <v>1</v>
      </c>
      <c r="FA95" s="308">
        <v>1</v>
      </c>
      <c r="FB95" s="308" t="s">
        <v>176</v>
      </c>
      <c r="FC95" s="308" t="s">
        <v>176</v>
      </c>
      <c r="FD95" s="308">
        <v>1</v>
      </c>
      <c r="FE95" s="308">
        <v>2</v>
      </c>
      <c r="FF95" s="308">
        <v>1</v>
      </c>
      <c r="FG95" s="308">
        <v>1</v>
      </c>
      <c r="FH95" s="308">
        <v>1</v>
      </c>
      <c r="FI95" s="308">
        <v>1</v>
      </c>
      <c r="FJ95" s="308">
        <v>2</v>
      </c>
      <c r="FK95" s="308">
        <v>1</v>
      </c>
      <c r="FL95" s="308" t="s">
        <v>176</v>
      </c>
      <c r="FM95" s="308">
        <v>1</v>
      </c>
      <c r="FN95" s="308">
        <v>1</v>
      </c>
      <c r="FO95" s="308">
        <v>2</v>
      </c>
      <c r="FP95" s="308">
        <v>1</v>
      </c>
      <c r="FQ95" s="308" t="s">
        <v>176</v>
      </c>
      <c r="FR95" s="308" t="s">
        <v>387</v>
      </c>
      <c r="FS95" s="308" t="s">
        <v>176</v>
      </c>
      <c r="FT95" s="308" t="s">
        <v>176</v>
      </c>
      <c r="FU95" s="308" t="s">
        <v>176</v>
      </c>
      <c r="FV95" s="308" t="s">
        <v>176</v>
      </c>
      <c r="FW95" s="308" t="s">
        <v>176</v>
      </c>
      <c r="FX95" s="308" t="s">
        <v>176</v>
      </c>
      <c r="FY95" s="308" t="s">
        <v>176</v>
      </c>
      <c r="FZ95" s="308" t="s">
        <v>176</v>
      </c>
      <c r="GA95" s="308" t="s">
        <v>176</v>
      </c>
      <c r="GB95" s="308" t="s">
        <v>387</v>
      </c>
      <c r="GC95" s="308"/>
      <c r="GD95" s="308" t="s">
        <v>176</v>
      </c>
      <c r="GE95" s="308" t="s">
        <v>176</v>
      </c>
      <c r="GF95" s="308" t="s">
        <v>176</v>
      </c>
      <c r="GG95" s="308" t="s">
        <v>176</v>
      </c>
      <c r="GH95" s="308" t="s">
        <v>176</v>
      </c>
      <c r="GI95" s="308" t="s">
        <v>176</v>
      </c>
      <c r="GJ95" s="308" t="s">
        <v>176</v>
      </c>
      <c r="GK95" s="308" t="s">
        <v>176</v>
      </c>
      <c r="GL95" s="311">
        <f>SUM(G95:FP95)</f>
        <v>80</v>
      </c>
    </row>
    <row r="96" spans="1:195" ht="28.35" customHeight="1" thickBot="1" x14ac:dyDescent="0.3">
      <c r="A96" s="138" t="s">
        <v>559</v>
      </c>
      <c r="B96" s="138" t="s">
        <v>674</v>
      </c>
      <c r="C96" s="138" t="str">
        <f>C95</f>
        <v>DD</v>
      </c>
      <c r="D96" s="138">
        <v>437</v>
      </c>
      <c r="E96" s="566" t="str">
        <f>E95</f>
        <v>Szymanowski Piotr</v>
      </c>
      <c r="F96" s="312" t="s">
        <v>166</v>
      </c>
      <c r="G96" s="387">
        <f>IF(INDEX(tab_MinKomp[Przepisy BHP / BHP Vorschriften],MATCH($B95,tab_MinKomp[[Stanowisko / Position ]:[Stanowisko / Position ]],0))="n/a","n/a",G95-INDEX(tab_MinKomp[Przepisy BHP / BHP Vorschriften],MATCH($B95,tab_MinKomp[[Stanowisko / Position ]:[Stanowisko / Position ]],0)))</f>
        <v>0</v>
      </c>
      <c r="H96" s="387">
        <f>IF(INDEX(tab_MinKomp[Przepisy PPOŻ / Brandschutzbestimmungen],MATCH($B95,tab_MinKomp[[Stanowisko / Position ]:[Stanowisko / Position ]],0))="n/a","n/a",H95-INDEX(tab_MinKomp[Przepisy PPOŻ / Brandschutzbestimmungen],MATCH($B95,tab_MinKomp[[Stanowisko / Position ]:[Stanowisko / Position ]],0)))</f>
        <v>0</v>
      </c>
      <c r="I96" s="387">
        <f>IF(INDEX(tab_MinKomp[Ryzyko zawodowe na stanowiskach pracyv/ Berufliche Risiken an Arbeitsstellen],MATCH($B95,tab_MinKomp[[Stanowisko / Position ]:[Stanowisko / Position ]],0))="n/a","n/a",I95-INDEX(tab_MinKomp[Ryzyko zawodowe na stanowiskach pracyv/ Berufliche Risiken an Arbeitsstellen],MATCH($B95,tab_MinKomp[[Stanowisko / Position ]:[Stanowisko / Position ]],0)))</f>
        <v>0</v>
      </c>
      <c r="J96" s="387">
        <f>IF(INDEX(tab_MinKomp[Gospodarka substancjami niebezpiecznymi / Gefahrstoffmanagement],MATCH($B95,tab_MinKomp[[Stanowisko / Position ]:[Stanowisko / Position ]],0))="n/a","n/a",J95-INDEX(tab_MinKomp[Gospodarka substancjami niebezpiecznymi / Gefahrstoffmanagement],MATCH($B95,tab_MinKomp[[Stanowisko / Position ]:[Stanowisko / Position ]],0)))</f>
        <v>-1</v>
      </c>
      <c r="K96" s="387">
        <f>IF(INDEX(tab_MinKomp[Gospodarka odpadami / Abfallwirtschaft],MATCH($B95,tab_MinKomp[[Stanowisko / Position ]:[Stanowisko / Position ]],0))="n/a","n/a",K95-INDEX(tab_MinKomp[Gospodarka odpadami / Abfallwirtschaft],MATCH($B95,tab_MinKomp[[Stanowisko / Position ]:[Stanowisko / Position ]],0)))</f>
        <v>0</v>
      </c>
      <c r="L96" s="387">
        <f>IF(INDEX(tab_MinKomp[Przepisy kodeksu pracy / Bestimmungen des Arbeitsgesetzes],MATCH($B95,tab_MinKomp[[Stanowisko / Position ]:[Stanowisko / Position ]],0))="n/a","n/a",L95-INDEX(tab_MinKomp[Przepisy kodeksu pracy / Bestimmungen des Arbeitsgesetzes],MATCH($B95,tab_MinKomp[[Stanowisko / Position ]:[Stanowisko / Position ]],0)))</f>
        <v>0</v>
      </c>
      <c r="M96" s="387" t="str">
        <f>IF(INDEX(tab_MinKomp[Przepisy o ub.społ. ZUS  / Sozialversicherungsvorschriften],MATCH($B95,tab_MinKomp[[Stanowisko / Position ]:[Stanowisko / Position ]],0))="n/a","n/a",M95-INDEX(tab_MinKomp[Przepisy o ub.społ. ZUS  / Sozialversicherungsvorschriften],MATCH($B95,tab_MinKomp[[Stanowisko / Position ]:[Stanowisko / Position ]],0)))</f>
        <v>n/a</v>
      </c>
      <c r="N96" s="387" t="str">
        <f>IF(INDEX(tab_MinKomp[PRZEPISY O PDOF /persönlich Einkommensteuergesetz ],MATCH($B95,tab_MinKomp[[Stanowisko / Position ]:[Stanowisko / Position ]],0))="n/a","n/a",N95-INDEX(tab_MinKomp[PRZEPISY O PDOF /persönlich Einkommensteuergesetz ],MATCH($B95,tab_MinKomp[[Stanowisko / Position ]:[Stanowisko / Position ]],0)))</f>
        <v>n/a</v>
      </c>
      <c r="O96" s="387">
        <f>IF(INDEX(tab_MinKomp[Regulamin pracy / Arbeitsordnung],MATCH($B95,tab_MinKomp[[Stanowisko / Position ]:[Stanowisko / Position ]],0))="n/a","n/a",O95-INDEX(tab_MinKomp[Regulamin pracy / Arbeitsordnung],MATCH($B95,tab_MinKomp[[Stanowisko / Position ]:[Stanowisko / Position ]],0)))</f>
        <v>0</v>
      </c>
      <c r="P96" s="387">
        <f>IF(INDEX(tab_MinKomp[Regulamin wynagradzania / Vergütungsordnung],MATCH($B95,tab_MinKomp[[Stanowisko / Position ]:[Stanowisko / Position ]],0))="n/a","n/a",P95-INDEX(tab_MinKomp[Regulamin wynagradzania / Vergütungsordnung],MATCH($B95,tab_MinKomp[[Stanowisko / Position ]:[Stanowisko / Position ]],0)))</f>
        <v>0</v>
      </c>
      <c r="Q96" s="387" t="str">
        <f>IF(INDEX(tab_MinKomp[System R2PŁATNIK PRO: Płace / Lohnabrechnung],MATCH($B95,tab_MinKomp[[Stanowisko / Position ]:[Stanowisko / Position ]],0))="n/a","n/a",Q95-INDEX(tab_MinKomp[System R2PŁATNIK PRO: Płace / Lohnabrechnung],MATCH($B95,tab_MinKomp[[Stanowisko / Position ]:[Stanowisko / Position ]],0)))</f>
        <v>n/a</v>
      </c>
      <c r="R96" s="387" t="str">
        <f>IF(INDEX(tab_MinKomp[SystemR2PŁATNIK PRO: KADRY / Personaldaten],MATCH($B95,tab_MinKomp[[Stanowisko / Position ]:[Stanowisko / Position ]],0))="n/a","n/a",R95-INDEX(tab_MinKomp[SystemR2PŁATNIK PRO: KADRY / Personaldaten],MATCH($B95,tab_MinKomp[[Stanowisko / Position ]:[Stanowisko / Position ]],0)))</f>
        <v>n/a</v>
      </c>
      <c r="S96" s="387" t="str">
        <f>IF(INDEX(tab_MinKomp[SYSTEM R2PŁATNIK PRO: zarządzanie pracownikami / Arbeitsverwaltung],MATCH($B95,tab_MinKomp[[Stanowisko / Position ]:[Stanowisko / Position ]],0))="n/a","n/a",S95-INDEX(tab_MinKomp[SYSTEM R2PŁATNIK PRO: zarządzanie pracownikami / Arbeitsverwaltung],MATCH($B95,tab_MinKomp[[Stanowisko / Position ]:[Stanowisko / Position ]],0)))</f>
        <v>n/a</v>
      </c>
      <c r="T96" s="387" t="str">
        <f>IF(INDEX(tab_MinKomp[Doradztwo, wsparcie personalne / Personalberatung und Unterstützung],MATCH($B95,tab_MinKomp[[Stanowisko / Position ]:[Stanowisko / Position ]],0))="n/a","n/a",T95-INDEX(tab_MinKomp[Doradztwo, wsparcie personalne / Personalberatung und Unterstützung],MATCH($B95,tab_MinKomp[[Stanowisko / Position ]:[Stanowisko / Position ]],0)))</f>
        <v>n/a</v>
      </c>
      <c r="U96" s="387" t="str">
        <f>IF(INDEX(tab_MinKomp[Przepisy o podatku VAT / MwSt.- Gesetz],MATCH($B95,tab_MinKomp[[Stanowisko / Position ]:[Stanowisko / Position ]],0))="n/a","n/a",U95-INDEX(tab_MinKomp[Przepisy o podatku VAT / MwSt.- Gesetz],MATCH($B95,tab_MinKomp[[Stanowisko / Position ]:[Stanowisko / Position ]],0)))</f>
        <v>n/a</v>
      </c>
      <c r="V96" s="387" t="str">
        <f>IF(INDEX(tab_MinKomp[PrzepisyPDOP / geschäftlich Einkommensteuergesetz],MATCH($B95,tab_MinKomp[[Stanowisko / Position ]:[Stanowisko / Position ]],0))="n/a","n/a",V95-INDEX(tab_MinKomp[PrzepisyPDOP / geschäftlich Einkommensteuergesetz],MATCH($B95,tab_MinKomp[[Stanowisko / Position ]:[Stanowisko / Position ]],0)))</f>
        <v>n/a</v>
      </c>
      <c r="W96" s="387" t="str">
        <f>IF(INDEX(tab_MinKomp[System BAAN / FINANSE (FIBU)],MATCH($B95,tab_MinKomp[[Stanowisko / Position ]:[Stanowisko / Position ]],0))="n/a","n/a",W95-INDEX(tab_MinKomp[System BAAN / FINANSE (FIBU)],MATCH($B95,tab_MinKomp[[Stanowisko / Position ]:[Stanowisko / Position ]],0)))</f>
        <v>n/a</v>
      </c>
      <c r="X96" s="387" t="str">
        <f>IF(INDEX(tab_MinKomp[Systemy pomocnicze / Hilfssysteme(STOCKPROGRAM, KALK2000 etc.)],MATCH($B95,tab_MinKomp[[Stanowisko / Position ]:[Stanowisko / Position ]],0))="n/a","n/a",X95-INDEX(tab_MinKomp[Systemy pomocnicze / Hilfssysteme(STOCKPROGRAM, KALK2000 etc.)],MATCH($B95,tab_MinKomp[[Stanowisko / Position ]:[Stanowisko / Position ]],0)))</f>
        <v>n/a</v>
      </c>
      <c r="Y96" s="387" t="str">
        <f>IF(INDEX(tab_MinKomp[Polityka rachunkowości / Buchführungspolitik],MATCH($B95,tab_MinKomp[[Stanowisko / Position ]:[Stanowisko / Position ]],0))="n/a","n/a",Y95-INDEX(tab_MinKomp[Polityka rachunkowości / Buchführungspolitik],MATCH($B95,tab_MinKomp[[Stanowisko / Position ]:[Stanowisko / Position ]],0)))</f>
        <v>n/a</v>
      </c>
      <c r="Z96" s="387" t="str">
        <f>IF(INDEX(tab_MinKomp[Ustawa o rachunkowości / Rechnungslegungsgesetz],MATCH($B95,tab_MinKomp[[Stanowisko / Position ]:[Stanowisko / Position ]],0))="n/a","n/a",Z95-INDEX(tab_MinKomp[Ustawa o rachunkowości / Rechnungslegungsgesetz],MATCH($B95,tab_MinKomp[[Stanowisko / Position ]:[Stanowisko / Position ]],0)))</f>
        <v>n/a</v>
      </c>
      <c r="AA96" s="387" t="str">
        <f>IF(INDEX(tab_MinKomp[WORKFLOW - TS-100],MATCH($B95,tab_MinKomp[[Stanowisko / Position ]:[Stanowisko / Position ]],0))="n/a","n/a",AA95-INDEX(tab_MinKomp[WORKFLOW - TS-100],MATCH($B95,tab_MinKomp[[Stanowisko / Position ]:[Stanowisko / Position ]],0)))</f>
        <v>n/a</v>
      </c>
      <c r="AB96" s="387" t="str">
        <f>IF(INDEX(tab_MinKomp[WORKFLOW - SFMS],MATCH($B95,tab_MinKomp[[Stanowisko / Position ]:[Stanowisko / Position ]],0))="n/a","n/a",AB95-INDEX(tab_MinKomp[WORKFLOW - SFMS],MATCH($B95,tab_MinKomp[[Stanowisko / Position ]:[Stanowisko / Position ]],0)))</f>
        <v>n/a</v>
      </c>
      <c r="AC96" s="387">
        <f>IF(INDEX(tab_MinKomp[System ISO 9001:2015],MATCH($B95,tab_MinKomp[[Stanowisko / Position ]:[Stanowisko / Position ]],0))="n/a","n/a",AC95-INDEX(tab_MinKomp[System ISO 9001:2015],MATCH($B95,tab_MinKomp[[Stanowisko / Position ]:[Stanowisko / Position ]],0)))</f>
        <v>0</v>
      </c>
      <c r="AD96" s="387">
        <f>IF(INDEX(tab_MinKomp[System IATF 16949:2016],MATCH($B95,tab_MinKomp[[Stanowisko / Position ]:[Stanowisko / Position ]],0))="n/a","n/a",AD95-INDEX(tab_MinKomp[System IATF 16949:2016],MATCH($B95,tab_MinKomp[[Stanowisko / Position ]:[Stanowisko / Position ]],0)))</f>
        <v>0</v>
      </c>
      <c r="AE96" s="387" t="str">
        <f>IF(INDEX(tab_MinKomp[System ISO 14001:2015],MATCH($B95,tab_MinKomp[[Stanowisko / Position ]:[Stanowisko / Position ]],0))="n/a","n/a",AE95-INDEX(tab_MinKomp[System ISO 14001:2015],MATCH($B95,tab_MinKomp[[Stanowisko / Position ]:[Stanowisko / Position ]],0)))</f>
        <v>n/a</v>
      </c>
      <c r="AF96" s="387" t="str">
        <f>IF(INDEX(tab_MinKomp[System PN-N 18001:2004 / ISO 45001:2018],MATCH($B95,tab_MinKomp[[Stanowisko / Position ]:[Stanowisko / Position ]],0))="n/a","n/a",AF95-INDEX(tab_MinKomp[System PN-N 18001:2004 / ISO 45001:2018],MATCH($B95,tab_MinKomp[[Stanowisko / Position ]:[Stanowisko / Position ]],0)))</f>
        <v>n/a</v>
      </c>
      <c r="AG96" s="387" t="str">
        <f>IF(INDEX(tab_MinKomp[Wymagania VDA 6.3 Process / Forderungen],MATCH($B95,tab_MinKomp[[Stanowisko / Position ]:[Stanowisko / Position ]],0))="n/a","n/a",AG95-INDEX(tab_MinKomp[Wymagania VDA 6.3 Process / Forderungen],MATCH($B95,tab_MinKomp[[Stanowisko / Position ]:[Stanowisko / Position ]],0)))</f>
        <v>n/a</v>
      </c>
      <c r="AH96" s="387" t="str">
        <f>IF(INDEX(tab_MinKomp[Wymagania VDA 6.5 Product / Forderungen],MATCH($B95,tab_MinKomp[[Stanowisko / Position ]:[Stanowisko / Position ]],0))="n/a","n/a",AH95-INDEX(tab_MinKomp[Wymagania VDA 6.5 Product / Forderungen],MATCH($B95,tab_MinKomp[[Stanowisko / Position ]:[Stanowisko / Position ]],0)))</f>
        <v>n/a</v>
      </c>
      <c r="AI96" s="387" t="str">
        <f>IF(INDEX(tab_MinKomp[PSCR (VW Product Safety &amp; Conformity Representative)],MATCH($B95,tab_MinKomp[[Stanowisko / Position ]:[Stanowisko / Position ]],0))="n/a","n/a",AI95-INDEX(tab_MinKomp[PSCR (VW Product Safety &amp; Conformity Representative)],MATCH($B95,tab_MinKomp[[Stanowisko / Position ]:[Stanowisko / Position ]],0)))</f>
        <v>n/a</v>
      </c>
      <c r="AJ96" s="387" t="str">
        <f>IF(INDEX(tab_MinKomp[Auditor systemu ISO 17025:2018],MATCH($B95,tab_MinKomp[[Stanowisko / Position ]:[Stanowisko / Position ]],0))="n/a","n/a",AJ95-INDEX(tab_MinKomp[Auditor systemu ISO 17025:2018],MATCH($B95,tab_MinKomp[[Stanowisko / Position ]:[Stanowisko / Position ]],0)))</f>
        <v>n/a</v>
      </c>
      <c r="AK96" s="387" t="str">
        <f>IF(INDEX(tab_MinKomp[Pełnomocnik systemu / Systemvertreter],MATCH($B95,tab_MinKomp[[Stanowisko / Position ]:[Stanowisko / Position ]],0))="n/a","n/a",AK95-INDEX(tab_MinKomp[Pełnomocnik systemu / Systemvertreter],MATCH($B95,tab_MinKomp[[Stanowisko / Position ]:[Stanowisko / Position ]],0)))</f>
        <v>n/a</v>
      </c>
      <c r="AL96" s="387">
        <f>IF(INDEX(tab_MinKomp[Polityka Etyczna - Compliance],MATCH($B95,tab_MinKomp[[Stanowisko / Position ]:[Stanowisko / Position ]],0))="n/a","n/a",AL95-INDEX(tab_MinKomp[Polityka Etyczna - Compliance],MATCH($B95,tab_MinKomp[[Stanowisko / Position ]:[Stanowisko / Position ]],0)))</f>
        <v>0</v>
      </c>
      <c r="AM96" s="387">
        <f>IF(INDEX(tab_MinKomp[WDRAŻANIE NOWYCH PROJEKTÓW/ PROCEDURA CTM],MATCH($B95,tab_MinKomp[[Stanowisko / Position ]:[Stanowisko / Position ]],0))="n/a","n/a",AM95-INDEX(tab_MinKomp[WDRAŻANIE NOWYCH PROJEKTÓW/ PROCEDURA CTM],MATCH($B95,tab_MinKomp[[Stanowisko / Position ]:[Stanowisko / Position ]],0)))</f>
        <v>0</v>
      </c>
      <c r="AN96" s="387" t="str">
        <f>IF(INDEX(tab_MinKomp[KAMIENIE MILOWE MSL/PIFF],MATCH($B95,tab_MinKomp[[Stanowisko / Position ]:[Stanowisko / Position ]],0))="n/a","n/a",AN95-INDEX(tab_MinKomp[KAMIENIE MILOWE MSL/PIFF],MATCH($B95,tab_MinKomp[[Stanowisko / Position ]:[Stanowisko / Position ]],0)))</f>
        <v>n/a</v>
      </c>
      <c r="AO96" s="387">
        <f>IF(INDEX(tab_MinKomp[CP],MATCH($B95,tab_MinKomp[[Stanowisko / Position ]:[Stanowisko / Position ]],0))="n/a","n/a",AO95-INDEX(tab_MinKomp[CP],MATCH($B95,tab_MinKomp[[Stanowisko / Position ]:[Stanowisko / Position ]],0)))</f>
        <v>0</v>
      </c>
      <c r="AP96" s="387">
        <f>IF(INDEX(tab_MinKomp[FMEA],MATCH($B95,tab_MinKomp[[Stanowisko / Position ]:[Stanowisko / Position ]],0))="n/a","n/a",AP95-INDEX(tab_MinKomp[FMEA],MATCH($B95,tab_MinKomp[[Stanowisko / Position ]:[Stanowisko / Position ]],0)))</f>
        <v>0</v>
      </c>
      <c r="AQ96" s="387">
        <f>IF(INDEX(tab_MinKomp[FLOW CHART],MATCH($B95,tab_MinKomp[[Stanowisko / Position ]:[Stanowisko / Position ]],0))="n/a","n/a",AQ95-INDEX(tab_MinKomp[FLOW CHART],MATCH($B95,tab_MinKomp[[Stanowisko / Position ]:[Stanowisko / Position ]],0)))</f>
        <v>0</v>
      </c>
      <c r="AR96" s="387">
        <f>IF(INDEX(tab_MinKomp[APQP],MATCH($B95,tab_MinKomp[[Stanowisko / Position ]:[Stanowisko / Position ]],0))="n/a","n/a",AR95-INDEX(tab_MinKomp[APQP],MATCH($B95,tab_MinKomp[[Stanowisko / Position ]:[Stanowisko / Position ]],0)))</f>
        <v>0</v>
      </c>
      <c r="AS96" s="387">
        <f>IF(INDEX(tab_MinKomp[MSA],MATCH($B95,tab_MinKomp[[Stanowisko / Position ]:[Stanowisko / Position ]],0))="n/a","n/a",AS95-INDEX(tab_MinKomp[MSA],MATCH($B95,tab_MinKomp[[Stanowisko / Position ]:[Stanowisko / Position ]],0)))</f>
        <v>0</v>
      </c>
      <c r="AT96" s="387">
        <f>IF(INDEX(tab_MinKomp[SPC],MATCH($B95,tab_MinKomp[[Stanowisko / Position ]:[Stanowisko / Position ]],0))="n/a","n/a",AT95-INDEX(tab_MinKomp[SPC],MATCH($B95,tab_MinKomp[[Stanowisko / Position ]:[Stanowisko / Position ]],0)))</f>
        <v>0</v>
      </c>
      <c r="AU96" s="387">
        <f>IF(INDEX(tab_MinKomp[CSR (SPECYFICZNE WYMAGANIA KLIENTA)],MATCH($B95,tab_MinKomp[[Stanowisko / Position ]:[Stanowisko / Position ]],0))="n/a","n/a",AU95-INDEX(tab_MinKomp[CSR (SPECYFICZNE WYMAGANIA KLIENTA)],MATCH($B95,tab_MinKomp[[Stanowisko / Position ]:[Stanowisko / Position ]],0)))</f>
        <v>0</v>
      </c>
      <c r="AV96" s="387">
        <f>IF(INDEX(tab_MinKomp[5S],MATCH($B95,tab_MinKomp[[Stanowisko / Position ]:[Stanowisko / Position ]],0))="n/a","n/a",AV95-INDEX(tab_MinKomp[5S],MATCH($B95,tab_MinKomp[[Stanowisko / Position ]:[Stanowisko / Position ]],0)))</f>
        <v>-1</v>
      </c>
      <c r="AW96" s="387">
        <f>IF(INDEX(tab_MinKomp[LEAN MANAGEMENT],MATCH($B95,tab_MinKomp[[Stanowisko / Position ]:[Stanowisko / Position ]],0))="n/a","n/a",AW95-INDEX(tab_MinKomp[LEAN MANAGEMENT],MATCH($B95,tab_MinKomp[[Stanowisko / Position ]:[Stanowisko / Position ]],0)))</f>
        <v>0</v>
      </c>
      <c r="AX96" s="387">
        <f>IF(INDEX(tab_MinKomp[5R],MATCH($B95,tab_MinKomp[[Stanowisko / Position ]:[Stanowisko / Position ]],0))="n/a","n/a",AX95-INDEX(tab_MinKomp[5R],MATCH($B95,tab_MinKomp[[Stanowisko / Position ]:[Stanowisko / Position ]],0)))</f>
        <v>0</v>
      </c>
      <c r="AY96" s="387" t="str">
        <f>IF(INDEX(tab_MinKomp[Six Sigma],MATCH($B95,tab_MinKomp[[Stanowisko / Position ]:[Stanowisko / Position ]],0))="n/a","n/a",AY95-INDEX(tab_MinKomp[Six Sigma],MATCH($B95,tab_MinKomp[[Stanowisko / Position ]:[Stanowisko / Position ]],0)))</f>
        <v>n/a</v>
      </c>
      <c r="AZ96" s="387">
        <f>IF(INDEX(tab_MinKomp[System BAAN / Distribution &amp; Supply Chain],MATCH($B95,tab_MinKomp[[Stanowisko / Position ]:[Stanowisko / Position ]],0))="n/a","n/a",AZ95-INDEX(tab_MinKomp[System BAAN / Distribution &amp; Supply Chain],MATCH($B95,tab_MinKomp[[Stanowisko / Position ]:[Stanowisko / Position ]],0)))</f>
        <v>0</v>
      </c>
      <c r="BA96" s="387" t="str">
        <f>IF(INDEX(tab_MinKomp[Gospodarka magazynowa / Lagerverwaltung],MATCH($B95,tab_MinKomp[[Stanowisko / Position ]:[Stanowisko / Position ]],0))="n/a","n/a",BA95-INDEX(tab_MinKomp[Gospodarka magazynowa / Lagerverwaltung],MATCH($B95,tab_MinKomp[[Stanowisko / Position ]:[Stanowisko / Position ]],0)))</f>
        <v>n/a</v>
      </c>
      <c r="BB96" s="387" t="str">
        <f>IF(INDEX(tab_MinKomp[Inwentaryzacja - organizacja i przebieg / Inventurprozess],MATCH($B95,tab_MinKomp[[Stanowisko / Position ]:[Stanowisko / Position ]],0))="n/a","n/a",BB95-INDEX(tab_MinKomp[Inwentaryzacja - organizacja i przebieg / Inventurprozess],MATCH($B95,tab_MinKomp[[Stanowisko / Position ]:[Stanowisko / Position ]],0)))</f>
        <v>n/a</v>
      </c>
      <c r="BC96" s="387" t="str">
        <f>IF(INDEX(tab_MinKomp[Organizacja dostaw / Versorgungsorganisation],MATCH($B95,tab_MinKomp[[Stanowisko / Position ]:[Stanowisko / Position ]],0))="n/a","n/a",BC95-INDEX(tab_MinKomp[Organizacja dostaw / Versorgungsorganisation],MATCH($B95,tab_MinKomp[[Stanowisko / Position ]:[Stanowisko / Position ]],0)))</f>
        <v>n/a</v>
      </c>
      <c r="BD96" s="387" t="str">
        <f>IF(INDEX(tab_MinKomp[Organizacja wysyłek / Organisation von Lieferungen],MATCH($B95,tab_MinKomp[[Stanowisko / Position ]:[Stanowisko / Position ]],0))="n/a","n/a",BD95-INDEX(tab_MinKomp[Organizacja wysyłek / Organisation von Lieferungen],MATCH($B95,tab_MinKomp[[Stanowisko / Position ]:[Stanowisko / Position ]],0)))</f>
        <v>n/a</v>
      </c>
      <c r="BE96" s="387" t="str">
        <f>IF(INDEX(tab_MinKomp[Analiza magazynowa - Program Polen.mdb / Inventuranalyse],MATCH($B95,tab_MinKomp[[Stanowisko / Position ]:[Stanowisko / Position ]],0))="n/a","n/a",BE95-INDEX(tab_MinKomp[Analiza magazynowa - Program Polen.mdb / Inventuranalyse],MATCH($B95,tab_MinKomp[[Stanowisko / Position ]:[Stanowisko / Position ]],0)))</f>
        <v>n/a</v>
      </c>
      <c r="BF96" s="387" t="str">
        <f>IF(INDEX(tab_MinKomp[MMOG (Materials Management Operations Guidelines)],MATCH($B95,tab_MinKomp[[Stanowisko / Position ]:[Stanowisko / Position ]],0))="n/a","n/a",BF95-INDEX(tab_MinKomp[MMOG (Materials Management Operations Guidelines)],MATCH($B95,tab_MinKomp[[Stanowisko / Position ]:[Stanowisko / Position ]],0)))</f>
        <v>n/a</v>
      </c>
      <c r="BG96" s="387" t="str">
        <f>IF(INDEX(tab_MinKomp[DETC],MATCH($B95,tab_MinKomp[[Stanowisko / Position ]:[Stanowisko / Position ]],0))="n/a","n/a",BG95-INDEX(tab_MinKomp[DETC],MATCH($B95,tab_MinKomp[[Stanowisko / Position ]:[Stanowisko / Position ]],0)))</f>
        <v>n/a</v>
      </c>
      <c r="BH96" s="387" t="str">
        <f>IF(INDEX(tab_MinKomp[GPP],MATCH($B95,tab_MinKomp[[Stanowisko / Position ]:[Stanowisko / Position ]],0))="n/a","n/a",BH95-INDEX(tab_MinKomp[GPP],MATCH($B95,tab_MinKomp[[Stanowisko / Position ]:[Stanowisko / Position ]],0)))</f>
        <v>n/a</v>
      </c>
      <c r="BI96" s="387" t="str">
        <f>IF(INDEX(tab_MinKomp[AIAG (Automotive Industry Action Group)],MATCH($B95,tab_MinKomp[[Stanowisko / Position ]:[Stanowisko / Position ]],0))="n/a","n/a",BI95-INDEX(tab_MinKomp[AIAG (Automotive Industry Action Group)],MATCH($B95,tab_MinKomp[[Stanowisko / Position ]:[Stanowisko / Position ]],0)))</f>
        <v>n/a</v>
      </c>
      <c r="BJ96" s="387" t="str">
        <f>IF(INDEX(tab_MinKomp[Super-G disputes],MATCH($B95,tab_MinKomp[[Stanowisko / Position ]:[Stanowisko / Position ]],0))="n/a","n/a",BJ95-INDEX(tab_MinKomp[Super-G disputes],MATCH($B95,tab_MinKomp[[Stanowisko / Position ]:[Stanowisko / Position ]],0)))</f>
        <v>n/a</v>
      </c>
      <c r="BK96" s="387" t="str">
        <f>IF(INDEX(tab_MinKomp[CMMS3/eDDL (Direct Data Link)],MATCH($B95,tab_MinKomp[[Stanowisko / Position ]:[Stanowisko / Position ]],0))="n/a","n/a",BK95-INDEX(tab_MinKomp[CMMS3/eDDL (Direct Data Link)],MATCH($B95,tab_MinKomp[[Stanowisko / Position ]:[Stanowisko / Position ]],0)))</f>
        <v>n/a</v>
      </c>
      <c r="BL96" s="387" t="str">
        <f>IF(INDEX(tab_MinKomp[MP&amp;L (Material Planning and Logistics)],MATCH($B95,tab_MinKomp[[Stanowisko / Position ]:[Stanowisko / Position ]],0))="n/a","n/a",BL95-INDEX(tab_MinKomp[MP&amp;L (Material Planning and Logistics)],MATCH($B95,tab_MinKomp[[Stanowisko / Position ]:[Stanowisko / Position ]],0)))</f>
        <v>n/a</v>
      </c>
      <c r="BM96" s="387" t="str">
        <f>IF(INDEX(tab_MinKomp[Supplier delivery rating],MATCH($B95,tab_MinKomp[[Stanowisko / Position ]:[Stanowisko / Position ]],0))="n/a","n/a",BM95-INDEX(tab_MinKomp[Supplier delivery rating],MATCH($B95,tab_MinKomp[[Stanowisko / Position ]:[Stanowisko / Position ]],0)))</f>
        <v>n/a</v>
      </c>
      <c r="BN96" s="387">
        <f>IF(INDEX(tab_MinKomp[Planowanie produkcji / Produktionsplanung],MATCH($B95,tab_MinKomp[[Stanowisko / Position ]:[Stanowisko / Position ]],0))="n/a","n/a",BN95-INDEX(tab_MinKomp[Planowanie produkcji / Produktionsplanung],MATCH($B95,tab_MinKomp[[Stanowisko / Position ]:[Stanowisko / Position ]],0)))</f>
        <v>-1</v>
      </c>
      <c r="BO96" s="387">
        <f>IF(INDEX(tab_MinKomp[Obsługa maszyn Engel / Engel Maschinenbedienung],MATCH($B95,tab_MinKomp[[Stanowisko / Position ]:[Stanowisko / Position ]],0))="n/a","n/a",BO95-INDEX(tab_MinKomp[Obsługa maszyn Engel / Engel Maschinenbedienung],MATCH($B95,tab_MinKomp[[Stanowisko / Position ]:[Stanowisko / Position ]],0)))</f>
        <v>0</v>
      </c>
      <c r="BP96" s="387">
        <f>IF(INDEX(tab_MinKomp[Obsługa maszyn Novapax / Novapax Maschinenbedienung],MATCH($B95,tab_MinKomp[[Stanowisko / Position ]:[Stanowisko / Position ]],0))="n/a","n/a",BP95-INDEX(tab_MinKomp[Obsługa maszyn Novapax / Novapax Maschinenbedienung],MATCH($B95,tab_MinKomp[[Stanowisko / Position ]:[Stanowisko / Position ]],0)))</f>
        <v>0</v>
      </c>
      <c r="BQ96" s="387">
        <f>IF(INDEX(tab_MinKomp[Obsługa maszyn KVT / KVT Maschinenbedienung],MATCH($B95,tab_MinKomp[[Stanowisko / Position ]:[Stanowisko / Position ]],0))="n/a","n/a",BQ95-INDEX(tab_MinKomp[Obsługa maszyn KVT / KVT Maschinenbedienung],MATCH($B95,tab_MinKomp[[Stanowisko / Position ]:[Stanowisko / Position ]],0)))</f>
        <v>0</v>
      </c>
      <c r="BR96" s="387">
        <f>IF(INDEX(tab_MinKomp[Obsługa maszyn ASL / ASL Maschinenbedienung],MATCH($B95,tab_MinKomp[[Stanowisko / Position ]:[Stanowisko / Position ]],0))="n/a","n/a",BR95-INDEX(tab_MinKomp[Obsługa maszyn ASL / ASL Maschinenbedienung],MATCH($B95,tab_MinKomp[[Stanowisko / Position ]:[Stanowisko / Position ]],0)))</f>
        <v>0</v>
      </c>
      <c r="BS96" s="387">
        <f>IF(INDEX(tab_MinKomp[Obsługa maszyn Branson / Branson Maschinenbedienung],MATCH($B95,tab_MinKomp[[Stanowisko / Position ]:[Stanowisko / Position ]],0))="n/a","n/a",BS95-INDEX(tab_MinKomp[Obsługa maszyn Branson / Branson Maschinenbedienung],MATCH($B95,tab_MinKomp[[Stanowisko / Position ]:[Stanowisko / Position ]],0)))</f>
        <v>0</v>
      </c>
      <c r="BT96" s="387">
        <f>IF(INDEX(tab_MinKomp[Obsługa maszyn Kamtec / Kamtec Maschinenbedienung],MATCH($B95,tab_MinKomp[[Stanowisko / Position ]:[Stanowisko / Position ]],0))="n/a","n/a",BT95-INDEX(tab_MinKomp[Obsługa maszyn Kamtec / Kamtec Maschinenbedienung],MATCH($B95,tab_MinKomp[[Stanowisko / Position ]:[Stanowisko / Position ]],0)))</f>
        <v>-1</v>
      </c>
      <c r="BU96" s="387">
        <f>IF(INDEX(tab_MinKomp[Obsługa maszyn Piovan / Piovan Maschinenbedienung],MATCH($B95,tab_MinKomp[[Stanowisko / Position ]:[Stanowisko / Position ]],0))="n/a","n/a",BU95-INDEX(tab_MinKomp[Obsługa maszyn Piovan / Piovan Maschinenbedienung],MATCH($B95,tab_MinKomp[[Stanowisko / Position ]:[Stanowisko / Position ]],0)))</f>
        <v>0</v>
      </c>
      <c r="BV96" s="387">
        <f>IF(INDEX(tab_MinKomp[Obsługa maszyn REP / REP Maschinenbedienung],MATCH($B95,tab_MinKomp[[Stanowisko / Position ]:[Stanowisko / Position ]],0))="n/a","n/a",BV95-INDEX(tab_MinKomp[Obsługa maszyn REP / REP Maschinenbedienung],MATCH($B95,tab_MinKomp[[Stanowisko / Position ]:[Stanowisko / Position ]],0)))</f>
        <v>0</v>
      </c>
      <c r="BW96" s="387">
        <f>IF(INDEX(tab_MinKomp[Eliminacja awarii / Beseitigung von Ausfällen],MATCH($B95,tab_MinKomp[[Stanowisko / Position ]:[Stanowisko / Position ]],0))="n/a","n/a",BW95-INDEX(tab_MinKomp[Eliminacja awarii / Beseitigung von Ausfällen],MATCH($B95,tab_MinKomp[[Stanowisko / Position ]:[Stanowisko / Position ]],0)))</f>
        <v>0</v>
      </c>
      <c r="BX96" s="443" t="str">
        <f>IF(INDEX(tab_MinKomp[Specjalista BHP / BHP Spezialist],MATCH($B95,tab_MinKomp[[Stanowisko / Position ]:[Stanowisko / Position ]],0))="n/a","n/a",BX95-INDEX(tab_MinKomp[Specjalista BHP / BHP Spezialist],MATCH($B95,tab_MinKomp[[Stanowisko / Position ]:[Stanowisko / Position ]],0)))</f>
        <v>n/a</v>
      </c>
      <c r="BY96" s="387" t="str">
        <f>IF(INDEX(tab_MinKomp[Sieci komputerowe / Computernetzwerke],MATCH($B95,tab_MinKomp[[Stanowisko / Position ]:[Stanowisko / Position ]],0))="n/a","n/a",BY95-INDEX(tab_MinKomp[Sieci komputerowe / Computernetzwerke],MATCH($B95,tab_MinKomp[[Stanowisko / Position ]:[Stanowisko / Position ]],0)))</f>
        <v>n/a</v>
      </c>
      <c r="BZ96" s="443" t="str">
        <f>IF(INDEX(tab_MinKomp[Specjalista BHP / BHP Spezialist],MATCH($B95,tab_MinKomp[[Stanowisko / Position ]:[Stanowisko / Position ]],0))="n/a","n/a",BZ95-INDEX(tab_MinKomp[Specjalista BHP / BHP Spezialist],MATCH($B95,tab_MinKomp[[Stanowisko / Position ]:[Stanowisko / Position ]],0)))</f>
        <v>n/a</v>
      </c>
      <c r="CA96" s="387" t="str">
        <f>IF(INDEX(tab_MinKomp[Software &amp; Systems (MS Office, MS Remote Desktop)],MATCH($B95,tab_MinKomp[[Stanowisko / Position ]:[Stanowisko / Position ]],0))="n/a","n/a",CA95-INDEX(tab_MinKomp[Software &amp; Systems (MS Office, MS Remote Desktop)],MATCH($B95,tab_MinKomp[[Stanowisko / Position ]:[Stanowisko / Position ]],0)))</f>
        <v>n/a</v>
      </c>
      <c r="CB96" s="387" t="str">
        <f>IF(INDEX(tab_MinKomp[Programowanie obiektowe (PHP) / Objektprogrammierung],MATCH($B95,tab_MinKomp[[Stanowisko / Position ]:[Stanowisko / Position ]],0))="n/a","n/a",CB95-INDEX(tab_MinKomp[Programowanie obiektowe (PHP) / Objektprogrammierung],MATCH($B95,tab_MinKomp[[Stanowisko / Position ]:[Stanowisko / Position ]],0)))</f>
        <v>n/a</v>
      </c>
      <c r="CC96" s="387" t="str">
        <f>IF(INDEX(tab_MinKomp[Scrum],MATCH($B95,tab_MinKomp[[Stanowisko / Position ]:[Stanowisko / Position ]],0))="n/a","n/a",CC95-INDEX(tab_MinKomp[Scrum],MATCH($B95,tab_MinKomp[[Stanowisko / Position ]:[Stanowisko / Position ]],0)))</f>
        <v>n/a</v>
      </c>
      <c r="CD96" s="387" t="str">
        <f>IF(INDEX(tab_MinKomp[SQL (MySQL)],MATCH($B95,tab_MinKomp[[Stanowisko / Position ]:[Stanowisko / Position ]],0))="n/a","n/a",CD95-INDEX(tab_MinKomp[SQL (MySQL)],MATCH($B95,tab_MinKomp[[Stanowisko / Position ]:[Stanowisko / Position ]],0)))</f>
        <v>n/a</v>
      </c>
      <c r="CE96" s="387" t="str">
        <f>IF(INDEX(tab_MinKomp[Javascript],MATCH($B95,tab_MinKomp[[Stanowisko / Position ]:[Stanowisko / Position ]],0))="n/a","n/a",CE95-INDEX(tab_MinKomp[Javascript],MATCH($B95,tab_MinKomp[[Stanowisko / Position ]:[Stanowisko / Position ]],0)))</f>
        <v>n/a</v>
      </c>
      <c r="CF96" s="387" t="str">
        <f>IF(INDEX(tab_MinKomp[Joomla],MATCH($B95,tab_MinKomp[[Stanowisko / Position ]:[Stanowisko / Position ]],0))="n/a","n/a",CF95-INDEX(tab_MinKomp[Joomla],MATCH($B95,tab_MinKomp[[Stanowisko / Position ]:[Stanowisko / Position ]],0)))</f>
        <v>n/a</v>
      </c>
      <c r="CG96" s="387" t="str">
        <f>IF(INDEX(tab_MinKomp[Bash],MATCH($B95,tab_MinKomp[[Stanowisko / Position ]:[Stanowisko / Position ]],0))="n/a","n/a",CG95-INDEX(tab_MinKomp[Bash],MATCH($B95,tab_MinKomp[[Stanowisko / Position ]:[Stanowisko / Position ]],0)))</f>
        <v>n/a</v>
      </c>
      <c r="CH96" s="387" t="str">
        <f>IF(INDEX(tab_MinKomp[Systemy MES (HYDRA / SFMS)],MATCH($B95,tab_MinKomp[[Stanowisko / Position ]:[Stanowisko / Position ]],0))="n/a","n/a",CH95-INDEX(tab_MinKomp[Systemy MES (HYDRA / SFMS)],MATCH($B95,tab_MinKomp[[Stanowisko / Position ]:[Stanowisko / Position ]],0)))</f>
        <v>n/a</v>
      </c>
      <c r="CI96" s="387" t="str">
        <f>IF(INDEX(tab_MinKomp[HTML / CSS],MATCH($B95,tab_MinKomp[[Stanowisko / Position ]:[Stanowisko / Position ]],0))="n/a","n/a",CI95-INDEX(tab_MinKomp[HTML / CSS],MATCH($B95,tab_MinKomp[[Stanowisko / Position ]:[Stanowisko / Position ]],0)))</f>
        <v>n/a</v>
      </c>
      <c r="CJ96" s="443" t="str">
        <f>IF(INDEX(tab_MinKomp[Specjalista BHP / BHP Spezialist],MATCH($B95,tab_MinKomp[[Stanowisko / Position ]:[Stanowisko / Position ]],0))="n/a","n/a",CJ95-INDEX(tab_MinKomp[Specjalista BHP / BHP Spezialist],MATCH($B95,tab_MinKomp[[Stanowisko / Position ]:[Stanowisko / Position ]],0)))</f>
        <v>n/a</v>
      </c>
      <c r="CK96" s="387" t="str">
        <f>IF(INDEX(tab_MinKomp[System Einkauf XP / EBA],MATCH($B95,tab_MinKomp[[Stanowisko / Position ]:[Stanowisko / Position ]],0))="n/a","n/a",CK95-INDEX(tab_MinKomp[System Einkauf XP / EBA],MATCH($B95,tab_MinKomp[[Stanowisko / Position ]:[Stanowisko / Position ]],0)))</f>
        <v>n/a</v>
      </c>
      <c r="CL96" s="387" t="str">
        <f>IF(INDEX(tab_MinKomp[Techniki negocjacyjne / Verhandlungstechniken],MATCH($B95,tab_MinKomp[[Stanowisko / Position ]:[Stanowisko / Position ]],0))="n/a","n/a",CL95-INDEX(tab_MinKomp[Techniki negocjacyjne / Verhandlungstechniken],MATCH($B95,tab_MinKomp[[Stanowisko / Position ]:[Stanowisko / Position ]],0)))</f>
        <v>n/a</v>
      </c>
      <c r="CM96" s="387" t="str">
        <f>IF(INDEX(tab_MinKomp[Znajomość rynku branżowego / Kenntnis des Industrie Marktes],MATCH($B95,tab_MinKomp[[Stanowisko / Position ]:[Stanowisko / Position ]],0))="n/a","n/a",CM95-INDEX(tab_MinKomp[Znajomość rynku branżowego / Kenntnis des Industrie Marktes],MATCH($B95,tab_MinKomp[[Stanowisko / Position ]:[Stanowisko / Position ]],0)))</f>
        <v>n/a</v>
      </c>
      <c r="CN96" s="387">
        <f>IF(INDEX(tab_MinKomp[RAPORTY 8D / 8D Berichten],MATCH($B95,tab_MinKomp[[Stanowisko / Position ]:[Stanowisko / Position ]],0))="n/a","n/a",CN95-INDEX(tab_MinKomp[RAPORTY 8D / 8D Berichten],MATCH($B95,tab_MinKomp[[Stanowisko / Position ]:[Stanowisko / Position ]],0)))</f>
        <v>0</v>
      </c>
      <c r="CO96" s="387">
        <f>IF(INDEX(tab_MinKomp[NARZĘDZIA JAKOŚCIOWE (5WHY, Ishikawa, etc) / QS-Werkzeuge],MATCH($B95,tab_MinKomp[[Stanowisko / Position ]:[Stanowisko / Position ]],0))="n/a","n/a",CO95-INDEX(tab_MinKomp[NARZĘDZIA JAKOŚCIOWE (5WHY, Ishikawa, etc) / QS-Werkzeuge],MATCH($B95,tab_MinKomp[[Stanowisko / Position ]:[Stanowisko / Position ]],0)))</f>
        <v>0</v>
      </c>
      <c r="CP96" s="387">
        <f>IF(INDEX(tab_MinKomp[PDCA],MATCH($B95,tab_MinKomp[[Stanowisko / Position ]:[Stanowisko / Position ]],0))="n/a","n/a",CP95-INDEX(tab_MinKomp[PDCA],MATCH($B95,tab_MinKomp[[Stanowisko / Position ]:[Stanowisko / Position ]],0)))</f>
        <v>1</v>
      </c>
      <c r="CQ96" s="443" t="str">
        <f>IF(INDEX(tab_MinKomp[Specjalista BHP / BHP Spezialist],MATCH($B95,tab_MinKomp[[Stanowisko / Position ]:[Stanowisko / Position ]],0))="n/a","n/a",CQ95-INDEX(tab_MinKomp[Specjalista BHP / BHP Spezialist],MATCH($B95,tab_MinKomp[[Stanowisko / Position ]:[Stanowisko / Position ]],0)))</f>
        <v>n/a</v>
      </c>
      <c r="CR96" s="387" t="str">
        <f>IF(INDEX(tab_MinKomp[PPAP/PSW],MATCH($B95,tab_MinKomp[[Stanowisko / Position ]:[Stanowisko / Position ]],0))="n/a","n/a",CR95-INDEX(tab_MinKomp[PPAP/PSW],MATCH($B95,tab_MinKomp[[Stanowisko / Position ]:[Stanowisko / Position ]],0)))</f>
        <v>n/a</v>
      </c>
      <c r="CS96" s="387" t="str">
        <f>IF(INDEX(tab_MinKomp[SUPPLIER MANAGEMENT],MATCH($B95,tab_MinKomp[[Stanowisko / Position ]:[Stanowisko / Position ]],0))="n/a","n/a",CS95-INDEX(tab_MinKomp[SUPPLIER MANAGEMENT],MATCH($B95,tab_MinKomp[[Stanowisko / Position ]:[Stanowisko / Position ]],0)))</f>
        <v>n/a</v>
      </c>
      <c r="CT96" s="387" t="str">
        <f>IF(INDEX(tab_MinKomp[OBSŁUGA PORTALI KLIENTA / Kundenportale],MATCH($B95,tab_MinKomp[[Stanowisko / Position ]:[Stanowisko / Position ]],0))="n/a","n/a",CT95-INDEX(tab_MinKomp[OBSŁUGA PORTALI KLIENTA / Kundenportale],MATCH($B95,tab_MinKomp[[Stanowisko / Position ]:[Stanowisko / Position ]],0)))</f>
        <v>n/a</v>
      </c>
      <c r="CU96" s="387" t="str">
        <f>IF(INDEX(tab_MinKomp[Obsługa systemu BABTECQ / BABTECQ System],MATCH($B95,tab_MinKomp[[Stanowisko / Position ]:[Stanowisko / Position ]],0))="n/a","n/a",CU95-INDEX(tab_MinKomp[Obsługa systemu BABTECQ / BABTECQ System],MATCH($B95,tab_MinKomp[[Stanowisko / Position ]:[Stanowisko / Position ]],0)))</f>
        <v>n/a</v>
      </c>
      <c r="CV96" s="387">
        <f>IF(INDEX(tab_MinKomp[Rysunek techniczny / technische Zeichnung],MATCH($B95,tab_MinKomp[[Stanowisko / Position ]:[Stanowisko / Position ]],0))="n/a","n/a",CV95-INDEX(tab_MinKomp[Rysunek techniczny / technische Zeichnung],MATCH($B95,tab_MinKomp[[Stanowisko / Position ]:[Stanowisko / Position ]],0)))</f>
        <v>0</v>
      </c>
      <c r="CW96" s="443" t="str">
        <f>IF(INDEX(tab_MinKomp[Specjalista BHP / BHP Spezialist],MATCH($B95,tab_MinKomp[[Stanowisko / Position ]:[Stanowisko / Position ]],0))="n/a","n/a",CW95-INDEX(tab_MinKomp[Specjalista BHP / BHP Spezialist],MATCH($B95,tab_MinKomp[[Stanowisko / Position ]:[Stanowisko / Position ]],0)))</f>
        <v>n/a</v>
      </c>
      <c r="CX96" s="387" t="str">
        <f>IF(INDEX(tab_MinKomp[Rekwalifikacja / Requalifizierung],MATCH($B95,tab_MinKomp[[Stanowisko / Position ]:[Stanowisko / Position ]],0))="n/a","n/a",CX95-INDEX(tab_MinKomp[Rekwalifikacja / Requalifizierung],MATCH($B95,tab_MinKomp[[Stanowisko / Position ]:[Stanowisko / Position ]],0)))</f>
        <v>n/a</v>
      </c>
      <c r="CY96" s="387" t="str">
        <f>IF(INDEX(tab_MinKomp[Obsługa mikroskopu optycznego / Bedienung eines optischen Mikroskops],MATCH($B95,tab_MinKomp[[Stanowisko / Position ]:[Stanowisko / Position ]],0))="n/a","n/a",CY95-INDEX(tab_MinKomp[Obsługa mikroskopu optycznego / Bedienung eines optischen Mikroskops],MATCH($B95,tab_MinKomp[[Stanowisko / Position ]:[Stanowisko / Position ]],0)))</f>
        <v>n/a</v>
      </c>
      <c r="CZ96" s="387" t="str">
        <f>IF(INDEX(tab_MinKomp[Wykonywanie pomiarów optycznych - ocena wizualna / Optische Messungen durchführen – visuelle Beurteilung],MATCH($B95,tab_MinKomp[[Stanowisko / Position ]:[Stanowisko / Position ]],0))="n/a","n/a",CZ95-INDEX(tab_MinKomp[Wykonywanie pomiarów optycznych - ocena wizualna / Optische Messungen durchführen – visuelle Beurteilung],MATCH($B95,tab_MinKomp[[Stanowisko / Position ]:[Stanowisko / Position ]],0)))</f>
        <v>n/a</v>
      </c>
      <c r="DA96" s="387" t="str">
        <f>IF(INDEX(tab_MinKomp[Obsługa Rheometra / Rheometra-Unterstützung],MATCH($B95,tab_MinKomp[[Stanowisko / Position ]:[Stanowisko / Position ]],0))="n/a","n/a",DA95-INDEX(tab_MinKomp[Obsługa Rheometra / Rheometra-Unterstützung],MATCH($B95,tab_MinKomp[[Stanowisko / Position ]:[Stanowisko / Position ]],0)))</f>
        <v>n/a</v>
      </c>
      <c r="DB96" s="387" t="str">
        <f>IF(INDEX(tab_MinKomp[Testy właściwości Rheometra mieszanki gumy],MATCH($B95,tab_MinKomp[[Stanowisko / Position ]:[Stanowisko / Position ]],0))="n/a","n/a",DB95-INDEX(tab_MinKomp[Testy właściwości Rheometra mieszanki gumy],MATCH($B95,tab_MinKomp[[Stanowisko / Position ]:[Stanowisko / Position ]],0)))</f>
        <v>n/a</v>
      </c>
      <c r="DC96" s="387" t="str">
        <f>IF(INDEX(tab_MinKomp[CMM - Contura Zeiss],MATCH($B95,tab_MinKomp[[Stanowisko / Position ]:[Stanowisko / Position ]],0))="n/a","n/a",DC95-INDEX(tab_MinKomp[CMM - Contura Zeiss],MATCH($B95,tab_MinKomp[[Stanowisko / Position ]:[Stanowisko / Position ]],0)))</f>
        <v>n/a</v>
      </c>
      <c r="DD96" s="387" t="str">
        <f>IF(INDEX(tab_MinKomp[Wykonywanie precyzyjnych pomiarów metrycznych, pomiary 3D],MATCH($B95,tab_MinKomp[[Stanowisko / Position ]:[Stanowisko / Position ]],0))="n/a","n/a",DD95-INDEX(tab_MinKomp[Wykonywanie precyzyjnych pomiarów metrycznych, pomiary 3D],MATCH($B95,tab_MinKomp[[Stanowisko / Position ]:[Stanowisko / Position ]],0)))</f>
        <v>n/a</v>
      </c>
      <c r="DE96" s="387" t="str">
        <f>IF(INDEX(tab_MinKomp[Pisanie programów / Programme schreiben],MATCH($B95,tab_MinKomp[[Stanowisko / Position ]:[Stanowisko / Position ]],0))="n/a","n/a",DE95-INDEX(tab_MinKomp[Pisanie programów / Programme schreiben],MATCH($B95,tab_MinKomp[[Stanowisko / Position ]:[Stanowisko / Position ]],0)))</f>
        <v>n/a</v>
      </c>
      <c r="DF96" s="387" t="str">
        <f>IF(INDEX(tab_MinKomp[Obsługa wyposażenia do testów czystości (myjka + analizator) / Betrieb von Sauberkeitsprüfgeräten (Waschmaschine + Analysegerät)],MATCH($B95,tab_MinKomp[[Stanowisko / Position ]:[Stanowisko / Position ]],0))="n/a","n/a",DF95-INDEX(tab_MinKomp[Obsługa wyposażenia do testów czystości (myjka + analizator) / Betrieb von Sauberkeitsprüfgeräten (Waschmaschine + Analysegerät)],MATCH($B95,tab_MinKomp[[Stanowisko / Position ]:[Stanowisko / Position ]],0)))</f>
        <v>n/a</v>
      </c>
      <c r="DG96" s="387" t="str">
        <f>IF(INDEX(tab_MinKomp[Testy czystości / Reinheitstests],MATCH($B95,tab_MinKomp[[Stanowisko / Position ]:[Stanowisko / Position ]],0))="n/a","n/a",DG95-INDEX(tab_MinKomp[Testy czystości / Reinheitstests],MATCH($B95,tab_MinKomp[[Stanowisko / Position ]:[Stanowisko / Position ]],0)))</f>
        <v>n/a</v>
      </c>
      <c r="DH96" s="387" t="str">
        <f>IF(INDEX(tab_MinKomp[Obsługa wysokościomierza / Unterstützung für Höhenmesser],MATCH($B95,tab_MinKomp[[Stanowisko / Position ]:[Stanowisko / Position ]],0))="n/a","n/a",DH95-INDEX(tab_MinKomp[Obsługa wysokościomierza / Unterstützung für Höhenmesser],MATCH($B95,tab_MinKomp[[Stanowisko / Position ]:[Stanowisko / Position ]],0)))</f>
        <v>n/a</v>
      </c>
      <c r="DI96" s="387" t="str">
        <f>IF(INDEX(tab_MinKomp[Pomiary wysokości materiału / Materialhöhenmessungen],MATCH($B95,tab_MinKomp[[Stanowisko / Position ]:[Stanowisko / Position ]],0))="n/a","n/a",DI95-INDEX(tab_MinKomp[Pomiary wysokości materiału / Materialhöhenmessungen],MATCH($B95,tab_MinKomp[[Stanowisko / Position ]:[Stanowisko / Position ]],0)))</f>
        <v>n/a</v>
      </c>
      <c r="DJ96" s="387" t="str">
        <f>IF(INDEX(tab_MinKomp[Obsługa okrągłościomierza / Unterstützung für Rundheitsmessgeräte],MATCH($B95,tab_MinKomp[[Stanowisko / Position ]:[Stanowisko / Position ]],0))="n/a","n/a",DJ95-INDEX(tab_MinKomp[Obsługa okrągłościomierza / Unterstützung für Rundheitsmessgeräte],MATCH($B95,tab_MinKomp[[Stanowisko / Position ]:[Stanowisko / Position ]],0)))</f>
        <v>n/a</v>
      </c>
      <c r="DK96" s="387" t="str">
        <f>IF(INDEX(tab_MinKomp[Wykonywania pomiarów owalności, srednicy materiału / Messung der Ovalität und des Durchmessers des Materials],MATCH($B95,tab_MinKomp[[Stanowisko / Position ]:[Stanowisko / Position ]],0))="n/a","n/a",DK95-INDEX(tab_MinKomp[Wykonywania pomiarów owalności, srednicy materiału / Messung der Ovalität und des Durchmessers des Materials],MATCH($B95,tab_MinKomp[[Stanowisko / Position ]:[Stanowisko / Position ]],0)))</f>
        <v>n/a</v>
      </c>
      <c r="DL96" s="387" t="str">
        <f>IF(INDEX(tab_MinKomp[Obsługa urządzenia do pomiarów chropowoatości powierzchni materiału],MATCH($B95,tab_MinKomp[[Stanowisko / Position ]:[Stanowisko / Position ]],0))="n/a","n/a",DL95-INDEX(tab_MinKomp[Obsługa urządzenia do pomiarów chropowoatości powierzchni materiału],MATCH($B95,tab_MinKomp[[Stanowisko / Position ]:[Stanowisko / Position ]],0)))</f>
        <v>n/a</v>
      </c>
      <c r="DM96" s="387" t="str">
        <f>IF(INDEX(tab_MinKomp[Wykonywanie pomiarów chropowatości powierzchni materiału / Durchführung von Messungen der Materialoberflächenrauheit],MATCH($B95,tab_MinKomp[[Stanowisko / Position ]:[Stanowisko / Position ]],0))="n/a","n/a",DM95-INDEX(tab_MinKomp[Wykonywanie pomiarów chropowatości powierzchni materiału / Durchführung von Messungen der Materialoberflächenrauheit],MATCH($B95,tab_MinKomp[[Stanowisko / Position ]:[Stanowisko / Position ]],0)))</f>
        <v>n/a</v>
      </c>
      <c r="DN96" s="387" t="str">
        <f>IF(INDEX(tab_MinKomp[Obsługa urządzenia do pomiaru siły radialnej części - postępowanie z trzpieniami. / Funktionsweise des Geräts zur Messung der Radialkraft von Teilen – Handhabungsstifte.],MATCH($B95,tab_MinKomp[[Stanowisko / Position ]:[Stanowisko / Position ]],0))="n/a","n/a",DN95-INDEX(tab_MinKomp[Obsługa urządzenia do pomiaru siły radialnej części - postępowanie z trzpieniami. / Funktionsweise des Geräts zur Messung der Radialkraft von Teilen – Handhabungsstifte.],MATCH($B95,tab_MinKomp[[Stanowisko / Position ]:[Stanowisko / Position ]],0)))</f>
        <v>n/a</v>
      </c>
      <c r="DO96" s="387" t="str">
        <f>IF(INDEX(tab_MinKomp[Wykonywanie pomiarów siły radialnej części / Führen Sie Radialkraftmessungen an Teilen durch],MATCH($B95,tab_MinKomp[[Stanowisko / Position ]:[Stanowisko / Position ]],0))="n/a","n/a",DO95-INDEX(tab_MinKomp[Wykonywanie pomiarów siły radialnej części / Führen Sie Radialkraftmessungen an Teilen durch],MATCH($B95,tab_MinKomp[[Stanowisko / Position ]:[Stanowisko / Position ]],0)))</f>
        <v>n/a</v>
      </c>
      <c r="DP96" s="387" t="str">
        <f>IF(INDEX(tab_MinKomp[Obsługa komory do testów wybuchwych / Betrieb einer Explosionsprüfkammer],MATCH($B95,tab_MinKomp[[Stanowisko / Position ]:[Stanowisko / Position ]],0))="n/a","n/a",DP95-INDEX(tab_MinKomp[Obsługa komory do testów wybuchwych / Betrieb einer Explosionsprüfkammer],MATCH($B95,tab_MinKomp[[Stanowisko / Position ]:[Stanowisko / Position ]],0)))</f>
        <v>n/a</v>
      </c>
      <c r="DQ96" s="387" t="str">
        <f>IF(INDEX(tab_MinKomp[Wykonywanie testów wybuchowych części / Durchführung von Explosionstests an Teilen],MATCH($B95,tab_MinKomp[[Stanowisko / Position ]:[Stanowisko / Position ]],0))="n/a","n/a",DQ95-INDEX(tab_MinKomp[Wykonywanie testów wybuchowych części / Durchführung von Explosionstests an Teilen],MATCH($B95,tab_MinKomp[[Stanowisko / Position ]:[Stanowisko / Position ]],0)))</f>
        <v>n/a</v>
      </c>
      <c r="DR96" s="387" t="str">
        <f>IF(INDEX(tab_MinKomp[Obsługa urządzeń do mierzenia siły trzymania i/lub rozciągania / Betrieb von Geräten zur Messung der Halte- und/oder Dehnkraft],MATCH($B95,tab_MinKomp[[Stanowisko / Position ]:[Stanowisko / Position ]],0))="n/a","n/a",DR95-INDEX(tab_MinKomp[Obsługa urządzeń do mierzenia siły trzymania i/lub rozciągania / Betrieb von Geräten zur Messung der Halte- und/oder Dehnkraft],MATCH($B95,tab_MinKomp[[Stanowisko / Position ]:[Stanowisko / Position ]],0)))</f>
        <v>n/a</v>
      </c>
      <c r="DS96" s="387" t="str">
        <f>IF(INDEX(tab_MinKomp[Wykonywanie testów mierzenia siły trzymania i/lub rozciągania / Durchführung von Tests zur Messung der Halte- und/oder Streckkraft],MATCH($B95,tab_MinKomp[[Stanowisko / Position ]:[Stanowisko / Position ]],0))="n/a","n/a",DS95-INDEX(tab_MinKomp[Wykonywanie testów mierzenia siły trzymania i/lub rozciągania / Durchführung von Tests zur Messung der Halte- und/oder Streckkraft],MATCH($B95,tab_MinKomp[[Stanowisko / Position ]:[Stanowisko / Position ]],0)))</f>
        <v>n/a</v>
      </c>
      <c r="DT96" s="387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Luftstrom)],MATCH($B95,tab_MinKomp[[Stanowisko / Position ]:[Stanowisko / Position ]],0))="n/a","n/a",DT95-INDEX(tab_MinKomp[Obsługa multimetru do pomiarów środowiskowych (temperatura, wilgotność, hałas, oświetlenie, przepływ powietrza) / Betrieb eines Multimeters für Umweltmessungen (Temperatur, Luftfeuchtigkeit, Lärm, Beleuchtung, Luftstrom)],MATCH($B95,tab_MinKomp[[Stanowisko / Position ]:[Stanowisko / Position ]],0)))</f>
        <v>n/a</v>
      </c>
      <c r="DU96" s="387" t="str">
        <f>IF(INDEX(tab_MinKomp[Kontrola warunków środowiskowych pracy (temperatura, wilgotność, hałas, oświetlenie, przepływ powietrza) / Kontrolle der Arbeitsumgebungsbedingungen (Temperatur, Luftfeuchtigkeit, Lärm, Beleuchtung, Luftstrom)],MATCH($B95,tab_MinKomp[[Stanowisko / Position ]:[Stanowisko / Position ]],0))="n/a","n/a",DU95-INDEX(tab_MinKomp[Kontrola warunków środowiskowych pracy (temperatura, wilgotność, hałas, oświetlenie, przepływ powietrza) / Kontrolle der Arbeitsumgebungsbedingungen (Temperatur, Luftfeuchtigkeit, Lärm, Beleuchtung, Luftstrom)],MATCH($B95,tab_MinKomp[[Stanowisko / Position ]:[Stanowisko / Position ]],0)))</f>
        <v>n/a</v>
      </c>
      <c r="DV96" s="387">
        <f>IF(INDEX(tab_MinKomp[MSA i SPC],MATCH($B95,tab_MinKomp[[Stanowisko / Position ]:[Stanowisko / Position ]],0))="n/a","n/a",DV95-INDEX(tab_MinKomp[MSA i SPC],MATCH($B95,tab_MinKomp[[Stanowisko / Position ]:[Stanowisko / Position ]],0)))</f>
        <v>0</v>
      </c>
      <c r="DW96" s="387">
        <f>IF(INDEX(tab_MinKomp[Kontrola wejściowa komponentów/ Eingangskontrolle],MATCH($B95,tab_MinKomp[[Stanowisko / Position ]:[Stanowisko / Position ]],0))="n/a","n/a",DW95-INDEX(tab_MinKomp[Kontrola wejściowa komponentów/ Eingangskontrolle],MATCH($B95,tab_MinKomp[[Stanowisko / Position ]:[Stanowisko / Position ]],0)))</f>
        <v>0</v>
      </c>
      <c r="DX96" s="387">
        <f>IF(INDEX(tab_MinKomp[Kontrola wyjściowa produktu / Ausgangskontrolle],MATCH($B95,tab_MinKomp[[Stanowisko / Position ]:[Stanowisko / Position ]],0))="n/a","n/a",DX95-INDEX(tab_MinKomp[Kontrola wyjściowa produktu / Ausgangskontrolle],MATCH($B95,tab_MinKomp[[Stanowisko / Position ]:[Stanowisko / Position ]],0)))</f>
        <v>0</v>
      </c>
      <c r="DY96" s="443" t="str">
        <f>IF(INDEX(tab_MinKomp[Specjalista BHP / BHP Spezialist],MATCH($B95,tab_MinKomp[[Stanowisko / Position ]:[Stanowisko / Position ]],0))="n/a","n/a",DY95-INDEX(tab_MinKomp[Specjalista BHP / BHP Spezialist],MATCH($B95,tab_MinKomp[[Stanowisko / Position ]:[Stanowisko / Position ]],0)))</f>
        <v>n/a</v>
      </c>
      <c r="DZ96" s="387" t="str">
        <f>IF(INDEX(tab_MinKomp[Konserwacja Rep],MATCH($B95,tab_MinKomp[[Stanowisko / Position ]:[Stanowisko / Position ]],0))="n/a","n/a",DZ95-INDEX(tab_MinKomp[Konserwacja Rep],MATCH($B95,tab_MinKomp[[Stanowisko / Position ]:[Stanowisko / Position ]],0)))</f>
        <v>n/a</v>
      </c>
      <c r="EA96" s="387" t="str">
        <f>IF(INDEX(tab_MinKomp[[Konserwacja Engel ]],MATCH($B95,tab_MinKomp[[Stanowisko / Position ]:[Stanowisko / Position ]],0))="n/a","n/a",EA95-INDEX(tab_MinKomp[[Konserwacja Engel ]],MATCH($B95,tab_MinKomp[[Stanowisko / Position ]:[Stanowisko / Position ]],0)))</f>
        <v>n/a</v>
      </c>
      <c r="EB96" s="387" t="str">
        <f>IF(INDEX(tab_MinKomp[Konserwacja B 50],MATCH($B95,tab_MinKomp[[Stanowisko / Position ]:[Stanowisko / Position ]],0))="n/a","n/a",EB95-INDEX(tab_MinKomp[Konserwacja B 50],MATCH($B95,tab_MinKomp[[Stanowisko / Position ]:[Stanowisko / Position ]],0)))</f>
        <v>n/a</v>
      </c>
      <c r="EC96" s="387" t="str">
        <f>IF(INDEX(tab_MinKomp[[Konserwacja EOL ]],MATCH($B95,tab_MinKomp[[Stanowisko / Position ]:[Stanowisko / Position ]],0))="n/a","n/a",EC95-INDEX(tab_MinKomp[[Konserwacja EOL ]],MATCH($B95,tab_MinKomp[[Stanowisko / Position ]:[Stanowisko / Position ]],0)))</f>
        <v>n/a</v>
      </c>
      <c r="ED96" s="387" t="str">
        <f>IF(INDEX(tab_MinKomp[Konserwacja Branson],MATCH($B95,tab_MinKomp[[Stanowisko / Position ]:[Stanowisko / Position ]],0))="n/a","n/a",ED95-INDEX(tab_MinKomp[Konserwacja Branson],MATCH($B95,tab_MinKomp[[Stanowisko / Position ]:[Stanowisko / Position ]],0)))</f>
        <v>n/a</v>
      </c>
      <c r="EE96" s="387" t="str">
        <f>IF(INDEX(tab_MinKomp[Konserwacja coolery],MATCH($B95,tab_MinKomp[[Stanowisko / Position ]:[Stanowisko / Position ]],0))="n/a","n/a",EE95-INDEX(tab_MinKomp[Konserwacja coolery],MATCH($B95,tab_MinKomp[[Stanowisko / Position ]:[Stanowisko / Position ]],0)))</f>
        <v>n/a</v>
      </c>
      <c r="EF96" s="387" t="str">
        <f>IF(INDEX(tab_MinKomp[Konserwacja piecy],MATCH($B95,tab_MinKomp[[Stanowisko / Position ]:[Stanowisko / Position ]],0))="n/a","n/a",EF95-INDEX(tab_MinKomp[Konserwacja piecy],MATCH($B95,tab_MinKomp[[Stanowisko / Position ]:[Stanowisko / Position ]],0)))</f>
        <v>n/a</v>
      </c>
      <c r="EG96" s="387">
        <f>IF(INDEX(tab_MinKomp[Rysunek techniczny- czytanie],MATCH($B95,tab_MinKomp[[Stanowisko / Position ]:[Stanowisko / Position ]],0))="n/a","n/a",EG95-INDEX(tab_MinKomp[Rysunek techniczny- czytanie],MATCH($B95,tab_MinKomp[[Stanowisko / Position ]:[Stanowisko / Position ]],0)))</f>
        <v>0</v>
      </c>
      <c r="EH96" s="387">
        <f>IF(INDEX(tab_MinKomp[Elektryka],MATCH($B95,tab_MinKomp[[Stanowisko / Position ]:[Stanowisko / Position ]],0))="n/a","n/a",EH95-INDEX(tab_MinKomp[Elektryka],MATCH($B95,tab_MinKomp[[Stanowisko / Position ]:[Stanowisko / Position ]],0)))</f>
        <v>0</v>
      </c>
      <c r="EI96" s="387">
        <f>IF(INDEX(tab_MinKomp[Pneumatyka],MATCH($B95,tab_MinKomp[[Stanowisko / Position ]:[Stanowisko / Position ]],0))="n/a","n/a",EI95-INDEX(tab_MinKomp[Pneumatyka],MATCH($B95,tab_MinKomp[[Stanowisko / Position ]:[Stanowisko / Position ]],0)))</f>
        <v>0</v>
      </c>
      <c r="EJ96" s="387">
        <f>IF(INDEX(tab_MinKomp[[Hydraulika ]],MATCH($B95,tab_MinKomp[[Stanowisko / Position ]:[Stanowisko / Position ]],0))="n/a","n/a",EJ95-INDEX(tab_MinKomp[[Hydraulika ]],MATCH($B95,tab_MinKomp[[Stanowisko / Position ]:[Stanowisko / Position ]],0)))</f>
        <v>0</v>
      </c>
      <c r="EK96" s="387">
        <f>IF(INDEX(tab_MinKomp[Podciśnienie],MATCH($B95,tab_MinKomp[[Stanowisko / Position ]:[Stanowisko / Position ]],0))="n/a","n/a",EK95-INDEX(tab_MinKomp[Podciśnienie],MATCH($B95,tab_MinKomp[[Stanowisko / Position ]:[Stanowisko / Position ]],0)))</f>
        <v>0</v>
      </c>
      <c r="EL96" s="387">
        <f>IF(INDEX(tab_MinKomp[Usuwanie awarii],MATCH($B95,tab_MinKomp[[Stanowisko / Position ]:[Stanowisko / Position ]],0))="n/a","n/a",EL95-INDEX(tab_MinKomp[Usuwanie awarii],MATCH($B95,tab_MinKomp[[Stanowisko / Position ]:[Stanowisko / Position ]],0)))</f>
        <v>0</v>
      </c>
      <c r="EM96" s="387">
        <f>IF(INDEX(tab_MinKomp[Obsługa robotów],MATCH($B95,tab_MinKomp[[Stanowisko / Position ]:[Stanowisko / Position ]],0))="n/a","n/a",EM95-INDEX(tab_MinKomp[Obsługa robotów],MATCH($B95,tab_MinKomp[[Stanowisko / Position ]:[Stanowisko / Position ]],0)))</f>
        <v>0</v>
      </c>
      <c r="EN96" s="387">
        <f>IF(INDEX(tab_MinKomp[Obsługa sterowania maszyny],MATCH($B95,tab_MinKomp[[Stanowisko / Position ]:[Stanowisko / Position ]],0))="n/a","n/a",EN95-INDEX(tab_MinKomp[Obsługa sterowania maszyny],MATCH($B95,tab_MinKomp[[Stanowisko / Position ]:[Stanowisko / Position ]],0)))</f>
        <v>0</v>
      </c>
      <c r="EO96" s="387">
        <f>IF(INDEX(tab_MinKomp[Usuwanie przyczyn żródłowych],MATCH($B95,tab_MinKomp[[Stanowisko / Position ]:[Stanowisko / Position ]],0))="n/a","n/a",EO95-INDEX(tab_MinKomp[Usuwanie przyczyn żródłowych],MATCH($B95,tab_MinKomp[[Stanowisko / Position ]:[Stanowisko / Position ]],0)))</f>
        <v>-1</v>
      </c>
      <c r="EP96" s="387">
        <f>IF(INDEX(tab_MinKomp[Cmms stosowanie],MATCH($B95,tab_MinKomp[[Stanowisko / Position ]:[Stanowisko / Position ]],0))="n/a","n/a",EP95-INDEX(tab_MinKomp[Cmms stosowanie],MATCH($B95,tab_MinKomp[[Stanowisko / Position ]:[Stanowisko / Position ]],0)))</f>
        <v>0</v>
      </c>
      <c r="EQ96" s="387">
        <f>IF(INDEX(tab_MinKomp[[Czyszczenie form gumowych ]],MATCH($B95,tab_MinKomp[[Stanowisko / Position ]:[Stanowisko / Position ]],0))="n/a","n/a",EQ95-INDEX(tab_MinKomp[[Czyszczenie form gumowych ]],MATCH($B95,tab_MinKomp[[Stanowisko / Position ]:[Stanowisko / Position ]],0)))</f>
        <v>0</v>
      </c>
      <c r="ER96" s="443" t="str">
        <f>IF(INDEX(tab_MinKomp[Specjalista BHP / BHP Spezialist],MATCH($B95,tab_MinKomp[[Stanowisko / Position ]:[Stanowisko / Position ]],0))="n/a","n/a",ER95-INDEX(tab_MinKomp[Specjalista BHP / BHP Spezialist],MATCH($B95,tab_MinKomp[[Stanowisko / Position ]:[Stanowisko / Position ]],0)))</f>
        <v>n/a</v>
      </c>
      <c r="ES96" s="387" t="str">
        <f>IF(INDEX(tab_MinKomp[Wymiana form plastik],MATCH($B95,tab_MinKomp[[Stanowisko / Position ]:[Stanowisko / Position ]],0))="n/a","n/a",ES95-INDEX(tab_MinKomp[Wymiana form plastik],MATCH($B95,tab_MinKomp[[Stanowisko / Position ]:[Stanowisko / Position ]],0)))</f>
        <v>n/a</v>
      </c>
      <c r="ET96" s="387" t="str">
        <f>IF(INDEX(tab_MinKomp[Wymiana form guma],MATCH($B95,tab_MinKomp[[Stanowisko / Position ]:[Stanowisko / Position ]],0))="n/a","n/a",ET95-INDEX(tab_MinKomp[Wymiana form guma],MATCH($B95,tab_MinKomp[[Stanowisko / Position ]:[Stanowisko / Position ]],0)))</f>
        <v>n/a</v>
      </c>
      <c r="EU96" s="387" t="str">
        <f>IF(INDEX(tab_MinKomp[Konserwacja KK],MATCH($B95,tab_MinKomp[[Stanowisko / Position ]:[Stanowisko / Position ]],0))="n/a","n/a",EU95-INDEX(tab_MinKomp[Konserwacja KK],MATCH($B95,tab_MinKomp[[Stanowisko / Position ]:[Stanowisko / Position ]],0)))</f>
        <v>n/a</v>
      </c>
      <c r="EV96" s="387" t="str">
        <f>IF(INDEX(tab_MinKomp[Konserwacja form guma],MATCH($B95,tab_MinKomp[[Stanowisko / Position ]:[Stanowisko / Position ]],0))="n/a","n/a",EV95-INDEX(tab_MinKomp[Konserwacja form guma],MATCH($B95,tab_MinKomp[[Stanowisko / Position ]:[Stanowisko / Position ]],0)))</f>
        <v>n/a</v>
      </c>
      <c r="EW96" s="330" t="str">
        <f>IF(INDEX(tab_MinKomp[Konserwacja form plastiki],MATCH($B95,tab_MinKomp[[Stanowisko / Position ]:[Stanowisko / Position ]],0))="n/a","n/a",EW95-INDEX(tab_MinKomp[Konserwacja form plastiki],MATCH($B95,tab_MinKomp[[Stanowisko / Position ]:[Stanowisko / Position ]],0)))</f>
        <v>n/a</v>
      </c>
      <c r="EX96" s="387" t="str">
        <f>IF(INDEX(tab_MinKomp[Konserwacja form plastiki],MATCH($B95,tab_MinKomp[[Stanowisko / Position ]:[Stanowisko / Position ]],0))="n/a","n/a",EX95-INDEX(tab_MinKomp[Konserwacja form plastiki],MATCH($B95,tab_MinKomp[[Stanowisko / Position ]:[Stanowisko / Position ]],0)))</f>
        <v>n/a</v>
      </c>
      <c r="EY96" s="387" t="str">
        <f>IF(INDEX(tab_MinKomp[Konserwacja Gorącego Kanału],MATCH($B95,tab_MinKomp[[Stanowisko / Position ]:[Stanowisko / Position ]],0))="n/a","n/a",EY95-INDEX(tab_MinKomp[Konserwacja Gorącego Kanału],MATCH($B95,tab_MinKomp[[Stanowisko / Position ]:[Stanowisko / Position ]],0)))</f>
        <v>n/a</v>
      </c>
      <c r="EZ96" s="387">
        <f>IF(INDEX(tab_MinKomp[MS Office (Excel)],MATCH($B95,tab_MinKomp[[Stanowisko / Position ]:[Stanowisko / Position ]],0))="n/a","n/a",EZ95-INDEX(tab_MinKomp[MS Office (Excel)],MATCH($B95,tab_MinKomp[[Stanowisko / Position ]:[Stanowisko / Position ]],0)))</f>
        <v>0</v>
      </c>
      <c r="FA96" s="387">
        <f>IF(INDEX(tab_MinKomp[MS Office (Word)],MATCH($B95,tab_MinKomp[[Stanowisko / Position ]:[Stanowisko / Position ]],0))="n/a","n/a",FA95-INDEX(tab_MinKomp[MS Office (Word)],MATCH($B95,tab_MinKomp[[Stanowisko / Position ]:[Stanowisko / Position ]],0)))</f>
        <v>0</v>
      </c>
      <c r="FB96" s="443" t="str">
        <f>IF(INDEX(tab_MinKomp[Specjalista BHP / BHP Spezialist],MATCH($B95,tab_MinKomp[[Stanowisko / Position ]:[Stanowisko / Position ]],0))="n/a","n/a",FB95-INDEX(tab_MinKomp[Specjalista BHP / BHP Spezialist],MATCH($B95,tab_MinKomp[[Stanowisko / Position ]:[Stanowisko / Position ]],0)))</f>
        <v>n/a</v>
      </c>
      <c r="FC96" s="387" t="str">
        <f>IF(INDEX(tab_MinKomp[Język angielski / Englisch],MATCH($B95,tab_MinKomp[[Stanowisko / Position ]:[Stanowisko / Position ]],0))="n/a","n/a",FC95-INDEX(tab_MinKomp[Język angielski / Englisch],MATCH($B95,tab_MinKomp[[Stanowisko / Position ]:[Stanowisko / Position ]],0)))</f>
        <v>n/a</v>
      </c>
      <c r="FD96" s="387" t="str">
        <f>IF(INDEX(tab_MinKomp[Język niemiecki / Deutsch],MATCH($B95,tab_MinKomp[[Stanowisko / Position ]:[Stanowisko / Position ]],0))="n/a","n/a",FD95-INDEX(tab_MinKomp[Język niemiecki / Deutsch],MATCH($B95,tab_MinKomp[[Stanowisko / Position ]:[Stanowisko / Position ]],0)))</f>
        <v>n/a</v>
      </c>
      <c r="FE96" s="387">
        <f>IF(INDEX(tab_MinKomp[Zarządzanie dokumentacją procesową / Process dokumentation management],MATCH($B95,tab_MinKomp[[Stanowisko / Position ]:[Stanowisko / Position ]],0))="n/a","n/a",FE95-INDEX(tab_MinKomp[Zarządzanie dokumentacją procesową / Process dokumentation management],MATCH($B95,tab_MinKomp[[Stanowisko / Position ]:[Stanowisko / Position ]],0)))</f>
        <v>1</v>
      </c>
      <c r="FF96" s="387">
        <f>IF(INDEX(tab_MinKomp[Znajomość procesów z obszaru / Kenntiss der prozesse in dem Bereich],MATCH($B95,tab_MinKomp[[Stanowisko / Position ]:[Stanowisko / Position ]],0))="n/a","n/a",FF95-INDEX(tab_MinKomp[Znajomość procesów z obszaru / Kenntiss der prozesse in dem Bereich],MATCH($B95,tab_MinKomp[[Stanowisko / Position ]:[Stanowisko / Position ]],0)))</f>
        <v>-1</v>
      </c>
      <c r="FG96" s="387">
        <f>IF(INDEX(tab_MinKomp[optymalizacja procesów / Prozessoptymalisierung],MATCH($B95,tab_MinKomp[[Stanowisko / Position ]:[Stanowisko / Position ]],0))="n/a","n/a",FG95-INDEX(tab_MinKomp[optymalizacja procesów / Prozessoptymalisierung],MATCH($B95,tab_MinKomp[[Stanowisko / Position ]:[Stanowisko / Position ]],0)))</f>
        <v>0</v>
      </c>
      <c r="FH96" s="387">
        <f>IF(INDEX(tab_MinKomp[Umiejętności szkoleniowe / Trainingsfähigkeiten],MATCH($B95,tab_MinKomp[[Stanowisko / Position ]:[Stanowisko / Position ]],0))="n/a","n/a",FH95-INDEX(tab_MinKomp[Umiejętności szkoleniowe / Trainingsfähigkeiten],MATCH($B95,tab_MinKomp[[Stanowisko / Position ]:[Stanowisko / Position ]],0)))</f>
        <v>-1</v>
      </c>
      <c r="FI96" s="387">
        <f>IF(INDEX(tab_MinKomp[Analityczne myślenie, podejście / Analitysches Denken, Einstellung],MATCH($B95,tab_MinKomp[[Stanowisko / Position ]:[Stanowisko / Position ]],0))="n/a","n/a",FI95-INDEX(tab_MinKomp[Analityczne myślenie, podejście / Analitysches Denken, Einstellung],MATCH($B95,tab_MinKomp[[Stanowisko / Position ]:[Stanowisko / Position ]],0)))</f>
        <v>-1</v>
      </c>
      <c r="FJ96" s="387">
        <f>IF(INDEX(tab_MinKomp[Dokładność, precyzja w dzialaniu / Genauigkeit, Präzision in die Arbeit],MATCH($B95,tab_MinKomp[[Stanowisko / Position ]:[Stanowisko / Position ]],0))="n/a","n/a",FJ95-INDEX(tab_MinKomp[Dokładność, precyzja w dzialaniu / Genauigkeit, Präzision in die Arbeit],MATCH($B95,tab_MinKomp[[Stanowisko / Position ]:[Stanowisko / Position ]],0)))</f>
        <v>0</v>
      </c>
      <c r="FK96" s="387">
        <f>IF(INDEX(tab_MinKomp[Dyspozycyjność / Verfügbarkeit],MATCH($B95,tab_MinKomp[[Stanowisko / Position ]:[Stanowisko / Position ]],0))="n/a","n/a",FK95-INDEX(tab_MinKomp[Dyspozycyjność / Verfügbarkeit],MATCH($B95,tab_MinKomp[[Stanowisko / Position ]:[Stanowisko / Position ]],0)))</f>
        <v>-1</v>
      </c>
      <c r="FL96" s="443" t="str">
        <f>IF(INDEX(tab_MinKomp[Specjalista BHP / BHP Spezialist],MATCH($B95,tab_MinKomp[[Stanowisko / Position ]:[Stanowisko / Position ]],0))="n/a","n/a",FL95-INDEX(tab_MinKomp[Specjalista BHP / BHP Spezialist],MATCH($B95,tab_MinKomp[[Stanowisko / Position ]:[Stanowisko / Position ]],0)))</f>
        <v>n/a</v>
      </c>
      <c r="FM96" s="387" t="str">
        <f>IF(INDEX(tab_MinKomp[Planowanie strategiczne / Strategische Planung],MATCH($B95,tab_MinKomp[[Stanowisko / Position ]:[Stanowisko / Position ]],0))="n/a","n/a",FM95-INDEX(tab_MinKomp[Planowanie strategiczne / Strategische Planung],MATCH($B95,tab_MinKomp[[Stanowisko / Position ]:[Stanowisko / Position ]],0)))</f>
        <v>n/a</v>
      </c>
      <c r="FN96" s="387">
        <f>IF(INDEX(tab_MinKomp[Konsekwentne i dynamiczne działanie],MATCH($B95,tab_MinKomp[[Stanowisko / Position ]:[Stanowisko / Position ]],0))="n/a","n/a",FN95-INDEX(tab_MinKomp[Konsekwentne i dynamiczne działanie],MATCH($B95,tab_MinKomp[[Stanowisko / Position ]:[Stanowisko / Position ]],0)))</f>
        <v>-1</v>
      </c>
      <c r="FO96" s="387">
        <f>IF(INDEX(tab_MinKomp[Elastyczność w działaniu],MATCH($B95,tab_MinKomp[[Stanowisko / Position ]:[Stanowisko / Position ]],0))="n/a","n/a",FO95-INDEX(tab_MinKomp[Elastyczność w działaniu],MATCH($B95,tab_MinKomp[[Stanowisko / Position ]:[Stanowisko / Position ]],0)))</f>
        <v>0</v>
      </c>
      <c r="FP96" s="387">
        <f>IF(INDEX(tab_MinKomp[Komunikatywność],MATCH($B95,tab_MinKomp[[Stanowisko / Position ]:[Stanowisko / Position ]],0))="n/a","n/a",FP95-INDEX(tab_MinKomp[Komunikatywność],MATCH($B95,tab_MinKomp[[Stanowisko / Position ]:[Stanowisko / Position ]],0)))</f>
        <v>-1</v>
      </c>
      <c r="FQ96" s="443" t="str">
        <f>IF(INDEX(tab_MinKomp[Specjalista BHP / BHP Spezialist],MATCH($B95,tab_MinKomp[[Stanowisko / Position ]:[Stanowisko / Position ]],0))="n/a","n/a",FQ95-INDEX(tab_MinKomp[Specjalista BHP / BHP Spezialist],MATCH($B95,tab_MinKomp[[Stanowisko / Position ]:[Stanowisko / Position ]],0)))</f>
        <v>n/a</v>
      </c>
      <c r="FR96" s="387" t="s">
        <v>387</v>
      </c>
      <c r="FS96" s="443" t="str">
        <f>IF(INDEX(tab_MinKomp[Specjalista BHP / BHP Spezialist],MATCH($B95,tab_MinKomp[[Stanowisko / Position ]:[Stanowisko / Position ]],0))="n/a","n/a",FS95-INDEX(tab_MinKomp[Specjalista BHP / BHP Spezialist],MATCH($B95,tab_MinKomp[[Stanowisko / Position ]:[Stanowisko / Position ]],0)))</f>
        <v>n/a</v>
      </c>
      <c r="FT96" s="387" t="str">
        <f>IF(INDEX(tab_MinKomp[MINIMUM 2 LATA / min. 2 Jahre],MATCH($B95,tab_MinKomp[[Stanowisko / Position ]:[Stanowisko / Position ]],0))="n/a","n/a",FT95-INDEX(tab_MinKomp[MINIMUM 2 LATA / min. 2 Jahre],MATCH($B95,tab_MinKomp[[Stanowisko / Position ]:[Stanowisko / Position ]],0)))</f>
        <v>n/a</v>
      </c>
      <c r="FU96" s="387" t="str">
        <f>IF(INDEX(tab_MinKomp[MINIMUM 3 LATA / min. 3 Jahre],MATCH($B95,tab_MinKomp[[Stanowisko / Position ]:[Stanowisko / Position ]],0))="n/a","n/a",FU95-INDEX(tab_MinKomp[MINIMUM 3 LATA / min. 3 Jahre],MATCH($B95,tab_MinKomp[[Stanowisko / Position ]:[Stanowisko / Position ]],0)))</f>
        <v>n/a</v>
      </c>
      <c r="FV96" s="387" t="str">
        <f>IF(INDEX(tab_MinKomp[MINIMUM 4 LATA / min. 4 Jahre],MATCH($B95,tab_MinKomp[[Stanowisko / Position ]:[Stanowisko / Position ]],0))="n/a","n/a",FV95-INDEX(tab_MinKomp[MINIMUM 4 LATA / min. 4 Jahre],MATCH($B95,tab_MinKomp[[Stanowisko / Position ]:[Stanowisko / Position ]],0)))</f>
        <v>n/a</v>
      </c>
      <c r="FW96" s="387" t="str">
        <f>IF(INDEX(tab_MinKomp[MINIMUM 5 LAT / min. 5 Jahre],MATCH($B95,tab_MinKomp[[Stanowisko / Position ]:[Stanowisko / Position ]],0))="n/a","n/a",FW95-INDEX(tab_MinKomp[MINIMUM 5 LAT / min. 5 Jahre],MATCH($B95,tab_MinKomp[[Stanowisko / Position ]:[Stanowisko / Position ]],0)))</f>
        <v>n/a</v>
      </c>
      <c r="FX96" s="387" t="str">
        <f>IF(INDEX(tab_MinKomp[BRAK / Keine9],MATCH($B95,tab_MinKomp[[Stanowisko / Position ]:[Stanowisko / Position ]],0))="n/a","n/a",FX95-INDEX(tab_MinKomp[BRAK / Keine9],MATCH($B95,tab_MinKomp[[Stanowisko / Position ]:[Stanowisko / Position ]],0)))</f>
        <v>n/a</v>
      </c>
      <c r="FY96" s="387" t="str">
        <f>IF(INDEX(tab_MinKomp[ZAWODOWE / Berufsausbildung],MATCH($B95,tab_MinKomp[[Stanowisko / Position ]:[Stanowisko / Position ]],0))="n/a","n/a",FY95-INDEX(tab_MinKomp[ZAWODOWE / Berufsausbildung],MATCH($B95,tab_MinKomp[[Stanowisko / Position ]:[Stanowisko / Position ]],0)))</f>
        <v>n/a</v>
      </c>
      <c r="FZ96" s="387" t="str">
        <f>IF(INDEX(tab_MinKomp[ŚREDNIE OGÓLNE / Abitur allgemeine],MATCH($B95,tab_MinKomp[[Stanowisko / Position ]:[Stanowisko / Position ]],0))="n/a","n/a",FZ95-INDEX(tab_MinKomp[ŚREDNIE OGÓLNE / Abitur allgemeine],MATCH($B95,tab_MinKomp[[Stanowisko / Position ]:[Stanowisko / Position ]],0)))</f>
        <v>n/a</v>
      </c>
      <c r="GA96" s="387" t="str">
        <f>IF(INDEX(tab_MinKomp[ŚREDNIE KIERUNKOWE / berufliches Gymnasium],MATCH($B95,tab_MinKomp[[Stanowisko / Position ]:[Stanowisko / Position ]],0))="n/a","n/a",GA95-INDEX(tab_MinKomp[ŚREDNIE KIERUNKOWE / berufliches Gymnasium],MATCH($B95,tab_MinKomp[[Stanowisko / Position ]:[Stanowisko / Position ]],0)))</f>
        <v>n/a</v>
      </c>
      <c r="GB96" s="387" t="s">
        <v>387</v>
      </c>
      <c r="GC96" s="387" t="s">
        <v>387</v>
      </c>
      <c r="GD96" s="443" t="str">
        <f>IF(INDEX(tab_MinKomp[Specjalista BHP / BHP Spezialist],MATCH($B95,tab_MinKomp[[Stanowisko / Position ]:[Stanowisko / Position ]],0))="n/a","n/a",GD95-INDEX(tab_MinKomp[Specjalista BHP / BHP Spezialist],MATCH($B95,tab_MinKomp[[Stanowisko / Position ]:[Stanowisko / Position ]],0)))</f>
        <v>n/a</v>
      </c>
      <c r="GE96" s="387" t="str">
        <f>IF(INDEX(tab_MinKomp[Specjalista BHP / BHP Spezialist],MATCH($B95,tab_MinKomp[[Stanowisko / Position ]:[Stanowisko / Position ]],0))="n/a","n/a",GE95-INDEX(tab_MinKomp[Specjalista BHP / BHP Spezialist],MATCH($B95,tab_MinKomp[[Stanowisko / Position ]:[Stanowisko / Position ]],0)))</f>
        <v>n/a</v>
      </c>
      <c r="GF96" s="387" t="str">
        <f>IF(INDEX(tab_MinKomp[Inspektor ochrony PPOŻ / Brandschutzinspektor],MATCH($B95,tab_MinKomp[[Stanowisko / Position ]:[Stanowisko / Position ]],0))="n/a","n/a",GF95-INDEX(tab_MinKomp[Inspektor ochrony PPOŻ / Brandschutzinspektor],MATCH($B95,tab_MinKomp[[Stanowisko / Position ]:[Stanowisko / Position ]],0)))</f>
        <v>n/a</v>
      </c>
      <c r="GG96" s="387" t="str">
        <f>IF(INDEX(tab_MinKomp[WÓZKI JEZDNIOWE / Gebelstapler],MATCH($B95,tab_MinKomp[[Stanowisko / Position ]:[Stanowisko / Position ]],0))="n/a","n/a",GG95-INDEX(tab_MinKomp[WÓZKI JEZDNIOWE / Gebelstapler],MATCH($B95,tab_MinKomp[[Stanowisko / Position ]:[Stanowisko / Position ]],0)))</f>
        <v>n/a</v>
      </c>
      <c r="GH96" s="387" t="str">
        <f>IF(INDEX(tab_MinKomp[SEP],MATCH($B95,tab_MinKomp[[Stanowisko / Position ]:[Stanowisko / Position ]],0))="n/a","n/a",GH95-INDEX(tab_MinKomp[SEP],MATCH($B95,tab_MinKomp[[Stanowisko / Position ]:[Stanowisko / Position ]],0)))</f>
        <v>n/a</v>
      </c>
      <c r="GI96" s="387" t="str">
        <f>IF(INDEX(tab_MinKomp[SEP  DOZÓR / SEP Aufsicht],MATCH($B95,tab_MinKomp[[Stanowisko / Position ]:[Stanowisko / Position ]],0))="n/a","n/a",GI95-INDEX(tab_MinKomp[SEP  DOZÓR / SEP Aufsicht],MATCH($B95,tab_MinKomp[[Stanowisko / Position ]:[Stanowisko / Position ]],0)))</f>
        <v>n/a</v>
      </c>
      <c r="GJ96" s="387" t="str">
        <f>IF(INDEX(tab_MinKomp[PODNOŚNIKI / Hebevorrichtung],MATCH($B95,tab_MinKomp[[Stanowisko / Position ]:[Stanowisko / Position ]],0))="n/a","n/a",GJ95-INDEX(tab_MinKomp[PODNOŚNIKI / Hebevorrichtung],MATCH($B95,tab_MinKomp[[Stanowisko / Position ]:[Stanowisko / Position ]],0)))</f>
        <v>n/a</v>
      </c>
      <c r="GK96" s="387" t="str">
        <f>IF(INDEX(tab_MinKomp[SUWNICE / Laufkran],MATCH($B95,tab_MinKomp[[Stanowisko / Position ]:[Stanowisko / Position ]],0))="n/a","n/a",GK95-INDEX(tab_MinKomp[SUWNICE / Laufkran],MATCH($B95,tab_MinKomp[[Stanowisko / Position ]:[Stanowisko / Position ]],0)))</f>
        <v>n/a</v>
      </c>
      <c r="GL96" s="320">
        <f>SUM(G96:FP96)/(GL95-(SUM(G96:FP96)))</f>
        <v>-0.10112359550561797</v>
      </c>
    </row>
    <row r="97" spans="1:194" ht="28.35" customHeight="1" thickBot="1" x14ac:dyDescent="0.3">
      <c r="A97" s="138" t="s">
        <v>559</v>
      </c>
      <c r="B97" s="138" t="s">
        <v>560</v>
      </c>
      <c r="C97" s="138" t="s">
        <v>672</v>
      </c>
      <c r="D97" s="138">
        <v>1346</v>
      </c>
      <c r="E97" s="565" t="s">
        <v>620</v>
      </c>
      <c r="F97" s="452" t="s">
        <v>165</v>
      </c>
      <c r="G97" s="308">
        <v>2</v>
      </c>
      <c r="H97" s="308">
        <v>2</v>
      </c>
      <c r="I97" s="308">
        <v>2</v>
      </c>
      <c r="J97" s="308">
        <v>2</v>
      </c>
      <c r="K97" s="308">
        <v>2</v>
      </c>
      <c r="L97" s="308">
        <v>1</v>
      </c>
      <c r="M97" s="308" t="s">
        <v>176</v>
      </c>
      <c r="N97" s="308" t="s">
        <v>176</v>
      </c>
      <c r="O97" s="308">
        <v>1</v>
      </c>
      <c r="P97" s="308">
        <v>1</v>
      </c>
      <c r="Q97" s="308" t="s">
        <v>176</v>
      </c>
      <c r="R97" s="308" t="s">
        <v>176</v>
      </c>
      <c r="S97" s="308" t="s">
        <v>176</v>
      </c>
      <c r="T97" s="308" t="s">
        <v>176</v>
      </c>
      <c r="U97" s="308" t="s">
        <v>176</v>
      </c>
      <c r="V97" s="308" t="s">
        <v>176</v>
      </c>
      <c r="W97" s="308" t="s">
        <v>176</v>
      </c>
      <c r="X97" s="308" t="s">
        <v>176</v>
      </c>
      <c r="Y97" s="308" t="s">
        <v>176</v>
      </c>
      <c r="Z97" s="308" t="s">
        <v>176</v>
      </c>
      <c r="AA97" s="308">
        <v>2</v>
      </c>
      <c r="AB97" s="308">
        <v>1</v>
      </c>
      <c r="AC97" s="308">
        <v>1</v>
      </c>
      <c r="AD97" s="308" t="s">
        <v>176</v>
      </c>
      <c r="AE97" s="308" t="s">
        <v>176</v>
      </c>
      <c r="AF97" s="308">
        <v>1</v>
      </c>
      <c r="AG97" s="308">
        <v>1</v>
      </c>
      <c r="AH97" s="308" t="s">
        <v>176</v>
      </c>
      <c r="AI97" s="308" t="s">
        <v>176</v>
      </c>
      <c r="AJ97" s="308" t="s">
        <v>176</v>
      </c>
      <c r="AK97" s="308">
        <v>1</v>
      </c>
      <c r="AL97" s="308">
        <v>2</v>
      </c>
      <c r="AM97" s="308">
        <v>2</v>
      </c>
      <c r="AN97" s="308">
        <v>2</v>
      </c>
      <c r="AO97" s="308">
        <v>2</v>
      </c>
      <c r="AP97" s="308">
        <v>2</v>
      </c>
      <c r="AQ97" s="308">
        <v>1</v>
      </c>
      <c r="AR97" s="308">
        <v>2</v>
      </c>
      <c r="AS97" s="308">
        <v>2</v>
      </c>
      <c r="AT97" s="308">
        <v>2</v>
      </c>
      <c r="AU97" s="308">
        <v>2</v>
      </c>
      <c r="AV97" s="308">
        <v>2</v>
      </c>
      <c r="AW97" s="308">
        <v>2</v>
      </c>
      <c r="AX97" s="308">
        <v>1</v>
      </c>
      <c r="AY97" s="308">
        <v>1</v>
      </c>
      <c r="AZ97" s="308"/>
      <c r="BA97" s="308" t="s">
        <v>176</v>
      </c>
      <c r="BB97" s="308" t="s">
        <v>176</v>
      </c>
      <c r="BC97" s="308" t="s">
        <v>176</v>
      </c>
      <c r="BD97" s="308" t="s">
        <v>176</v>
      </c>
      <c r="BE97" s="308" t="s">
        <v>176</v>
      </c>
      <c r="BF97" s="308" t="s">
        <v>176</v>
      </c>
      <c r="BG97" s="308" t="s">
        <v>176</v>
      </c>
      <c r="BH97" s="308" t="s">
        <v>176</v>
      </c>
      <c r="BI97" s="308" t="s">
        <v>176</v>
      </c>
      <c r="BJ97" s="308" t="s">
        <v>176</v>
      </c>
      <c r="BK97" s="308" t="s">
        <v>176</v>
      </c>
      <c r="BL97" s="308" t="s">
        <v>176</v>
      </c>
      <c r="BM97" s="308">
        <v>1</v>
      </c>
      <c r="BN97" s="308">
        <v>0</v>
      </c>
      <c r="BO97" s="308">
        <v>2</v>
      </c>
      <c r="BP97" s="308">
        <v>2</v>
      </c>
      <c r="BQ97" s="308">
        <v>2</v>
      </c>
      <c r="BR97" s="308">
        <v>2</v>
      </c>
      <c r="BS97" s="308">
        <v>2</v>
      </c>
      <c r="BT97" s="308">
        <v>0</v>
      </c>
      <c r="BU97" s="308">
        <v>2</v>
      </c>
      <c r="BV97" s="308">
        <v>1</v>
      </c>
      <c r="BW97" s="308">
        <v>1</v>
      </c>
      <c r="BX97" s="308">
        <v>1</v>
      </c>
      <c r="BY97" s="308">
        <v>1</v>
      </c>
      <c r="BZ97" s="308" t="s">
        <v>176</v>
      </c>
      <c r="CA97" s="308" t="s">
        <v>176</v>
      </c>
      <c r="CB97" s="308" t="s">
        <v>176</v>
      </c>
      <c r="CC97" s="308" t="s">
        <v>176</v>
      </c>
      <c r="CD97" s="308" t="s">
        <v>176</v>
      </c>
      <c r="CE97" s="308" t="s">
        <v>176</v>
      </c>
      <c r="CF97" s="308" t="s">
        <v>176</v>
      </c>
      <c r="CG97" s="308" t="s">
        <v>176</v>
      </c>
      <c r="CH97" s="308" t="s">
        <v>176</v>
      </c>
      <c r="CI97" s="308">
        <v>2</v>
      </c>
      <c r="CJ97" s="308">
        <v>1</v>
      </c>
      <c r="CK97" s="308" t="s">
        <v>176</v>
      </c>
      <c r="CL97" s="308">
        <v>2</v>
      </c>
      <c r="CM97" s="308">
        <v>1</v>
      </c>
      <c r="CN97" s="308">
        <v>2</v>
      </c>
      <c r="CO97" s="308">
        <v>2</v>
      </c>
      <c r="CP97" s="308">
        <v>2</v>
      </c>
      <c r="CQ97" s="308">
        <v>1</v>
      </c>
      <c r="CR97" s="308">
        <v>1</v>
      </c>
      <c r="CS97" s="308">
        <v>1</v>
      </c>
      <c r="CT97" s="308" t="s">
        <v>176</v>
      </c>
      <c r="CU97" s="308">
        <v>2</v>
      </c>
      <c r="CV97" s="308">
        <v>2</v>
      </c>
      <c r="CW97" s="308" t="s">
        <v>176</v>
      </c>
      <c r="CX97" s="308" t="s">
        <v>176</v>
      </c>
      <c r="CY97" s="308" t="s">
        <v>176</v>
      </c>
      <c r="CZ97" s="308" t="s">
        <v>176</v>
      </c>
      <c r="DA97" s="308" t="s">
        <v>176</v>
      </c>
      <c r="DB97" s="308" t="s">
        <v>176</v>
      </c>
      <c r="DC97" s="308" t="s">
        <v>176</v>
      </c>
      <c r="DD97" s="308" t="s">
        <v>176</v>
      </c>
      <c r="DE97" s="308" t="s">
        <v>176</v>
      </c>
      <c r="DF97" s="308" t="s">
        <v>176</v>
      </c>
      <c r="DG97" s="308" t="s">
        <v>176</v>
      </c>
      <c r="DH97" s="308" t="s">
        <v>176</v>
      </c>
      <c r="DI97" s="308" t="s">
        <v>176</v>
      </c>
      <c r="DJ97" s="308" t="s">
        <v>176</v>
      </c>
      <c r="DK97" s="308" t="s">
        <v>176</v>
      </c>
      <c r="DL97" s="308" t="s">
        <v>176</v>
      </c>
      <c r="DM97" s="308" t="s">
        <v>176</v>
      </c>
      <c r="DN97" s="308" t="s">
        <v>176</v>
      </c>
      <c r="DO97" s="308" t="s">
        <v>176</v>
      </c>
      <c r="DP97" s="308" t="s">
        <v>176</v>
      </c>
      <c r="DQ97" s="308" t="s">
        <v>176</v>
      </c>
      <c r="DR97" s="308" t="s">
        <v>176</v>
      </c>
      <c r="DS97" s="308" t="s">
        <v>176</v>
      </c>
      <c r="DT97" s="308" t="s">
        <v>176</v>
      </c>
      <c r="DU97" s="308">
        <v>2</v>
      </c>
      <c r="DV97" s="308">
        <v>1</v>
      </c>
      <c r="DW97" s="308">
        <v>1</v>
      </c>
      <c r="DX97" s="308" t="s">
        <v>176</v>
      </c>
      <c r="DY97" s="308" t="s">
        <v>176</v>
      </c>
      <c r="DZ97" s="308" t="s">
        <v>176</v>
      </c>
      <c r="EA97" s="308" t="s">
        <v>176</v>
      </c>
      <c r="EB97" s="308" t="s">
        <v>176</v>
      </c>
      <c r="EC97" s="308" t="s">
        <v>176</v>
      </c>
      <c r="ED97" s="308" t="s">
        <v>176</v>
      </c>
      <c r="EE97" s="308" t="s">
        <v>176</v>
      </c>
      <c r="EF97" s="308">
        <v>2</v>
      </c>
      <c r="EG97" s="308">
        <v>1</v>
      </c>
      <c r="EH97" s="308">
        <v>1</v>
      </c>
      <c r="EI97" s="308">
        <v>1</v>
      </c>
      <c r="EJ97" s="308">
        <v>1</v>
      </c>
      <c r="EK97" s="308">
        <v>1</v>
      </c>
      <c r="EL97" s="308">
        <v>1</v>
      </c>
      <c r="EM97" s="308">
        <v>1</v>
      </c>
      <c r="EN97" s="308">
        <v>2</v>
      </c>
      <c r="EO97" s="308">
        <v>1</v>
      </c>
      <c r="EP97" s="308">
        <v>2</v>
      </c>
      <c r="EQ97" s="308">
        <v>2</v>
      </c>
      <c r="ER97" s="308" t="s">
        <v>176</v>
      </c>
      <c r="ES97" s="308" t="s">
        <v>176</v>
      </c>
      <c r="ET97" s="308" t="s">
        <v>176</v>
      </c>
      <c r="EU97" s="308" t="s">
        <v>176</v>
      </c>
      <c r="EV97" s="308" t="s">
        <v>176</v>
      </c>
      <c r="EW97" s="308" t="s">
        <v>176</v>
      </c>
      <c r="EX97" s="308" t="s">
        <v>176</v>
      </c>
      <c r="EY97" s="308">
        <v>2</v>
      </c>
      <c r="EZ97" s="308">
        <v>2</v>
      </c>
      <c r="FA97" s="308">
        <v>2</v>
      </c>
      <c r="FB97" s="308">
        <v>2</v>
      </c>
      <c r="FC97" s="308" t="s">
        <v>176</v>
      </c>
      <c r="FD97" s="308">
        <v>1</v>
      </c>
      <c r="FE97" s="308">
        <v>2</v>
      </c>
      <c r="FF97" s="308">
        <v>2</v>
      </c>
      <c r="FG97" s="308">
        <v>2</v>
      </c>
      <c r="FH97" s="308">
        <v>2</v>
      </c>
      <c r="FI97" s="308">
        <v>2</v>
      </c>
      <c r="FJ97" s="308">
        <v>2</v>
      </c>
      <c r="FK97" s="308">
        <v>2</v>
      </c>
      <c r="FL97" s="308">
        <v>1</v>
      </c>
      <c r="FM97" s="308">
        <v>2</v>
      </c>
      <c r="FN97" s="308">
        <v>2</v>
      </c>
      <c r="FO97" s="308">
        <v>2</v>
      </c>
      <c r="FP97" s="308">
        <v>2</v>
      </c>
      <c r="FQ97" s="308" t="s">
        <v>176</v>
      </c>
      <c r="FR97" s="308"/>
      <c r="FS97" s="308" t="s">
        <v>176</v>
      </c>
      <c r="FT97" s="308" t="s">
        <v>176</v>
      </c>
      <c r="FU97" s="308" t="s">
        <v>176</v>
      </c>
      <c r="FV97" s="308" t="s">
        <v>176</v>
      </c>
      <c r="FW97" s="308" t="s">
        <v>176</v>
      </c>
      <c r="FX97" s="308" t="s">
        <v>176</v>
      </c>
      <c r="FY97" s="308" t="s">
        <v>176</v>
      </c>
      <c r="FZ97" s="308" t="s">
        <v>176</v>
      </c>
      <c r="GA97" s="308" t="s">
        <v>176</v>
      </c>
      <c r="GB97" s="308"/>
      <c r="GC97" s="308"/>
      <c r="GD97" s="308" t="s">
        <v>176</v>
      </c>
      <c r="GE97" s="308" t="s">
        <v>176</v>
      </c>
      <c r="GF97" s="308" t="s">
        <v>176</v>
      </c>
      <c r="GG97" s="308" t="s">
        <v>176</v>
      </c>
      <c r="GH97" s="308" t="s">
        <v>176</v>
      </c>
      <c r="GI97" s="308" t="s">
        <v>176</v>
      </c>
      <c r="GJ97" s="308" t="s">
        <v>176</v>
      </c>
      <c r="GK97" s="308" t="s">
        <v>176</v>
      </c>
      <c r="GL97" s="311">
        <f>SUM(G97:FP97)</f>
        <v>133</v>
      </c>
    </row>
    <row r="98" spans="1:194" ht="28.35" customHeight="1" thickBot="1" x14ac:dyDescent="0.3">
      <c r="A98" s="138" t="str">
        <f>A97</f>
        <v>Engineering</v>
      </c>
      <c r="B98" s="138" t="s">
        <v>560</v>
      </c>
      <c r="C98" s="138" t="s">
        <v>672</v>
      </c>
      <c r="D98" s="138">
        <v>1346</v>
      </c>
      <c r="E98" s="566" t="str">
        <f>E97</f>
        <v>Bieńkiewicz Edward</v>
      </c>
      <c r="F98" s="312" t="s">
        <v>166</v>
      </c>
      <c r="G98" s="341">
        <f>IF(INDEX(tab_MinKomp[Przepisy BHP / BHP Vorschriften],MATCH($B97,tab_MinKomp[[Stanowisko / Position ]:[Stanowisko / Position ]],0))="n/a","n/a",G97-INDEX(tab_MinKomp[Przepisy BHP / BHP Vorschriften],MATCH($B97,tab_MinKomp[[Stanowisko / Position ]:[Stanowisko / Position ]],0)))</f>
        <v>0</v>
      </c>
      <c r="H98" s="341">
        <f>IF(INDEX(tab_MinKomp[Przepisy PPOŻ / Brandschutzbestimmungen],MATCH($B97,tab_MinKomp[[Stanowisko / Position ]:[Stanowisko / Position ]],0))="n/a","n/a",H97-INDEX(tab_MinKomp[Przepisy PPOŻ / Brandschutzbestimmungen],MATCH($B97,tab_MinKomp[[Stanowisko / Position ]:[Stanowisko / Position ]],0)))</f>
        <v>0</v>
      </c>
      <c r="I98" s="341">
        <f>IF(INDEX(tab_MinKomp[Ryzyko zawodowe na stanowiskach pracyv/ Berufliche Risiken an Arbeitsstellen],MATCH($B97,tab_MinKomp[[Stanowisko / Position ]:[Stanowisko / Position ]],0))="n/a","n/a",I97-INDEX(tab_MinKomp[Ryzyko zawodowe na stanowiskach pracyv/ Berufliche Risiken an Arbeitsstellen],MATCH($B97,tab_MinKomp[[Stanowisko / Position ]:[Stanowisko / Position ]],0)))</f>
        <v>0</v>
      </c>
      <c r="J98" s="341">
        <f>IF(INDEX(tab_MinKomp[Gospodarka substancjami niebezpiecznymi / Gefahrstoffmanagement],MATCH($B97,tab_MinKomp[[Stanowisko / Position ]:[Stanowisko / Position ]],0))="n/a","n/a",J97-INDEX(tab_MinKomp[Gospodarka substancjami niebezpiecznymi / Gefahrstoffmanagement],MATCH($B97,tab_MinKomp[[Stanowisko / Position ]:[Stanowisko / Position ]],0)))</f>
        <v>0</v>
      </c>
      <c r="K98" s="341">
        <f>IF(INDEX(tab_MinKomp[Gospodarka odpadami / Abfallwirtschaft],MATCH($B97,tab_MinKomp[[Stanowisko / Position ]:[Stanowisko / Position ]],0))="n/a","n/a",K97-INDEX(tab_MinKomp[Gospodarka odpadami / Abfallwirtschaft],MATCH($B97,tab_MinKomp[[Stanowisko / Position ]:[Stanowisko / Position ]],0)))</f>
        <v>0</v>
      </c>
      <c r="L98" s="341">
        <f>IF(INDEX(tab_MinKomp[Przepisy kodeksu pracy / Bestimmungen des Arbeitsgesetzes],MATCH($B97,tab_MinKomp[[Stanowisko / Position ]:[Stanowisko / Position ]],0))="n/a","n/a",L97-INDEX(tab_MinKomp[Przepisy kodeksu pracy / Bestimmungen des Arbeitsgesetzes],MATCH($B97,tab_MinKomp[[Stanowisko / Position ]:[Stanowisko / Position ]],0)))</f>
        <v>0</v>
      </c>
      <c r="M98" s="341" t="str">
        <f>IF(INDEX(tab_MinKomp[Przepisy o ub.społ. ZUS  / Sozialversicherungsvorschriften],MATCH($B97,tab_MinKomp[[Stanowisko / Position ]:[Stanowisko / Position ]],0))="n/a","n/a",M97-INDEX(tab_MinKomp[Przepisy o ub.społ. ZUS  / Sozialversicherungsvorschriften],MATCH($B97,tab_MinKomp[[Stanowisko / Position ]:[Stanowisko / Position ]],0)))</f>
        <v>n/a</v>
      </c>
      <c r="N98" s="341" t="str">
        <f>IF(INDEX(tab_MinKomp[PRZEPISY O PDOF /persönlich Einkommensteuergesetz ],MATCH($B97,tab_MinKomp[[Stanowisko / Position ]:[Stanowisko / Position ]],0))="n/a","n/a",N97-INDEX(tab_MinKomp[PRZEPISY O PDOF /persönlich Einkommensteuergesetz ],MATCH($B97,tab_MinKomp[[Stanowisko / Position ]:[Stanowisko / Position ]],0)))</f>
        <v>n/a</v>
      </c>
      <c r="O98" s="341">
        <f>IF(INDEX(tab_MinKomp[Regulamin pracy / Arbeitsordnung],MATCH($B97,tab_MinKomp[[Stanowisko / Position ]:[Stanowisko / Position ]],0))="n/a","n/a",O97-INDEX(tab_MinKomp[Regulamin pracy / Arbeitsordnung],MATCH($B97,tab_MinKomp[[Stanowisko / Position ]:[Stanowisko / Position ]],0)))</f>
        <v>0</v>
      </c>
      <c r="P98" s="341">
        <f>IF(INDEX(tab_MinKomp[Regulamin pracy / Arbeitsordnung],MATCH($B97,tab_MinKomp[[Stanowisko / Position ]:[Stanowisko / Position ]],0))="n/a","n/a",P97-INDEX(tab_MinKomp[Regulamin pracy / Arbeitsordnung],MATCH($B97,tab_MinKomp[[Stanowisko / Position ]:[Stanowisko / Position ]],0)))</f>
        <v>0</v>
      </c>
      <c r="Q98" s="341" t="str">
        <f>IF(INDEX(tab_MinKomp[SystemR2PŁATNIK PRO: KADRY / Personaldaten],MATCH($B97,tab_MinKomp[[Stanowisko / Position ]:[Stanowisko / Position ]],0))="n/a","n/a",R97-INDEX(tab_MinKomp[SystemR2PŁATNIK PRO: KADRY / Personaldaten],MATCH($B97,tab_MinKomp[[Stanowisko / Position ]:[Stanowisko / Position ]],0)))</f>
        <v>n/a</v>
      </c>
      <c r="R98" s="341" t="str">
        <f>IF(INDEX(tab_MinKomp[SYSTEM R2PŁATNIK PRO: zarządzanie pracownikami / Arbeitsverwaltung],MATCH($B97,tab_MinKomp[[Stanowisko / Position ]:[Stanowisko / Position ]],0))="n/a","n/a",S97-INDEX(tab_MinKomp[SYSTEM R2PŁATNIK PRO: zarządzanie pracownikami / Arbeitsverwaltung],MATCH($B97,tab_MinKomp[[Stanowisko / Position ]:[Stanowisko / Position ]],0)))</f>
        <v>n/a</v>
      </c>
      <c r="S98" s="341" t="str">
        <f>IF(INDEX(tab_MinKomp[Doradztwo, wsparcie personalne / Personalberatung und Unterstützung],MATCH($B97,tab_MinKomp[[Stanowisko / Position ]:[Stanowisko / Position ]],0))="n/a","n/a",T97-INDEX(tab_MinKomp[Doradztwo, wsparcie personalne / Personalberatung und Unterstützung],MATCH($B97,tab_MinKomp[[Stanowisko / Position ]:[Stanowisko / Position ]],0)))</f>
        <v>n/a</v>
      </c>
      <c r="T98" s="341" t="str">
        <f>IF(INDEX(tab_MinKomp[Przepisy o podatku VAT / MwSt.- Gesetz],MATCH($B97,tab_MinKomp[[Stanowisko / Position ]:[Stanowisko / Position ]],0))="n/a","n/a",U97-INDEX(tab_MinKomp[Przepisy o podatku VAT / MwSt.- Gesetz],MATCH($B97,tab_MinKomp[[Stanowisko / Position ]:[Stanowisko / Position ]],0)))</f>
        <v>n/a</v>
      </c>
      <c r="U98" s="341" t="str">
        <f>IF(INDEX(tab_MinKomp[PrzepisyPDOP / geschäftlich Einkommensteuergesetz],MATCH($B97,tab_MinKomp[[Stanowisko / Position ]:[Stanowisko / Position ]],0))="n/a","n/a",V97-INDEX(tab_MinKomp[PrzepisyPDOP / geschäftlich Einkommensteuergesetz],MATCH($B97,tab_MinKomp[[Stanowisko / Position ]:[Stanowisko / Position ]],0)))</f>
        <v>n/a</v>
      </c>
      <c r="V98" s="341" t="str">
        <f>IF(INDEX(tab_MinKomp[System BAAN / FINANSE (FIBU)],MATCH($B97,tab_MinKomp[[Stanowisko / Position ]:[Stanowisko / Position ]],0))="n/a","n/a",W97-INDEX(tab_MinKomp[System BAAN / FINANSE (FIBU)],MATCH($B97,tab_MinKomp[[Stanowisko / Position ]:[Stanowisko / Position ]],0)))</f>
        <v>n/a</v>
      </c>
      <c r="W98" s="341" t="str">
        <f>IF(INDEX(tab_MinKomp[Systemy pomocnicze / Hilfssysteme(STOCKPROGRAM, KALK2000 etc.)],MATCH($B97,tab_MinKomp[[Stanowisko / Position ]:[Stanowisko / Position ]],0))="n/a","n/a",X97-INDEX(tab_MinKomp[Systemy pomocnicze / Hilfssysteme(STOCKPROGRAM, KALK2000 etc.)],MATCH($B97,tab_MinKomp[[Stanowisko / Position ]:[Stanowisko / Position ]],0)))</f>
        <v>n/a</v>
      </c>
      <c r="X98" s="341" t="str">
        <f>IF(INDEX(tab_MinKomp[Polityka rachunkowości / Buchführungspolitik],MATCH($B97,tab_MinKomp[[Stanowisko / Position ]:[Stanowisko / Position ]],0))="n/a","n/a",Y97-INDEX(tab_MinKomp[Polityka rachunkowości / Buchführungspolitik],MATCH($B97,tab_MinKomp[[Stanowisko / Position ]:[Stanowisko / Position ]],0)))</f>
        <v>n/a</v>
      </c>
      <c r="Y98" s="341" t="str">
        <f>IF(INDEX(tab_MinKomp[Ustawa o rachunkowości / Rechnungslegungsgesetz],MATCH($B97,tab_MinKomp[[Stanowisko / Position ]:[Stanowisko / Position ]],0))="n/a","n/a",Z97-INDEX(tab_MinKomp[Ustawa o rachunkowości / Rechnungslegungsgesetz],MATCH($B97,tab_MinKomp[[Stanowisko / Position ]:[Stanowisko / Position ]],0)))</f>
        <v>n/a</v>
      </c>
      <c r="Z98" s="341" t="str">
        <f>IF(INDEX(tab_MinKomp[WORKFLOW - TS-100],MATCH($B97,tab_MinKomp[[Stanowisko / Position ]:[Stanowisko / Position ]],0))="n/a","n/a",AA97-INDEX(tab_MinKomp[WORKFLOW - TS-100],MATCH($B97,tab_MinKomp[[Stanowisko / Position ]:[Stanowisko / Position ]],0)))</f>
        <v>n/a</v>
      </c>
      <c r="AA98" s="341">
        <f>IF(INDEX(tab_MinKomp[WORKFLOW - SFMS],MATCH($B97,tab_MinKomp[[Stanowisko / Position ]:[Stanowisko / Position ]],0))="n/a","n/a",AA97-INDEX(tab_MinKomp[WORKFLOW - SFMS],MATCH($B97,tab_MinKomp[[Stanowisko / Position ]:[Stanowisko / Position ]],0)))</f>
        <v>0</v>
      </c>
      <c r="AB98" s="341">
        <f>IF(INDEX(tab_MinKomp[System ISO 9001:2015],MATCH($B97,tab_MinKomp[[Stanowisko / Position ]:[Stanowisko / Position ]],0))="n/a","n/a",AB97-INDEX(tab_MinKomp[System ISO 9001:2015],MATCH($B97,tab_MinKomp[[Stanowisko / Position ]:[Stanowisko / Position ]],0)))</f>
        <v>0</v>
      </c>
      <c r="AC98" s="341">
        <f>IF(INDEX(tab_MinKomp[System IATF 16949:2016],MATCH($B97,tab_MinKomp[[Stanowisko / Position ]:[Stanowisko / Position ]],0))="n/a","n/a",AC97-INDEX(tab_MinKomp[System IATF 16949:2016],MATCH($B97,tab_MinKomp[[Stanowisko / Position ]:[Stanowisko / Position ]],0)))</f>
        <v>0</v>
      </c>
      <c r="AD98" s="341" t="str">
        <f>IF(INDEX(tab_MinKomp[System ISO 14001:2015],MATCH($B97,tab_MinKomp[[Stanowisko / Position ]:[Stanowisko / Position ]],0))="n/a","n/a",AD97-INDEX(tab_MinKomp[System ISO 14001:2015],MATCH($B97,tab_MinKomp[[Stanowisko / Position ]:[Stanowisko / Position ]],0)))</f>
        <v>n/a</v>
      </c>
      <c r="AE98" s="341" t="str">
        <f>IF(INDEX(tab_MinKomp[System PN-N 18001:2004 / ISO 45001:2018],MATCH($B97,tab_MinKomp[[Stanowisko / Position ]:[Stanowisko / Position ]],0))="n/a","n/a",AE97-INDEX(tab_MinKomp[System PN-N 18001:2004 / ISO 45001:2018],MATCH($B97,tab_MinKomp[[Stanowisko / Position ]:[Stanowisko / Position ]],0)))</f>
        <v>n/a</v>
      </c>
      <c r="AF98" s="341">
        <f>IF(INDEX(tab_MinKomp[Wymagania VDA 6.3 Process / Forderungen],MATCH($B97,tab_MinKomp[[Stanowisko / Position ]:[Stanowisko / Position ]],0))="n/a","n/a",AF97-INDEX(tab_MinKomp[Wymagania VDA 6.3 Process / Forderungen],MATCH($B97,tab_MinKomp[[Stanowisko / Position ]:[Stanowisko / Position ]],0)))</f>
        <v>0</v>
      </c>
      <c r="AG98" s="341">
        <f>IF(INDEX(tab_MinKomp[Wymagania VDA 6.5 Product / Forderungen],MATCH($B97,tab_MinKomp[[Stanowisko / Position ]:[Stanowisko / Position ]],0))="n/a","n/a",AG97-INDEX(tab_MinKomp[Wymagania VDA 6.5 Product / Forderungen],MATCH($B97,tab_MinKomp[[Stanowisko / Position ]:[Stanowisko / Position ]],0)))</f>
        <v>0</v>
      </c>
      <c r="AH98" s="341" t="str">
        <f>IF(INDEX(tab_MinKomp[PSCR (VW Product Safety &amp; Conformity Representative)],MATCH($B97,tab_MinKomp[[Stanowisko / Position ]:[Stanowisko / Position ]],0))="n/a","n/a",AH97-INDEX(tab_MinKomp[PSCR (VW Product Safety &amp; Conformity Representative)],MATCH($B97,tab_MinKomp[[Stanowisko / Position ]:[Stanowisko / Position ]],0)))</f>
        <v>n/a</v>
      </c>
      <c r="AI98" s="341" t="str">
        <f>IF(INDEX(tab_MinKomp[Auditor systemu ISO 17025:2018],MATCH($B97,tab_MinKomp[[Stanowisko / Position ]:[Stanowisko / Position ]],0))="n/a","n/a",AI97-INDEX(tab_MinKomp[Auditor systemu ISO 17025:2018],MATCH($B97,tab_MinKomp[[Stanowisko / Position ]:[Stanowisko / Position ]],0)))</f>
        <v>n/a</v>
      </c>
      <c r="AJ98" s="341" t="str">
        <f>IF(INDEX(tab_MinKomp[Pełnomocnik systemu / Systemvertreter],MATCH($B97,tab_MinKomp[[Stanowisko / Position ]:[Stanowisko / Position ]],0))="n/a","n/a",AJ97-INDEX(tab_MinKomp[Pełnomocnik systemu / Systemvertreter],MATCH($B97,tab_MinKomp[[Stanowisko / Position ]:[Stanowisko / Position ]],0)))</f>
        <v>n/a</v>
      </c>
      <c r="AK98" s="341">
        <f>IF(INDEX(tab_MinKomp[Polityka Etyczna - Compliance],MATCH($B97,tab_MinKomp[[Stanowisko / Position ]:[Stanowisko / Position ]],0))="n/a","n/a",AK97-INDEX(tab_MinKomp[Polityka Etyczna - Compliance],MATCH($B97,tab_MinKomp[[Stanowisko / Position ]:[Stanowisko / Position ]],0)))</f>
        <v>0</v>
      </c>
      <c r="AL98" s="341">
        <f>IF(INDEX(tab_MinKomp[WDRAŻANIE NOWYCH PROJEKTÓW/ PROCEDURA CTM],MATCH($B97,tab_MinKomp[[Stanowisko / Position ]:[Stanowisko / Position ]],0))="n/a","n/a",AL97-INDEX(tab_MinKomp[WDRAŻANIE NOWYCH PROJEKTÓW/ PROCEDURA CTM],MATCH($B97,tab_MinKomp[[Stanowisko / Position ]:[Stanowisko / Position ]],0)))</f>
        <v>0</v>
      </c>
      <c r="AM98" s="341">
        <f>IF(INDEX(tab_MinKomp[KAMIENIE MILOWE MSL/PIFF],MATCH($B97,tab_MinKomp[[Stanowisko / Position ]:[Stanowisko / Position ]],0))="n/a","n/a",AM97-INDEX(tab_MinKomp[KAMIENIE MILOWE MSL/PIFF],MATCH($B97,tab_MinKomp[[Stanowisko / Position ]:[Stanowisko / Position ]],0)))</f>
        <v>0</v>
      </c>
      <c r="AN98" s="341">
        <f>IF(INDEX(tab_MinKomp[CP],MATCH($B97,tab_MinKomp[[Stanowisko / Position ]:[Stanowisko / Position ]],0))="n/a","n/a",AN97-INDEX(tab_MinKomp[CP],MATCH($B97,tab_MinKomp[[Stanowisko / Position ]:[Stanowisko / Position ]],0)))</f>
        <v>0</v>
      </c>
      <c r="AO98" s="341">
        <f>IF(INDEX(tab_MinKomp[FMEA],MATCH($B97,tab_MinKomp[[Stanowisko / Position ]:[Stanowisko / Position ]],0))="n/a","n/a",AO97-INDEX(tab_MinKomp[FMEA],MATCH($B97,tab_MinKomp[[Stanowisko / Position ]:[Stanowisko / Position ]],0)))</f>
        <v>0</v>
      </c>
      <c r="AP98" s="341">
        <f>IF(INDEX(tab_MinKomp[FLOW CHART],MATCH($B97,tab_MinKomp[[Stanowisko / Position ]:[Stanowisko / Position ]],0))="n/a","n/a",AP97-INDEX(tab_MinKomp[FLOW CHART],MATCH($B97,tab_MinKomp[[Stanowisko / Position ]:[Stanowisko / Position ]],0)))</f>
        <v>0</v>
      </c>
      <c r="AQ98" s="341">
        <f>IF(INDEX(tab_MinKomp[APQP],MATCH($B97,tab_MinKomp[[Stanowisko / Position ]:[Stanowisko / Position ]],0))="n/a","n/a",AQ97-INDEX(tab_MinKomp[APQP],MATCH($B97,tab_MinKomp[[Stanowisko / Position ]:[Stanowisko / Position ]],0)))</f>
        <v>0</v>
      </c>
      <c r="AR98" s="341">
        <f>IF(INDEX(tab_MinKomp[MSA],MATCH($B97,tab_MinKomp[[Stanowisko / Position ]:[Stanowisko / Position ]],0))="n/a","n/a",AR97-INDEX(tab_MinKomp[MSA],MATCH($B97,tab_MinKomp[[Stanowisko / Position ]:[Stanowisko / Position ]],0)))</f>
        <v>0</v>
      </c>
      <c r="AS98" s="341">
        <f>IF(INDEX(tab_MinKomp[SPC],MATCH($B97,tab_MinKomp[[Stanowisko / Position ]:[Stanowisko / Position ]],0))="n/a","n/a",AS97-INDEX(tab_MinKomp[SPC],MATCH($B97,tab_MinKomp[[Stanowisko / Position ]:[Stanowisko / Position ]],0)))</f>
        <v>0</v>
      </c>
      <c r="AT98" s="341">
        <f>IF(INDEX(tab_MinKomp[CSR (SPECYFICZNE WYMAGANIA KLIENTA)],MATCH($B97,tab_MinKomp[[Stanowisko / Position ]:[Stanowisko / Position ]],0))="n/a","n/a",AT97-INDEX(tab_MinKomp[CSR (SPECYFICZNE WYMAGANIA KLIENTA)],MATCH($B97,tab_MinKomp[[Stanowisko / Position ]:[Stanowisko / Position ]],0)))</f>
        <v>0</v>
      </c>
      <c r="AU98" s="341">
        <f>IF(INDEX(tab_MinKomp[5S],MATCH($B97,tab_MinKomp[[Stanowisko / Position ]:[Stanowisko / Position ]],0))="n/a","n/a",AU97-INDEX(tab_MinKomp[5S],MATCH($B97,tab_MinKomp[[Stanowisko / Position ]:[Stanowisko / Position ]],0)))</f>
        <v>0</v>
      </c>
      <c r="AV98" s="341">
        <f>IF(INDEX(tab_MinKomp[LEAN MANAGEMENT],MATCH($B97,tab_MinKomp[[Stanowisko / Position ]:[Stanowisko / Position ]],0))="n/a","n/a",AV97-INDEX(tab_MinKomp[LEAN MANAGEMENT],MATCH($B97,tab_MinKomp[[Stanowisko / Position ]:[Stanowisko / Position ]],0)))</f>
        <v>0</v>
      </c>
      <c r="AW98" s="341">
        <f>IF(INDEX(tab_MinKomp[5R],MATCH($B97,tab_MinKomp[[Stanowisko / Position ]:[Stanowisko / Position ]],0))="n/a","n/a",AW97-INDEX(tab_MinKomp[5R],MATCH($B97,tab_MinKomp[[Stanowisko / Position ]:[Stanowisko / Position ]],0)))</f>
        <v>0</v>
      </c>
      <c r="AX98" s="341">
        <f>IF(INDEX(tab_MinKomp[Six Sigma],MATCH($B97,tab_MinKomp[[Stanowisko / Position ]:[Stanowisko / Position ]],0))="n/a","n/a",AX97-INDEX(tab_MinKomp[Six Sigma],MATCH($B97,tab_MinKomp[[Stanowisko / Position ]:[Stanowisko / Position ]],0)))</f>
        <v>0</v>
      </c>
      <c r="AY98" s="341">
        <f>IF(INDEX(tab_MinKomp[System BAAN / Distribution &amp; Supply Chain],MATCH($B97,tab_MinKomp[[Stanowisko / Position ]:[Stanowisko / Position ]],0))="n/a","n/a",AY97-INDEX(tab_MinKomp[System BAAN / Distribution &amp; Supply Chain],MATCH($B97,tab_MinKomp[[Stanowisko / Position ]:[Stanowisko / Position ]],0)))</f>
        <v>0</v>
      </c>
      <c r="AZ98" s="341" t="str">
        <f>IF(INDEX(tab_MinKomp[Gospodarka magazynowa / Lagerverwaltung],MATCH($B97,tab_MinKomp[[Stanowisko / Position ]:[Stanowisko / Position ]],0))="n/a","n/a",AZ97-INDEX(tab_MinKomp[Gospodarka magazynowa / Lagerverwaltung],MATCH($B97,tab_MinKomp[[Stanowisko / Position ]:[Stanowisko / Position ]],0)))</f>
        <v>n/a</v>
      </c>
      <c r="BA98" s="341" t="str">
        <f>IF(INDEX(tab_MinKomp[Inwentaryzacja - organizacja i przebieg / Inventurprozess],MATCH($B97,tab_MinKomp[[Stanowisko / Position ]:[Stanowisko / Position ]],0))="n/a","n/a",BA97-INDEX(tab_MinKomp[Inwentaryzacja - organizacja i przebieg / Inventurprozess],MATCH($B97,tab_MinKomp[[Stanowisko / Position ]:[Stanowisko / Position ]],0)))</f>
        <v>n/a</v>
      </c>
      <c r="BB98" s="341" t="str">
        <f>IF(INDEX(tab_MinKomp[Organizacja dostaw / Versorgungsorganisation],MATCH($B97,tab_MinKomp[[Stanowisko / Position ]:[Stanowisko / Position ]],0))="n/a","n/a",BB97-INDEX(tab_MinKomp[Organizacja dostaw / Versorgungsorganisation],MATCH($B97,tab_MinKomp[[Stanowisko / Position ]:[Stanowisko / Position ]],0)))</f>
        <v>n/a</v>
      </c>
      <c r="BC98" s="341" t="str">
        <f>IF(INDEX(tab_MinKomp[Organizacja wysyłek / Organisation von Lieferungen],MATCH($B97,tab_MinKomp[[Stanowisko / Position ]:[Stanowisko / Position ]],0))="n/a","n/a",BC97-INDEX(tab_MinKomp[Organizacja wysyłek / Organisation von Lieferungen],MATCH($B97,tab_MinKomp[[Stanowisko / Position ]:[Stanowisko / Position ]],0)))</f>
        <v>n/a</v>
      </c>
      <c r="BD98" s="341" t="str">
        <f>IF(INDEX(tab_MinKomp[Analiza magazynowa - Program Polen.mdb / Inventuranalyse],MATCH($B97,tab_MinKomp[[Stanowisko / Position ]:[Stanowisko / Position ]],0))="n/a","n/a",BD97-INDEX(tab_MinKomp[Analiza magazynowa - Program Polen.mdb / Inventuranalyse],MATCH($B97,tab_MinKomp[[Stanowisko / Position ]:[Stanowisko / Position ]],0)))</f>
        <v>n/a</v>
      </c>
      <c r="BE98" s="341" t="str">
        <f>IF(INDEX(tab_MinKomp[MMOG (Materials Management Operations Guidelines)],MATCH($B97,tab_MinKomp[[Stanowisko / Position ]:[Stanowisko / Position ]],0))="n/a","n/a",BE97-INDEX(tab_MinKomp[MMOG (Materials Management Operations Guidelines)],MATCH($B97,tab_MinKomp[[Stanowisko / Position ]:[Stanowisko / Position ]],0)))</f>
        <v>n/a</v>
      </c>
      <c r="BF98" s="341" t="str">
        <f>IF(INDEX(tab_MinKomp[DETC],MATCH($B97,tab_MinKomp[[Stanowisko / Position ]:[Stanowisko / Position ]],0))="n/a","n/a",BF97-INDEX(tab_MinKomp[DETC],MATCH($B97,tab_MinKomp[[Stanowisko / Position ]:[Stanowisko / Position ]],0)))</f>
        <v>n/a</v>
      </c>
      <c r="BG98" s="341" t="str">
        <f>IF(INDEX(tab_MinKomp[GPP],MATCH($B97,tab_MinKomp[[Stanowisko / Position ]:[Stanowisko / Position ]],0))="n/a","n/a",BG97-INDEX(tab_MinKomp[GPP],MATCH($B97,tab_MinKomp[[Stanowisko / Position ]:[Stanowisko / Position ]],0)))</f>
        <v>n/a</v>
      </c>
      <c r="BH98" s="341" t="str">
        <f>IF(INDEX(tab_MinKomp[AIAG (Automotive Industry Action Group)],MATCH($B97,tab_MinKomp[[Stanowisko / Position ]:[Stanowisko / Position ]],0))="n/a","n/a",BH97-INDEX(tab_MinKomp[AIAG (Automotive Industry Action Group)],MATCH($B97,tab_MinKomp[[Stanowisko / Position ]:[Stanowisko / Position ]],0)))</f>
        <v>n/a</v>
      </c>
      <c r="BI98" s="341" t="str">
        <f>IF(INDEX(tab_MinKomp[Super-G disputes],MATCH($B97,tab_MinKomp[[Stanowisko / Position ]:[Stanowisko / Position ]],0))="n/a","n/a",BI97-INDEX(tab_MinKomp[Super-G disputes],MATCH($B97,tab_MinKomp[[Stanowisko / Position ]:[Stanowisko / Position ]],0)))</f>
        <v>n/a</v>
      </c>
      <c r="BJ98" s="341" t="str">
        <f>IF(INDEX(tab_MinKomp[CMMS3/eDDL (Direct Data Link)],MATCH($B97,tab_MinKomp[[Stanowisko / Position ]:[Stanowisko / Position ]],0))="n/a","n/a",BJ97-INDEX(tab_MinKomp[CMMS3/eDDL (Direct Data Link)],MATCH($B97,tab_MinKomp[[Stanowisko / Position ]:[Stanowisko / Position ]],0)))</f>
        <v>n/a</v>
      </c>
      <c r="BK98" s="341" t="str">
        <f>IF(INDEX(tab_MinKomp[MP&amp;L (Material Planning and Logistics)],MATCH($B97,tab_MinKomp[[Stanowisko / Position ]:[Stanowisko / Position ]],0))="n/a","n/a",BK97-INDEX(tab_MinKomp[MP&amp;L (Material Planning and Logistics)],MATCH($B97,tab_MinKomp[[Stanowisko / Position ]:[Stanowisko / Position ]],0)))</f>
        <v>n/a</v>
      </c>
      <c r="BL98" s="341" t="str">
        <f>IF(INDEX(tab_MinKomp[Supplier delivery rating],MATCH($B97,tab_MinKomp[[Stanowisko / Position ]:[Stanowisko / Position ]],0))="n/a","n/a",BL97-INDEX(tab_MinKomp[Supplier delivery rating],MATCH($B97,tab_MinKomp[[Stanowisko / Position ]:[Stanowisko / Position ]],0)))</f>
        <v>n/a</v>
      </c>
      <c r="BM98" s="341">
        <f>IF(INDEX(tab_MinKomp[Planowanie produkcji / Produktionsplanung],MATCH($B97,tab_MinKomp[[Stanowisko / Position ]:[Stanowisko / Position ]],0))="n/a","n/a",BM97-INDEX(tab_MinKomp[Planowanie produkcji / Produktionsplanung],MATCH($B97,tab_MinKomp[[Stanowisko / Position ]:[Stanowisko / Position ]],0)))</f>
        <v>0</v>
      </c>
      <c r="BN98" s="341">
        <f>IF(INDEX(tab_MinKomp[Obsługa maszyn Engel / Engel Maschinenbedienung],MATCH($B97,tab_MinKomp[[Stanowisko / Position ]:[Stanowisko / Position ]],0))="n/a","n/a",BN97-INDEX(tab_MinKomp[Obsługa maszyn Engel / Engel Maschinenbedienung],MATCH($B97,tab_MinKomp[[Stanowisko / Position ]:[Stanowisko / Position ]],0)))</f>
        <v>-2</v>
      </c>
      <c r="BO98" s="341">
        <f>IF(INDEX(tab_MinKomp[Obsługa maszyn Novapax / Novapax Maschinenbedienung],MATCH($B97,tab_MinKomp[[Stanowisko / Position ]:[Stanowisko / Position ]],0))="n/a","n/a",BO97-INDEX(tab_MinKomp[Obsługa maszyn Novapax / Novapax Maschinenbedienung],MATCH($B97,tab_MinKomp[[Stanowisko / Position ]:[Stanowisko / Position ]],0)))</f>
        <v>0</v>
      </c>
      <c r="BP98" s="341">
        <f>IF(INDEX(tab_MinKomp[Obsługa maszyn KVT / KVT Maschinenbedienung],MATCH($B97,tab_MinKomp[[Stanowisko / Position ]:[Stanowisko / Position ]],0))="n/a","n/a",BP97-INDEX(tab_MinKomp[Obsługa maszyn KVT / KVT Maschinenbedienung],MATCH($B97,tab_MinKomp[[Stanowisko / Position ]:[Stanowisko / Position ]],0)))</f>
        <v>0</v>
      </c>
      <c r="BQ98" s="341">
        <f>IF(INDEX(tab_MinKomp[Obsługa maszyn ASL / ASL Maschinenbedienung],MATCH($B97,tab_MinKomp[[Stanowisko / Position ]:[Stanowisko / Position ]],0))="n/a","n/a",BQ97-INDEX(tab_MinKomp[Obsługa maszyn ASL / ASL Maschinenbedienung],MATCH($B97,tab_MinKomp[[Stanowisko / Position ]:[Stanowisko / Position ]],0)))</f>
        <v>0</v>
      </c>
      <c r="BR98" s="341">
        <f>IF(INDEX(tab_MinKomp[Obsługa maszyn Branson / Branson Maschinenbedienung],MATCH($B97,tab_MinKomp[[Stanowisko / Position ]:[Stanowisko / Position ]],0))="n/a","n/a",BR97-INDEX(tab_MinKomp[Obsługa maszyn Branson / Branson Maschinenbedienung],MATCH($B97,tab_MinKomp[[Stanowisko / Position ]:[Stanowisko / Position ]],0)))</f>
        <v>0</v>
      </c>
      <c r="BS98" s="341">
        <f>IF(INDEX(tab_MinKomp[Obsługa maszyn Kamtec / Kamtec Maschinenbedienung],MATCH($B97,tab_MinKomp[[Stanowisko / Position ]:[Stanowisko / Position ]],0))="n/a","n/a",BS97-INDEX(tab_MinKomp[Obsługa maszyn Kamtec / Kamtec Maschinenbedienung],MATCH($B97,tab_MinKomp[[Stanowisko / Position ]:[Stanowisko / Position ]],0)))</f>
        <v>0</v>
      </c>
      <c r="BT98" s="341">
        <f>IF(INDEX(tab_MinKomp[Obsługa maszyn Piovan / Piovan Maschinenbedienung],MATCH($B97,tab_MinKomp[[Stanowisko / Position ]:[Stanowisko / Position ]],0))="n/a","n/a",BT97-INDEX(tab_MinKomp[Obsługa maszyn Piovan / Piovan Maschinenbedienung],MATCH($B97,tab_MinKomp[[Stanowisko / Position ]:[Stanowisko / Position ]],0)))</f>
        <v>-2</v>
      </c>
      <c r="BU98" s="341">
        <f>IF(INDEX(tab_MinKomp[Obsługa maszyn REP / REP Maschinenbedienung],MATCH($B97,tab_MinKomp[[Stanowisko / Position ]:[Stanowisko / Position ]],0))="n/a","n/a",BU97-INDEX(tab_MinKomp[Obsługa maszyn REP / REP Maschinenbedienung],MATCH($B97,tab_MinKomp[[Stanowisko / Position ]:[Stanowisko / Position ]],0)))</f>
        <v>0</v>
      </c>
      <c r="BV98" s="341">
        <f>IF(INDEX(tab_MinKomp[Eliminacja awarii / Beseitigung von Ausfällen],MATCH($B97,tab_MinKomp[[Stanowisko / Position ]:[Stanowisko / Position ]],0))="n/a","n/a",BV97-INDEX(tab_MinKomp[Eliminacja awarii / Beseitigung von Ausfällen],MATCH($B97,tab_MinKomp[[Stanowisko / Position ]:[Stanowisko / Position ]],0)))</f>
        <v>0</v>
      </c>
      <c r="BW98" s="341">
        <f>IF(INDEX(tab_MinKomp[Informatyka ogólna (techniczne i systemowe) / Allgemeine IT (Technik und System)],MATCH($B97,tab_MinKomp[[Stanowisko / Position ]:[Stanowisko / Position ]],0))="n/a","n/a",BW97-INDEX(tab_MinKomp[Informatyka ogólna (techniczne i systemowe) / Allgemeine IT (Technik und System)],MATCH($B97,tab_MinKomp[[Stanowisko / Position ]:[Stanowisko / Position ]],0)))</f>
        <v>0</v>
      </c>
      <c r="BX98" s="341">
        <f>IF(INDEX(tab_MinKomp[Sieci komputerowe / Computernetzwerke],MATCH($B97,tab_MinKomp[[Stanowisko / Position ]:[Stanowisko / Position ]],0))="n/a","n/a",BX97-INDEX(tab_MinKomp[Sieci komputerowe / Computernetzwerke],MATCH($B97,tab_MinKomp[[Stanowisko / Position ]:[Stanowisko / Position ]],0)))</f>
        <v>0</v>
      </c>
      <c r="BY98" s="341">
        <f>IF(INDEX(tab_MinKomp[Hardware (komputery PC, drukarki biurowe i etykietowe, telefonia stacjonarna i mobilna) (PC, Drucker, Telefpne, Handys)],MATCH($B97,tab_MinKomp[[Stanowisko / Position ]:[Stanowisko / Position ]],0))="n/a","n/a",BY97-INDEX(tab_MinKomp[Hardware (komputery PC, drukarki biurowe i etykietowe, telefonia stacjonarna i mobilna) (PC, Drucker, Telefpne, Handys)],MATCH($B97,tab_MinKomp[[Stanowisko / Position ]:[Stanowisko / Position ]],0)))</f>
        <v>0</v>
      </c>
      <c r="BZ98" s="341" t="str">
        <f>IF(INDEX(tab_MinKomp[Software &amp; Systems (MS Office, MS Remote Desktop)],MATCH($B97,tab_MinKomp[[Stanowisko / Position ]:[Stanowisko / Position ]],0))="n/a","n/a",BZ97-INDEX(tab_MinKomp[Software &amp; Systems (MS Office, MS Remote Desktop)],MATCH($B97,tab_MinKomp[[Stanowisko / Position ]:[Stanowisko / Position ]],0)))</f>
        <v>n/a</v>
      </c>
      <c r="CA98" s="341" t="str">
        <f>IF(INDEX(tab_MinKomp[Programowanie obiektowe (PHP) / Objektprogrammierung],MATCH($B97,tab_MinKomp[[Stanowisko / Position ]:[Stanowisko / Position ]],0))="n/a","n/a",CA97-INDEX(tab_MinKomp[Programowanie obiektowe (PHP) / Objektprogrammierung],MATCH($B97,tab_MinKomp[[Stanowisko / Position ]:[Stanowisko / Position ]],0)))</f>
        <v>n/a</v>
      </c>
      <c r="CB98" s="341" t="str">
        <f>IF(INDEX(tab_MinKomp[Scrum],MATCH($B97,tab_MinKomp[[Stanowisko / Position ]:[Stanowisko / Position ]],0))="n/a","n/a",CB97-INDEX(tab_MinKomp[Scrum],MATCH($B97,tab_MinKomp[[Stanowisko / Position ]:[Stanowisko / Position ]],0)))</f>
        <v>n/a</v>
      </c>
      <c r="CC98" s="341" t="str">
        <f>IF(INDEX(tab_MinKomp[SQL (MySQL)],MATCH($B97,tab_MinKomp[[Stanowisko / Position ]:[Stanowisko / Position ]],0))="n/a","n/a",CC97-INDEX(tab_MinKomp[SQL (MySQL)],MATCH($B97,tab_MinKomp[[Stanowisko / Position ]:[Stanowisko / Position ]],0)))</f>
        <v>n/a</v>
      </c>
      <c r="CD98" s="341" t="str">
        <f>IF(INDEX(tab_MinKomp[Javascript],MATCH($B97,tab_MinKomp[[Stanowisko / Position ]:[Stanowisko / Position ]],0))="n/a","n/a",CD97-INDEX(tab_MinKomp[Javascript],MATCH($B97,tab_MinKomp[[Stanowisko / Position ]:[Stanowisko / Position ]],0)))</f>
        <v>n/a</v>
      </c>
      <c r="CE98" s="341" t="str">
        <f>IF(INDEX(tab_MinKomp[Joomla],MATCH($B97,tab_MinKomp[[Stanowisko / Position ]:[Stanowisko / Position ]],0))="n/a","n/a",CE97-INDEX(tab_MinKomp[Joomla],MATCH($B97,tab_MinKomp[[Stanowisko / Position ]:[Stanowisko / Position ]],0)))</f>
        <v>n/a</v>
      </c>
      <c r="CF98" s="341" t="str">
        <f>IF(INDEX(tab_MinKomp[Bash],MATCH($B97,tab_MinKomp[[Stanowisko / Position ]:[Stanowisko / Position ]],0))="n/a","n/a",CF97-INDEX(tab_MinKomp[Bash],MATCH($B97,tab_MinKomp[[Stanowisko / Position ]:[Stanowisko / Position ]],0)))</f>
        <v>n/a</v>
      </c>
      <c r="CG98" s="341" t="str">
        <f>IF(INDEX(tab_MinKomp[Systemy MES (HYDRA / SFMS)],MATCH($B97,tab_MinKomp[[Stanowisko / Position ]:[Stanowisko / Position ]],0))="n/a","n/a",CG97-INDEX(tab_MinKomp[Systemy MES (HYDRA / SFMS)],MATCH($B97,tab_MinKomp[[Stanowisko / Position ]:[Stanowisko / Position ]],0)))</f>
        <v>n/a</v>
      </c>
      <c r="CH98" s="341" t="str">
        <f>IF(INDEX(tab_MinKomp[HTML / CSS],MATCH($B97,tab_MinKomp[[Stanowisko / Position ]:[Stanowisko / Position ]],0))="n/a","n/a",CH97-INDEX(tab_MinKomp[HTML / CSS],MATCH($B97,tab_MinKomp[[Stanowisko / Position ]:[Stanowisko / Position ]],0)))</f>
        <v>n/a</v>
      </c>
      <c r="CI98" s="341">
        <f>IF(INDEX(tab_MinKomp[SYSTEM PR],MATCH($B97,tab_MinKomp[[Stanowisko / Position ]:[Stanowisko / Position ]],0))="n/a","n/a",CI97-INDEX(tab_MinKomp[SYSTEM PR],MATCH($B97,tab_MinKomp[[Stanowisko / Position ]:[Stanowisko / Position ]],0)))</f>
        <v>0</v>
      </c>
      <c r="CJ98" s="341">
        <f>IF(INDEX(tab_MinKomp[System Einkauf XP / EBA],MATCH($B97,tab_MinKomp[[Stanowisko / Position ]:[Stanowisko / Position ]],0))="n/a","n/a",CJ97-INDEX(tab_MinKomp[System Einkauf XP / EBA],MATCH($B97,tab_MinKomp[[Stanowisko / Position ]:[Stanowisko / Position ]],0)))</f>
        <v>0</v>
      </c>
      <c r="CK98" s="341" t="str">
        <f>IF(INDEX(tab_MinKomp[Techniki negocjacyjne / Verhandlungstechniken],MATCH($B97,tab_MinKomp[[Stanowisko / Position ]:[Stanowisko / Position ]],0))="n/a","n/a",CK97-INDEX(tab_MinKomp[Techniki negocjacyjne / Verhandlungstechniken],MATCH($B97,tab_MinKomp[[Stanowisko / Position ]:[Stanowisko / Position ]],0)))</f>
        <v>n/a</v>
      </c>
      <c r="CL98" s="341">
        <f>IF(INDEX(tab_MinKomp[Znajomość rynku branżowego / Kenntnis des Industrie Marktes],MATCH($B97,tab_MinKomp[[Stanowisko / Position ]:[Stanowisko / Position ]],0))="n/a","n/a",CL97-INDEX(tab_MinKomp[Znajomość rynku branżowego / Kenntnis des Industrie Marktes],MATCH($B97,tab_MinKomp[[Stanowisko / Position ]:[Stanowisko / Position ]],0)))</f>
        <v>0</v>
      </c>
      <c r="CM98" s="341">
        <f>IF(INDEX(tab_MinKomp[RAPORTY 8D / 8D Berichten],MATCH($B97,tab_MinKomp[[Stanowisko / Position ]:[Stanowisko / Position ]],0))="n/a","n/a",CM97-INDEX(tab_MinKomp[RAPORTY 8D / 8D Berichten],MATCH($B97,tab_MinKomp[[Stanowisko / Position ]:[Stanowisko / Position ]],0)))</f>
        <v>0</v>
      </c>
      <c r="CN98" s="341">
        <f>IF(INDEX(tab_MinKomp[NARZĘDZIA JAKOŚCIOWE (5WHY, Ishikawa, etc) / QS-Werkzeuge],MATCH($B97,tab_MinKomp[[Stanowisko / Position ]:[Stanowisko / Position ]],0))="n/a","n/a",CN97-INDEX(tab_MinKomp[NARZĘDZIA JAKOŚCIOWE (5WHY, Ishikawa, etc) / QS-Werkzeuge],MATCH($B97,tab_MinKomp[[Stanowisko / Position ]:[Stanowisko / Position ]],0)))</f>
        <v>0</v>
      </c>
      <c r="CO98" s="341">
        <f>IF(INDEX(tab_MinKomp[PDCA],MATCH($B97,tab_MinKomp[[Stanowisko / Position ]:[Stanowisko / Position ]],0))="n/a","n/a",CO97-INDEX(tab_MinKomp[PDCA],MATCH($B97,tab_MinKomp[[Stanowisko / Position ]:[Stanowisko / Position ]],0)))</f>
        <v>0</v>
      </c>
      <c r="CP98" s="341">
        <f>IF(INDEX(tab_MinKomp[Pareto],MATCH($B97,tab_MinKomp[[Stanowisko / Position ]:[Stanowisko / Position ]],0))="n/a","n/a",CP97-INDEX(tab_MinKomp[Pareto],MATCH($B97,tab_MinKomp[[Stanowisko / Position ]:[Stanowisko / Position ]],0)))</f>
        <v>0</v>
      </c>
      <c r="CQ98" s="341">
        <f>IF(INDEX(tab_MinKomp[PPAP/PSW],MATCH($B97,tab_MinKomp[[Stanowisko / Position ]:[Stanowisko / Position ]],0))="n/a","n/a",CQ97-INDEX(tab_MinKomp[PPAP/PSW],MATCH($B97,tab_MinKomp[[Stanowisko / Position ]:[Stanowisko / Position ]],0)))</f>
        <v>0</v>
      </c>
      <c r="CR98" s="341">
        <f>IF(INDEX(tab_MinKomp[SUPPLIER MANAGEMENT],MATCH($B97,tab_MinKomp[[Stanowisko / Position ]:[Stanowisko / Position ]],0))="n/a","n/a",CR97-INDEX(tab_MinKomp[SUPPLIER MANAGEMENT],MATCH($B97,tab_MinKomp[[Stanowisko / Position ]:[Stanowisko / Position ]],0)))</f>
        <v>0</v>
      </c>
      <c r="CS98" s="341">
        <f>IF(INDEX(tab_MinKomp[OBSŁUGA PORTALI KLIENTA / Kundenportale],MATCH($B97,tab_MinKomp[[Stanowisko / Position ]:[Stanowisko / Position ]],0))="n/a","n/a",CS97-INDEX(tab_MinKomp[OBSŁUGA PORTALI KLIENTA / Kundenportale],MATCH($B97,tab_MinKomp[[Stanowisko / Position ]:[Stanowisko / Position ]],0)))</f>
        <v>-1</v>
      </c>
      <c r="CT98" s="341" t="str">
        <f>IF(INDEX(tab_MinKomp[Obsługa systemu BABTECQ / BABTECQ System],MATCH($B97,tab_MinKomp[[Stanowisko / Position ]:[Stanowisko / Position ]],0))="n/a","n/a",CT97-INDEX(tab_MinKomp[Obsługa systemu BABTECQ / BABTECQ System],MATCH($B97,tab_MinKomp[[Stanowisko / Position ]:[Stanowisko / Position ]],0)))</f>
        <v>n/a</v>
      </c>
      <c r="CU98" s="341">
        <f>IF(INDEX(tab_MinKomp[Rysunek techniczny / technische Zeichnung],MATCH($B97,tab_MinKomp[[Stanowisko / Position ]:[Stanowisko / Position ]],0))="n/a","n/a",CU97-INDEX(tab_MinKomp[Rysunek techniczny / technische Zeichnung],MATCH($B97,tab_MinKomp[[Stanowisko / Position ]:[Stanowisko / Position ]],0)))</f>
        <v>0</v>
      </c>
      <c r="CV98" s="341">
        <f>IF(INDEX(tab_MinKomp[Kalibracja / Kalibrierung],MATCH($B97,tab_MinKomp[[Stanowisko / Position ]:[Stanowisko / Position ]],0))="n/a","n/a",CV97-INDEX(tab_MinKomp[Kalibracja / Kalibrierung],MATCH($B97,tab_MinKomp[[Stanowisko / Position ]:[Stanowisko / Position ]],0)))</f>
        <v>0</v>
      </c>
      <c r="CW98" s="341" t="str">
        <f>IF(INDEX(tab_MinKomp[Rekwalifikacja / Requalifizierung],MATCH($B97,tab_MinKomp[[Stanowisko / Position ]:[Stanowisko / Position ]],0))="n/a","n/a",CW97-INDEX(tab_MinKomp[Rekwalifikacja / Requalifizierung],MATCH($B97,tab_MinKomp[[Stanowisko / Position ]:[Stanowisko / Position ]],0)))</f>
        <v>n/a</v>
      </c>
      <c r="CX98" s="341" t="str">
        <f>IF(INDEX(tab_MinKomp[Obsługa mikroskopu optycznego / Bedienung eines optischen Mikroskops],MATCH($B97,tab_MinKomp[[Stanowisko / Position ]:[Stanowisko / Position ]],0))="n/a","n/a",CX97-INDEX(tab_MinKomp[Obsługa mikroskopu optycznego / Bedienung eines optischen Mikroskops],MATCH($B97,tab_MinKomp[[Stanowisko / Position ]:[Stanowisko / Position ]],0)))</f>
        <v>n/a</v>
      </c>
      <c r="CY98" s="341" t="str">
        <f>IF(INDEX(tab_MinKomp[Wykonywanie pomiarów optycznych - ocena wizualna / Optische Messungen durchführen – visuelle Beurteilung],MATCH($B97,tab_MinKomp[[Stanowisko / Position ]:[Stanowisko / Position ]],0))="n/a","n/a",CY97-INDEX(tab_MinKomp[Wykonywanie pomiarów optycznych - ocena wizualna / Optische Messungen durchführen – visuelle Beurteilung],MATCH($B97,tab_MinKomp[[Stanowisko / Position ]:[Stanowisko / Position ]],0)))</f>
        <v>n/a</v>
      </c>
      <c r="CZ98" s="341" t="str">
        <f>IF(INDEX(tab_MinKomp[Obsługa Rheometra / Rheometra-Unterstützung],MATCH($B97,tab_MinKomp[[Stanowisko / Position ]:[Stanowisko / Position ]],0))="n/a","n/a",CZ97-INDEX(tab_MinKomp[Obsługa Rheometra / Rheometra-Unterstützung],MATCH($B97,tab_MinKomp[[Stanowisko / Position ]:[Stanowisko / Position ]],0)))</f>
        <v>n/a</v>
      </c>
      <c r="DA98" s="341" t="str">
        <f>IF(INDEX(tab_MinKomp[Testy właściwości Rheometra mieszanki gumy],MATCH($B97,tab_MinKomp[[Stanowisko / Position ]:[Stanowisko / Position ]],0))="n/a","n/a",DA97-INDEX(tab_MinKomp[Testy właściwości Rheometra mieszanki gumy],MATCH($B97,tab_MinKomp[[Stanowisko / Position ]:[Stanowisko / Position ]],0)))</f>
        <v>n/a</v>
      </c>
      <c r="DB98" s="341" t="str">
        <f>IF(INDEX(tab_MinKomp[CMM - Contura Zeiss],MATCH($B97,tab_MinKomp[[Stanowisko / Position ]:[Stanowisko / Position ]],0))="n/a","n/a",DB97-INDEX(tab_MinKomp[CMM - Contura Zeiss],MATCH($B97,tab_MinKomp[[Stanowisko / Position ]:[Stanowisko / Position ]],0)))</f>
        <v>n/a</v>
      </c>
      <c r="DC98" s="341" t="str">
        <f>IF(INDEX(tab_MinKomp[Wykonywanie precyzyjnych pomiarów metrycznych, pomiary 3D],MATCH($B97,tab_MinKomp[[Stanowisko / Position ]:[Stanowisko / Position ]],0))="n/a","n/a",DC97-INDEX(tab_MinKomp[Wykonywanie precyzyjnych pomiarów metrycznych, pomiary 3D],MATCH($B97,tab_MinKomp[[Stanowisko / Position ]:[Stanowisko / Position ]],0)))</f>
        <v>n/a</v>
      </c>
      <c r="DD98" s="341" t="str">
        <f>IF(INDEX(tab_MinKomp[Pisanie programów / Programme schreiben],MATCH($B97,tab_MinKomp[[Stanowisko / Position ]:[Stanowisko / Position ]],0))="n/a","n/a",DD97-INDEX(tab_MinKomp[Pisanie programów / Programme schreiben],MATCH($B97,tab_MinKomp[[Stanowisko / Position ]:[Stanowisko / Position ]],0)))</f>
        <v>n/a</v>
      </c>
      <c r="DE98" s="341" t="str">
        <f>IF(INDEX(tab_MinKomp[Obsługa wyposażenia do testów czystości (myjka + analizator) / Betrieb von Sauberkeitsprüfgeräten (Waschmaschine + Analysegerät)],MATCH($B97,tab_MinKomp[[Stanowisko / Position ]:[Stanowisko / Position ]],0))="n/a","n/a",DE97-INDEX(tab_MinKomp[Obsługa wyposażenia do testów czystości (myjka + analizator) / Betrieb von Sauberkeitsprüfgeräten (Waschmaschine + Analysegerät)],MATCH($B97,tab_MinKomp[[Stanowisko / Position ]:[Stanowisko / Position ]],0)))</f>
        <v>n/a</v>
      </c>
      <c r="DF98" s="341" t="str">
        <f>IF(INDEX(tab_MinKomp[Testy czystości / Reinheitstests],MATCH($B97,tab_MinKomp[[Stanowisko / Position ]:[Stanowisko / Position ]],0))="n/a","n/a",DF97-INDEX(tab_MinKomp[Testy czystości / Reinheitstests],MATCH($B97,tab_MinKomp[[Stanowisko / Position ]:[Stanowisko / Position ]],0)))</f>
        <v>n/a</v>
      </c>
      <c r="DG98" s="341" t="str">
        <f>IF(INDEX(tab_MinKomp[Obsługa wysokościomierza / Unterstützung für Höhenmesser],MATCH($B97,tab_MinKomp[[Stanowisko / Position ]:[Stanowisko / Position ]],0))="n/a","n/a",DG97-INDEX(tab_MinKomp[Obsługa wysokościomierza / Unterstützung für Höhenmesser],MATCH($B97,tab_MinKomp[[Stanowisko / Position ]:[Stanowisko / Position ]],0)))</f>
        <v>n/a</v>
      </c>
      <c r="DH98" s="341" t="str">
        <f>IF(INDEX(tab_MinKomp[Pomiary wysokości materiału / Materialhöhenmessungen],MATCH($B97,tab_MinKomp[[Stanowisko / Position ]:[Stanowisko / Position ]],0))="n/a","n/a",DH97-INDEX(tab_MinKomp[Pomiary wysokości materiału / Materialhöhenmessungen],MATCH($B97,tab_MinKomp[[Stanowisko / Position ]:[Stanowisko / Position ]],0)))</f>
        <v>n/a</v>
      </c>
      <c r="DI98" s="341" t="str">
        <f>IF(INDEX(tab_MinKomp[Obsługa okrągłościomierza / Unterstützung für Rundheitsmessgeräte],MATCH($B97,tab_MinKomp[[Stanowisko / Position ]:[Stanowisko / Position ]],0))="n/a","n/a",DI97-INDEX(tab_MinKomp[Obsługa okrągłościomierza / Unterstützung für Rundheitsmessgeräte],MATCH($B97,tab_MinKomp[[Stanowisko / Position ]:[Stanowisko / Position ]],0)))</f>
        <v>n/a</v>
      </c>
      <c r="DJ98" s="341" t="str">
        <f>IF(INDEX(tab_MinKomp[Wykonywania pomiarów owalności, srednicy materiału / Messung der Ovalität und des Durchmessers des Materials],MATCH($B97,tab_MinKomp[[Stanowisko / Position ]:[Stanowisko / Position ]],0))="n/a","n/a",DJ97-INDEX(tab_MinKomp[Wykonywania pomiarów owalności, srednicy materiału / Messung der Ovalität und des Durchmessers des Materials],MATCH($B97,tab_MinKomp[[Stanowisko / Position ]:[Stanowisko / Position ]],0)))</f>
        <v>n/a</v>
      </c>
      <c r="DK98" s="341" t="str">
        <f>IF(INDEX(tab_MinKomp[Obsługa urządzenia do pomiarów chropowoatości powierzchni materiału],MATCH($B97,tab_MinKomp[[Stanowisko / Position ]:[Stanowisko / Position ]],0))="n/a","n/a",DK97-INDEX(tab_MinKomp[Obsługa urządzenia do pomiarów chropowoatości powierzchni materiału],MATCH($B97,tab_MinKomp[[Stanowisko / Position ]:[Stanowisko / Position ]],0)))</f>
        <v>n/a</v>
      </c>
      <c r="DL98" s="341" t="str">
        <f>IF(INDEX(tab_MinKomp[Wykonywanie pomiarów chropowatości powierzchni materiału / Durchführung von Messungen der Materialoberflächenrauheit],MATCH($B97,tab_MinKomp[[Stanowisko / Position ]:[Stanowisko / Position ]],0))="n/a","n/a",DL97-INDEX(tab_MinKomp[Wykonywanie pomiarów chropowatości powierzchni materiału / Durchführung von Messungen der Materialoberflächenrauheit],MATCH($B97,tab_MinKomp[[Stanowisko / Position ]:[Stanowisko / Position ]],0)))</f>
        <v>n/a</v>
      </c>
      <c r="DM98" s="341" t="str">
        <f>IF(INDEX(tab_MinKomp[Obsługa urządzenia do pomiaru siły radialnej części - postępowanie z trzpieniami. / Funktionsweise des Geräts zur Messung der Radialkraft von Teilen – Handhabungsstifte.],MATCH($B97,tab_MinKomp[[Stanowisko / Position ]:[Stanowisko / Position ]],0))="n/a","n/a",DM97-INDEX(tab_MinKomp[Obsługa urządzenia do pomiaru siły radialnej części - postępowanie z trzpieniami. / Funktionsweise des Geräts zur Messung der Radialkraft von Teilen – Handhabungsstifte.],MATCH($B97,tab_MinKomp[[Stanowisko / Position ]:[Stanowisko / Position ]],0)))</f>
        <v>n/a</v>
      </c>
      <c r="DN98" s="341" t="str">
        <f>IF(INDEX(tab_MinKomp[Wykonywanie pomiarów siły radialnej części / Führen Sie Radialkraftmessungen an Teilen durch],MATCH($B97,tab_MinKomp[[Stanowisko / Position ]:[Stanowisko / Position ]],0))="n/a","n/a",DN97-INDEX(tab_MinKomp[Wykonywanie pomiarów siły radialnej części / Führen Sie Radialkraftmessungen an Teilen durch],MATCH($B97,tab_MinKomp[[Stanowisko / Position ]:[Stanowisko / Position ]],0)))</f>
        <v>n/a</v>
      </c>
      <c r="DO98" s="341" t="str">
        <f>IF(INDEX(tab_MinKomp[Obsługa komory do testów wybuchwych / Betrieb einer Explosionsprüfkammer],MATCH($B97,tab_MinKomp[[Stanowisko / Position ]:[Stanowisko / Position ]],0))="n/a","n/a",DO97-INDEX(tab_MinKomp[Obsługa komory do testów wybuchwych / Betrieb einer Explosionsprüfkammer],MATCH($B97,tab_MinKomp[[Stanowisko / Position ]:[Stanowisko / Position ]],0)))</f>
        <v>n/a</v>
      </c>
      <c r="DP98" s="341" t="str">
        <f>IF(INDEX(tab_MinKomp[Wykonywanie testów wybuchowych części / Durchführung von Explosionstests an Teilen],MATCH($B97,tab_MinKomp[[Stanowisko / Position ]:[Stanowisko / Position ]],0))="n/a","n/a",DP97-INDEX(tab_MinKomp[Wykonywanie testów wybuchowych części / Durchführung von Explosionstests an Teilen],MATCH($B97,tab_MinKomp[[Stanowisko / Position ]:[Stanowisko / Position ]],0)))</f>
        <v>n/a</v>
      </c>
      <c r="DQ98" s="341" t="str">
        <f>IF(INDEX(tab_MinKomp[Obsługa urządzeń do mierzenia siły trzymania i/lub rozciągania / Betrieb von Geräten zur Messung der Halte- und/oder Dehnkraft],MATCH($B97,tab_MinKomp[[Stanowisko / Position ]:[Stanowisko / Position ]],0))="n/a","n/a",DQ97-INDEX(tab_MinKomp[Obsługa urządzeń do mierzenia siły trzymania i/lub rozciągania / Betrieb von Geräten zur Messung der Halte- und/oder Dehnkraft],MATCH($B97,tab_MinKomp[[Stanowisko / Position ]:[Stanowisko / Position ]],0)))</f>
        <v>n/a</v>
      </c>
      <c r="DR98" s="341" t="str">
        <f>IF(INDEX(tab_MinKomp[Wykonywanie testów mierzenia siły trzymania i/lub rozciągania / Durchführung von Tests zur Messung der Halte- und/oder Streckkraft],MATCH($B97,tab_MinKomp[[Stanowisko / Position ]:[Stanowisko / Position ]],0))="n/a","n/a",DR97-INDEX(tab_MinKomp[Wykonywanie testów mierzenia siły trzymania i/lub rozciągania / Durchführung von Tests zur Messung der Halte- und/oder Streckkraft],MATCH($B97,tab_MinKomp[[Stanowisko / Position ]:[Stanowisko / Position ]],0)))</f>
        <v>n/a</v>
      </c>
      <c r="DS98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Luftstrom)],MATCH($B97,tab_MinKomp[[Stanowisko / Position ]:[Stanowisko / Position ]],0))="n/a","n/a",DS97-INDEX(tab_MinKomp[Obsługa multimetru do pomiarów środowiskowych (temperatura, wilgotność, hałas, oświetlenie, przepływ powietrza) / Betrieb eines Multimeters für Umweltmessungen (Temperatur, Luftfeuchtigkeit, Lärm, Beleuchtung, Luftstrom)],MATCH($B97,tab_MinKomp[[Stanowisko / Position ]:[Stanowisko / Position ]],0)))</f>
        <v>n/a</v>
      </c>
      <c r="DT98" s="341" t="str">
        <f>IF(INDEX(tab_MinKomp[Kontrola warunków środowiskowych pracy (temperatura, wilgotność, hałas, oświetlenie, przepływ powietrza) / Kontrolle der Arbeitsumgebungsbedingungen (Temperatur, Luftfeuchtigkeit, Lärm, Beleuchtung, Luftstrom)],MATCH($B97,tab_MinKomp[[Stanowisko / Position ]:[Stanowisko / Position ]],0))="n/a","n/a",DT97-INDEX(tab_MinKomp[Kontrola warunków środowiskowych pracy (temperatura, wilgotność, hałas, oświetlenie, przepływ powietrza) / Kontrolle der Arbeitsumgebungsbedingungen (Temperatur, Luftfeuchtigkeit, Lärm, Beleuchtung, Luftstrom)],MATCH($B97,tab_MinKomp[[Stanowisko / Position ]:[Stanowisko / Position ]],0)))</f>
        <v>n/a</v>
      </c>
      <c r="DU98" s="341">
        <f>IF(INDEX(tab_MinKomp[MSA i SPC],MATCH($B97,tab_MinKomp[[Stanowisko / Position ]:[Stanowisko / Position ]],0))="n/a","n/a",DU97-INDEX(tab_MinKomp[MSA i SPC],MATCH($B97,tab_MinKomp[[Stanowisko / Position ]:[Stanowisko / Position ]],0)))</f>
        <v>0</v>
      </c>
      <c r="DV98" s="341">
        <f>IF(INDEX(tab_MinKomp[Kontrola wejściowa komponentów/ Eingangskontrolle],MATCH($B97,tab_MinKomp[[Stanowisko / Position ]:[Stanowisko / Position ]],0))="n/a","n/a",DV97-INDEX(tab_MinKomp[Kontrola wejściowa komponentów/ Eingangskontrolle],MATCH($B97,tab_MinKomp[[Stanowisko / Position ]:[Stanowisko / Position ]],0)))</f>
        <v>0</v>
      </c>
      <c r="DW98" s="341">
        <f>IF(INDEX(tab_MinKomp[Kontrola wyjściowa produktu / Ausgangskontrolle],MATCH($B97,tab_MinKomp[[Stanowisko / Position ]:[Stanowisko / Position ]],0))="n/a","n/a",DW97-INDEX(tab_MinKomp[Kontrola wyjściowa produktu / Ausgangskontrolle],MATCH($B97,tab_MinKomp[[Stanowisko / Position ]:[Stanowisko / Position ]],0)))</f>
        <v>0</v>
      </c>
      <c r="DX98" s="341" t="str">
        <f>IF(INDEX(tab_MinKomp[Kontrola codzienna produkcji / Tägliche Produktionskontrolle],MATCH($B97,tab_MinKomp[[Stanowisko / Position ]:[Stanowisko / Position ]],0))="n/a","n/a",DX97-INDEX(tab_MinKomp[Kontrola codzienna produkcji / Tägliche Produktionskontrolle],MATCH($B97,tab_MinKomp[[Stanowisko / Position ]:[Stanowisko / Position ]],0)))</f>
        <v>n/a</v>
      </c>
      <c r="DY98" s="341" t="str">
        <f>IF(INDEX(tab_MinKomp[Konserwacja Rep],MATCH($B97,tab_MinKomp[[Stanowisko / Position ]:[Stanowisko / Position ]],0))="n/a","n/a",DY97-INDEX(tab_MinKomp[Konserwacja Rep],MATCH($B97,tab_MinKomp[[Stanowisko / Position ]:[Stanowisko / Position ]],0)))</f>
        <v>n/a</v>
      </c>
      <c r="DZ98" s="341" t="str">
        <f>IF(INDEX(tab_MinKomp[[Konserwacja Engel ]],MATCH($B97,tab_MinKomp[[Stanowisko / Position ]:[Stanowisko / Position ]],0))="n/a","n/a",DZ97-INDEX(tab_MinKomp[[Konserwacja Engel ]],MATCH($B97,tab_MinKomp[[Stanowisko / Position ]:[Stanowisko / Position ]],0)))</f>
        <v>n/a</v>
      </c>
      <c r="EA98" s="341" t="str">
        <f>IF(INDEX(tab_MinKomp[Konserwacja B 50],MATCH($B97,tab_MinKomp[[Stanowisko / Position ]:[Stanowisko / Position ]],0))="n/a","n/a",EA97-INDEX(tab_MinKomp[Konserwacja B 50],MATCH($B97,tab_MinKomp[[Stanowisko / Position ]:[Stanowisko / Position ]],0)))</f>
        <v>n/a</v>
      </c>
      <c r="EB98" s="341" t="str">
        <f>IF(INDEX(tab_MinKomp[[Konserwacja EOL ]],MATCH($B97,tab_MinKomp[[Stanowisko / Position ]:[Stanowisko / Position ]],0))="n/a","n/a",EB97-INDEX(tab_MinKomp[[Konserwacja EOL ]],MATCH($B97,tab_MinKomp[[Stanowisko / Position ]:[Stanowisko / Position ]],0)))</f>
        <v>n/a</v>
      </c>
      <c r="EC98" s="341" t="str">
        <f>IF(INDEX(tab_MinKomp[Konserwacja Branson],MATCH($B97,tab_MinKomp[[Stanowisko / Position ]:[Stanowisko / Position ]],0))="n/a","n/a",EC97-INDEX(tab_MinKomp[Konserwacja Branson],MATCH($B97,tab_MinKomp[[Stanowisko / Position ]:[Stanowisko / Position ]],0)))</f>
        <v>n/a</v>
      </c>
      <c r="ED98" s="341" t="str">
        <f>IF(INDEX(tab_MinKomp[Konserwacja coolery],MATCH($B97,tab_MinKomp[[Stanowisko / Position ]:[Stanowisko / Position ]],0))="n/a","n/a",ED97-INDEX(tab_MinKomp[Konserwacja coolery],MATCH($B97,tab_MinKomp[[Stanowisko / Position ]:[Stanowisko / Position ]],0)))</f>
        <v>n/a</v>
      </c>
      <c r="EE98" s="341" t="str">
        <f>IF(INDEX(tab_MinKomp[Konserwacja piecy],MATCH($B97,tab_MinKomp[[Stanowisko / Position ]:[Stanowisko / Position ]],0))="n/a","n/a",EE97-INDEX(tab_MinKomp[Konserwacja piecy],MATCH($B97,tab_MinKomp[[Stanowisko / Position ]:[Stanowisko / Position ]],0)))</f>
        <v>n/a</v>
      </c>
      <c r="EF98" s="341">
        <f>IF(INDEX(tab_MinKomp[Rysunek techniczny- czytanie],MATCH($B97,tab_MinKomp[[Stanowisko / Position ]:[Stanowisko / Position ]],0))="n/a","n/a",EF97-INDEX(tab_MinKomp[Rysunek techniczny- czytanie],MATCH($B97,tab_MinKomp[[Stanowisko / Position ]:[Stanowisko / Position ]],0)))</f>
        <v>0</v>
      </c>
      <c r="EG98" s="341">
        <f>IF(INDEX(tab_MinKomp[Elektryka],MATCH($B97,tab_MinKomp[[Stanowisko / Position ]:[Stanowisko / Position ]],0))="n/a","n/a",EG97-INDEX(tab_MinKomp[Elektryka],MATCH($B97,tab_MinKomp[[Stanowisko / Position ]:[Stanowisko / Position ]],0)))</f>
        <v>0</v>
      </c>
      <c r="EH98" s="341">
        <f>IF(INDEX(tab_MinKomp[Pneumatyka],MATCH($B97,tab_MinKomp[[Stanowisko / Position ]:[Stanowisko / Position ]],0))="n/a","n/a",EH97-INDEX(tab_MinKomp[Pneumatyka],MATCH($B97,tab_MinKomp[[Stanowisko / Position ]:[Stanowisko / Position ]],0)))</f>
        <v>0</v>
      </c>
      <c r="EI98" s="341">
        <f>IF(INDEX(tab_MinKomp[[Hydraulika ]],MATCH($B97,tab_MinKomp[[Stanowisko / Position ]:[Stanowisko / Position ]],0))="n/a","n/a",EI97-INDEX(tab_MinKomp[[Hydraulika ]],MATCH($B97,tab_MinKomp[[Stanowisko / Position ]:[Stanowisko / Position ]],0)))</f>
        <v>0</v>
      </c>
      <c r="EJ98" s="341">
        <f>IF(INDEX(tab_MinKomp[Podciśnienie],MATCH($B97,tab_MinKomp[[Stanowisko / Position ]:[Stanowisko / Position ]],0))="n/a","n/a",EJ97-INDEX(tab_MinKomp[Podciśnienie],MATCH($B97,tab_MinKomp[[Stanowisko / Position ]:[Stanowisko / Position ]],0)))</f>
        <v>0</v>
      </c>
      <c r="EK98" s="341">
        <f>IF(INDEX(tab_MinKomp[Usuwanie awarii],MATCH($B97,tab_MinKomp[[Stanowisko / Position ]:[Stanowisko / Position ]],0))="n/a","n/a",EK97-INDEX(tab_MinKomp[Usuwanie awarii],MATCH($B97,tab_MinKomp[[Stanowisko / Position ]:[Stanowisko / Position ]],0)))</f>
        <v>0</v>
      </c>
      <c r="EL98" s="341">
        <f>IF(INDEX(tab_MinKomp[Obsługa robotów],MATCH($B97,tab_MinKomp[[Stanowisko / Position ]:[Stanowisko / Position ]],0))="n/a","n/a",EL97-INDEX(tab_MinKomp[Obsługa robotów],MATCH($B97,tab_MinKomp[[Stanowisko / Position ]:[Stanowisko / Position ]],0)))</f>
        <v>0</v>
      </c>
      <c r="EM98" s="341">
        <f>IF(INDEX(tab_MinKomp[Obsługa sterowania maszyny],MATCH($B97,tab_MinKomp[[Stanowisko / Position ]:[Stanowisko / Position ]],0))="n/a","n/a",EM97-INDEX(tab_MinKomp[Obsługa sterowania maszyny],MATCH($B97,tab_MinKomp[[Stanowisko / Position ]:[Stanowisko / Position ]],0)))</f>
        <v>0</v>
      </c>
      <c r="EN98" s="341">
        <f>IF(INDEX(tab_MinKomp[Usuwanie przyczyn żródłowych],MATCH($B97,tab_MinKomp[[Stanowisko / Position ]:[Stanowisko / Position ]],0))="n/a","n/a",EN97-INDEX(tab_MinKomp[Usuwanie przyczyn żródłowych],MATCH($B97,tab_MinKomp[[Stanowisko / Position ]:[Stanowisko / Position ]],0)))</f>
        <v>0</v>
      </c>
      <c r="EO98" s="341">
        <f>IF(INDEX(tab_MinKomp[Cmms stosowanie],MATCH($B97,tab_MinKomp[[Stanowisko / Position ]:[Stanowisko / Position ]],0))="n/a","n/a",EO97-INDEX(tab_MinKomp[Cmms stosowanie],MATCH($B97,tab_MinKomp[[Stanowisko / Position ]:[Stanowisko / Position ]],0)))</f>
        <v>0</v>
      </c>
      <c r="EP98" s="341">
        <f>IF(INDEX(tab_MinKomp[[Czyszczenie form gumowych ]],MATCH($B97,tab_MinKomp[[Stanowisko / Position ]:[Stanowisko / Position ]],0))="n/a","n/a",EP97-INDEX(tab_MinKomp[[Czyszczenie form gumowych ]],MATCH($B97,tab_MinKomp[[Stanowisko / Position ]:[Stanowisko / Position ]],0)))</f>
        <v>0</v>
      </c>
      <c r="EQ98" s="341">
        <f>IF(INDEX(tab_MinKomp[Czyszczenie form plastikowych],MATCH($B97,tab_MinKomp[[Stanowisko / Position ]:[Stanowisko / Position ]],0))="n/a","n/a",EQ97-INDEX(tab_MinKomp[Czyszczenie form plastikowych],MATCH($B97,tab_MinKomp[[Stanowisko / Position ]:[Stanowisko / Position ]],0)))</f>
        <v>0</v>
      </c>
      <c r="ER98" s="341" t="str">
        <f>IF(INDEX(tab_MinKomp[Wymiana form plastik],MATCH($B97,tab_MinKomp[[Stanowisko / Position ]:[Stanowisko / Position ]],0))="n/a","n/a",ER97-INDEX(tab_MinKomp[Wymiana form plastik],MATCH($B97,tab_MinKomp[[Stanowisko / Position ]:[Stanowisko / Position ]],0)))</f>
        <v>n/a</v>
      </c>
      <c r="ES98" s="341" t="str">
        <f>IF(INDEX(tab_MinKomp[Wymiana form guma],MATCH($B97,tab_MinKomp[[Stanowisko / Position ]:[Stanowisko / Position ]],0))="n/a","n/a",ES97-INDEX(tab_MinKomp[Wymiana form guma],MATCH($B97,tab_MinKomp[[Stanowisko / Position ]:[Stanowisko / Position ]],0)))</f>
        <v>n/a</v>
      </c>
      <c r="ET98" s="341" t="str">
        <f>IF(INDEX(tab_MinKomp[Konserwacja KK],MATCH($B97,tab_MinKomp[[Stanowisko / Position ]:[Stanowisko / Position ]],0))="n/a","n/a",ET97-INDEX(tab_MinKomp[Konserwacja KK],MATCH($B97,tab_MinKomp[[Stanowisko / Position ]:[Stanowisko / Position ]],0)))</f>
        <v>n/a</v>
      </c>
      <c r="EU98" s="341" t="str">
        <f>IF(INDEX(tab_MinKomp[Konserwacja form guma],MATCH($B97,tab_MinKomp[[Stanowisko / Position ]:[Stanowisko / Position ]],0))="n/a","n/a",EU97-INDEX(tab_MinKomp[Konserwacja form guma],MATCH($B97,tab_MinKomp[[Stanowisko / Position ]:[Stanowisko / Position ]],0)))</f>
        <v>n/a</v>
      </c>
      <c r="EV98" s="341" t="str">
        <f>IF(INDEX(tab_MinKomp[Konserwacja form plastiki],MATCH($B97,tab_MinKomp[[Stanowisko / Position ]:[Stanowisko / Position ]],0))="n/a","n/a",EV97-INDEX(tab_MinKomp[Konserwacja form plastiki],MATCH($B97,tab_MinKomp[[Stanowisko / Position ]:[Stanowisko / Position ]],0)))</f>
        <v>n/a</v>
      </c>
      <c r="EW98" s="330" t="str">
        <f>IF(INDEX(tab_MinKomp[Konserwacja form plastiki],MATCH($B97,tab_MinKomp[[Stanowisko / Position ]:[Stanowisko / Position ]],0))="n/a","n/a",EW97-INDEX(tab_MinKomp[Konserwacja form plastiki],MATCH($B97,tab_MinKomp[[Stanowisko / Position ]:[Stanowisko / Position ]],0)))</f>
        <v>n/a</v>
      </c>
      <c r="EX98" s="341" t="str">
        <f>IF(INDEX(tab_MinKomp[Konserwacja Gorącego Kanału],MATCH($B97,tab_MinKomp[[Stanowisko / Position ]:[Stanowisko / Position ]],0))="n/a","n/a",EX97-INDEX(tab_MinKomp[Konserwacja Gorącego Kanału],MATCH($B97,tab_MinKomp[[Stanowisko / Position ]:[Stanowisko / Position ]],0)))</f>
        <v>n/a</v>
      </c>
      <c r="EY98" s="341">
        <f>IF(INDEX(tab_MinKomp[MS Office (Excel)],MATCH($B97,tab_MinKomp[[Stanowisko / Position ]:[Stanowisko / Position ]],0))="n/a","n/a",EY97-INDEX(tab_MinKomp[MS Office (Excel)],MATCH($B97,tab_MinKomp[[Stanowisko / Position ]:[Stanowisko / Position ]],0)))</f>
        <v>0</v>
      </c>
      <c r="EZ98" s="341">
        <f>IF(INDEX(tab_MinKomp[MS Office (Word)],MATCH($B97,tab_MinKomp[[Stanowisko / Position ]:[Stanowisko / Position ]],0))="n/a","n/a",EZ97-INDEX(tab_MinKomp[MS Office (Word)],MATCH($B97,tab_MinKomp[[Stanowisko / Position ]:[Stanowisko / Position ]],0)))</f>
        <v>0</v>
      </c>
      <c r="FA98" s="341">
        <f>IF(INDEX(tab_MinKomp[MS Office (Power Point)],MATCH($B97,tab_MinKomp[[Stanowisko / Position ]:[Stanowisko / Position ]],0))="n/a","n/a",FA97-INDEX(tab_MinKomp[MS Office (Power Point)],MATCH($B97,tab_MinKomp[[Stanowisko / Position ]:[Stanowisko / Position ]],0)))</f>
        <v>0</v>
      </c>
      <c r="FB98" s="341">
        <f>IF(INDEX(tab_MinKomp[Język angielski / Englisch],MATCH($B97,tab_MinKomp[[Stanowisko / Position ]:[Stanowisko / Position ]],0))="n/a","n/a",FB97-INDEX(tab_MinKomp[Język angielski / Englisch],MATCH($B97,tab_MinKomp[[Stanowisko / Position ]:[Stanowisko / Position ]],0)))</f>
        <v>0</v>
      </c>
      <c r="FC98" s="341" t="str">
        <f>IF(INDEX(tab_MinKomp[Język niemiecki / Deutsch],MATCH($B97,tab_MinKomp[[Stanowisko / Position ]:[Stanowisko / Position ]],0))="n/a","n/a",FC97-INDEX(tab_MinKomp[Język niemiecki / Deutsch],MATCH($B97,tab_MinKomp[[Stanowisko / Position ]:[Stanowisko / Position ]],0)))</f>
        <v>n/a</v>
      </c>
      <c r="FD98" s="341">
        <f>IF(INDEX(tab_MinKomp[Zarządzanie dokumentacją procesową / Process dokumentation management],MATCH($B97,tab_MinKomp[[Stanowisko / Position ]:[Stanowisko / Position ]],0))="n/a","n/a",FD97-INDEX(tab_MinKomp[Zarządzanie dokumentacją procesową / Process dokumentation management],MATCH($B97,tab_MinKomp[[Stanowisko / Position ]:[Stanowisko / Position ]],0)))</f>
        <v>0</v>
      </c>
      <c r="FE98" s="341">
        <f>IF(INDEX(tab_MinKomp[Znajomość procesów z obszaru / Kenntiss der prozesse in dem Bereich],MATCH($B97,tab_MinKomp[[Stanowisko / Position ]:[Stanowisko / Position ]],0))="n/a","n/a",FE97-INDEX(tab_MinKomp[Znajomość procesów z obszaru / Kenntiss der prozesse in dem Bereich],MATCH($B97,tab_MinKomp[[Stanowisko / Position ]:[Stanowisko / Position ]],0)))</f>
        <v>0</v>
      </c>
      <c r="FF98" s="341">
        <f>IF(INDEX(tab_MinKomp[optymalizacja procesów / Prozessoptymalisierung],MATCH($B97,tab_MinKomp[[Stanowisko / Position ]:[Stanowisko / Position ]],0))="n/a","n/a",FF97-INDEX(tab_MinKomp[optymalizacja procesów / Prozessoptymalisierung],MATCH($B97,tab_MinKomp[[Stanowisko / Position ]:[Stanowisko / Position ]],0)))</f>
        <v>0</v>
      </c>
      <c r="FG98" s="341">
        <f>IF(INDEX(tab_MinKomp[Umiejętności szkoleniowe / Trainingsfähigkeiten],MATCH($B97,tab_MinKomp[[Stanowisko / Position ]:[Stanowisko / Position ]],0))="n/a","n/a",FG97-INDEX(tab_MinKomp[Umiejętności szkoleniowe / Trainingsfähigkeiten],MATCH($B97,tab_MinKomp[[Stanowisko / Position ]:[Stanowisko / Position ]],0)))</f>
        <v>0</v>
      </c>
      <c r="FH98" s="341">
        <f>IF(INDEX(tab_MinKomp[Analityczne myślenie, podejście / Analitysches Denken, Einstellung],MATCH($B97,tab_MinKomp[[Stanowisko / Position ]:[Stanowisko / Position ]],0))="n/a","n/a",FH97-INDEX(tab_MinKomp[Analityczne myślenie, podejście / Analitysches Denken, Einstellung],MATCH($B97,tab_MinKomp[[Stanowisko / Position ]:[Stanowisko / Position ]],0)))</f>
        <v>0</v>
      </c>
      <c r="FI98" s="341">
        <f>IF(INDEX(tab_MinKomp[Dokładność, precyzja w dzialaniu / Genauigkeit, Präzision in die Arbeit],MATCH($B97,tab_MinKomp[[Stanowisko / Position ]:[Stanowisko / Position ]],0))="n/a","n/a",FI97-INDEX(tab_MinKomp[Dokładność, precyzja w dzialaniu / Genauigkeit, Präzision in die Arbeit],MATCH($B97,tab_MinKomp[[Stanowisko / Position ]:[Stanowisko / Position ]],0)))</f>
        <v>0</v>
      </c>
      <c r="FJ98" s="341">
        <f>IF(INDEX(tab_MinKomp[Dyspozycyjność / Verfügbarkeit],MATCH($B97,tab_MinKomp[[Stanowisko / Position ]:[Stanowisko / Position ]],0))="n/a","n/a",FJ97-INDEX(tab_MinKomp[Dyspozycyjność / Verfügbarkeit],MATCH($B97,tab_MinKomp[[Stanowisko / Position ]:[Stanowisko / Position ]],0)))</f>
        <v>0</v>
      </c>
      <c r="FK98" s="341">
        <f>IF(INDEX(tab_MinKomp[Zaangażowanie / 
Engagement],MATCH($B97,tab_MinKomp[[Stanowisko / Position ]:[Stanowisko / Position ]],0))="n/a","n/a",FK97-INDEX(tab_MinKomp[Zaangażowanie / 
Engagement],MATCH($B97,tab_MinKomp[[Stanowisko / Position ]:[Stanowisko / Position ]],0)))</f>
        <v>0</v>
      </c>
      <c r="FL98" s="341">
        <f>IF(INDEX(tab_MinKomp[Planowanie strategiczne / Strategische Planung],MATCH($B97,tab_MinKomp[[Stanowisko / Position ]:[Stanowisko / Position ]],0))="n/a","n/a",FL97-INDEX(tab_MinKomp[Planowanie strategiczne / Strategische Planung],MATCH($B97,tab_MinKomp[[Stanowisko / Position ]:[Stanowisko / Position ]],0)))</f>
        <v>0</v>
      </c>
      <c r="FM98" s="341">
        <f>IF(INDEX(tab_MinKomp[Konsekwentne i dynamiczne działanie],MATCH($B97,tab_MinKomp[[Stanowisko / Position ]:[Stanowisko / Position ]],0))="n/a","n/a",FM97-INDEX(tab_MinKomp[Konsekwentne i dynamiczne działanie],MATCH($B97,tab_MinKomp[[Stanowisko / Position ]:[Stanowisko / Position ]],0)))</f>
        <v>0</v>
      </c>
      <c r="FN98" s="341">
        <f>IF(INDEX(tab_MinKomp[Elastyczność w działaniu],MATCH($B97,tab_MinKomp[[Stanowisko / Position ]:[Stanowisko / Position ]],0))="n/a","n/a",FN97-INDEX(tab_MinKomp[Elastyczność w działaniu],MATCH($B97,tab_MinKomp[[Stanowisko / Position ]:[Stanowisko / Position ]],0)))</f>
        <v>0</v>
      </c>
      <c r="FO98" s="341">
        <f>IF(INDEX(tab_MinKomp[Komunikatywność],MATCH($B97,tab_MinKomp[[Stanowisko / Position ]:[Stanowisko / Position ]],0))="n/a","n/a",FO97-INDEX(tab_MinKomp[Komunikatywność],MATCH($B97,tab_MinKomp[[Stanowisko / Position ]:[Stanowisko / Position ]],0)))</f>
        <v>0</v>
      </c>
      <c r="FP98" s="341">
        <f>IF(INDEX(tab_MinKomp[Motywowanie i budowanie zaangażowania zespołu],MATCH($B97,tab_MinKomp[[Stanowisko / Position ]:[Stanowisko / Position ]],0))="n/a","n/a",FP97-INDEX(tab_MinKomp[Motywowanie i budowanie zaangażowania zespołu],MATCH($B97,tab_MinKomp[[Stanowisko / Position ]:[Stanowisko / Position ]],0)))</f>
        <v>0</v>
      </c>
      <c r="FQ98" s="341" t="str">
        <f>IF(INDEX(tab_MinKomp[BRAK / Keine],MATCH($B97,tab_MinKomp[[Stanowisko / Position ]:[Stanowisko / Position ]],0))="n/a","n/a",FQ97-INDEX(tab_MinKomp[BRAK / Keine],MATCH($B97,tab_MinKomp[[Stanowisko / Position ]:[Stanowisko / Position ]],0)))</f>
        <v>n/a</v>
      </c>
      <c r="FR98" s="341" t="s">
        <v>387</v>
      </c>
      <c r="FS98" s="341" t="str">
        <f>IF(INDEX(tab_MinKomp[MINIMUM 2 LATA / min. 2 Jahre],MATCH($B97,tab_MinKomp[[Stanowisko / Position ]:[Stanowisko / Position ]],0))="n/a","n/a",FS97-INDEX(tab_MinKomp[MINIMUM 2 LATA / min. 2 Jahre],MATCH($B97,tab_MinKomp[[Stanowisko / Position ]:[Stanowisko / Position ]],0)))</f>
        <v>n/a</v>
      </c>
      <c r="FT98" s="341" t="str">
        <f>IF(INDEX(tab_MinKomp[MINIMUM 3 LATA / min. 3 Jahre],MATCH($B97,tab_MinKomp[[Stanowisko / Position ]:[Stanowisko / Position ]],0))="n/a","n/a",FT97-INDEX(tab_MinKomp[MINIMUM 3 LATA / min. 3 Jahre],MATCH($B97,tab_MinKomp[[Stanowisko / Position ]:[Stanowisko / Position ]],0)))</f>
        <v>n/a</v>
      </c>
      <c r="FU98" s="341" t="str">
        <f>IF(INDEX(tab_MinKomp[MINIMUM 4 LATA / min. 4 Jahre],MATCH($B97,tab_MinKomp[[Stanowisko / Position ]:[Stanowisko / Position ]],0))="n/a","n/a",FU97-INDEX(tab_MinKomp[MINIMUM 4 LATA / min. 4 Jahre],MATCH($B97,tab_MinKomp[[Stanowisko / Position ]:[Stanowisko / Position ]],0)))</f>
        <v>n/a</v>
      </c>
      <c r="FV98" s="341" t="str">
        <f>IF(INDEX(tab_MinKomp[MINIMUM 5 LAT / min. 5 Jahre],MATCH($B97,tab_MinKomp[[Stanowisko / Position ]:[Stanowisko / Position ]],0))="n/a","n/a",FV97-INDEX(tab_MinKomp[MINIMUM 5 LAT / min. 5 Jahre],MATCH($B97,tab_MinKomp[[Stanowisko / Position ]:[Stanowisko / Position ]],0)))</f>
        <v>n/a</v>
      </c>
      <c r="FW98" s="341" t="str">
        <f>IF(INDEX(tab_MinKomp[BRAK / Keine9],MATCH($B97,tab_MinKomp[[Stanowisko / Position ]:[Stanowisko / Position ]],0))="n/a","n/a",FW97-INDEX(tab_MinKomp[BRAK / Keine9],MATCH($B97,tab_MinKomp[[Stanowisko / Position ]:[Stanowisko / Position ]],0)))</f>
        <v>n/a</v>
      </c>
      <c r="FX98" s="341" t="str">
        <f>IF(INDEX(tab_MinKomp[ZAWODOWE / Berufsausbildung],MATCH($B97,tab_MinKomp[[Stanowisko / Position ]:[Stanowisko / Position ]],0))="n/a","n/a",FX97-INDEX(tab_MinKomp[ZAWODOWE / Berufsausbildung],MATCH($B97,tab_MinKomp[[Stanowisko / Position ]:[Stanowisko / Position ]],0)))</f>
        <v>n/a</v>
      </c>
      <c r="FY98" s="341" t="str">
        <f>IF(INDEX(tab_MinKomp[ŚREDNIE OGÓLNE / Abitur allgemeine],MATCH($B97,tab_MinKomp[[Stanowisko / Position ]:[Stanowisko / Position ]],0))="n/a","n/a",FY97-INDEX(tab_MinKomp[ŚREDNIE OGÓLNE / Abitur allgemeine],MATCH($B97,tab_MinKomp[[Stanowisko / Position ]:[Stanowisko / Position ]],0)))</f>
        <v>n/a</v>
      </c>
      <c r="FZ98" s="341" t="str">
        <f>IF(INDEX(tab_MinKomp[ŚREDNIE KIERUNKOWE / berufliches Gymnasium],MATCH($B97,tab_MinKomp[[Stanowisko / Position ]:[Stanowisko / Position ]],0))="n/a","n/a",FZ97-INDEX(tab_MinKomp[ŚREDNIE KIERUNKOWE / berufliches Gymnasium],MATCH($B97,tab_MinKomp[[Stanowisko / Position ]:[Stanowisko / Position ]],0)))</f>
        <v>n/a</v>
      </c>
      <c r="GA98" s="341" t="str">
        <f>IF(INDEX(tab_MinKomp[WYŻSZE OGÓLNE / Hochschule allgemeine],MATCH($B97,tab_MinKomp[[Stanowisko / Position ]:[Stanowisko / Position ]],0))="n/a","n/a",GA97-INDEX(tab_MinKomp[WYŻSZE OGÓLNE / Hochschule allgemeine],MATCH($B97,tab_MinKomp[[Stanowisko / Position ]:[Stanowisko / Position ]],0)))</f>
        <v>n/a</v>
      </c>
      <c r="GB98" s="341" t="s">
        <v>387</v>
      </c>
      <c r="GC98" s="341" t="s">
        <v>387</v>
      </c>
      <c r="GD98" s="341" t="str">
        <f>IF(INDEX(tab_MinKomp[Specjalista BHP / BHP Spezialist],MATCH($B97,tab_MinKomp[[Stanowisko / Position ]:[Stanowisko / Position ]],0))="n/a","n/a",GD97-INDEX(tab_MinKomp[Specjalista BHP / BHP Spezialist],MATCH($B97,tab_MinKomp[[Stanowisko / Position ]:[Stanowisko / Position ]],0)))</f>
        <v>n/a</v>
      </c>
      <c r="GE98" s="341" t="str">
        <f>IF(INDEX(tab_MinKomp[Inspektor ochrony PPOŻ / Brandschutzinspektor],MATCH($B97,tab_MinKomp[[Stanowisko / Position ]:[Stanowisko / Position ]],0))="n/a","n/a",GE97-INDEX(tab_MinKomp[Inspektor ochrony PPOŻ / Brandschutzinspektor],MATCH($B97,tab_MinKomp[[Stanowisko / Position ]:[Stanowisko / Position ]],0)))</f>
        <v>n/a</v>
      </c>
      <c r="GF98" s="341" t="str">
        <f>IF(INDEX(tab_MinKomp[WÓZKI JEZDNIOWE / Gebelstapler],MATCH($B97,tab_MinKomp[[Stanowisko / Position ]:[Stanowisko / Position ]],0))="n/a","n/a",GF97-INDEX(tab_MinKomp[WÓZKI JEZDNIOWE / Gebelstapler],MATCH($B97,tab_MinKomp[[Stanowisko / Position ]:[Stanowisko / Position ]],0)))</f>
        <v>n/a</v>
      </c>
      <c r="GG98" s="341" t="str">
        <f>IF(INDEX(tab_MinKomp[SEP],MATCH($B97,tab_MinKomp[[Stanowisko / Position ]:[Stanowisko / Position ]],0))="n/a","n/a",GG97-INDEX(tab_MinKomp[SEP],MATCH($B97,tab_MinKomp[[Stanowisko / Position ]:[Stanowisko / Position ]],0)))</f>
        <v>n/a</v>
      </c>
      <c r="GH98" s="341" t="str">
        <f>IF(INDEX(tab_MinKomp[SEP  DOZÓR / SEP Aufsicht],MATCH($B97,tab_MinKomp[[Stanowisko / Position ]:[Stanowisko / Position ]],0))="n/a","n/a",GH97-INDEX(tab_MinKomp[SEP  DOZÓR / SEP Aufsicht],MATCH($B97,tab_MinKomp[[Stanowisko / Position ]:[Stanowisko / Position ]],0)))</f>
        <v>n/a</v>
      </c>
      <c r="GI98" s="341" t="str">
        <f>IF(INDEX(tab_MinKomp[PODNOŚNIKI / Hebevorrichtung],MATCH($B97,tab_MinKomp[[Stanowisko / Position ]:[Stanowisko / Position ]],0))="n/a","n/a",GI97-INDEX(tab_MinKomp[PODNOŚNIKI / Hebevorrichtung],MATCH($B97,tab_MinKomp[[Stanowisko / Position ]:[Stanowisko / Position ]],0)))</f>
        <v>n/a</v>
      </c>
      <c r="GJ98" s="341" t="str">
        <f>IF(INDEX(tab_MinKomp[SUWNICE / Laufkran],MATCH($B97,tab_MinKomp[[Stanowisko / Position ]:[Stanowisko / Position ]],0))="n/a","n/a",GJ97-INDEX(tab_MinKomp[SUWNICE / Laufkran],MATCH($B97,tab_MinKomp[[Stanowisko / Position ]:[Stanowisko / Position ]],0)))</f>
        <v>n/a</v>
      </c>
      <c r="GK98" s="341" t="str">
        <f>IF(INDEX(tab_MinKomp[WYSOKOŚCIOWE / Höhenberechtigungen],MATCH($B97,tab_MinKomp[[Stanowisko / Position ]:[Stanowisko / Position ]],0))="n/a","n/a",GK97-INDEX(tab_MinKomp[WYSOKOŚCIOWE / Höhenberechtigungen],MATCH($B97,tab_MinKomp[[Stanowisko / Position ]:[Stanowisko / Position ]],0)))</f>
        <v>n/a</v>
      </c>
      <c r="GL98" s="311">
        <f>SUM(G98:FN98)</f>
        <v>-5</v>
      </c>
    </row>
    <row r="99" spans="1:194" ht="28.35" customHeight="1" x14ac:dyDescent="0.25">
      <c r="A99" s="138" t="s">
        <v>559</v>
      </c>
      <c r="B99" s="138" t="s">
        <v>674</v>
      </c>
      <c r="C99" s="138" t="s">
        <v>226</v>
      </c>
      <c r="D99" s="138">
        <v>321</v>
      </c>
      <c r="E99" s="565" t="s">
        <v>650</v>
      </c>
      <c r="F99" s="307" t="s">
        <v>165</v>
      </c>
      <c r="G99" s="308">
        <v>2</v>
      </c>
      <c r="H99" s="308">
        <v>2</v>
      </c>
      <c r="I99" s="308">
        <v>2</v>
      </c>
      <c r="J99" s="308">
        <v>2</v>
      </c>
      <c r="K99" s="308">
        <v>2</v>
      </c>
      <c r="L99" s="308">
        <v>1</v>
      </c>
      <c r="M99" s="308" t="s">
        <v>176</v>
      </c>
      <c r="N99" s="308" t="s">
        <v>176</v>
      </c>
      <c r="O99" s="308">
        <v>1</v>
      </c>
      <c r="P99" s="308">
        <v>1</v>
      </c>
      <c r="Q99" s="308" t="s">
        <v>176</v>
      </c>
      <c r="R99" s="308" t="s">
        <v>176</v>
      </c>
      <c r="S99" s="308" t="s">
        <v>176</v>
      </c>
      <c r="T99" s="308" t="s">
        <v>176</v>
      </c>
      <c r="U99" s="308" t="s">
        <v>176</v>
      </c>
      <c r="V99" s="308" t="s">
        <v>176</v>
      </c>
      <c r="W99" s="308" t="s">
        <v>176</v>
      </c>
      <c r="X99" s="308" t="s">
        <v>176</v>
      </c>
      <c r="Y99" s="308" t="s">
        <v>176</v>
      </c>
      <c r="Z99" s="308" t="s">
        <v>176</v>
      </c>
      <c r="AA99" s="308" t="s">
        <v>176</v>
      </c>
      <c r="AB99" s="308" t="s">
        <v>176</v>
      </c>
      <c r="AC99" s="308">
        <v>1</v>
      </c>
      <c r="AD99" s="308">
        <v>1</v>
      </c>
      <c r="AE99" s="308" t="s">
        <v>176</v>
      </c>
      <c r="AF99" s="308" t="s">
        <v>176</v>
      </c>
      <c r="AG99" s="308" t="s">
        <v>176</v>
      </c>
      <c r="AH99" s="308" t="s">
        <v>176</v>
      </c>
      <c r="AI99" s="308" t="s">
        <v>176</v>
      </c>
      <c r="AJ99" s="308" t="s">
        <v>176</v>
      </c>
      <c r="AK99" s="308" t="s">
        <v>176</v>
      </c>
      <c r="AL99" s="308">
        <v>1</v>
      </c>
      <c r="AM99" s="308">
        <v>1</v>
      </c>
      <c r="AN99" s="308" t="s">
        <v>176</v>
      </c>
      <c r="AO99" s="308">
        <v>1</v>
      </c>
      <c r="AP99" s="308">
        <v>1</v>
      </c>
      <c r="AQ99" s="308">
        <v>2</v>
      </c>
      <c r="AR99" s="308">
        <v>1</v>
      </c>
      <c r="AS99" s="308">
        <v>1</v>
      </c>
      <c r="AT99" s="308">
        <v>1</v>
      </c>
      <c r="AU99" s="308">
        <v>1</v>
      </c>
      <c r="AV99" s="308">
        <v>2</v>
      </c>
      <c r="AW99" s="308">
        <v>1</v>
      </c>
      <c r="AX99" s="308">
        <v>1</v>
      </c>
      <c r="AY99" s="308" t="s">
        <v>176</v>
      </c>
      <c r="AZ99" s="308">
        <v>1</v>
      </c>
      <c r="BA99" s="308" t="s">
        <v>176</v>
      </c>
      <c r="BB99" s="308" t="s">
        <v>176</v>
      </c>
      <c r="BC99" s="308" t="s">
        <v>176</v>
      </c>
      <c r="BD99" s="308" t="s">
        <v>176</v>
      </c>
      <c r="BE99" s="308" t="s">
        <v>176</v>
      </c>
      <c r="BF99" s="308" t="s">
        <v>176</v>
      </c>
      <c r="BG99" s="308" t="s">
        <v>176</v>
      </c>
      <c r="BH99" s="308" t="s">
        <v>176</v>
      </c>
      <c r="BI99" s="308" t="s">
        <v>176</v>
      </c>
      <c r="BJ99" s="308" t="s">
        <v>176</v>
      </c>
      <c r="BK99" s="308" t="s">
        <v>176</v>
      </c>
      <c r="BL99" s="308" t="s">
        <v>176</v>
      </c>
      <c r="BM99" s="308">
        <v>1</v>
      </c>
      <c r="BN99" s="308">
        <v>1</v>
      </c>
      <c r="BO99" s="308">
        <v>1</v>
      </c>
      <c r="BP99" s="308">
        <v>1</v>
      </c>
      <c r="BQ99" s="308">
        <v>1</v>
      </c>
      <c r="BR99" s="308">
        <v>1</v>
      </c>
      <c r="BS99" s="308">
        <v>1</v>
      </c>
      <c r="BT99" s="308">
        <v>1</v>
      </c>
      <c r="BU99" s="308">
        <v>1</v>
      </c>
      <c r="BV99" s="308">
        <v>1</v>
      </c>
      <c r="BW99" s="308">
        <v>1</v>
      </c>
      <c r="BX99" s="308" t="s">
        <v>176</v>
      </c>
      <c r="BY99" s="308">
        <v>1</v>
      </c>
      <c r="BZ99" s="308" t="s">
        <v>176</v>
      </c>
      <c r="CA99" s="308" t="s">
        <v>176</v>
      </c>
      <c r="CB99" s="308" t="s">
        <v>176</v>
      </c>
      <c r="CC99" s="308" t="s">
        <v>176</v>
      </c>
      <c r="CD99" s="308" t="s">
        <v>176</v>
      </c>
      <c r="CE99" s="308" t="s">
        <v>176</v>
      </c>
      <c r="CF99" s="308" t="s">
        <v>176</v>
      </c>
      <c r="CG99" s="308" t="s">
        <v>176</v>
      </c>
      <c r="CH99" s="308" t="s">
        <v>176</v>
      </c>
      <c r="CI99" s="308">
        <v>1</v>
      </c>
      <c r="CJ99" s="308" t="s">
        <v>176</v>
      </c>
      <c r="CK99" s="308" t="s">
        <v>176</v>
      </c>
      <c r="CL99" s="308" t="s">
        <v>176</v>
      </c>
      <c r="CM99" s="308">
        <v>1</v>
      </c>
      <c r="CN99" s="308">
        <v>1</v>
      </c>
      <c r="CO99" s="308">
        <v>1</v>
      </c>
      <c r="CP99" s="308">
        <v>2</v>
      </c>
      <c r="CQ99" s="308" t="s">
        <v>176</v>
      </c>
      <c r="CR99" s="308" t="s">
        <v>176</v>
      </c>
      <c r="CS99" s="308" t="s">
        <v>176</v>
      </c>
      <c r="CT99" s="308" t="s">
        <v>176</v>
      </c>
      <c r="CU99" s="308">
        <v>1</v>
      </c>
      <c r="CV99" s="308">
        <v>1</v>
      </c>
      <c r="CW99" s="308" t="s">
        <v>176</v>
      </c>
      <c r="CX99" s="308" t="s">
        <v>176</v>
      </c>
      <c r="CY99" s="308" t="s">
        <v>176</v>
      </c>
      <c r="CZ99" s="308" t="s">
        <v>176</v>
      </c>
      <c r="DA99" s="308" t="s">
        <v>176</v>
      </c>
      <c r="DB99" s="308" t="s">
        <v>176</v>
      </c>
      <c r="DC99" s="308" t="s">
        <v>176</v>
      </c>
      <c r="DD99" s="308" t="s">
        <v>176</v>
      </c>
      <c r="DE99" s="308" t="s">
        <v>176</v>
      </c>
      <c r="DF99" s="308" t="s">
        <v>176</v>
      </c>
      <c r="DG99" s="308" t="s">
        <v>176</v>
      </c>
      <c r="DH99" s="308" t="s">
        <v>176</v>
      </c>
      <c r="DI99" s="308" t="s">
        <v>176</v>
      </c>
      <c r="DJ99" s="308" t="s">
        <v>176</v>
      </c>
      <c r="DK99" s="308" t="s">
        <v>176</v>
      </c>
      <c r="DL99" s="308" t="s">
        <v>176</v>
      </c>
      <c r="DM99" s="308" t="s">
        <v>176</v>
      </c>
      <c r="DN99" s="308" t="s">
        <v>176</v>
      </c>
      <c r="DO99" s="308" t="s">
        <v>176</v>
      </c>
      <c r="DP99" s="308" t="s">
        <v>176</v>
      </c>
      <c r="DQ99" s="308" t="s">
        <v>176</v>
      </c>
      <c r="DR99" s="308" t="s">
        <v>176</v>
      </c>
      <c r="DS99" s="308" t="s">
        <v>176</v>
      </c>
      <c r="DT99" s="308" t="s">
        <v>176</v>
      </c>
      <c r="DU99" s="308">
        <v>1</v>
      </c>
      <c r="DV99" s="308">
        <v>1</v>
      </c>
      <c r="DW99" s="308">
        <v>1</v>
      </c>
      <c r="DX99" s="308">
        <v>1</v>
      </c>
      <c r="DY99" s="308" t="s">
        <v>176</v>
      </c>
      <c r="DZ99" s="308" t="s">
        <v>176</v>
      </c>
      <c r="EA99" s="308" t="s">
        <v>176</v>
      </c>
      <c r="EB99" s="308" t="s">
        <v>176</v>
      </c>
      <c r="EC99" s="308" t="s">
        <v>176</v>
      </c>
      <c r="ED99" s="308" t="s">
        <v>176</v>
      </c>
      <c r="EE99" s="308" t="s">
        <v>176</v>
      </c>
      <c r="EF99" s="308">
        <v>1</v>
      </c>
      <c r="EG99" s="308">
        <v>1</v>
      </c>
      <c r="EH99" s="308">
        <v>1</v>
      </c>
      <c r="EI99" s="308">
        <v>1</v>
      </c>
      <c r="EJ99" s="308">
        <v>1</v>
      </c>
      <c r="EK99" s="308">
        <v>1</v>
      </c>
      <c r="EL99" s="308">
        <v>1</v>
      </c>
      <c r="EM99" s="308">
        <v>1</v>
      </c>
      <c r="EN99" s="308">
        <v>2</v>
      </c>
      <c r="EO99" s="308">
        <v>1</v>
      </c>
      <c r="EP99" s="308">
        <v>1</v>
      </c>
      <c r="EQ99" s="308">
        <v>1</v>
      </c>
      <c r="ER99" s="308" t="s">
        <v>176</v>
      </c>
      <c r="ES99" s="308" t="s">
        <v>176</v>
      </c>
      <c r="ET99" s="308" t="s">
        <v>176</v>
      </c>
      <c r="EU99" s="308" t="s">
        <v>176</v>
      </c>
      <c r="EV99" s="308" t="s">
        <v>176</v>
      </c>
      <c r="EW99" s="308" t="s">
        <v>176</v>
      </c>
      <c r="EX99" s="308" t="s">
        <v>176</v>
      </c>
      <c r="EY99" s="308">
        <v>1</v>
      </c>
      <c r="EZ99" s="308">
        <v>1</v>
      </c>
      <c r="FA99" s="308">
        <v>1</v>
      </c>
      <c r="FB99" s="308" t="s">
        <v>176</v>
      </c>
      <c r="FC99" s="308" t="s">
        <v>176</v>
      </c>
      <c r="FD99" s="308">
        <v>1</v>
      </c>
      <c r="FE99" s="308">
        <v>2</v>
      </c>
      <c r="FF99" s="308">
        <v>1</v>
      </c>
      <c r="FG99" s="308">
        <v>2</v>
      </c>
      <c r="FH99" s="308">
        <v>2</v>
      </c>
      <c r="FI99" s="308">
        <v>2</v>
      </c>
      <c r="FJ99" s="308">
        <v>2</v>
      </c>
      <c r="FK99" s="308">
        <v>2</v>
      </c>
      <c r="FL99" s="308" t="s">
        <v>176</v>
      </c>
      <c r="FM99" s="308">
        <v>2</v>
      </c>
      <c r="FN99" s="308">
        <v>2</v>
      </c>
      <c r="FO99" s="308">
        <v>2</v>
      </c>
      <c r="FP99" s="308">
        <v>2</v>
      </c>
      <c r="FQ99" s="308" t="s">
        <v>176</v>
      </c>
      <c r="FR99" s="308"/>
      <c r="FS99" s="308" t="s">
        <v>176</v>
      </c>
      <c r="FT99" s="308" t="s">
        <v>176</v>
      </c>
      <c r="FU99" s="308" t="s">
        <v>176</v>
      </c>
      <c r="FV99" s="308" t="s">
        <v>176</v>
      </c>
      <c r="FW99" s="308" t="s">
        <v>176</v>
      </c>
      <c r="FX99" s="308" t="s">
        <v>176</v>
      </c>
      <c r="FY99" s="308" t="s">
        <v>176</v>
      </c>
      <c r="FZ99" s="308" t="s">
        <v>176</v>
      </c>
      <c r="GA99" s="308" t="s">
        <v>176</v>
      </c>
      <c r="GB99" s="308"/>
      <c r="GC99" s="308"/>
      <c r="GD99" s="308" t="s">
        <v>176</v>
      </c>
      <c r="GE99" s="308" t="s">
        <v>176</v>
      </c>
      <c r="GF99" s="308" t="s">
        <v>176</v>
      </c>
      <c r="GG99" s="308" t="s">
        <v>176</v>
      </c>
      <c r="GH99" s="308" t="s">
        <v>176</v>
      </c>
      <c r="GI99" s="308" t="s">
        <v>176</v>
      </c>
      <c r="GJ99" s="308" t="s">
        <v>176</v>
      </c>
      <c r="GK99" s="308" t="s">
        <v>176</v>
      </c>
      <c r="GL99" s="311">
        <f>SUM(G99:FP99)</f>
        <v>92</v>
      </c>
    </row>
    <row r="100" spans="1:194" ht="28.35" customHeight="1" thickBot="1" x14ac:dyDescent="0.3">
      <c r="A100" s="138" t="s">
        <v>559</v>
      </c>
      <c r="B100" s="138" t="s">
        <v>674</v>
      </c>
      <c r="C100" s="138" t="str">
        <f>C99</f>
        <v>DD</v>
      </c>
      <c r="D100" s="138">
        <v>321</v>
      </c>
      <c r="E100" s="566" t="str">
        <f>E99</f>
        <v>Korycki Jakub</v>
      </c>
      <c r="F100" s="312" t="s">
        <v>166</v>
      </c>
      <c r="G100" s="341">
        <f>IF(INDEX(tab_MinKomp[Przepisy BHP / BHP Vorschriften],MATCH($B99,tab_MinKomp[[Stanowisko / Position ]:[Stanowisko / Position ]],0))="n/a","n/a",G99-INDEX(tab_MinKomp[Przepisy BHP / BHP Vorschriften],MATCH($B99,tab_MinKomp[[Stanowisko / Position ]:[Stanowisko / Position ]],0)))</f>
        <v>0</v>
      </c>
      <c r="H100" s="341">
        <f>IF(INDEX(tab_MinKomp[Przepisy PPOŻ / Brandschutzbestimmungen],MATCH($B99,tab_MinKomp[[Stanowisko / Position ]:[Stanowisko / Position ]],0))="n/a","n/a",H99-INDEX(tab_MinKomp[Przepisy PPOŻ / Brandschutzbestimmungen],MATCH($B99,tab_MinKomp[[Stanowisko / Position ]:[Stanowisko / Position ]],0)))</f>
        <v>0</v>
      </c>
      <c r="I100" s="341">
        <f>IF(INDEX(tab_MinKomp[Ryzyko zawodowe na stanowiskach pracyv/ Berufliche Risiken an Arbeitsstellen],MATCH($B99,tab_MinKomp[[Stanowisko / Position ]:[Stanowisko / Position ]],0))="n/a","n/a",I99-INDEX(tab_MinKomp[Ryzyko zawodowe na stanowiskach pracyv/ Berufliche Risiken an Arbeitsstellen],MATCH($B99,tab_MinKomp[[Stanowisko / Position ]:[Stanowisko / Position ]],0)))</f>
        <v>0</v>
      </c>
      <c r="J100" s="341">
        <f>IF(INDEX(tab_MinKomp[Gospodarka substancjami niebezpiecznymi / Gefahrstoffmanagement],MATCH($B99,tab_MinKomp[[Stanowisko / Position ]:[Stanowisko / Position ]],0))="n/a","n/a",J99-INDEX(tab_MinKomp[Gospodarka substancjami niebezpiecznymi / Gefahrstoffmanagement],MATCH($B99,tab_MinKomp[[Stanowisko / Position ]:[Stanowisko / Position ]],0)))</f>
        <v>0</v>
      </c>
      <c r="K100" s="341">
        <f>IF(INDEX(tab_MinKomp[Gospodarka odpadami / Abfallwirtschaft],MATCH($B99,tab_MinKomp[[Stanowisko / Position ]:[Stanowisko / Position ]],0))="n/a","n/a",K99-INDEX(tab_MinKomp[Gospodarka odpadami / Abfallwirtschaft],MATCH($B99,tab_MinKomp[[Stanowisko / Position ]:[Stanowisko / Position ]],0)))</f>
        <v>0</v>
      </c>
      <c r="L100" s="341">
        <f>IF(INDEX(tab_MinKomp[Przepisy kodeksu pracy / Bestimmungen des Arbeitsgesetzes],MATCH($B99,tab_MinKomp[[Stanowisko / Position ]:[Stanowisko / Position ]],0))="n/a","n/a",L99-INDEX(tab_MinKomp[Przepisy kodeksu pracy / Bestimmungen des Arbeitsgesetzes],MATCH($B99,tab_MinKomp[[Stanowisko / Position ]:[Stanowisko / Position ]],0)))</f>
        <v>0</v>
      </c>
      <c r="M100" s="341" t="str">
        <f>IF(INDEX(tab_MinKomp[Przepisy o ub.społ. ZUS  / Sozialversicherungsvorschriften],MATCH($B99,tab_MinKomp[[Stanowisko / Position ]:[Stanowisko / Position ]],0))="n/a","n/a",M99-INDEX(tab_MinKomp[Przepisy o ub.społ. ZUS  / Sozialversicherungsvorschriften],MATCH($B99,tab_MinKomp[[Stanowisko / Position ]:[Stanowisko / Position ]],0)))</f>
        <v>n/a</v>
      </c>
      <c r="N100" s="341" t="str">
        <f>IF(INDEX(tab_MinKomp[PRZEPISY O PDOF /persönlich Einkommensteuergesetz ],MATCH($B99,tab_MinKomp[[Stanowisko / Position ]:[Stanowisko / Position ]],0))="n/a","n/a",N99-INDEX(tab_MinKomp[PRZEPISY O PDOF /persönlich Einkommensteuergesetz ],MATCH($B99,tab_MinKomp[[Stanowisko / Position ]:[Stanowisko / Position ]],0)))</f>
        <v>n/a</v>
      </c>
      <c r="O100" s="341">
        <f>IF(INDEX(tab_MinKomp[Regulamin pracy / Arbeitsordnung],MATCH($B99,tab_MinKomp[[Stanowisko / Position ]:[Stanowisko / Position ]],0))="n/a","n/a",O99-INDEX(tab_MinKomp[Regulamin pracy / Arbeitsordnung],MATCH($B99,tab_MinKomp[[Stanowisko / Position ]:[Stanowisko / Position ]],0)))</f>
        <v>0</v>
      </c>
      <c r="P100" s="341">
        <f>IF(INDEX(tab_MinKomp[Regulamin wynagradzania / Vergütungsordnung],MATCH($B99,tab_MinKomp[[Stanowisko / Position ]:[Stanowisko / Position ]],0))="n/a","n/a",P99-INDEX(tab_MinKomp[Regulamin wynagradzania / Vergütungsordnung],MATCH($B99,tab_MinKomp[[Stanowisko / Position ]:[Stanowisko / Position ]],0)))</f>
        <v>0</v>
      </c>
      <c r="Q100" s="341" t="str">
        <f>IF(INDEX(tab_MinKomp[System R2PŁATNIK PRO: Płace / Lohnabrechnung],MATCH($B99,tab_MinKomp[[Stanowisko / Position ]:[Stanowisko / Position ]],0))="n/a","n/a",Q99-INDEX(tab_MinKomp[System R2PŁATNIK PRO: Płace / Lohnabrechnung],MATCH($B99,tab_MinKomp[[Stanowisko / Position ]:[Stanowisko / Position ]],0)))</f>
        <v>n/a</v>
      </c>
      <c r="R100" s="341" t="str">
        <f>IF(INDEX(tab_MinKomp[SystemR2PŁATNIK PRO: KADRY / Personaldaten],MATCH($B99,tab_MinKomp[[Stanowisko / Position ]:[Stanowisko / Position ]],0))="n/a","n/a",R99-INDEX(tab_MinKomp[SystemR2PŁATNIK PRO: KADRY / Personaldaten],MATCH($B99,tab_MinKomp[[Stanowisko / Position ]:[Stanowisko / Position ]],0)))</f>
        <v>n/a</v>
      </c>
      <c r="S100" s="341" t="str">
        <f>IF(INDEX(tab_MinKomp[SYSTEM R2PŁATNIK PRO: zarządzanie pracownikami / Arbeitsverwaltung],MATCH($B99,tab_MinKomp[[Stanowisko / Position ]:[Stanowisko / Position ]],0))="n/a","n/a",S99-INDEX(tab_MinKomp[SYSTEM R2PŁATNIK PRO: zarządzanie pracownikami / Arbeitsverwaltung],MATCH($B99,tab_MinKomp[[Stanowisko / Position ]:[Stanowisko / Position ]],0)))</f>
        <v>n/a</v>
      </c>
      <c r="T100" s="341" t="str">
        <f>IF(INDEX(tab_MinKomp[Doradztwo, wsparcie personalne / Personalberatung und Unterstützung],MATCH($B99,tab_MinKomp[[Stanowisko / Position ]:[Stanowisko / Position ]],0))="n/a","n/a",T99-INDEX(tab_MinKomp[Doradztwo, wsparcie personalne / Personalberatung und Unterstützung],MATCH($B99,tab_MinKomp[[Stanowisko / Position ]:[Stanowisko / Position ]],0)))</f>
        <v>n/a</v>
      </c>
      <c r="U100" s="341" t="str">
        <f>IF(INDEX(tab_MinKomp[Przepisy o podatku VAT / MwSt.- Gesetz],MATCH($B99,tab_MinKomp[[Stanowisko / Position ]:[Stanowisko / Position ]],0))="n/a","n/a",U99-INDEX(tab_MinKomp[Przepisy o podatku VAT / MwSt.- Gesetz],MATCH($B99,tab_MinKomp[[Stanowisko / Position ]:[Stanowisko / Position ]],0)))</f>
        <v>n/a</v>
      </c>
      <c r="V100" s="341" t="str">
        <f>IF(INDEX(tab_MinKomp[PrzepisyPDOP / geschäftlich Einkommensteuergesetz],MATCH($B99,tab_MinKomp[[Stanowisko / Position ]:[Stanowisko / Position ]],0))="n/a","n/a",V99-INDEX(tab_MinKomp[PrzepisyPDOP / geschäftlich Einkommensteuergesetz],MATCH($B99,tab_MinKomp[[Stanowisko / Position ]:[Stanowisko / Position ]],0)))</f>
        <v>n/a</v>
      </c>
      <c r="W100" s="341" t="str">
        <f>IF(INDEX(tab_MinKomp[System BAAN / FINANSE (FIBU)],MATCH($B99,tab_MinKomp[[Stanowisko / Position ]:[Stanowisko / Position ]],0))="n/a","n/a",W99-INDEX(tab_MinKomp[System BAAN / FINANSE (FIBU)],MATCH($B99,tab_MinKomp[[Stanowisko / Position ]:[Stanowisko / Position ]],0)))</f>
        <v>n/a</v>
      </c>
      <c r="X100" s="341" t="str">
        <f>IF(INDEX(tab_MinKomp[Systemy pomocnicze / Hilfssysteme(STOCKPROGRAM, KALK2000 etc.)],MATCH($B99,tab_MinKomp[[Stanowisko / Position ]:[Stanowisko / Position ]],0))="n/a","n/a",X99-INDEX(tab_MinKomp[Systemy pomocnicze / Hilfssysteme(STOCKPROGRAM, KALK2000 etc.)],MATCH($B99,tab_MinKomp[[Stanowisko / Position ]:[Stanowisko / Position ]],0)))</f>
        <v>n/a</v>
      </c>
      <c r="Y100" s="341" t="str">
        <f>IF(INDEX(tab_MinKomp[Polityka rachunkowości / Buchführungspolitik],MATCH($B99,tab_MinKomp[[Stanowisko / Position ]:[Stanowisko / Position ]],0))="n/a","n/a",Y99-INDEX(tab_MinKomp[Polityka rachunkowości / Buchführungspolitik],MATCH($B99,tab_MinKomp[[Stanowisko / Position ]:[Stanowisko / Position ]],0)))</f>
        <v>n/a</v>
      </c>
      <c r="Z100" s="341" t="str">
        <f>IF(INDEX(tab_MinKomp[Ustawa o rachunkowości / Rechnungslegungsgesetz],MATCH($B99,tab_MinKomp[[Stanowisko / Position ]:[Stanowisko / Position ]],0))="n/a","n/a",Z99-INDEX(tab_MinKomp[Ustawa o rachunkowości / Rechnungslegungsgesetz],MATCH($B99,tab_MinKomp[[Stanowisko / Position ]:[Stanowisko / Position ]],0)))</f>
        <v>n/a</v>
      </c>
      <c r="AA100" s="341" t="str">
        <f>IF(INDEX(tab_MinKomp[WORKFLOW - TS-100],MATCH($B99,tab_MinKomp[[Stanowisko / Position ]:[Stanowisko / Position ]],0))="n/a","n/a",AA99-INDEX(tab_MinKomp[WORKFLOW - TS-100],MATCH($B99,tab_MinKomp[[Stanowisko / Position ]:[Stanowisko / Position ]],0)))</f>
        <v>n/a</v>
      </c>
      <c r="AB100" s="341" t="str">
        <f>IF(INDEX(tab_MinKomp[WORKFLOW - SFMS],MATCH($B99,tab_MinKomp[[Stanowisko / Position ]:[Stanowisko / Position ]],0))="n/a","n/a",AB99-INDEX(tab_MinKomp[WORKFLOW - SFMS],MATCH($B99,tab_MinKomp[[Stanowisko / Position ]:[Stanowisko / Position ]],0)))</f>
        <v>n/a</v>
      </c>
      <c r="AC100" s="341">
        <f>IF(INDEX(tab_MinKomp[System ISO 9001:2015],MATCH($B99,tab_MinKomp[[Stanowisko / Position ]:[Stanowisko / Position ]],0))="n/a","n/a",AC99-INDEX(tab_MinKomp[System ISO 9001:2015],MATCH($B99,tab_MinKomp[[Stanowisko / Position ]:[Stanowisko / Position ]],0)))</f>
        <v>0</v>
      </c>
      <c r="AD100" s="341">
        <f>IF(INDEX(tab_MinKomp[System IATF 16949:2016],MATCH($B99,tab_MinKomp[[Stanowisko / Position ]:[Stanowisko / Position ]],0))="n/a","n/a",AD99-INDEX(tab_MinKomp[System IATF 16949:2016],MATCH($B99,tab_MinKomp[[Stanowisko / Position ]:[Stanowisko / Position ]],0)))</f>
        <v>0</v>
      </c>
      <c r="AE100" s="341" t="str">
        <f>IF(INDEX(tab_MinKomp[System ISO 14001:2015],MATCH($B99,tab_MinKomp[[Stanowisko / Position ]:[Stanowisko / Position ]],0))="n/a","n/a",AE99-INDEX(tab_MinKomp[System ISO 14001:2015],MATCH($B99,tab_MinKomp[[Stanowisko / Position ]:[Stanowisko / Position ]],0)))</f>
        <v>n/a</v>
      </c>
      <c r="AF100" s="341" t="str">
        <f>IF(INDEX(tab_MinKomp[System PN-N 18001:2004 / ISO 45001:2018],MATCH($B99,tab_MinKomp[[Stanowisko / Position ]:[Stanowisko / Position ]],0))="n/a","n/a",AF99-INDEX(tab_MinKomp[System PN-N 18001:2004 / ISO 45001:2018],MATCH($B99,tab_MinKomp[[Stanowisko / Position ]:[Stanowisko / Position ]],0)))</f>
        <v>n/a</v>
      </c>
      <c r="AG100" s="341" t="str">
        <f>IF(INDEX(tab_MinKomp[Wymagania VDA 6.3 Process / Forderungen],MATCH($B99,tab_MinKomp[[Stanowisko / Position ]:[Stanowisko / Position ]],0))="n/a","n/a",AG99-INDEX(tab_MinKomp[Wymagania VDA 6.3 Process / Forderungen],MATCH($B99,tab_MinKomp[[Stanowisko / Position ]:[Stanowisko / Position ]],0)))</f>
        <v>n/a</v>
      </c>
      <c r="AH100" s="341" t="str">
        <f>IF(INDEX(tab_MinKomp[Wymagania VDA 6.5 Product / Forderungen],MATCH($B99,tab_MinKomp[[Stanowisko / Position ]:[Stanowisko / Position ]],0))="n/a","n/a",AH99-INDEX(tab_MinKomp[Wymagania VDA 6.5 Product / Forderungen],MATCH($B99,tab_MinKomp[[Stanowisko / Position ]:[Stanowisko / Position ]],0)))</f>
        <v>n/a</v>
      </c>
      <c r="AI100" s="341" t="str">
        <f>IF(INDEX(tab_MinKomp[PSCR (VW Product Safety &amp; Conformity Representative)],MATCH($B99,tab_MinKomp[[Stanowisko / Position ]:[Stanowisko / Position ]],0))="n/a","n/a",AI99-INDEX(tab_MinKomp[PSCR (VW Product Safety &amp; Conformity Representative)],MATCH($B99,tab_MinKomp[[Stanowisko / Position ]:[Stanowisko / Position ]],0)))</f>
        <v>n/a</v>
      </c>
      <c r="AJ100" s="341" t="str">
        <f>IF(INDEX(tab_MinKomp[Auditor systemu ISO 17025:2018],MATCH($B99,tab_MinKomp[[Stanowisko / Position ]:[Stanowisko / Position ]],0))="n/a","n/a",AJ99-INDEX(tab_MinKomp[Auditor systemu ISO 17025:2018],MATCH($B99,tab_MinKomp[[Stanowisko / Position ]:[Stanowisko / Position ]],0)))</f>
        <v>n/a</v>
      </c>
      <c r="AK100" s="341" t="str">
        <f>IF(INDEX(tab_MinKomp[Pełnomocnik systemu / Systemvertreter],MATCH($B99,tab_MinKomp[[Stanowisko / Position ]:[Stanowisko / Position ]],0))="n/a","n/a",AK99-INDEX(tab_MinKomp[Pełnomocnik systemu / Systemvertreter],MATCH($B99,tab_MinKomp[[Stanowisko / Position ]:[Stanowisko / Position ]],0)))</f>
        <v>n/a</v>
      </c>
      <c r="AL100" s="341">
        <f>IF(INDEX(tab_MinKomp[Polityka Etyczna - Compliance],MATCH($B99,tab_MinKomp[[Stanowisko / Position ]:[Stanowisko / Position ]],0))="n/a","n/a",AL99-INDEX(tab_MinKomp[Polityka Etyczna - Compliance],MATCH($B99,tab_MinKomp[[Stanowisko / Position ]:[Stanowisko / Position ]],0)))</f>
        <v>0</v>
      </c>
      <c r="AM100" s="341">
        <f>IF(INDEX(tab_MinKomp[WDRAŻANIE NOWYCH PROJEKTÓW/ PROCEDURA CTM],MATCH($B99,tab_MinKomp[[Stanowisko / Position ]:[Stanowisko / Position ]],0))="n/a","n/a",AM99-INDEX(tab_MinKomp[WDRAŻANIE NOWYCH PROJEKTÓW/ PROCEDURA CTM],MATCH($B99,tab_MinKomp[[Stanowisko / Position ]:[Stanowisko / Position ]],0)))</f>
        <v>0</v>
      </c>
      <c r="AN100" s="341" t="str">
        <f>IF(INDEX(tab_MinKomp[KAMIENIE MILOWE MSL/PIFF],MATCH($B99,tab_MinKomp[[Stanowisko / Position ]:[Stanowisko / Position ]],0))="n/a","n/a",AN99-INDEX(tab_MinKomp[KAMIENIE MILOWE MSL/PIFF],MATCH($B99,tab_MinKomp[[Stanowisko / Position ]:[Stanowisko / Position ]],0)))</f>
        <v>n/a</v>
      </c>
      <c r="AO100" s="341">
        <f>IF(INDEX(tab_MinKomp[CP],MATCH($B99,tab_MinKomp[[Stanowisko / Position ]:[Stanowisko / Position ]],0))="n/a","n/a",AO99-INDEX(tab_MinKomp[CP],MATCH($B99,tab_MinKomp[[Stanowisko / Position ]:[Stanowisko / Position ]],0)))</f>
        <v>0</v>
      </c>
      <c r="AP100" s="341">
        <f>IF(INDEX(tab_MinKomp[FMEA],MATCH($B99,tab_MinKomp[[Stanowisko / Position ]:[Stanowisko / Position ]],0))="n/a","n/a",AP99-INDEX(tab_MinKomp[FMEA],MATCH($B99,tab_MinKomp[[Stanowisko / Position ]:[Stanowisko / Position ]],0)))</f>
        <v>0</v>
      </c>
      <c r="AQ100" s="341">
        <f>IF(INDEX(tab_MinKomp[FLOW CHART],MATCH($B99,tab_MinKomp[[Stanowisko / Position ]:[Stanowisko / Position ]],0))="n/a","n/a",AQ99-INDEX(tab_MinKomp[FLOW CHART],MATCH($B99,tab_MinKomp[[Stanowisko / Position ]:[Stanowisko / Position ]],0)))</f>
        <v>0</v>
      </c>
      <c r="AR100" s="341">
        <f>IF(INDEX(tab_MinKomp[APQP],MATCH($B99,tab_MinKomp[[Stanowisko / Position ]:[Stanowisko / Position ]],0))="n/a","n/a",AR99-INDEX(tab_MinKomp[APQP],MATCH($B99,tab_MinKomp[[Stanowisko / Position ]:[Stanowisko / Position ]],0)))</f>
        <v>0</v>
      </c>
      <c r="AS100" s="341">
        <f>IF(INDEX(tab_MinKomp[MSA],MATCH($B99,tab_MinKomp[[Stanowisko / Position ]:[Stanowisko / Position ]],0))="n/a","n/a",AS99-INDEX(tab_MinKomp[MSA],MATCH($B99,tab_MinKomp[[Stanowisko / Position ]:[Stanowisko / Position ]],0)))</f>
        <v>0</v>
      </c>
      <c r="AT100" s="341">
        <f>IF(INDEX(tab_MinKomp[SPC],MATCH($B99,tab_MinKomp[[Stanowisko / Position ]:[Stanowisko / Position ]],0))="n/a","n/a",AT99-INDEX(tab_MinKomp[SPC],MATCH($B99,tab_MinKomp[[Stanowisko / Position ]:[Stanowisko / Position ]],0)))</f>
        <v>0</v>
      </c>
      <c r="AU100" s="341">
        <f>IF(INDEX(tab_MinKomp[CSR (SPECYFICZNE WYMAGANIA KLIENTA)],MATCH($B99,tab_MinKomp[[Stanowisko / Position ]:[Stanowisko / Position ]],0))="n/a","n/a",AU99-INDEX(tab_MinKomp[CSR (SPECYFICZNE WYMAGANIA KLIENTA)],MATCH($B99,tab_MinKomp[[Stanowisko / Position ]:[Stanowisko / Position ]],0)))</f>
        <v>0</v>
      </c>
      <c r="AV100" s="341">
        <f>IF(INDEX(tab_MinKomp[5S],MATCH($B99,tab_MinKomp[[Stanowisko / Position ]:[Stanowisko / Position ]],0))="n/a","n/a",AV99-INDEX(tab_MinKomp[5S],MATCH($B99,tab_MinKomp[[Stanowisko / Position ]:[Stanowisko / Position ]],0)))</f>
        <v>0</v>
      </c>
      <c r="AW100" s="341">
        <f>IF(INDEX(tab_MinKomp[LEAN MANAGEMENT],MATCH($B99,tab_MinKomp[[Stanowisko / Position ]:[Stanowisko / Position ]],0))="n/a","n/a",AW99-INDEX(tab_MinKomp[LEAN MANAGEMENT],MATCH($B99,tab_MinKomp[[Stanowisko / Position ]:[Stanowisko / Position ]],0)))</f>
        <v>0</v>
      </c>
      <c r="AX100" s="341">
        <f>IF(INDEX(tab_MinKomp[5R],MATCH($B99,tab_MinKomp[[Stanowisko / Position ]:[Stanowisko / Position ]],0))="n/a","n/a",AX99-INDEX(tab_MinKomp[5R],MATCH($B99,tab_MinKomp[[Stanowisko / Position ]:[Stanowisko / Position ]],0)))</f>
        <v>0</v>
      </c>
      <c r="AY100" s="341" t="str">
        <f>IF(INDEX(tab_MinKomp[Six Sigma],MATCH($B99,tab_MinKomp[[Stanowisko / Position ]:[Stanowisko / Position ]],0))="n/a","n/a",AY99-INDEX(tab_MinKomp[Six Sigma],MATCH($B99,tab_MinKomp[[Stanowisko / Position ]:[Stanowisko / Position ]],0)))</f>
        <v>n/a</v>
      </c>
      <c r="AZ100" s="341">
        <f>IF(INDEX(tab_MinKomp[System BAAN / Distribution &amp; Supply Chain],MATCH($B99,tab_MinKomp[[Stanowisko / Position ]:[Stanowisko / Position ]],0))="n/a","n/a",AZ99-INDEX(tab_MinKomp[System BAAN / Distribution &amp; Supply Chain],MATCH($B99,tab_MinKomp[[Stanowisko / Position ]:[Stanowisko / Position ]],0)))</f>
        <v>0</v>
      </c>
      <c r="BA100" s="341" t="str">
        <f>IF(INDEX(tab_MinKomp[Gospodarka magazynowa / Lagerverwaltung],MATCH($B99,tab_MinKomp[[Stanowisko / Position ]:[Stanowisko / Position ]],0))="n/a","n/a",BA99-INDEX(tab_MinKomp[Gospodarka magazynowa / Lagerverwaltung],MATCH($B99,tab_MinKomp[[Stanowisko / Position ]:[Stanowisko / Position ]],0)))</f>
        <v>n/a</v>
      </c>
      <c r="BB100" s="341" t="str">
        <f>IF(INDEX(tab_MinKomp[Inwentaryzacja - organizacja i przebieg / Inventurprozess],MATCH($B99,tab_MinKomp[[Stanowisko / Position ]:[Stanowisko / Position ]],0))="n/a","n/a",BB99-INDEX(tab_MinKomp[Inwentaryzacja - organizacja i przebieg / Inventurprozess],MATCH($B99,tab_MinKomp[[Stanowisko / Position ]:[Stanowisko / Position ]],0)))</f>
        <v>n/a</v>
      </c>
      <c r="BC100" s="341" t="str">
        <f>IF(INDEX(tab_MinKomp[Organizacja dostaw / Versorgungsorganisation],MATCH($B99,tab_MinKomp[[Stanowisko / Position ]:[Stanowisko / Position ]],0))="n/a","n/a",BC99-INDEX(tab_MinKomp[Organizacja dostaw / Versorgungsorganisation],MATCH($B99,tab_MinKomp[[Stanowisko / Position ]:[Stanowisko / Position ]],0)))</f>
        <v>n/a</v>
      </c>
      <c r="BD100" s="341" t="str">
        <f>IF(INDEX(tab_MinKomp[Organizacja wysyłek / Organisation von Lieferungen],MATCH($B99,tab_MinKomp[[Stanowisko / Position ]:[Stanowisko / Position ]],0))="n/a","n/a",BD99-INDEX(tab_MinKomp[Organizacja wysyłek / Organisation von Lieferungen],MATCH($B99,tab_MinKomp[[Stanowisko / Position ]:[Stanowisko / Position ]],0)))</f>
        <v>n/a</v>
      </c>
      <c r="BE100" s="341" t="str">
        <f>IF(INDEX(tab_MinKomp[Analiza magazynowa - Program Polen.mdb / Inventuranalyse],MATCH($B99,tab_MinKomp[[Stanowisko / Position ]:[Stanowisko / Position ]],0))="n/a","n/a",BE99-INDEX(tab_MinKomp[Analiza magazynowa - Program Polen.mdb / Inventuranalyse],MATCH($B99,tab_MinKomp[[Stanowisko / Position ]:[Stanowisko / Position ]],0)))</f>
        <v>n/a</v>
      </c>
      <c r="BF100" s="341" t="str">
        <f>IF(INDEX(tab_MinKomp[MMOG (Materials Management Operations Guidelines)],MATCH($B99,tab_MinKomp[[Stanowisko / Position ]:[Stanowisko / Position ]],0))="n/a","n/a",BF99-INDEX(tab_MinKomp[MMOG (Materials Management Operations Guidelines)],MATCH($B99,tab_MinKomp[[Stanowisko / Position ]:[Stanowisko / Position ]],0)))</f>
        <v>n/a</v>
      </c>
      <c r="BG100" s="341" t="str">
        <f>IF(INDEX(tab_MinKomp[DETC],MATCH($B99,tab_MinKomp[[Stanowisko / Position ]:[Stanowisko / Position ]],0))="n/a","n/a",BG99-INDEX(tab_MinKomp[DETC],MATCH($B99,tab_MinKomp[[Stanowisko / Position ]:[Stanowisko / Position ]],0)))</f>
        <v>n/a</v>
      </c>
      <c r="BH100" s="341" t="str">
        <f>IF(INDEX(tab_MinKomp[GPP],MATCH($B99,tab_MinKomp[[Stanowisko / Position ]:[Stanowisko / Position ]],0))="n/a","n/a",BH99-INDEX(tab_MinKomp[GPP],MATCH($B99,tab_MinKomp[[Stanowisko / Position ]:[Stanowisko / Position ]],0)))</f>
        <v>n/a</v>
      </c>
      <c r="BI100" s="341" t="str">
        <f>IF(INDEX(tab_MinKomp[AIAG (Automotive Industry Action Group)],MATCH($B99,tab_MinKomp[[Stanowisko / Position ]:[Stanowisko / Position ]],0))="n/a","n/a",BI99-INDEX(tab_MinKomp[AIAG (Automotive Industry Action Group)],MATCH($B99,tab_MinKomp[[Stanowisko / Position ]:[Stanowisko / Position ]],0)))</f>
        <v>n/a</v>
      </c>
      <c r="BJ100" s="341" t="str">
        <f>IF(INDEX(tab_MinKomp[Super-G disputes],MATCH($B99,tab_MinKomp[[Stanowisko / Position ]:[Stanowisko / Position ]],0))="n/a","n/a",BJ99-INDEX(tab_MinKomp[Super-G disputes],MATCH($B99,tab_MinKomp[[Stanowisko / Position ]:[Stanowisko / Position ]],0)))</f>
        <v>n/a</v>
      </c>
      <c r="BK100" s="341" t="str">
        <f>IF(INDEX(tab_MinKomp[CMMS3/eDDL (Direct Data Link)],MATCH($B99,tab_MinKomp[[Stanowisko / Position ]:[Stanowisko / Position ]],0))="n/a","n/a",BK99-INDEX(tab_MinKomp[CMMS3/eDDL (Direct Data Link)],MATCH($B99,tab_MinKomp[[Stanowisko / Position ]:[Stanowisko / Position ]],0)))</f>
        <v>n/a</v>
      </c>
      <c r="BL100" s="341" t="str">
        <f>IF(INDEX(tab_MinKomp[MP&amp;L (Material Planning and Logistics)],MATCH($B99,tab_MinKomp[[Stanowisko / Position ]:[Stanowisko / Position ]],0))="n/a","n/a",BL99-INDEX(tab_MinKomp[MP&amp;L (Material Planning and Logistics)],MATCH($B99,tab_MinKomp[[Stanowisko / Position ]:[Stanowisko / Position ]],0)))</f>
        <v>n/a</v>
      </c>
      <c r="BM100" s="341" t="str">
        <f>IF(INDEX(tab_MinKomp[Supplier delivery rating],MATCH($B99,tab_MinKomp[[Stanowisko / Position ]:[Stanowisko / Position ]],0))="n/a","n/a",BM99-INDEX(tab_MinKomp[Supplier delivery rating],MATCH($B99,tab_MinKomp[[Stanowisko / Position ]:[Stanowisko / Position ]],0)))</f>
        <v>n/a</v>
      </c>
      <c r="BN100" s="341">
        <f>IF(INDEX(tab_MinKomp[Planowanie produkcji / Produktionsplanung],MATCH($B99,tab_MinKomp[[Stanowisko / Position ]:[Stanowisko / Position ]],0))="n/a","n/a",BN99-INDEX(tab_MinKomp[Planowanie produkcji / Produktionsplanung],MATCH($B99,tab_MinKomp[[Stanowisko / Position ]:[Stanowisko / Position ]],0)))</f>
        <v>0</v>
      </c>
      <c r="BO100" s="341">
        <f>IF(INDEX(tab_MinKomp[Obsługa maszyn Engel / Engel Maschinenbedienung],MATCH($B99,tab_MinKomp[[Stanowisko / Position ]:[Stanowisko / Position ]],0))="n/a","n/a",BO99-INDEX(tab_MinKomp[Obsługa maszyn Engel / Engel Maschinenbedienung],MATCH($B99,tab_MinKomp[[Stanowisko / Position ]:[Stanowisko / Position ]],0)))</f>
        <v>0</v>
      </c>
      <c r="BP100" s="341">
        <f>IF(INDEX(tab_MinKomp[Obsługa maszyn Novapax / Novapax Maschinenbedienung],MATCH($B99,tab_MinKomp[[Stanowisko / Position ]:[Stanowisko / Position ]],0))="n/a","n/a",BP99-INDEX(tab_MinKomp[Obsługa maszyn Novapax / Novapax Maschinenbedienung],MATCH($B99,tab_MinKomp[[Stanowisko / Position ]:[Stanowisko / Position ]],0)))</f>
        <v>0</v>
      </c>
      <c r="BQ100" s="341">
        <f>IF(INDEX(tab_MinKomp[Obsługa maszyn KVT / KVT Maschinenbedienung],MATCH($B99,tab_MinKomp[[Stanowisko / Position ]:[Stanowisko / Position ]],0))="n/a","n/a",BQ99-INDEX(tab_MinKomp[Obsługa maszyn KVT / KVT Maschinenbedienung],MATCH($B99,tab_MinKomp[[Stanowisko / Position ]:[Stanowisko / Position ]],0)))</f>
        <v>0</v>
      </c>
      <c r="BR100" s="341">
        <f>IF(INDEX(tab_MinKomp[Obsługa maszyn ASL / ASL Maschinenbedienung],MATCH($B99,tab_MinKomp[[Stanowisko / Position ]:[Stanowisko / Position ]],0))="n/a","n/a",BR99-INDEX(tab_MinKomp[Obsługa maszyn ASL / ASL Maschinenbedienung],MATCH($B99,tab_MinKomp[[Stanowisko / Position ]:[Stanowisko / Position ]],0)))</f>
        <v>0</v>
      </c>
      <c r="BS100" s="341">
        <f>IF(INDEX(tab_MinKomp[Obsługa maszyn Branson / Branson Maschinenbedienung],MATCH($B99,tab_MinKomp[[Stanowisko / Position ]:[Stanowisko / Position ]],0))="n/a","n/a",BS99-INDEX(tab_MinKomp[Obsługa maszyn Branson / Branson Maschinenbedienung],MATCH($B99,tab_MinKomp[[Stanowisko / Position ]:[Stanowisko / Position ]],0)))</f>
        <v>0</v>
      </c>
      <c r="BT100" s="341">
        <f>IF(INDEX(tab_MinKomp[Obsługa maszyn Kamtec / Kamtec Maschinenbedienung],MATCH($B99,tab_MinKomp[[Stanowisko / Position ]:[Stanowisko / Position ]],0))="n/a","n/a",BT99-INDEX(tab_MinKomp[Obsługa maszyn Kamtec / Kamtec Maschinenbedienung],MATCH($B99,tab_MinKomp[[Stanowisko / Position ]:[Stanowisko / Position ]],0)))</f>
        <v>0</v>
      </c>
      <c r="BU100" s="341">
        <f>IF(INDEX(tab_MinKomp[Obsługa maszyn Piovan / Piovan Maschinenbedienung],MATCH($B99,tab_MinKomp[[Stanowisko / Position ]:[Stanowisko / Position ]],0))="n/a","n/a",BU99-INDEX(tab_MinKomp[Obsługa maszyn Piovan / Piovan Maschinenbedienung],MATCH($B99,tab_MinKomp[[Stanowisko / Position ]:[Stanowisko / Position ]],0)))</f>
        <v>0</v>
      </c>
      <c r="BV100" s="341">
        <f>IF(INDEX(tab_MinKomp[Obsługa maszyn REP / REP Maschinenbedienung],MATCH($B99,tab_MinKomp[[Stanowisko / Position ]:[Stanowisko / Position ]],0))="n/a","n/a",BV99-INDEX(tab_MinKomp[Obsługa maszyn REP / REP Maschinenbedienung],MATCH($B99,tab_MinKomp[[Stanowisko / Position ]:[Stanowisko / Position ]],0)))</f>
        <v>0</v>
      </c>
      <c r="BW100" s="341">
        <f>IF(INDEX(tab_MinKomp[Eliminacja awarii / Beseitigung von Ausfällen],MATCH($B99,tab_MinKomp[[Stanowisko / Position ]:[Stanowisko / Position ]],0))="n/a","n/a",BW99-INDEX(tab_MinKomp[Eliminacja awarii / Beseitigung von Ausfällen],MATCH($B99,tab_MinKomp[[Stanowisko / Position ]:[Stanowisko / Position ]],0)))</f>
        <v>0</v>
      </c>
      <c r="BX100" s="341" t="str">
        <f>IF(INDEX(tab_MinKomp[System Einkauf XP / EBA],MATCH($B99,tab_MinKomp[[Stanowisko / Position ]:[Stanowisko / Position ]],0))="n/a","n/a",BX99-INDEX(tab_MinKomp[System Einkauf XP / EBA],MATCH($B99,tab_MinKomp[[Stanowisko / Position ]:[Stanowisko / Position ]],0)))</f>
        <v>n/a</v>
      </c>
      <c r="BY100" s="341" t="str">
        <f>IF(INDEX(tab_MinKomp[Sieci komputerowe / Computernetzwerke],MATCH($B99,tab_MinKomp[[Stanowisko / Position ]:[Stanowisko / Position ]],0))="n/a","n/a",BY99-INDEX(tab_MinKomp[Sieci komputerowe / Computernetzwerke],MATCH($B99,tab_MinKomp[[Stanowisko / Position ]:[Stanowisko / Position ]],0)))</f>
        <v>n/a</v>
      </c>
      <c r="BZ100" s="341" t="str">
        <f>IF(INDEX(tab_MinKomp[System Einkauf XP / EBA],MATCH($B99,tab_MinKomp[[Stanowisko / Position ]:[Stanowisko / Position ]],0))="n/a","n/a",BZ99-INDEX(tab_MinKomp[System Einkauf XP / EBA],MATCH($B99,tab_MinKomp[[Stanowisko / Position ]:[Stanowisko / Position ]],0)))</f>
        <v>n/a</v>
      </c>
      <c r="CA100" s="341" t="str">
        <f>IF(INDEX(tab_MinKomp[Software &amp; Systems (MS Office, MS Remote Desktop)],MATCH($B99,tab_MinKomp[[Stanowisko / Position ]:[Stanowisko / Position ]],0))="n/a","n/a",CA99-INDEX(tab_MinKomp[Software &amp; Systems (MS Office, MS Remote Desktop)],MATCH($B99,tab_MinKomp[[Stanowisko / Position ]:[Stanowisko / Position ]],0)))</f>
        <v>n/a</v>
      </c>
      <c r="CB100" s="341" t="str">
        <f>IF(INDEX(tab_MinKomp[Programowanie obiektowe (PHP) / Objektprogrammierung],MATCH($B99,tab_MinKomp[[Stanowisko / Position ]:[Stanowisko / Position ]],0))="n/a","n/a",CB99-INDEX(tab_MinKomp[Programowanie obiektowe (PHP) / Objektprogrammierung],MATCH($B99,tab_MinKomp[[Stanowisko / Position ]:[Stanowisko / Position ]],0)))</f>
        <v>n/a</v>
      </c>
      <c r="CC100" s="341" t="str">
        <f>IF(INDEX(tab_MinKomp[Scrum],MATCH($B99,tab_MinKomp[[Stanowisko / Position ]:[Stanowisko / Position ]],0))="n/a","n/a",CC99-INDEX(tab_MinKomp[Scrum],MATCH($B99,tab_MinKomp[[Stanowisko / Position ]:[Stanowisko / Position ]],0)))</f>
        <v>n/a</v>
      </c>
      <c r="CD100" s="341" t="str">
        <f>IF(INDEX(tab_MinKomp[SQL (MySQL)],MATCH($B99,tab_MinKomp[[Stanowisko / Position ]:[Stanowisko / Position ]],0))="n/a","n/a",CD99-INDEX(tab_MinKomp[SQL (MySQL)],MATCH($B99,tab_MinKomp[[Stanowisko / Position ]:[Stanowisko / Position ]],0)))</f>
        <v>n/a</v>
      </c>
      <c r="CE100" s="341" t="str">
        <f>IF(INDEX(tab_MinKomp[Javascript],MATCH($B99,tab_MinKomp[[Stanowisko / Position ]:[Stanowisko / Position ]],0))="n/a","n/a",CE99-INDEX(tab_MinKomp[Javascript],MATCH($B99,tab_MinKomp[[Stanowisko / Position ]:[Stanowisko / Position ]],0)))</f>
        <v>n/a</v>
      </c>
      <c r="CF100" s="341" t="str">
        <f>IF(INDEX(tab_MinKomp[Joomla],MATCH($B99,tab_MinKomp[[Stanowisko / Position ]:[Stanowisko / Position ]],0))="n/a","n/a",CF99-INDEX(tab_MinKomp[Joomla],MATCH($B99,tab_MinKomp[[Stanowisko / Position ]:[Stanowisko / Position ]],0)))</f>
        <v>n/a</v>
      </c>
      <c r="CG100" s="341" t="str">
        <f>IF(INDEX(tab_MinKomp[Bash],MATCH($B99,tab_MinKomp[[Stanowisko / Position ]:[Stanowisko / Position ]],0))="n/a","n/a",CG99-INDEX(tab_MinKomp[Bash],MATCH($B99,tab_MinKomp[[Stanowisko / Position ]:[Stanowisko / Position ]],0)))</f>
        <v>n/a</v>
      </c>
      <c r="CH100" s="341" t="str">
        <f>IF(INDEX(tab_MinKomp[Systemy MES (HYDRA / SFMS)],MATCH($B99,tab_MinKomp[[Stanowisko / Position ]:[Stanowisko / Position ]],0))="n/a","n/a",CH99-INDEX(tab_MinKomp[Systemy MES (HYDRA / SFMS)],MATCH($B99,tab_MinKomp[[Stanowisko / Position ]:[Stanowisko / Position ]],0)))</f>
        <v>n/a</v>
      </c>
      <c r="CI100" s="341" t="str">
        <f>IF(INDEX(tab_MinKomp[HTML / CSS],MATCH($B99,tab_MinKomp[[Stanowisko / Position ]:[Stanowisko / Position ]],0))="n/a","n/a",CI99-INDEX(tab_MinKomp[HTML / CSS],MATCH($B99,tab_MinKomp[[Stanowisko / Position ]:[Stanowisko / Position ]],0)))</f>
        <v>n/a</v>
      </c>
      <c r="CJ100" s="341" t="str">
        <f>IF(INDEX(tab_MinKomp[System Einkauf XP / EBA],MATCH($B99,tab_MinKomp[[Stanowisko / Position ]:[Stanowisko / Position ]],0))="n/a","n/a",CJ99-INDEX(tab_MinKomp[System Einkauf XP / EBA],MATCH($B99,tab_MinKomp[[Stanowisko / Position ]:[Stanowisko / Position ]],0)))</f>
        <v>n/a</v>
      </c>
      <c r="CK100" s="341" t="str">
        <f>IF(INDEX(tab_MinKomp[System Einkauf XP / EBA],MATCH($B99,tab_MinKomp[[Stanowisko / Position ]:[Stanowisko / Position ]],0))="n/a","n/a",CK99-INDEX(tab_MinKomp[System Einkauf XP / EBA],MATCH($B99,tab_MinKomp[[Stanowisko / Position ]:[Stanowisko / Position ]],0)))</f>
        <v>n/a</v>
      </c>
      <c r="CL100" s="341" t="str">
        <f>IF(INDEX(tab_MinKomp[Techniki negocjacyjne / Verhandlungstechniken],MATCH($B99,tab_MinKomp[[Stanowisko / Position ]:[Stanowisko / Position ]],0))="n/a","n/a",CL99-INDEX(tab_MinKomp[Techniki negocjacyjne / Verhandlungstechniken],MATCH($B99,tab_MinKomp[[Stanowisko / Position ]:[Stanowisko / Position ]],0)))</f>
        <v>n/a</v>
      </c>
      <c r="CM100" s="341" t="str">
        <f>IF(INDEX(tab_MinKomp[Znajomość rynku branżowego / Kenntnis des Industrie Marktes],MATCH($B99,tab_MinKomp[[Stanowisko / Position ]:[Stanowisko / Position ]],0))="n/a","n/a",CM99-INDEX(tab_MinKomp[Znajomość rynku branżowego / Kenntnis des Industrie Marktes],MATCH($B99,tab_MinKomp[[Stanowisko / Position ]:[Stanowisko / Position ]],0)))</f>
        <v>n/a</v>
      </c>
      <c r="CN100" s="341">
        <f>IF(INDEX(tab_MinKomp[RAPORTY 8D / 8D Berichten],MATCH($B99,tab_MinKomp[[Stanowisko / Position ]:[Stanowisko / Position ]],0))="n/a","n/a",CN99-INDEX(tab_MinKomp[RAPORTY 8D / 8D Berichten],MATCH($B99,tab_MinKomp[[Stanowisko / Position ]:[Stanowisko / Position ]],0)))</f>
        <v>0</v>
      </c>
      <c r="CO100" s="341">
        <f>IF(INDEX(tab_MinKomp[NARZĘDZIA JAKOŚCIOWE (5WHY, Ishikawa, etc) / QS-Werkzeuge],MATCH($B99,tab_MinKomp[[Stanowisko / Position ]:[Stanowisko / Position ]],0))="n/a","n/a",CO99-INDEX(tab_MinKomp[NARZĘDZIA JAKOŚCIOWE (5WHY, Ishikawa, etc) / QS-Werkzeuge],MATCH($B99,tab_MinKomp[[Stanowisko / Position ]:[Stanowisko / Position ]],0)))</f>
        <v>0</v>
      </c>
      <c r="CP100" s="341">
        <f>IF(INDEX(tab_MinKomp[PDCA],MATCH($B99,tab_MinKomp[[Stanowisko / Position ]:[Stanowisko / Position ]],0))="n/a","n/a",CP99-INDEX(tab_MinKomp[PDCA],MATCH($B99,tab_MinKomp[[Stanowisko / Position ]:[Stanowisko / Position ]],0)))</f>
        <v>1</v>
      </c>
      <c r="CQ100" s="341" t="str">
        <f>IF(INDEX(tab_MinKomp[Rekwalifikacja / Requalifizierung],MATCH($B99,tab_MinKomp[[Stanowisko / Position ]:[Stanowisko / Position ]],0))="n/a","n/a",CQ99-INDEX(tab_MinKomp[Rekwalifikacja / Requalifizierung],MATCH($B99,tab_MinKomp[[Stanowisko / Position ]:[Stanowisko / Position ]],0)))</f>
        <v>n/a</v>
      </c>
      <c r="CR100" s="341" t="str">
        <f>IF(INDEX(tab_MinKomp[PPAP/PSW],MATCH($B99,tab_MinKomp[[Stanowisko / Position ]:[Stanowisko / Position ]],0))="n/a","n/a",CR99-INDEX(tab_MinKomp[PPAP/PSW],MATCH($B99,tab_MinKomp[[Stanowisko / Position ]:[Stanowisko / Position ]],0)))</f>
        <v>n/a</v>
      </c>
      <c r="CS100" s="341" t="str">
        <f>IF(INDEX(tab_MinKomp[SUPPLIER MANAGEMENT],MATCH($B99,tab_MinKomp[[Stanowisko / Position ]:[Stanowisko / Position ]],0))="n/a","n/a",CS99-INDEX(tab_MinKomp[SUPPLIER MANAGEMENT],MATCH($B99,tab_MinKomp[[Stanowisko / Position ]:[Stanowisko / Position ]],0)))</f>
        <v>n/a</v>
      </c>
      <c r="CT100" s="341" t="str">
        <f>IF(INDEX(tab_MinKomp[OBSŁUGA PORTALI KLIENTA / Kundenportale],MATCH($B99,tab_MinKomp[[Stanowisko / Position ]:[Stanowisko / Position ]],0))="n/a","n/a",CT99-INDEX(tab_MinKomp[OBSŁUGA PORTALI KLIENTA / Kundenportale],MATCH($B99,tab_MinKomp[[Stanowisko / Position ]:[Stanowisko / Position ]],0)))</f>
        <v>n/a</v>
      </c>
      <c r="CU100" s="341" t="str">
        <f>IF(INDEX(tab_MinKomp[Obsługa systemu BABTECQ / BABTECQ System],MATCH($B99,tab_MinKomp[[Stanowisko / Position ]:[Stanowisko / Position ]],0))="n/a","n/a",CU99-INDEX(tab_MinKomp[Obsługa systemu BABTECQ / BABTECQ System],MATCH($B99,tab_MinKomp[[Stanowisko / Position ]:[Stanowisko / Position ]],0)))</f>
        <v>n/a</v>
      </c>
      <c r="CV100" s="341">
        <f>IF(INDEX(tab_MinKomp[Rysunek techniczny / technische Zeichnung],MATCH($B99,tab_MinKomp[[Stanowisko / Position ]:[Stanowisko / Position ]],0))="n/a","n/a",CV99-INDEX(tab_MinKomp[Rysunek techniczny / technische Zeichnung],MATCH($B99,tab_MinKomp[[Stanowisko / Position ]:[Stanowisko / Position ]],0)))</f>
        <v>0</v>
      </c>
      <c r="CW100" s="341" t="str">
        <f>IF(INDEX(tab_MinKomp[Rekwalifikacja / Requalifizierung],MATCH($B99,tab_MinKomp[[Stanowisko / Position ]:[Stanowisko / Position ]],0))="n/a","n/a",CW99-INDEX(tab_MinKomp[Rekwalifikacja / Requalifizierung],MATCH($B99,tab_MinKomp[[Stanowisko / Position ]:[Stanowisko / Position ]],0)))</f>
        <v>n/a</v>
      </c>
      <c r="CX100" s="341" t="str">
        <f>IF(INDEX(tab_MinKomp[Rekwalifikacja / Requalifizierung],MATCH($B99,tab_MinKomp[[Stanowisko / Position ]:[Stanowisko / Position ]],0))="n/a","n/a",CX99-INDEX(tab_MinKomp[Rekwalifikacja / Requalifizierung],MATCH($B99,tab_MinKomp[[Stanowisko / Position ]:[Stanowisko / Position ]],0)))</f>
        <v>n/a</v>
      </c>
      <c r="CY100" s="341" t="str">
        <f>IF(INDEX(tab_MinKomp[Obsługa mikroskopu optycznego / Bedienung eines optischen Mikroskops],MATCH($B99,tab_MinKomp[[Stanowisko / Position ]:[Stanowisko / Position ]],0))="n/a","n/a",CY99-INDEX(tab_MinKomp[Obsługa mikroskopu optycznego / Bedienung eines optischen Mikroskops],MATCH($B99,tab_MinKomp[[Stanowisko / Position ]:[Stanowisko / Position ]],0)))</f>
        <v>n/a</v>
      </c>
      <c r="CZ100" s="341" t="str">
        <f>IF(INDEX(tab_MinKomp[Wykonywanie pomiarów optycznych - ocena wizualna / Optische Messungen durchführen – visuelle Beurteilung],MATCH($B99,tab_MinKomp[[Stanowisko / Position ]:[Stanowisko / Position ]],0))="n/a","n/a",CZ99-INDEX(tab_MinKomp[Wykonywanie pomiarów optycznych - ocena wizualna / Optische Messungen durchführen – visuelle Beurteilung],MATCH($B99,tab_MinKomp[[Stanowisko / Position ]:[Stanowisko / Position ]],0)))</f>
        <v>n/a</v>
      </c>
      <c r="DA100" s="341" t="str">
        <f>IF(INDEX(tab_MinKomp[Obsługa Rheometra / Rheometra-Unterstützung],MATCH($B99,tab_MinKomp[[Stanowisko / Position ]:[Stanowisko / Position ]],0))="n/a","n/a",DA99-INDEX(tab_MinKomp[Obsługa Rheometra / Rheometra-Unterstützung],MATCH($B99,tab_MinKomp[[Stanowisko / Position ]:[Stanowisko / Position ]],0)))</f>
        <v>n/a</v>
      </c>
      <c r="DB100" s="341" t="str">
        <f>IF(INDEX(tab_MinKomp[Testy właściwości Rheometra mieszanki gumy],MATCH($B99,tab_MinKomp[[Stanowisko / Position ]:[Stanowisko / Position ]],0))="n/a","n/a",DB99-INDEX(tab_MinKomp[Testy właściwości Rheometra mieszanki gumy],MATCH($B99,tab_MinKomp[[Stanowisko / Position ]:[Stanowisko / Position ]],0)))</f>
        <v>n/a</v>
      </c>
      <c r="DC100" s="341" t="str">
        <f>IF(INDEX(tab_MinKomp[CMM - Contura Zeiss],MATCH($B99,tab_MinKomp[[Stanowisko / Position ]:[Stanowisko / Position ]],0))="n/a","n/a",DC99-INDEX(tab_MinKomp[CMM - Contura Zeiss],MATCH($B99,tab_MinKomp[[Stanowisko / Position ]:[Stanowisko / Position ]],0)))</f>
        <v>n/a</v>
      </c>
      <c r="DD100" s="341" t="str">
        <f>IF(INDEX(tab_MinKomp[Wykonywanie precyzyjnych pomiarów metrycznych, pomiary 3D],MATCH($B99,tab_MinKomp[[Stanowisko / Position ]:[Stanowisko / Position ]],0))="n/a","n/a",DD99-INDEX(tab_MinKomp[Wykonywanie precyzyjnych pomiarów metrycznych, pomiary 3D],MATCH($B99,tab_MinKomp[[Stanowisko / Position ]:[Stanowisko / Position ]],0)))</f>
        <v>n/a</v>
      </c>
      <c r="DE100" s="341" t="str">
        <f>IF(INDEX(tab_MinKomp[Pisanie programów / Programme schreiben],MATCH($B99,tab_MinKomp[[Stanowisko / Position ]:[Stanowisko / Position ]],0))="n/a","n/a",DE99-INDEX(tab_MinKomp[Pisanie programów / Programme schreiben],MATCH($B99,tab_MinKomp[[Stanowisko / Position ]:[Stanowisko / Position ]],0)))</f>
        <v>n/a</v>
      </c>
      <c r="DF100" s="341" t="str">
        <f>IF(INDEX(tab_MinKomp[Obsługa wyposażenia do testów czystości (myjka + analizator) / Betrieb von Sauberkeitsprüfgeräten (Waschmaschine + Analysegerät)],MATCH($B99,tab_MinKomp[[Stanowisko / Position ]:[Stanowisko / Position ]],0))="n/a","n/a",DF99-INDEX(tab_MinKomp[Obsługa wyposażenia do testów czystości (myjka + analizator) / Betrieb von Sauberkeitsprüfgeräten (Waschmaschine + Analysegerät)],MATCH($B99,tab_MinKomp[[Stanowisko / Position ]:[Stanowisko / Position ]],0)))</f>
        <v>n/a</v>
      </c>
      <c r="DG100" s="341" t="str">
        <f>IF(INDEX(tab_MinKomp[Testy czystości / Reinheitstests],MATCH($B99,tab_MinKomp[[Stanowisko / Position ]:[Stanowisko / Position ]],0))="n/a","n/a",DG99-INDEX(tab_MinKomp[Testy czystości / Reinheitstests],MATCH($B99,tab_MinKomp[[Stanowisko / Position ]:[Stanowisko / Position ]],0)))</f>
        <v>n/a</v>
      </c>
      <c r="DH100" s="341" t="str">
        <f>IF(INDEX(tab_MinKomp[Obsługa wysokościomierza / Unterstützung für Höhenmesser],MATCH($B99,tab_MinKomp[[Stanowisko / Position ]:[Stanowisko / Position ]],0))="n/a","n/a",DH99-INDEX(tab_MinKomp[Obsługa wysokościomierza / Unterstützung für Höhenmesser],MATCH($B99,tab_MinKomp[[Stanowisko / Position ]:[Stanowisko / Position ]],0)))</f>
        <v>n/a</v>
      </c>
      <c r="DI100" s="341" t="str">
        <f>IF(INDEX(tab_MinKomp[Pomiary wysokości materiału / Materialhöhenmessungen],MATCH($B99,tab_MinKomp[[Stanowisko / Position ]:[Stanowisko / Position ]],0))="n/a","n/a",DI99-INDEX(tab_MinKomp[Pomiary wysokości materiału / Materialhöhenmessungen],MATCH($B99,tab_MinKomp[[Stanowisko / Position ]:[Stanowisko / Position ]],0)))</f>
        <v>n/a</v>
      </c>
      <c r="DJ100" s="341" t="str">
        <f>IF(INDEX(tab_MinKomp[Obsługa okrągłościomierza / Unterstützung für Rundheitsmessgeräte],MATCH($B99,tab_MinKomp[[Stanowisko / Position ]:[Stanowisko / Position ]],0))="n/a","n/a",DJ99-INDEX(tab_MinKomp[Obsługa okrągłościomierza / Unterstützung für Rundheitsmessgeräte],MATCH($B99,tab_MinKomp[[Stanowisko / Position ]:[Stanowisko / Position ]],0)))</f>
        <v>n/a</v>
      </c>
      <c r="DK100" s="341" t="str">
        <f>IF(INDEX(tab_MinKomp[Wykonywania pomiarów owalności, srednicy materiału / Messung der Ovalität und des Durchmessers des Materials],MATCH($B99,tab_MinKomp[[Stanowisko / Position ]:[Stanowisko / Position ]],0))="n/a","n/a",DK99-INDEX(tab_MinKomp[Wykonywania pomiarów owalności, srednicy materiału / Messung der Ovalität und des Durchmessers des Materials],MATCH($B99,tab_MinKomp[[Stanowisko / Position ]:[Stanowisko / Position ]],0)))</f>
        <v>n/a</v>
      </c>
      <c r="DL100" s="341" t="str">
        <f>IF(INDEX(tab_MinKomp[Obsługa urządzenia do pomiarów chropowoatości powierzchni materiału],MATCH($B99,tab_MinKomp[[Stanowisko / Position ]:[Stanowisko / Position ]],0))="n/a","n/a",DL99-INDEX(tab_MinKomp[Obsługa urządzenia do pomiarów chropowoatości powierzchni materiału],MATCH($B99,tab_MinKomp[[Stanowisko / Position ]:[Stanowisko / Position ]],0)))</f>
        <v>n/a</v>
      </c>
      <c r="DM100" s="341" t="str">
        <f>IF(INDEX(tab_MinKomp[Wykonywanie pomiarów chropowatości powierzchni materiału / Durchführung von Messungen der Materialoberflächenrauheit],MATCH($B99,tab_MinKomp[[Stanowisko / Position ]:[Stanowisko / Position ]],0))="n/a","n/a",DM99-INDEX(tab_MinKomp[Wykonywanie pomiarów chropowatości powierzchni materiału / Durchführung von Messungen der Materialoberflächenrauheit],MATCH($B99,tab_MinKomp[[Stanowisko / Position ]:[Stanowisko / Position ]],0)))</f>
        <v>n/a</v>
      </c>
      <c r="DN100" s="341" t="str">
        <f>IF(INDEX(tab_MinKomp[Obsługa urządzenia do pomiaru siły radialnej części - postępowanie z trzpieniami. / Funktionsweise des Geräts zur Messung der Radialkraft von Teilen – Handhabungsstifte.],MATCH($B99,tab_MinKomp[[Stanowisko / Position ]:[Stanowisko / Position ]],0))="n/a","n/a",DN99-INDEX(tab_MinKomp[Obsługa urządzenia do pomiaru siły radialnej części - postępowanie z trzpieniami. / Funktionsweise des Geräts zur Messung der Radialkraft von Teilen – Handhabungsstifte.],MATCH($B99,tab_MinKomp[[Stanowisko / Position ]:[Stanowisko / Position ]],0)))</f>
        <v>n/a</v>
      </c>
      <c r="DO100" s="341" t="str">
        <f>IF(INDEX(tab_MinKomp[Wykonywanie pomiarów siły radialnej części / Führen Sie Radialkraftmessungen an Teilen durch],MATCH($B99,tab_MinKomp[[Stanowisko / Position ]:[Stanowisko / Position ]],0))="n/a","n/a",DO99-INDEX(tab_MinKomp[Wykonywanie pomiarów siły radialnej części / Führen Sie Radialkraftmessungen an Teilen durch],MATCH($B99,tab_MinKomp[[Stanowisko / Position ]:[Stanowisko / Position ]],0)))</f>
        <v>n/a</v>
      </c>
      <c r="DP100" s="341" t="str">
        <f>IF(INDEX(tab_MinKomp[Obsługa komory do testów wybuchwych / Betrieb einer Explosionsprüfkammer],MATCH($B99,tab_MinKomp[[Stanowisko / Position ]:[Stanowisko / Position ]],0))="n/a","n/a",DP99-INDEX(tab_MinKomp[Obsługa komory do testów wybuchwych / Betrieb einer Explosionsprüfkammer],MATCH($B99,tab_MinKomp[[Stanowisko / Position ]:[Stanowisko / Position ]],0)))</f>
        <v>n/a</v>
      </c>
      <c r="DQ100" s="341" t="str">
        <f>IF(INDEX(tab_MinKomp[Wykonywanie testów wybuchowych części / Durchführung von Explosionstests an Teilen],MATCH($B99,tab_MinKomp[[Stanowisko / Position ]:[Stanowisko / Position ]],0))="n/a","n/a",DQ99-INDEX(tab_MinKomp[Wykonywanie testów wybuchowych części / Durchführung von Explosionstests an Teilen],MATCH($B99,tab_MinKomp[[Stanowisko / Position ]:[Stanowisko / Position ]],0)))</f>
        <v>n/a</v>
      </c>
      <c r="DR100" s="341" t="str">
        <f>IF(INDEX(tab_MinKomp[Obsługa urządzeń do mierzenia siły trzymania i/lub rozciągania / Betrieb von Geräten zur Messung der Halte- und/oder Dehnkraft],MATCH($B99,tab_MinKomp[[Stanowisko / Position ]:[Stanowisko / Position ]],0))="n/a","n/a",DR99-INDEX(tab_MinKomp[Obsługa urządzeń do mierzenia siły trzymania i/lub rozciągania / Betrieb von Geräten zur Messung der Halte- und/oder Dehnkraft],MATCH($B99,tab_MinKomp[[Stanowisko / Position ]:[Stanowisko / Position ]],0)))</f>
        <v>n/a</v>
      </c>
      <c r="DS100" s="341" t="str">
        <f>IF(INDEX(tab_MinKomp[Wykonywanie testów mierzenia siły trzymania i/lub rozciągania / Durchführung von Tests zur Messung der Halte- und/oder Streckkraft],MATCH($B99,tab_MinKomp[[Stanowisko / Position ]:[Stanowisko / Position ]],0))="n/a","n/a",DS99-INDEX(tab_MinKomp[Wykonywanie testów mierzenia siły trzymania i/lub rozciągania / Durchführung von Tests zur Messung der Halte- und/oder Streckkraft],MATCH($B99,tab_MinKomp[[Stanowisko / Position ]:[Stanowisko / Position ]],0)))</f>
        <v>n/a</v>
      </c>
      <c r="DT100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Luftstrom)],MATCH($B99,tab_MinKomp[[Stanowisko / Position ]:[Stanowisko / Position ]],0))="n/a","n/a",DT99-INDEX(tab_MinKomp[Obsługa multimetru do pomiarów środowiskowych (temperatura, wilgotność, hałas, oświetlenie, przepływ powietrza) / Betrieb eines Multimeters für Umweltmessungen (Temperatur, Luftfeuchtigkeit, Lärm, Beleuchtung, Luftstrom)],MATCH($B99,tab_MinKomp[[Stanowisko / Position ]:[Stanowisko / Position ]],0)))</f>
        <v>n/a</v>
      </c>
      <c r="DU100" s="341" t="str">
        <f>IF(INDEX(tab_MinKomp[Kontrola warunków środowiskowych pracy (temperatura, wilgotność, hałas, oświetlenie, przepływ powietrza) / Kontrolle der Arbeitsumgebungsbedingungen (Temperatur, Luftfeuchtigkeit, Lärm, Beleuchtung, Luftstrom)],MATCH($B99,tab_MinKomp[[Stanowisko / Position ]:[Stanowisko / Position ]],0))="n/a","n/a",DU99-INDEX(tab_MinKomp[Kontrola warunków środowiskowych pracy (temperatura, wilgotność, hałas, oświetlenie, przepływ powietrza) / Kontrolle der Arbeitsumgebungsbedingungen (Temperatur, Luftfeuchtigkeit, Lärm, Beleuchtung, Luftstrom)],MATCH($B99,tab_MinKomp[[Stanowisko / Position ]:[Stanowisko / Position ]],0)))</f>
        <v>n/a</v>
      </c>
      <c r="DV100" s="341">
        <f>IF(INDEX(tab_MinKomp[MSA i SPC],MATCH($B99,tab_MinKomp[[Stanowisko / Position ]:[Stanowisko / Position ]],0))="n/a","n/a",DV99-INDEX(tab_MinKomp[MSA i SPC],MATCH($B99,tab_MinKomp[[Stanowisko / Position ]:[Stanowisko / Position ]],0)))</f>
        <v>0</v>
      </c>
      <c r="DW100" s="341">
        <f>IF(INDEX(tab_MinKomp[Kontrola wejściowa komponentów/ Eingangskontrolle],MATCH($B99,tab_MinKomp[[Stanowisko / Position ]:[Stanowisko / Position ]],0))="n/a","n/a",DW99-INDEX(tab_MinKomp[Kontrola wejściowa komponentów/ Eingangskontrolle],MATCH($B99,tab_MinKomp[[Stanowisko / Position ]:[Stanowisko / Position ]],0)))</f>
        <v>0</v>
      </c>
      <c r="DX100" s="341">
        <f>IF(INDEX(tab_MinKomp[Kontrola wyjściowa produktu / Ausgangskontrolle],MATCH($B99,tab_MinKomp[[Stanowisko / Position ]:[Stanowisko / Position ]],0))="n/a","n/a",DX99-INDEX(tab_MinKomp[Kontrola wyjściowa produktu / Ausgangskontrolle],MATCH($B99,tab_MinKomp[[Stanowisko / Position ]:[Stanowisko / Position ]],0)))</f>
        <v>0</v>
      </c>
      <c r="DY100" s="341" t="str">
        <f>IF(INDEX(tab_MinKomp[Specjalista BHP / BHP Spezialist],MATCH($B99,tab_MinKomp[[Stanowisko / Position ]:[Stanowisko / Position ]],0))="n/a","n/a",DY99-INDEX(tab_MinKomp[Specjalista BHP / BHP Spezialist],MATCH($B99,tab_MinKomp[[Stanowisko / Position ]:[Stanowisko / Position ]],0)))</f>
        <v>n/a</v>
      </c>
      <c r="DZ100" s="341" t="str">
        <f>IF(INDEX(tab_MinKomp[Konserwacja Rep],MATCH($B99,tab_MinKomp[[Stanowisko / Position ]:[Stanowisko / Position ]],0))="n/a","n/a",DZ99-INDEX(tab_MinKomp[Konserwacja Rep],MATCH($B99,tab_MinKomp[[Stanowisko / Position ]:[Stanowisko / Position ]],0)))</f>
        <v>n/a</v>
      </c>
      <c r="EA100" s="341" t="str">
        <f>IF(INDEX(tab_MinKomp[[Konserwacja Engel ]],MATCH($B99,tab_MinKomp[[Stanowisko / Position ]:[Stanowisko / Position ]],0))="n/a","n/a",EA99-INDEX(tab_MinKomp[[Konserwacja Engel ]],MATCH($B99,tab_MinKomp[[Stanowisko / Position ]:[Stanowisko / Position ]],0)))</f>
        <v>n/a</v>
      </c>
      <c r="EB100" s="341" t="str">
        <f>IF(INDEX(tab_MinKomp[Konserwacja B 50],MATCH($B99,tab_MinKomp[[Stanowisko / Position ]:[Stanowisko / Position ]],0))="n/a","n/a",EB99-INDEX(tab_MinKomp[Konserwacja B 50],MATCH($B99,tab_MinKomp[[Stanowisko / Position ]:[Stanowisko / Position ]],0)))</f>
        <v>n/a</v>
      </c>
      <c r="EC100" s="341" t="str">
        <f>IF(INDEX(tab_MinKomp[[Konserwacja EOL ]],MATCH($B99,tab_MinKomp[[Stanowisko / Position ]:[Stanowisko / Position ]],0))="n/a","n/a",EC99-INDEX(tab_MinKomp[[Konserwacja EOL ]],MATCH($B99,tab_MinKomp[[Stanowisko / Position ]:[Stanowisko / Position ]],0)))</f>
        <v>n/a</v>
      </c>
      <c r="ED100" s="341" t="str">
        <f>IF(INDEX(tab_MinKomp[Konserwacja Branson],MATCH($B99,tab_MinKomp[[Stanowisko / Position ]:[Stanowisko / Position ]],0))="n/a","n/a",ED99-INDEX(tab_MinKomp[Konserwacja Branson],MATCH($B99,tab_MinKomp[[Stanowisko / Position ]:[Stanowisko / Position ]],0)))</f>
        <v>n/a</v>
      </c>
      <c r="EE100" s="341" t="str">
        <f>IF(INDEX(tab_MinKomp[Konserwacja coolery],MATCH($B99,tab_MinKomp[[Stanowisko / Position ]:[Stanowisko / Position ]],0))="n/a","n/a",EE99-INDEX(tab_MinKomp[Konserwacja coolery],MATCH($B99,tab_MinKomp[[Stanowisko / Position ]:[Stanowisko / Position ]],0)))</f>
        <v>n/a</v>
      </c>
      <c r="EF100" s="341" t="str">
        <f>IF(INDEX(tab_MinKomp[Konserwacja piecy],MATCH($B99,tab_MinKomp[[Stanowisko / Position ]:[Stanowisko / Position ]],0))="n/a","n/a",EF99-INDEX(tab_MinKomp[Konserwacja piecy],MATCH($B99,tab_MinKomp[[Stanowisko / Position ]:[Stanowisko / Position ]],0)))</f>
        <v>n/a</v>
      </c>
      <c r="EG100" s="341">
        <f>IF(INDEX(tab_MinKomp[Rysunek techniczny- czytanie],MATCH($B99,tab_MinKomp[[Stanowisko / Position ]:[Stanowisko / Position ]],0))="n/a","n/a",EG99-INDEX(tab_MinKomp[Rysunek techniczny- czytanie],MATCH($B99,tab_MinKomp[[Stanowisko / Position ]:[Stanowisko / Position ]],0)))</f>
        <v>0</v>
      </c>
      <c r="EH100" s="341">
        <f>IF(INDEX(tab_MinKomp[Elektryka],MATCH($B99,tab_MinKomp[[Stanowisko / Position ]:[Stanowisko / Position ]],0))="n/a","n/a",EH99-INDEX(tab_MinKomp[Elektryka],MATCH($B99,tab_MinKomp[[Stanowisko / Position ]:[Stanowisko / Position ]],0)))</f>
        <v>0</v>
      </c>
      <c r="EI100" s="341">
        <f>IF(INDEX(tab_MinKomp[Pneumatyka],MATCH($B99,tab_MinKomp[[Stanowisko / Position ]:[Stanowisko / Position ]],0))="n/a","n/a",EI99-INDEX(tab_MinKomp[Pneumatyka],MATCH($B99,tab_MinKomp[[Stanowisko / Position ]:[Stanowisko / Position ]],0)))</f>
        <v>0</v>
      </c>
      <c r="EJ100" s="341">
        <f>IF(INDEX(tab_MinKomp[[Hydraulika ]],MATCH($B99,tab_MinKomp[[Stanowisko / Position ]:[Stanowisko / Position ]],0))="n/a","n/a",EJ99-INDEX(tab_MinKomp[[Hydraulika ]],MATCH($B99,tab_MinKomp[[Stanowisko / Position ]:[Stanowisko / Position ]],0)))</f>
        <v>0</v>
      </c>
      <c r="EK100" s="341">
        <f>IF(INDEX(tab_MinKomp[Podciśnienie],MATCH($B99,tab_MinKomp[[Stanowisko / Position ]:[Stanowisko / Position ]],0))="n/a","n/a",EK99-INDEX(tab_MinKomp[Podciśnienie],MATCH($B99,tab_MinKomp[[Stanowisko / Position ]:[Stanowisko / Position ]],0)))</f>
        <v>0</v>
      </c>
      <c r="EL100" s="341">
        <f>IF(INDEX(tab_MinKomp[Usuwanie awarii],MATCH($B99,tab_MinKomp[[Stanowisko / Position ]:[Stanowisko / Position ]],0))="n/a","n/a",EL99-INDEX(tab_MinKomp[Usuwanie awarii],MATCH($B99,tab_MinKomp[[Stanowisko / Position ]:[Stanowisko / Position ]],0)))</f>
        <v>0</v>
      </c>
      <c r="EM100" s="341">
        <f>IF(INDEX(tab_MinKomp[Obsługa robotów],MATCH($B99,tab_MinKomp[[Stanowisko / Position ]:[Stanowisko / Position ]],0))="n/a","n/a",EM99-INDEX(tab_MinKomp[Obsługa robotów],MATCH($B99,tab_MinKomp[[Stanowisko / Position ]:[Stanowisko / Position ]],0)))</f>
        <v>0</v>
      </c>
      <c r="EN100" s="341">
        <f>IF(INDEX(tab_MinKomp[Obsługa sterowania maszyny],MATCH($B99,tab_MinKomp[[Stanowisko / Position ]:[Stanowisko / Position ]],0))="n/a","n/a",EN99-INDEX(tab_MinKomp[Obsługa sterowania maszyny],MATCH($B99,tab_MinKomp[[Stanowisko / Position ]:[Stanowisko / Position ]],0)))</f>
        <v>1</v>
      </c>
      <c r="EO100" s="341">
        <f>IF(INDEX(tab_MinKomp[Usuwanie przyczyn żródłowych],MATCH($B99,tab_MinKomp[[Stanowisko / Position ]:[Stanowisko / Position ]],0))="n/a","n/a",EO99-INDEX(tab_MinKomp[Usuwanie przyczyn żródłowych],MATCH($B99,tab_MinKomp[[Stanowisko / Position ]:[Stanowisko / Position ]],0)))</f>
        <v>-1</v>
      </c>
      <c r="EP100" s="341">
        <f>IF(INDEX(tab_MinKomp[Cmms stosowanie],MATCH($B99,tab_MinKomp[[Stanowisko / Position ]:[Stanowisko / Position ]],0))="n/a","n/a",EP99-INDEX(tab_MinKomp[Cmms stosowanie],MATCH($B99,tab_MinKomp[[Stanowisko / Position ]:[Stanowisko / Position ]],0)))</f>
        <v>0</v>
      </c>
      <c r="EQ100" s="341">
        <f>IF(INDEX(tab_MinKomp[[Czyszczenie form gumowych ]],MATCH($B99,tab_MinKomp[[Stanowisko / Position ]:[Stanowisko / Position ]],0))="n/a","n/a",EQ99-INDEX(tab_MinKomp[[Czyszczenie form gumowych ]],MATCH($B99,tab_MinKomp[[Stanowisko / Position ]:[Stanowisko / Position ]],0)))</f>
        <v>0</v>
      </c>
      <c r="ER100" s="341" t="str">
        <f>IF(INDEX(tab_MinKomp[Specjalista BHP / BHP Spezialist],MATCH($B99,tab_MinKomp[[Stanowisko / Position ]:[Stanowisko / Position ]],0))="n/a","n/a",ER99-INDEX(tab_MinKomp[Specjalista BHP / BHP Spezialist],MATCH($B99,tab_MinKomp[[Stanowisko / Position ]:[Stanowisko / Position ]],0)))</f>
        <v>n/a</v>
      </c>
      <c r="ES100" s="341" t="str">
        <f>IF(INDEX(tab_MinKomp[Wymiana form plastik],MATCH($B99,tab_MinKomp[[Stanowisko / Position ]:[Stanowisko / Position ]],0))="n/a","n/a",ES99-INDEX(tab_MinKomp[Wymiana form plastik],MATCH($B99,tab_MinKomp[[Stanowisko / Position ]:[Stanowisko / Position ]],0)))</f>
        <v>n/a</v>
      </c>
      <c r="ET100" s="341" t="str">
        <f>IF(INDEX(tab_MinKomp[Wymiana form guma],MATCH($B99,tab_MinKomp[[Stanowisko / Position ]:[Stanowisko / Position ]],0))="n/a","n/a",ET99-INDEX(tab_MinKomp[Wymiana form guma],MATCH($B99,tab_MinKomp[[Stanowisko / Position ]:[Stanowisko / Position ]],0)))</f>
        <v>n/a</v>
      </c>
      <c r="EU100" s="341" t="str">
        <f>IF(INDEX(tab_MinKomp[Konserwacja KK],MATCH($B99,tab_MinKomp[[Stanowisko / Position ]:[Stanowisko / Position ]],0))="n/a","n/a",EU99-INDEX(tab_MinKomp[Konserwacja KK],MATCH($B99,tab_MinKomp[[Stanowisko / Position ]:[Stanowisko / Position ]],0)))</f>
        <v>n/a</v>
      </c>
      <c r="EV100" s="341" t="str">
        <f>IF(INDEX(tab_MinKomp[Konserwacja form guma],MATCH($B99,tab_MinKomp[[Stanowisko / Position ]:[Stanowisko / Position ]],0))="n/a","n/a",EV99-INDEX(tab_MinKomp[Konserwacja form guma],MATCH($B99,tab_MinKomp[[Stanowisko / Position ]:[Stanowisko / Position ]],0)))</f>
        <v>n/a</v>
      </c>
      <c r="EW100" s="330" t="str">
        <f>IF(INDEX(tab_MinKomp[Konserwacja form plastiki],MATCH($B99,tab_MinKomp[[Stanowisko / Position ]:[Stanowisko / Position ]],0))="n/a","n/a",EW99-INDEX(tab_MinKomp[Konserwacja form plastiki],MATCH($B99,tab_MinKomp[[Stanowisko / Position ]:[Stanowisko / Position ]],0)))</f>
        <v>n/a</v>
      </c>
      <c r="EX100" s="341" t="str">
        <f>IF(INDEX(tab_MinKomp[Konserwacja form plastiki],MATCH($B99,tab_MinKomp[[Stanowisko / Position ]:[Stanowisko / Position ]],0))="n/a","n/a",EX99-INDEX(tab_MinKomp[Konserwacja form plastiki],MATCH($B99,tab_MinKomp[[Stanowisko / Position ]:[Stanowisko / Position ]],0)))</f>
        <v>n/a</v>
      </c>
      <c r="EY100" s="341" t="str">
        <f>IF(INDEX(tab_MinKomp[Konserwacja Gorącego Kanału],MATCH($B99,tab_MinKomp[[Stanowisko / Position ]:[Stanowisko / Position ]],0))="n/a","n/a",EY99-INDEX(tab_MinKomp[Konserwacja Gorącego Kanału],MATCH($B99,tab_MinKomp[[Stanowisko / Position ]:[Stanowisko / Position ]],0)))</f>
        <v>n/a</v>
      </c>
      <c r="EZ100" s="341">
        <f>IF(INDEX(tab_MinKomp[MS Office (Excel)],MATCH($B99,tab_MinKomp[[Stanowisko / Position ]:[Stanowisko / Position ]],0))="n/a","n/a",EZ99-INDEX(tab_MinKomp[MS Office (Excel)],MATCH($B99,tab_MinKomp[[Stanowisko / Position ]:[Stanowisko / Position ]],0)))</f>
        <v>0</v>
      </c>
      <c r="FA100" s="341">
        <f>IF(INDEX(tab_MinKomp[MS Office (Word)],MATCH($B99,tab_MinKomp[[Stanowisko / Position ]:[Stanowisko / Position ]],0))="n/a","n/a",FA99-INDEX(tab_MinKomp[MS Office (Word)],MATCH($B99,tab_MinKomp[[Stanowisko / Position ]:[Stanowisko / Position ]],0)))</f>
        <v>0</v>
      </c>
      <c r="FB100" s="341" t="str">
        <f>IF(INDEX(tab_MinKomp[Specjalista BHP / BHP Spezialist],MATCH($B99,tab_MinKomp[[Stanowisko / Position ]:[Stanowisko / Position ]],0))="n/a","n/a",FB99-INDEX(tab_MinKomp[Specjalista BHP / BHP Spezialist],MATCH($B99,tab_MinKomp[[Stanowisko / Position ]:[Stanowisko / Position ]],0)))</f>
        <v>n/a</v>
      </c>
      <c r="FC100" s="341" t="str">
        <f>IF(INDEX(tab_MinKomp[Język angielski / Englisch],MATCH($B99,tab_MinKomp[[Stanowisko / Position ]:[Stanowisko / Position ]],0))="n/a","n/a",FC99-INDEX(tab_MinKomp[Język angielski / Englisch],MATCH($B99,tab_MinKomp[[Stanowisko / Position ]:[Stanowisko / Position ]],0)))</f>
        <v>n/a</v>
      </c>
      <c r="FD100" s="341" t="str">
        <f>IF(INDEX(tab_MinKomp[Język niemiecki / Deutsch],MATCH($B99,tab_MinKomp[[Stanowisko / Position ]:[Stanowisko / Position ]],0))="n/a","n/a",FD99-INDEX(tab_MinKomp[Język niemiecki / Deutsch],MATCH($B99,tab_MinKomp[[Stanowisko / Position ]:[Stanowisko / Position ]],0)))</f>
        <v>n/a</v>
      </c>
      <c r="FE100" s="341">
        <f>IF(INDEX(tab_MinKomp[Zarządzanie dokumentacją procesową / Process dokumentation management],MATCH($B99,tab_MinKomp[[Stanowisko / Position ]:[Stanowisko / Position ]],0))="n/a","n/a",FE99-INDEX(tab_MinKomp[Zarządzanie dokumentacją procesową / Process dokumentation management],MATCH($B99,tab_MinKomp[[Stanowisko / Position ]:[Stanowisko / Position ]],0)))</f>
        <v>1</v>
      </c>
      <c r="FF100" s="341">
        <f>IF(INDEX(tab_MinKomp[Znajomość procesów z obszaru / Kenntiss der prozesse in dem Bereich],MATCH($B99,tab_MinKomp[[Stanowisko / Position ]:[Stanowisko / Position ]],0))="n/a","n/a",FF99-INDEX(tab_MinKomp[Znajomość procesów z obszaru / Kenntiss der prozesse in dem Bereich],MATCH($B99,tab_MinKomp[[Stanowisko / Position ]:[Stanowisko / Position ]],0)))</f>
        <v>-1</v>
      </c>
      <c r="FG100" s="341">
        <f>IF(INDEX(tab_MinKomp[optymalizacja procesów / Prozessoptymalisierung],MATCH($B99,tab_MinKomp[[Stanowisko / Position ]:[Stanowisko / Position ]],0))="n/a","n/a",FG99-INDEX(tab_MinKomp[optymalizacja procesów / Prozessoptymalisierung],MATCH($B99,tab_MinKomp[[Stanowisko / Position ]:[Stanowisko / Position ]],0)))</f>
        <v>1</v>
      </c>
      <c r="FH100" s="341">
        <f>IF(INDEX(tab_MinKomp[Umiejętności szkoleniowe / Trainingsfähigkeiten],MATCH($B99,tab_MinKomp[[Stanowisko / Position ]:[Stanowisko / Position ]],0))="n/a","n/a",FH99-INDEX(tab_MinKomp[Umiejętności szkoleniowe / Trainingsfähigkeiten],MATCH($B99,tab_MinKomp[[Stanowisko / Position ]:[Stanowisko / Position ]],0)))</f>
        <v>0</v>
      </c>
      <c r="FI100" s="341">
        <f>IF(INDEX(tab_MinKomp[Analityczne myślenie, podejście / Analitysches Denken, Einstellung],MATCH($B99,tab_MinKomp[[Stanowisko / Position ]:[Stanowisko / Position ]],0))="n/a","n/a",FI99-INDEX(tab_MinKomp[Analityczne myślenie, podejście / Analitysches Denken, Einstellung],MATCH($B99,tab_MinKomp[[Stanowisko / Position ]:[Stanowisko / Position ]],0)))</f>
        <v>0</v>
      </c>
      <c r="FJ100" s="341">
        <f>IF(INDEX(tab_MinKomp[Dokładność, precyzja w dzialaniu / Genauigkeit, Präzision in die Arbeit],MATCH($B99,tab_MinKomp[[Stanowisko / Position ]:[Stanowisko / Position ]],0))="n/a","n/a",FJ99-INDEX(tab_MinKomp[Dokładność, precyzja w dzialaniu / Genauigkeit, Präzision in die Arbeit],MATCH($B99,tab_MinKomp[[Stanowisko / Position ]:[Stanowisko / Position ]],0)))</f>
        <v>0</v>
      </c>
      <c r="FK100" s="341">
        <f>IF(INDEX(tab_MinKomp[Dyspozycyjność / Verfügbarkeit],MATCH($B99,tab_MinKomp[[Stanowisko / Position ]:[Stanowisko / Position ]],0))="n/a","n/a",FK99-INDEX(tab_MinKomp[Dyspozycyjność / Verfügbarkeit],MATCH($B99,tab_MinKomp[[Stanowisko / Position ]:[Stanowisko / Position ]],0)))</f>
        <v>0</v>
      </c>
      <c r="FL100" s="341" t="str">
        <f>IF(INDEX(tab_MinKomp[Specjalista BHP / BHP Spezialist],MATCH($B99,tab_MinKomp[[Stanowisko / Position ]:[Stanowisko / Position ]],0))="n/a","n/a",FL99-INDEX(tab_MinKomp[Specjalista BHP / BHP Spezialist],MATCH($B99,tab_MinKomp[[Stanowisko / Position ]:[Stanowisko / Position ]],0)))</f>
        <v>n/a</v>
      </c>
      <c r="FM100" s="341" t="str">
        <f>IF(INDEX(tab_MinKomp[Planowanie strategiczne / Strategische Planung],MATCH($B99,tab_MinKomp[[Stanowisko / Position ]:[Stanowisko / Position ]],0))="n/a","n/a",FM99-INDEX(tab_MinKomp[Planowanie strategiczne / Strategische Planung],MATCH($B99,tab_MinKomp[[Stanowisko / Position ]:[Stanowisko / Position ]],0)))</f>
        <v>n/a</v>
      </c>
      <c r="FN100" s="341">
        <f>IF(INDEX(tab_MinKomp[Konsekwentne i dynamiczne działanie],MATCH($B99,tab_MinKomp[[Stanowisko / Position ]:[Stanowisko / Position ]],0))="n/a","n/a",FN99-INDEX(tab_MinKomp[Konsekwentne i dynamiczne działanie],MATCH($B99,tab_MinKomp[[Stanowisko / Position ]:[Stanowisko / Position ]],0)))</f>
        <v>0</v>
      </c>
      <c r="FO100" s="341">
        <f>IF(INDEX(tab_MinKomp[Elastyczność w działaniu],MATCH($B99,tab_MinKomp[[Stanowisko / Position ]:[Stanowisko / Position ]],0))="n/a","n/a",FO99-INDEX(tab_MinKomp[Elastyczność w działaniu],MATCH($B99,tab_MinKomp[[Stanowisko / Position ]:[Stanowisko / Position ]],0)))</f>
        <v>0</v>
      </c>
      <c r="FP100" s="341">
        <f>IF(INDEX(tab_MinKomp[Komunikatywność],MATCH($B99,tab_MinKomp[[Stanowisko / Position ]:[Stanowisko / Position ]],0))="n/a","n/a",FP99-INDEX(tab_MinKomp[Komunikatywność],MATCH($B99,tab_MinKomp[[Stanowisko / Position ]:[Stanowisko / Position ]],0)))</f>
        <v>0</v>
      </c>
      <c r="FQ100" s="341" t="str">
        <f>IF(INDEX(tab_MinKomp[Specjalista BHP / BHP Spezialist],MATCH($B99,tab_MinKomp[[Stanowisko / Position ]:[Stanowisko / Position ]],0))="n/a","n/a",FQ99-INDEX(tab_MinKomp[Specjalista BHP / BHP Spezialist],MATCH($B99,tab_MinKomp[[Stanowisko / Position ]:[Stanowisko / Position ]],0)))</f>
        <v>n/a</v>
      </c>
      <c r="FR100" s="341" t="s">
        <v>387</v>
      </c>
      <c r="FS100" s="341" t="str">
        <f>IF(INDEX(tab_MinKomp[Specjalista BHP / BHP Spezialist],MATCH($B99,tab_MinKomp[[Stanowisko / Position ]:[Stanowisko / Position ]],0))="n/a","n/a",FS99-INDEX(tab_MinKomp[Specjalista BHP / BHP Spezialist],MATCH($B99,tab_MinKomp[[Stanowisko / Position ]:[Stanowisko / Position ]],0)))</f>
        <v>n/a</v>
      </c>
      <c r="FT100" s="341" t="str">
        <f>IF(INDEX(tab_MinKomp[MINIMUM 2 LATA / min. 2 Jahre],MATCH($B99,tab_MinKomp[[Stanowisko / Position ]:[Stanowisko / Position ]],0))="n/a","n/a",FT99-INDEX(tab_MinKomp[MINIMUM 2 LATA / min. 2 Jahre],MATCH($B99,tab_MinKomp[[Stanowisko / Position ]:[Stanowisko / Position ]],0)))</f>
        <v>n/a</v>
      </c>
      <c r="FU100" s="341" t="str">
        <f>IF(INDEX(tab_MinKomp[MINIMUM 3 LATA / min. 3 Jahre],MATCH($B99,tab_MinKomp[[Stanowisko / Position ]:[Stanowisko / Position ]],0))="n/a","n/a",FU99-INDEX(tab_MinKomp[MINIMUM 3 LATA / min. 3 Jahre],MATCH($B99,tab_MinKomp[[Stanowisko / Position ]:[Stanowisko / Position ]],0)))</f>
        <v>n/a</v>
      </c>
      <c r="FV100" s="341" t="str">
        <f>IF(INDEX(tab_MinKomp[MINIMUM 4 LATA / min. 4 Jahre],MATCH($B99,tab_MinKomp[[Stanowisko / Position ]:[Stanowisko / Position ]],0))="n/a","n/a",FV99-INDEX(tab_MinKomp[MINIMUM 4 LATA / min. 4 Jahre],MATCH($B99,tab_MinKomp[[Stanowisko / Position ]:[Stanowisko / Position ]],0)))</f>
        <v>n/a</v>
      </c>
      <c r="FW100" s="341" t="str">
        <f>IF(INDEX(tab_MinKomp[MINIMUM 5 LAT / min. 5 Jahre],MATCH($B99,tab_MinKomp[[Stanowisko / Position ]:[Stanowisko / Position ]],0))="n/a","n/a",FW99-INDEX(tab_MinKomp[MINIMUM 5 LAT / min. 5 Jahre],MATCH($B99,tab_MinKomp[[Stanowisko / Position ]:[Stanowisko / Position ]],0)))</f>
        <v>n/a</v>
      </c>
      <c r="FX100" s="341" t="str">
        <f>IF(INDEX(tab_MinKomp[BRAK / Keine9],MATCH($B99,tab_MinKomp[[Stanowisko / Position ]:[Stanowisko / Position ]],0))="n/a","n/a",FX99-INDEX(tab_MinKomp[BRAK / Keine9],MATCH($B99,tab_MinKomp[[Stanowisko / Position ]:[Stanowisko / Position ]],0)))</f>
        <v>n/a</v>
      </c>
      <c r="FY100" s="341" t="str">
        <f>IF(INDEX(tab_MinKomp[ZAWODOWE / Berufsausbildung],MATCH($B99,tab_MinKomp[[Stanowisko / Position ]:[Stanowisko / Position ]],0))="n/a","n/a",FY99-INDEX(tab_MinKomp[ZAWODOWE / Berufsausbildung],MATCH($B99,tab_MinKomp[[Stanowisko / Position ]:[Stanowisko / Position ]],0)))</f>
        <v>n/a</v>
      </c>
      <c r="FZ100" s="341" t="str">
        <f>IF(INDEX(tab_MinKomp[ŚREDNIE OGÓLNE / Abitur allgemeine],MATCH($B99,tab_MinKomp[[Stanowisko / Position ]:[Stanowisko / Position ]],0))="n/a","n/a",FZ99-INDEX(tab_MinKomp[ŚREDNIE OGÓLNE / Abitur allgemeine],MATCH($B99,tab_MinKomp[[Stanowisko / Position ]:[Stanowisko / Position ]],0)))</f>
        <v>n/a</v>
      </c>
      <c r="GA100" s="341" t="str">
        <f>IF(INDEX(tab_MinKomp[ŚREDNIE KIERUNKOWE / berufliches Gymnasium],MATCH($B99,tab_MinKomp[[Stanowisko / Position ]:[Stanowisko / Position ]],0))="n/a","n/a",GA99-INDEX(tab_MinKomp[ŚREDNIE KIERUNKOWE / berufliches Gymnasium],MATCH($B99,tab_MinKomp[[Stanowisko / Position ]:[Stanowisko / Position ]],0)))</f>
        <v>n/a</v>
      </c>
      <c r="GB100" s="341" t="s">
        <v>387</v>
      </c>
      <c r="GC100" s="341" t="s">
        <v>387</v>
      </c>
      <c r="GD100" s="341" t="str">
        <f>IF(INDEX(tab_MinKomp[Specjalista BHP / BHP Spezialist],MATCH($B99,tab_MinKomp[[Stanowisko / Position ]:[Stanowisko / Position ]],0))="n/a","n/a",GD99-INDEX(tab_MinKomp[Specjalista BHP / BHP Spezialist],MATCH($B99,tab_MinKomp[[Stanowisko / Position ]:[Stanowisko / Position ]],0)))</f>
        <v>n/a</v>
      </c>
      <c r="GE100" s="341" t="str">
        <f>IF(INDEX(tab_MinKomp[Specjalista BHP / BHP Spezialist],MATCH($B99,tab_MinKomp[[Stanowisko / Position ]:[Stanowisko / Position ]],0))="n/a","n/a",GE99-INDEX(tab_MinKomp[Specjalista BHP / BHP Spezialist],MATCH($B99,tab_MinKomp[[Stanowisko / Position ]:[Stanowisko / Position ]],0)))</f>
        <v>n/a</v>
      </c>
      <c r="GF100" s="341" t="str">
        <f>IF(INDEX(tab_MinKomp[Inspektor ochrony PPOŻ / Brandschutzinspektor],MATCH($B99,tab_MinKomp[[Stanowisko / Position ]:[Stanowisko / Position ]],0))="n/a","n/a",GF99-INDEX(tab_MinKomp[Inspektor ochrony PPOŻ / Brandschutzinspektor],MATCH($B99,tab_MinKomp[[Stanowisko / Position ]:[Stanowisko / Position ]],0)))</f>
        <v>n/a</v>
      </c>
      <c r="GG100" s="341" t="str">
        <f>IF(INDEX(tab_MinKomp[WÓZKI JEZDNIOWE / Gebelstapler],MATCH($B99,tab_MinKomp[[Stanowisko / Position ]:[Stanowisko / Position ]],0))="n/a","n/a",GG99-INDEX(tab_MinKomp[WÓZKI JEZDNIOWE / Gebelstapler],MATCH($B99,tab_MinKomp[[Stanowisko / Position ]:[Stanowisko / Position ]],0)))</f>
        <v>n/a</v>
      </c>
      <c r="GH100" s="341" t="str">
        <f>IF(INDEX(tab_MinKomp[SEP],MATCH($B99,tab_MinKomp[[Stanowisko / Position ]:[Stanowisko / Position ]],0))="n/a","n/a",GH99-INDEX(tab_MinKomp[SEP],MATCH($B99,tab_MinKomp[[Stanowisko / Position ]:[Stanowisko / Position ]],0)))</f>
        <v>n/a</v>
      </c>
      <c r="GI100" s="341" t="str">
        <f>IF(INDEX(tab_MinKomp[SEP  DOZÓR / SEP Aufsicht],MATCH($B99,tab_MinKomp[[Stanowisko / Position ]:[Stanowisko / Position ]],0))="n/a","n/a",GI99-INDEX(tab_MinKomp[SEP  DOZÓR / SEP Aufsicht],MATCH($B99,tab_MinKomp[[Stanowisko / Position ]:[Stanowisko / Position ]],0)))</f>
        <v>n/a</v>
      </c>
      <c r="GJ100" s="341" t="str">
        <f>IF(INDEX(tab_MinKomp[PODNOŚNIKI / Hebevorrichtung],MATCH($B99,tab_MinKomp[[Stanowisko / Position ]:[Stanowisko / Position ]],0))="n/a","n/a",GJ99-INDEX(tab_MinKomp[PODNOŚNIKI / Hebevorrichtung],MATCH($B99,tab_MinKomp[[Stanowisko / Position ]:[Stanowisko / Position ]],0)))</f>
        <v>n/a</v>
      </c>
      <c r="GK100" s="341" t="str">
        <f>IF(INDEX(tab_MinKomp[SUWNICE / Laufkran],MATCH($B99,tab_MinKomp[[Stanowisko / Position ]:[Stanowisko / Position ]],0))="n/a","n/a",GK99-INDEX(tab_MinKomp[SUWNICE / Laufkran],MATCH($B99,tab_MinKomp[[Stanowisko / Position ]:[Stanowisko / Position ]],0)))</f>
        <v>n/a</v>
      </c>
      <c r="GL100" s="320">
        <f>SUM(G100:FP100)/(GL99-(SUM(G100:FP100)))</f>
        <v>2.2222222222222223E-2</v>
      </c>
    </row>
    <row r="101" spans="1:194" ht="28.35" customHeight="1" x14ac:dyDescent="0.25">
      <c r="A101" s="135" t="s">
        <v>180</v>
      </c>
      <c r="B101" s="135" t="s">
        <v>581</v>
      </c>
      <c r="C101" s="135" t="s">
        <v>672</v>
      </c>
      <c r="D101" s="135">
        <v>447</v>
      </c>
      <c r="E101" s="565" t="s">
        <v>238</v>
      </c>
      <c r="F101" s="307" t="s">
        <v>165</v>
      </c>
      <c r="G101" s="308">
        <v>2</v>
      </c>
      <c r="H101" s="308">
        <v>2</v>
      </c>
      <c r="I101" s="308">
        <v>1</v>
      </c>
      <c r="J101" s="308">
        <v>1</v>
      </c>
      <c r="K101" s="308">
        <v>1</v>
      </c>
      <c r="L101" s="308">
        <v>1</v>
      </c>
      <c r="M101" s="308" t="s">
        <v>176</v>
      </c>
      <c r="N101" s="308" t="s">
        <v>176</v>
      </c>
      <c r="O101" s="308">
        <v>1</v>
      </c>
      <c r="P101" s="308">
        <v>1</v>
      </c>
      <c r="Q101" s="308" t="s">
        <v>176</v>
      </c>
      <c r="R101" s="308" t="s">
        <v>176</v>
      </c>
      <c r="S101" s="308" t="s">
        <v>176</v>
      </c>
      <c r="T101" s="308">
        <v>1</v>
      </c>
      <c r="U101" s="308" t="s">
        <v>176</v>
      </c>
      <c r="V101" s="308" t="s">
        <v>176</v>
      </c>
      <c r="W101" s="308" t="s">
        <v>176</v>
      </c>
      <c r="X101" s="308" t="s">
        <v>176</v>
      </c>
      <c r="Y101" s="308" t="s">
        <v>176</v>
      </c>
      <c r="Z101" s="308" t="s">
        <v>176</v>
      </c>
      <c r="AA101" s="308" t="s">
        <v>176</v>
      </c>
      <c r="AB101" s="308" t="s">
        <v>176</v>
      </c>
      <c r="AC101" s="308" t="s">
        <v>176</v>
      </c>
      <c r="AD101" s="308" t="s">
        <v>176</v>
      </c>
      <c r="AE101" s="308" t="s">
        <v>176</v>
      </c>
      <c r="AF101" s="308" t="s">
        <v>176</v>
      </c>
      <c r="AG101" s="308" t="s">
        <v>176</v>
      </c>
      <c r="AH101" s="308" t="s">
        <v>176</v>
      </c>
      <c r="AI101" s="308" t="s">
        <v>176</v>
      </c>
      <c r="AJ101" s="308" t="s">
        <v>176</v>
      </c>
      <c r="AK101" s="308" t="s">
        <v>176</v>
      </c>
      <c r="AL101" s="308">
        <v>2</v>
      </c>
      <c r="AM101" s="308" t="s">
        <v>176</v>
      </c>
      <c r="AN101" s="308" t="s">
        <v>176</v>
      </c>
      <c r="AO101" s="308">
        <v>2</v>
      </c>
      <c r="AP101" s="308" t="s">
        <v>176</v>
      </c>
      <c r="AQ101" s="308">
        <v>1</v>
      </c>
      <c r="AR101" s="308" t="s">
        <v>176</v>
      </c>
      <c r="AS101" s="308" t="s">
        <v>176</v>
      </c>
      <c r="AT101" s="308" t="s">
        <v>176</v>
      </c>
      <c r="AU101" s="308">
        <v>1</v>
      </c>
      <c r="AV101" s="308">
        <v>1</v>
      </c>
      <c r="AW101" s="308">
        <v>1</v>
      </c>
      <c r="AX101" s="308" t="s">
        <v>176</v>
      </c>
      <c r="AY101" s="308" t="s">
        <v>176</v>
      </c>
      <c r="AZ101" s="308" t="s">
        <v>176</v>
      </c>
      <c r="BA101" s="308">
        <v>1</v>
      </c>
      <c r="BB101" s="308">
        <v>1</v>
      </c>
      <c r="BC101" s="308" t="s">
        <v>176</v>
      </c>
      <c r="BD101" s="308" t="s">
        <v>176</v>
      </c>
      <c r="BE101" s="308" t="s">
        <v>176</v>
      </c>
      <c r="BF101" s="308" t="s">
        <v>176</v>
      </c>
      <c r="BG101" s="308" t="s">
        <v>176</v>
      </c>
      <c r="BH101" s="308" t="s">
        <v>176</v>
      </c>
      <c r="BI101" s="308" t="s">
        <v>176</v>
      </c>
      <c r="BJ101" s="308" t="s">
        <v>176</v>
      </c>
      <c r="BK101" s="308" t="s">
        <v>176</v>
      </c>
      <c r="BL101" s="308" t="s">
        <v>176</v>
      </c>
      <c r="BM101" s="308">
        <v>3</v>
      </c>
      <c r="BN101" s="308" t="s">
        <v>176</v>
      </c>
      <c r="BO101" s="308" t="s">
        <v>176</v>
      </c>
      <c r="BP101" s="308" t="s">
        <v>176</v>
      </c>
      <c r="BQ101" s="308" t="s">
        <v>176</v>
      </c>
      <c r="BR101" s="308" t="s">
        <v>176</v>
      </c>
      <c r="BS101" s="308">
        <v>3</v>
      </c>
      <c r="BT101" s="308" t="s">
        <v>176</v>
      </c>
      <c r="BU101" s="308">
        <v>3</v>
      </c>
      <c r="BV101" s="308">
        <v>3</v>
      </c>
      <c r="BW101" s="308" t="s">
        <v>176</v>
      </c>
      <c r="BX101" s="308" t="s">
        <v>176</v>
      </c>
      <c r="BY101" s="308" t="s">
        <v>176</v>
      </c>
      <c r="BZ101" s="308" t="s">
        <v>176</v>
      </c>
      <c r="CA101" s="308" t="s">
        <v>176</v>
      </c>
      <c r="CB101" s="308" t="s">
        <v>176</v>
      </c>
      <c r="CC101" s="308" t="s">
        <v>176</v>
      </c>
      <c r="CD101" s="308" t="s">
        <v>176</v>
      </c>
      <c r="CE101" s="308" t="s">
        <v>176</v>
      </c>
      <c r="CF101" s="308" t="s">
        <v>176</v>
      </c>
      <c r="CG101" s="308">
        <v>2</v>
      </c>
      <c r="CH101" s="308" t="s">
        <v>176</v>
      </c>
      <c r="CI101" s="308" t="s">
        <v>176</v>
      </c>
      <c r="CJ101" s="308" t="s">
        <v>176</v>
      </c>
      <c r="CK101" s="308" t="s">
        <v>176</v>
      </c>
      <c r="CL101" s="308" t="s">
        <v>176</v>
      </c>
      <c r="CM101" s="308">
        <v>1</v>
      </c>
      <c r="CN101" s="308">
        <v>1</v>
      </c>
      <c r="CO101" s="308">
        <v>1</v>
      </c>
      <c r="CP101" s="308">
        <v>2</v>
      </c>
      <c r="CQ101" s="308" t="s">
        <v>176</v>
      </c>
      <c r="CR101" s="308" t="s">
        <v>176</v>
      </c>
      <c r="CS101" s="308" t="s">
        <v>176</v>
      </c>
      <c r="CT101" s="308" t="s">
        <v>176</v>
      </c>
      <c r="CU101" s="308" t="s">
        <v>176</v>
      </c>
      <c r="CV101" s="308" t="s">
        <v>176</v>
      </c>
      <c r="CW101" s="308" t="s">
        <v>176</v>
      </c>
      <c r="CX101" s="308" t="s">
        <v>176</v>
      </c>
      <c r="CY101" s="308" t="s">
        <v>176</v>
      </c>
      <c r="CZ101" s="308" t="s">
        <v>176</v>
      </c>
      <c r="DA101" s="308" t="s">
        <v>176</v>
      </c>
      <c r="DB101" s="308" t="s">
        <v>176</v>
      </c>
      <c r="DC101" s="308" t="s">
        <v>176</v>
      </c>
      <c r="DD101" s="308" t="s">
        <v>176</v>
      </c>
      <c r="DE101" s="308" t="s">
        <v>176</v>
      </c>
      <c r="DF101" s="308" t="s">
        <v>176</v>
      </c>
      <c r="DG101" s="308" t="s">
        <v>176</v>
      </c>
      <c r="DH101" s="308" t="s">
        <v>176</v>
      </c>
      <c r="DI101" s="308" t="s">
        <v>176</v>
      </c>
      <c r="DJ101" s="308" t="s">
        <v>176</v>
      </c>
      <c r="DK101" s="308" t="s">
        <v>176</v>
      </c>
      <c r="DL101" s="308" t="s">
        <v>176</v>
      </c>
      <c r="DM101" s="308" t="s">
        <v>176</v>
      </c>
      <c r="DN101" s="308" t="s">
        <v>176</v>
      </c>
      <c r="DO101" s="308" t="s">
        <v>176</v>
      </c>
      <c r="DP101" s="308" t="s">
        <v>176</v>
      </c>
      <c r="DQ101" s="308" t="s">
        <v>176</v>
      </c>
      <c r="DR101" s="308" t="s">
        <v>176</v>
      </c>
      <c r="DS101" s="308" t="s">
        <v>176</v>
      </c>
      <c r="DT101" s="308" t="s">
        <v>176</v>
      </c>
      <c r="DU101" s="308" t="s">
        <v>176</v>
      </c>
      <c r="DV101" s="308" t="s">
        <v>176</v>
      </c>
      <c r="DW101" s="308" t="s">
        <v>176</v>
      </c>
      <c r="DX101" s="308" t="s">
        <v>176</v>
      </c>
      <c r="DY101" s="308" t="s">
        <v>176</v>
      </c>
      <c r="DZ101" s="308" t="s">
        <v>176</v>
      </c>
      <c r="EA101" s="308" t="s">
        <v>176</v>
      </c>
      <c r="EB101" s="308" t="s">
        <v>176</v>
      </c>
      <c r="EC101" s="308" t="s">
        <v>176</v>
      </c>
      <c r="ED101" s="308" t="s">
        <v>176</v>
      </c>
      <c r="EE101" s="308" t="s">
        <v>176</v>
      </c>
      <c r="EF101" s="308" t="s">
        <v>176</v>
      </c>
      <c r="EG101" s="308" t="s">
        <v>176</v>
      </c>
      <c r="EH101" s="308" t="s">
        <v>176</v>
      </c>
      <c r="EI101" s="308" t="s">
        <v>176</v>
      </c>
      <c r="EJ101" s="308" t="s">
        <v>176</v>
      </c>
      <c r="EK101" s="308" t="s">
        <v>176</v>
      </c>
      <c r="EL101" s="308" t="s">
        <v>176</v>
      </c>
      <c r="EM101" s="308" t="s">
        <v>176</v>
      </c>
      <c r="EN101" s="308" t="s">
        <v>176</v>
      </c>
      <c r="EO101" s="308" t="s">
        <v>176</v>
      </c>
      <c r="EP101" s="308" t="s">
        <v>176</v>
      </c>
      <c r="EQ101" s="308" t="s">
        <v>176</v>
      </c>
      <c r="ER101" s="308" t="s">
        <v>176</v>
      </c>
      <c r="ES101" s="308" t="s">
        <v>176</v>
      </c>
      <c r="ET101" s="308" t="s">
        <v>176</v>
      </c>
      <c r="EU101" s="308" t="s">
        <v>176</v>
      </c>
      <c r="EV101" s="308" t="s">
        <v>176</v>
      </c>
      <c r="EW101" s="308" t="s">
        <v>176</v>
      </c>
      <c r="EX101" s="308" t="s">
        <v>176</v>
      </c>
      <c r="EY101" s="308">
        <v>1</v>
      </c>
      <c r="EZ101" s="308">
        <v>1</v>
      </c>
      <c r="FA101" s="308">
        <v>1</v>
      </c>
      <c r="FB101" s="308" t="s">
        <v>176</v>
      </c>
      <c r="FC101" s="308" t="s">
        <v>176</v>
      </c>
      <c r="FD101" s="308">
        <v>2</v>
      </c>
      <c r="FE101" s="308">
        <v>3</v>
      </c>
      <c r="FF101" s="308">
        <v>2</v>
      </c>
      <c r="FG101" s="308">
        <v>2</v>
      </c>
      <c r="FH101" s="308">
        <v>2</v>
      </c>
      <c r="FI101" s="308">
        <v>2</v>
      </c>
      <c r="FJ101" s="308">
        <v>2</v>
      </c>
      <c r="FK101" s="308">
        <v>2</v>
      </c>
      <c r="FL101" s="308">
        <v>2</v>
      </c>
      <c r="FM101" s="308">
        <v>2</v>
      </c>
      <c r="FN101" s="308">
        <v>2</v>
      </c>
      <c r="FO101" s="308">
        <v>2</v>
      </c>
      <c r="FP101" s="308">
        <v>2</v>
      </c>
      <c r="FQ101" s="308" t="s">
        <v>176</v>
      </c>
      <c r="FR101" s="308" t="s">
        <v>176</v>
      </c>
      <c r="FS101" s="308" t="s">
        <v>387</v>
      </c>
      <c r="FT101" s="308" t="s">
        <v>176</v>
      </c>
      <c r="FU101" s="308" t="s">
        <v>176</v>
      </c>
      <c r="FV101" s="308" t="s">
        <v>176</v>
      </c>
      <c r="FW101" s="308" t="s">
        <v>176</v>
      </c>
      <c r="FX101" s="308" t="s">
        <v>176</v>
      </c>
      <c r="FY101" s="308" t="s">
        <v>387</v>
      </c>
      <c r="FZ101" s="308" t="s">
        <v>176</v>
      </c>
      <c r="GA101" s="308" t="s">
        <v>176</v>
      </c>
      <c r="GB101" s="308" t="s">
        <v>176</v>
      </c>
      <c r="GC101" s="308" t="s">
        <v>176</v>
      </c>
      <c r="GD101" s="308" t="s">
        <v>387</v>
      </c>
      <c r="GE101" s="308" t="s">
        <v>176</v>
      </c>
      <c r="GF101" s="308" t="s">
        <v>176</v>
      </c>
      <c r="GG101" s="308" t="s">
        <v>387</v>
      </c>
      <c r="GH101" s="308" t="s">
        <v>176</v>
      </c>
      <c r="GI101" s="308" t="s">
        <v>176</v>
      </c>
      <c r="GJ101" s="308" t="s">
        <v>176</v>
      </c>
      <c r="GK101" s="308" t="s">
        <v>176</v>
      </c>
      <c r="GL101" s="311">
        <f>SUM(G101:FP101)</f>
        <v>70</v>
      </c>
    </row>
    <row r="102" spans="1:194" ht="28.35" customHeight="1" thickBot="1" x14ac:dyDescent="0.3">
      <c r="A102" s="138" t="str">
        <f>A101</f>
        <v>Prod.-Q-4</v>
      </c>
      <c r="B102" s="138" t="str">
        <f>B101</f>
        <v>Teamleder zespołu produkcji</v>
      </c>
      <c r="C102" s="138" t="s">
        <v>672</v>
      </c>
      <c r="D102" s="138">
        <f>D101</f>
        <v>447</v>
      </c>
      <c r="E102" s="566" t="str">
        <f>E101</f>
        <v>Bruderek Paweł</v>
      </c>
      <c r="F102" s="312" t="s">
        <v>166</v>
      </c>
      <c r="G102" s="341">
        <f>IF(INDEX(tab_MinKomp[Przepisy BHP / BHP Vorschriften],MATCH($B101,tab_MinKomp[[Stanowisko / Position ]:[Stanowisko / Position ]],0))="n/a","n/a",G101-INDEX(tab_MinKomp[Przepisy BHP / BHP Vorschriften],MATCH($B101,tab_MinKomp[[Stanowisko / Position ]:[Stanowisko / Position ]],0)))</f>
        <v>0</v>
      </c>
      <c r="H102" s="342">
        <f>IF(INDEX(tab_MinKomp[Przepisy PPOŻ / Brandschutzbestimmungen],MATCH($B101,tab_MinKomp[[Stanowisko / Position ]:[Stanowisko / Position ]],0))="n/a","n/a",H101-INDEX(tab_MinKomp[Przepisy PPOŻ / Brandschutzbestimmungen],MATCH($B101,tab_MinKomp[[Stanowisko / Position ]:[Stanowisko / Position ]],0)))</f>
        <v>0</v>
      </c>
      <c r="I102" s="342">
        <f>IF(INDEX(tab_MinKomp[Ryzyko zawodowe na stanowiskach pracyv/ Berufliche Risiken an Arbeitsstellen],MATCH($B101,tab_MinKomp[[Stanowisko / Position ]:[Stanowisko / Position ]],0))="n/a","n/a",I101-INDEX(tab_MinKomp[Ryzyko zawodowe na stanowiskach pracyv/ Berufliche Risiken an Arbeitsstellen],MATCH($B101,tab_MinKomp[[Stanowisko / Position ]:[Stanowisko / Position ]],0)))</f>
        <v>0</v>
      </c>
      <c r="J102" s="342">
        <f>IF(INDEX(tab_MinKomp[Gospodarka substancjami niebezpiecznymi / Gefahrstoffmanagement],MATCH($B101,tab_MinKomp[[Stanowisko / Position ]:[Stanowisko / Position ]],0))="n/a","n/a",J101-INDEX(tab_MinKomp[Gospodarka substancjami niebezpiecznymi / Gefahrstoffmanagement],MATCH($B101,tab_MinKomp[[Stanowisko / Position ]:[Stanowisko / Position ]],0)))</f>
        <v>0</v>
      </c>
      <c r="K102" s="342">
        <f>IF(INDEX(tab_MinKomp[Gospodarka odpadami / Abfallwirtschaft],MATCH($B101,tab_MinKomp[[Stanowisko / Position ]:[Stanowisko / Position ]],0))="n/a","n/a",K101-INDEX(tab_MinKomp[Gospodarka odpadami / Abfallwirtschaft],MATCH($B101,tab_MinKomp[[Stanowisko / Position ]:[Stanowisko / Position ]],0)))</f>
        <v>0</v>
      </c>
      <c r="L102" s="343">
        <f>IF(INDEX(tab_MinKomp[Przepisy kodeksu pracy / Bestimmungen des Arbeitsgesetzes],MATCH($B101,tab_MinKomp[[Stanowisko / Position ]:[Stanowisko / Position ]],0))="n/a","n/a",L101-INDEX(tab_MinKomp[Przepisy kodeksu pracy / Bestimmungen des Arbeitsgesetzes],MATCH($B101,tab_MinKomp[[Stanowisko / Position ]:[Stanowisko / Position ]],0)))</f>
        <v>0</v>
      </c>
      <c r="M102" s="344" t="str">
        <f>IF(INDEX(tab_MinKomp[Przepisy o ub.społ. ZUS  / Sozialversicherungsvorschriften],MATCH($B101,tab_MinKomp[[Stanowisko / Position ]:[Stanowisko / Position ]],0))="n/a","n/a",M101-INDEX(tab_MinKomp[Przepisy o ub.społ. ZUS  / Sozialversicherungsvorschriften],MATCH($B101,tab_MinKomp[[Stanowisko / Position ]:[Stanowisko / Position ]],0)))</f>
        <v>n/a</v>
      </c>
      <c r="N102" s="343" t="str">
        <f>IF(INDEX(tab_MinKomp[PRZEPISY O PDOF /persönlich Einkommensteuergesetz ],MATCH($B101,tab_MinKomp[[Stanowisko / Position ]:[Stanowisko / Position ]],0))="n/a","n/a",N101-INDEX(tab_MinKomp[PRZEPISY O PDOF /persönlich Einkommensteuergesetz ],MATCH($B101,tab_MinKomp[[Stanowisko / Position ]:[Stanowisko / Position ]],0)))</f>
        <v>n/a</v>
      </c>
      <c r="O102" s="343">
        <f>IF(INDEX(tab_MinKomp[Regulamin pracy / Arbeitsordnung],MATCH($B101,tab_MinKomp[[Stanowisko / Position ]:[Stanowisko / Position ]],0))="n/a","n/a",O101-INDEX(tab_MinKomp[Regulamin pracy / Arbeitsordnung],MATCH($B101,tab_MinKomp[[Stanowisko / Position ]:[Stanowisko / Position ]],0)))</f>
        <v>0</v>
      </c>
      <c r="P102" s="343">
        <f>IF(INDEX(tab_MinKomp[Regulamin wynagradzania / Vergütungsordnung],MATCH($B101,tab_MinKomp[[Stanowisko / Position ]:[Stanowisko / Position ]],0))="n/a","n/a",P101-INDEX(tab_MinKomp[Regulamin wynagradzania / Vergütungsordnung],MATCH($B101,tab_MinKomp[[Stanowisko / Position ]:[Stanowisko / Position ]],0)))</f>
        <v>0</v>
      </c>
      <c r="Q102" s="343" t="str">
        <f>IF(INDEX(tab_MinKomp[System R2PŁATNIK PRO: Płace / Lohnabrechnung],MATCH($B101,tab_MinKomp[[Stanowisko / Position ]:[Stanowisko / Position ]],0))="n/a","n/a",Q101-INDEX(tab_MinKomp[System R2PŁATNIK PRO: Płace / Lohnabrechnung],MATCH($B101,tab_MinKomp[[Stanowisko / Position ]:[Stanowisko / Position ]],0)))</f>
        <v>n/a</v>
      </c>
      <c r="R102" s="343" t="str">
        <f>IF(INDEX(tab_MinKomp[SystemR2PŁATNIK PRO: KADRY / Personaldaten],MATCH($B101,tab_MinKomp[[Stanowisko / Position ]:[Stanowisko / Position ]],0))="n/a","n/a",R101-INDEX(tab_MinKomp[SystemR2PŁATNIK PRO: KADRY / Personaldaten],MATCH($B101,tab_MinKomp[[Stanowisko / Position ]:[Stanowisko / Position ]],0)))</f>
        <v>n/a</v>
      </c>
      <c r="S102" s="343" t="str">
        <f>IF(INDEX(tab_MinKomp[SYSTEM R2PŁATNIK PRO: zarządzanie pracownikami / Arbeitsverwaltung],MATCH($B101,tab_MinKomp[[Stanowisko / Position ]:[Stanowisko / Position ]],0))="n/a","n/a",S101-INDEX(tab_MinKomp[SYSTEM R2PŁATNIK PRO: zarządzanie pracownikami / Arbeitsverwaltung],MATCH($B101,tab_MinKomp[[Stanowisko / Position ]:[Stanowisko / Position ]],0)))</f>
        <v>n/a</v>
      </c>
      <c r="T102" s="343">
        <f>IF(INDEX(tab_MinKomp[Doradztwo, wsparcie personalne / Personalberatung und Unterstützung],MATCH($B101,tab_MinKomp[[Stanowisko / Position ]:[Stanowisko / Position ]],0))="n/a","n/a",T101-INDEX(tab_MinKomp[Doradztwo, wsparcie personalne / Personalberatung und Unterstützung],MATCH($B101,tab_MinKomp[[Stanowisko / Position ]:[Stanowisko / Position ]],0)))</f>
        <v>0</v>
      </c>
      <c r="U102" s="343" t="str">
        <f>IF(INDEX(tab_MinKomp[Przepisy o podatku VAT / MwSt.- Gesetz],MATCH($B101,tab_MinKomp[[Stanowisko / Position ]:[Stanowisko / Position ]],0))="n/a","n/a",U101-INDEX(tab_MinKomp[Przepisy o podatku VAT / MwSt.- Gesetz],MATCH($B101,tab_MinKomp[[Stanowisko / Position ]:[Stanowisko / Position ]],0)))</f>
        <v>n/a</v>
      </c>
      <c r="V102" s="343" t="str">
        <f>IF(INDEX(tab_MinKomp[PrzepisyPDOP / geschäftlich Einkommensteuergesetz],MATCH($B101,tab_MinKomp[[Stanowisko / Position ]:[Stanowisko / Position ]],0))="n/a","n/a",V101-INDEX(tab_MinKomp[PrzepisyPDOP / geschäftlich Einkommensteuergesetz],MATCH($B101,tab_MinKomp[[Stanowisko / Position ]:[Stanowisko / Position ]],0)))</f>
        <v>n/a</v>
      </c>
      <c r="W102" s="343" t="str">
        <f>IF(INDEX(tab_MinKomp[System BAAN / FINANSE (FIBU)],MATCH($B101,tab_MinKomp[[Stanowisko / Position ]:[Stanowisko / Position ]],0))="n/a","n/a",W101-INDEX(tab_MinKomp[System BAAN / FINANSE (FIBU)],MATCH($B101,tab_MinKomp[[Stanowisko / Position ]:[Stanowisko / Position ]],0)))</f>
        <v>n/a</v>
      </c>
      <c r="X102" s="343" t="str">
        <f>IF(INDEX(tab_MinKomp[Systemy pomocnicze / Hilfssysteme(STOCKPROGRAM, KALK2000 etc.)],MATCH($B101,tab_MinKomp[[Stanowisko / Position ]:[Stanowisko / Position ]],0))="n/a","n/a",X101-INDEX(tab_MinKomp[Systemy pomocnicze / Hilfssysteme(STOCKPROGRAM, KALK2000 etc.)],MATCH($B101,tab_MinKomp[[Stanowisko / Position ]:[Stanowisko / Position ]],0)))</f>
        <v>n/a</v>
      </c>
      <c r="Y102" s="343" t="str">
        <f>IF(INDEX(tab_MinKomp[Polityka rachunkowości / Buchführungspolitik],MATCH($B101,tab_MinKomp[[Stanowisko / Position ]:[Stanowisko / Position ]],0))="n/a","n/a",Y101-INDEX(tab_MinKomp[Polityka rachunkowości / Buchführungspolitik],MATCH($B101,tab_MinKomp[[Stanowisko / Position ]:[Stanowisko / Position ]],0)))</f>
        <v>n/a</v>
      </c>
      <c r="Z102" s="343" t="str">
        <f>IF(INDEX(tab_MinKomp[Ustawa o rachunkowości / Rechnungslegungsgesetz],MATCH($B101,tab_MinKomp[[Stanowisko / Position ]:[Stanowisko / Position ]],0))="n/a","n/a",Z101-INDEX(tab_MinKomp[Ustawa o rachunkowości / Rechnungslegungsgesetz],MATCH($B101,tab_MinKomp[[Stanowisko / Position ]:[Stanowisko / Position ]],0)))</f>
        <v>n/a</v>
      </c>
      <c r="AA102" s="343" t="str">
        <f>IF(INDEX(tab_MinKomp[WORKFLOW - TS-100],MATCH($B101,tab_MinKomp[[Stanowisko / Position ]:[Stanowisko / Position ]],0))="n/a","n/a",AA101-INDEX(tab_MinKomp[WORKFLOW - TS-100],MATCH($B101,tab_MinKomp[[Stanowisko / Position ]:[Stanowisko / Position ]],0)))</f>
        <v>n/a</v>
      </c>
      <c r="AB102" s="343" t="str">
        <f>IF(INDEX(tab_MinKomp[WORKFLOW - SFMS],MATCH($B101,tab_MinKomp[[Stanowisko / Position ]:[Stanowisko / Position ]],0))="n/a","n/a",AB101-INDEX(tab_MinKomp[WORKFLOW - SFMS],MATCH($B101,tab_MinKomp[[Stanowisko / Position ]:[Stanowisko / Position ]],0)))</f>
        <v>n/a</v>
      </c>
      <c r="AC102" s="343" t="str">
        <f>IF(INDEX(tab_MinKomp[System ISO 9001:2015],MATCH($B101,tab_MinKomp[[Stanowisko / Position ]:[Stanowisko / Position ]],0))="n/a","n/a",AC101-INDEX(tab_MinKomp[System ISO 9001:2015],MATCH($B101,tab_MinKomp[[Stanowisko / Position ]:[Stanowisko / Position ]],0)))</f>
        <v>n/a</v>
      </c>
      <c r="AD102" s="343" t="str">
        <f>IF(INDEX(tab_MinKomp[System IATF 16949:2016],MATCH($B101,tab_MinKomp[[Stanowisko / Position ]:[Stanowisko / Position ]],0))="n/a","n/a",AD101-INDEX(tab_MinKomp[System IATF 16949:2016],MATCH($B101,tab_MinKomp[[Stanowisko / Position ]:[Stanowisko / Position ]],0)))</f>
        <v>n/a</v>
      </c>
      <c r="AE102" s="343" t="str">
        <f>IF(INDEX(tab_MinKomp[System ISO 14001:2015],MATCH($B101,tab_MinKomp[[Stanowisko / Position ]:[Stanowisko / Position ]],0))="n/a","n/a",AE101-INDEX(tab_MinKomp[System ISO 14001:2015],MATCH($B101,tab_MinKomp[[Stanowisko / Position ]:[Stanowisko / Position ]],0)))</f>
        <v>n/a</v>
      </c>
      <c r="AF102" s="343" t="str">
        <f>IF(INDEX(tab_MinKomp[System PN-N 18001:2004 / ISO 45001:2018],MATCH($B101,tab_MinKomp[[Stanowisko / Position ]:[Stanowisko / Position ]],0))="n/a","n/a",AF101-INDEX(tab_MinKomp[System PN-N 18001:2004 / ISO 45001:2018],MATCH($B101,tab_MinKomp[[Stanowisko / Position ]:[Stanowisko / Position ]],0)))</f>
        <v>n/a</v>
      </c>
      <c r="AG102" s="343" t="str">
        <f>IF(INDEX(tab_MinKomp[Wymagania VDA 6.3 Process / Forderungen],MATCH($B101,tab_MinKomp[[Stanowisko / Position ]:[Stanowisko / Position ]],0))="n/a","n/a",AG101-INDEX(tab_MinKomp[Wymagania VDA 6.3 Process / Forderungen],MATCH($B101,tab_MinKomp[[Stanowisko / Position ]:[Stanowisko / Position ]],0)))</f>
        <v>n/a</v>
      </c>
      <c r="AH102" s="343" t="str">
        <f>IF(INDEX(tab_MinKomp[Wymagania VDA 6.5 Product / Forderungen],MATCH($B101,tab_MinKomp[[Stanowisko / Position ]:[Stanowisko / Position ]],0))="n/a","n/a",AH101-INDEX(tab_MinKomp[Wymagania VDA 6.5 Product / Forderungen],MATCH($B101,tab_MinKomp[[Stanowisko / Position ]:[Stanowisko / Position ]],0)))</f>
        <v>n/a</v>
      </c>
      <c r="AI102" s="343" t="str">
        <f>IF(INDEX(tab_MinKomp[PSCR (VW Product Safety &amp; Conformity Representative)],MATCH($B101,tab_MinKomp[[Stanowisko / Position ]:[Stanowisko / Position ]],0))="n/a","n/a",AI101-INDEX(tab_MinKomp[PSCR (VW Product Safety &amp; Conformity Representative)],MATCH($B101,tab_MinKomp[[Stanowisko / Position ]:[Stanowisko / Position ]],0)))</f>
        <v>n/a</v>
      </c>
      <c r="AJ102" s="343" t="str">
        <f>IF(INDEX(tab_MinKomp[Auditor systemu ISO 17025:2018],MATCH($B101,tab_MinKomp[[Stanowisko / Position ]:[Stanowisko / Position ]],0))="n/a","n/a",AJ101-INDEX(tab_MinKomp[Auditor systemu ISO 17025:2018],MATCH($B101,tab_MinKomp[[Stanowisko / Position ]:[Stanowisko / Position ]],0)))</f>
        <v>n/a</v>
      </c>
      <c r="AK102" s="343" t="str">
        <f>IF(INDEX(tab_MinKomp[Pełnomocnik systemu / Systemvertreter],MATCH($B101,tab_MinKomp[[Stanowisko / Position ]:[Stanowisko / Position ]],0))="n/a","n/a",AK101-INDEX(tab_MinKomp[Pełnomocnik systemu / Systemvertreter],MATCH($B101,tab_MinKomp[[Stanowisko / Position ]:[Stanowisko / Position ]],0)))</f>
        <v>n/a</v>
      </c>
      <c r="AL102" s="343" t="str">
        <f>IF(INDEX(tab_MinKomp[Polityka Etyczna - Compliance],MATCH($B101,tab_MinKomp[[Stanowisko / Position ]:[Stanowisko / Position ]],0))="n/a","n/a",AL101-INDEX(tab_MinKomp[Polityka Etyczna - Compliance],MATCH($B101,tab_MinKomp[[Stanowisko / Position ]:[Stanowisko / Position ]],0)))</f>
        <v>n/a</v>
      </c>
      <c r="AM102" s="343" t="str">
        <f>IF(INDEX(tab_MinKomp[WDRAŻANIE NOWYCH PROJEKTÓW/ PROCEDURA CTM],MATCH($B101,tab_MinKomp[[Stanowisko / Position ]:[Stanowisko / Position ]],0))="n/a","n/a",AM101-INDEX(tab_MinKomp[WDRAŻANIE NOWYCH PROJEKTÓW/ PROCEDURA CTM],MATCH($B101,tab_MinKomp[[Stanowisko / Position ]:[Stanowisko / Position ]],0)))</f>
        <v>n/a</v>
      </c>
      <c r="AN102" s="343" t="str">
        <f>IF(INDEX(tab_MinKomp[KAMIENIE MILOWE MSL/PIFF],MATCH($B101,tab_MinKomp[[Stanowisko / Position ]:[Stanowisko / Position ]],0))="n/a","n/a",AN101-INDEX(tab_MinKomp[KAMIENIE MILOWE MSL/PIFF],MATCH($B101,tab_MinKomp[[Stanowisko / Position ]:[Stanowisko / Position ]],0)))</f>
        <v>n/a</v>
      </c>
      <c r="AO102" s="343">
        <f>IF(INDEX(tab_MinKomp[CP],MATCH($B101,tab_MinKomp[[Stanowisko / Position ]:[Stanowisko / Position ]],0))="n/a","n/a",AO101-INDEX(tab_MinKomp[CP],MATCH($B101,tab_MinKomp[[Stanowisko / Position ]:[Stanowisko / Position ]],0)))</f>
        <v>0</v>
      </c>
      <c r="AP102" s="343" t="str">
        <f>IF(INDEX(tab_MinKomp[FMEA],MATCH($B101,tab_MinKomp[[Stanowisko / Position ]:[Stanowisko / Position ]],0))="n/a","n/a",AP101-INDEX(tab_MinKomp[FMEA],MATCH($B101,tab_MinKomp[[Stanowisko / Position ]:[Stanowisko / Position ]],0)))</f>
        <v>n/a</v>
      </c>
      <c r="AQ102" s="343">
        <f>IF(INDEX(tab_MinKomp[FLOW CHART],MATCH($B101,tab_MinKomp[[Stanowisko / Position ]:[Stanowisko / Position ]],0))="n/a","n/a",AQ101-INDEX(tab_MinKomp[FLOW CHART],MATCH($B101,tab_MinKomp[[Stanowisko / Position ]:[Stanowisko / Position ]],0)))</f>
        <v>0</v>
      </c>
      <c r="AR102" s="343" t="str">
        <f>IF(INDEX(tab_MinKomp[APQP],MATCH($B101,tab_MinKomp[[Stanowisko / Position ]:[Stanowisko / Position ]],0))="n/a","n/a",AR101-INDEX(tab_MinKomp[APQP],MATCH($B101,tab_MinKomp[[Stanowisko / Position ]:[Stanowisko / Position ]],0)))</f>
        <v>n/a</v>
      </c>
      <c r="AS102" s="343" t="str">
        <f>IF(INDEX(tab_MinKomp[MSA],MATCH($B101,tab_MinKomp[[Stanowisko / Position ]:[Stanowisko / Position ]],0))="n/a","n/a",AS101-INDEX(tab_MinKomp[MSA],MATCH($B101,tab_MinKomp[[Stanowisko / Position ]:[Stanowisko / Position ]],0)))</f>
        <v>n/a</v>
      </c>
      <c r="AT102" s="343" t="str">
        <f>IF(INDEX(tab_MinKomp[SPC],MATCH($B101,tab_MinKomp[[Stanowisko / Position ]:[Stanowisko / Position ]],0))="n/a","n/a",AT101-INDEX(tab_MinKomp[SPC],MATCH($B101,tab_MinKomp[[Stanowisko / Position ]:[Stanowisko / Position ]],0)))</f>
        <v>n/a</v>
      </c>
      <c r="AU102" s="343">
        <f>IF(INDEX(tab_MinKomp[CSR (SPECYFICZNE WYMAGANIA KLIENTA)],MATCH($B101,tab_MinKomp[[Stanowisko / Position ]:[Stanowisko / Position ]],0))="n/a","n/a",AU101-INDEX(tab_MinKomp[CSR (SPECYFICZNE WYMAGANIA KLIENTA)],MATCH($B101,tab_MinKomp[[Stanowisko / Position ]:[Stanowisko / Position ]],0)))</f>
        <v>0</v>
      </c>
      <c r="AV102" s="343">
        <f>IF(INDEX(tab_MinKomp[5S],MATCH($B101,tab_MinKomp[[Stanowisko / Position ]:[Stanowisko / Position ]],0))="n/a","n/a",AV101-INDEX(tab_MinKomp[5S],MATCH($B101,tab_MinKomp[[Stanowisko / Position ]:[Stanowisko / Position ]],0)))</f>
        <v>0</v>
      </c>
      <c r="AW102" s="343">
        <f>IF(INDEX(tab_MinKomp[LEAN MANAGEMENT],MATCH($B101,tab_MinKomp[[Stanowisko / Position ]:[Stanowisko / Position ]],0))="n/a","n/a",AW101-INDEX(tab_MinKomp[LEAN MANAGEMENT],MATCH($B101,tab_MinKomp[[Stanowisko / Position ]:[Stanowisko / Position ]],0)))</f>
        <v>0</v>
      </c>
      <c r="AX102" s="343" t="str">
        <f>IF(INDEX(tab_MinKomp[5R],MATCH($B101,tab_MinKomp[[Stanowisko / Position ]:[Stanowisko / Position ]],0))="n/a","n/a",AX101-INDEX(tab_MinKomp[5R],MATCH($B101,tab_MinKomp[[Stanowisko / Position ]:[Stanowisko / Position ]],0)))</f>
        <v>n/a</v>
      </c>
      <c r="AY102" s="343" t="str">
        <f>IF(INDEX(tab_MinKomp[Six Sigma],MATCH($B101,tab_MinKomp[[Stanowisko / Position ]:[Stanowisko / Position ]],0))="n/a","n/a",AY101-INDEX(tab_MinKomp[Six Sigma],MATCH($B101,tab_MinKomp[[Stanowisko / Position ]:[Stanowisko / Position ]],0)))</f>
        <v>n/a</v>
      </c>
      <c r="AZ102" s="343" t="str">
        <f>IF(INDEX(tab_MinKomp[System BAAN / Distribution &amp; Supply Chain],MATCH($B101,tab_MinKomp[[Stanowisko / Position ]:[Stanowisko / Position ]],0))="n/a","n/a",AZ101-INDEX(tab_MinKomp[System BAAN / Distribution &amp; Supply Chain],MATCH($B101,tab_MinKomp[[Stanowisko / Position ]:[Stanowisko / Position ]],0)))</f>
        <v>n/a</v>
      </c>
      <c r="BA102" s="343">
        <f>IF(INDEX(tab_MinKomp[Gospodarka magazynowa / Lagerverwaltung],MATCH($B101,tab_MinKomp[[Stanowisko / Position ]:[Stanowisko / Position ]],0))="n/a","n/a",BA101-INDEX(tab_MinKomp[Gospodarka magazynowa / Lagerverwaltung],MATCH($B101,tab_MinKomp[[Stanowisko / Position ]:[Stanowisko / Position ]],0)))</f>
        <v>0</v>
      </c>
      <c r="BB102" s="343">
        <f>IF(INDEX(tab_MinKomp[Inwentaryzacja - organizacja i przebieg / Inventurprozess],MATCH($B101,tab_MinKomp[[Stanowisko / Position ]:[Stanowisko / Position ]],0))="n/a","n/a",BB101-INDEX(tab_MinKomp[Inwentaryzacja - organizacja i przebieg / Inventurprozess],MATCH($B101,tab_MinKomp[[Stanowisko / Position ]:[Stanowisko / Position ]],0)))</f>
        <v>0</v>
      </c>
      <c r="BC102" s="343" t="str">
        <f>IF(INDEX(tab_MinKomp[Organizacja dostaw / Versorgungsorganisation],MATCH($B101,tab_MinKomp[[Stanowisko / Position ]:[Stanowisko / Position ]],0))="n/a","n/a",BC101-INDEX(tab_MinKomp[Organizacja dostaw / Versorgungsorganisation],MATCH($B101,tab_MinKomp[[Stanowisko / Position ]:[Stanowisko / Position ]],0)))</f>
        <v>n/a</v>
      </c>
      <c r="BD102" s="343" t="str">
        <f>IF(INDEX(tab_MinKomp[Organizacja wysyłek / Organisation von Lieferungen],MATCH($B101,tab_MinKomp[[Stanowisko / Position ]:[Stanowisko / Position ]],0))="n/a","n/a",BD101-INDEX(tab_MinKomp[Organizacja wysyłek / Organisation von Lieferungen],MATCH($B101,tab_MinKomp[[Stanowisko / Position ]:[Stanowisko / Position ]],0)))</f>
        <v>n/a</v>
      </c>
      <c r="BE102" s="343" t="str">
        <f>IF(INDEX(tab_MinKomp[Analiza magazynowa - Program Polen.mdb / Inventuranalyse],MATCH($B101,tab_MinKomp[[Stanowisko / Position ]:[Stanowisko / Position ]],0))="n/a","n/a",BE101-INDEX(tab_MinKomp[Analiza magazynowa - Program Polen.mdb / Inventuranalyse],MATCH($B101,tab_MinKomp[[Stanowisko / Position ]:[Stanowisko / Position ]],0)))</f>
        <v>n/a</v>
      </c>
      <c r="BF102" s="315" t="str">
        <f>IF(INDEX(tab_MinKomp[MMOG (Materials Management Operations Guidelines)],MATCH($B101,tab_MinKomp[[Stanowisko / Position ]:[Stanowisko / Position ]],0))="n/a","n/a",BF101-INDEX(tab_MinKomp[MMOG (Materials Management Operations Guidelines)],MATCH($B101,tab_MinKomp[[Stanowisko / Position ]:[Stanowisko / Position ]],0)))</f>
        <v>n/a</v>
      </c>
      <c r="BG102" s="315" t="str">
        <f>IF(INDEX(tab_MinKomp[GPP],MATCH($B101,tab_MinKomp[[Stanowisko / Position ]:[Stanowisko / Position ]],0))="n/a","n/a",BG101-INDEX(tab_MinKomp[GPP],MATCH($B101,tab_MinKomp[[Stanowisko / Position ]:[Stanowisko / Position ]],0)))</f>
        <v>n/a</v>
      </c>
      <c r="BH102" s="315" t="str">
        <f>IF(INDEX(tab_MinKomp[AIAG (Automotive Industry Action Group)],MATCH($B101,tab_MinKomp[[Stanowisko / Position ]:[Stanowisko / Position ]],0))="n/a","n/a",BH101-INDEX(tab_MinKomp[AIAG (Automotive Industry Action Group)],MATCH($B101,tab_MinKomp[[Stanowisko / Position ]:[Stanowisko / Position ]],0)))</f>
        <v>n/a</v>
      </c>
      <c r="BI102" s="315" t="str">
        <f>IF(INDEX(tab_MinKomp[Super-G disputes],MATCH($B101,tab_MinKomp[[Stanowisko / Position ]:[Stanowisko / Position ]],0))="n/a","n/a",BI101-INDEX(tab_MinKomp[Super-G disputes],MATCH($B101,tab_MinKomp[[Stanowisko / Position ]:[Stanowisko / Position ]],0)))</f>
        <v>n/a</v>
      </c>
      <c r="BJ102" s="315" t="str">
        <f>IF(INDEX(tab_MinKomp[CMMS3/eDDL (Direct Data Link)],MATCH($B101,tab_MinKomp[[Stanowisko / Position ]:[Stanowisko / Position ]],0))="n/a","n/a",BJ101-INDEX(tab_MinKomp[CMMS3/eDDL (Direct Data Link)],MATCH($B101,tab_MinKomp[[Stanowisko / Position ]:[Stanowisko / Position ]],0)))</f>
        <v>n/a</v>
      </c>
      <c r="BK102" s="315" t="str">
        <f>IF(INDEX(tab_MinKomp[MP&amp;L (Material Planning and Logistics)],MATCH($B101,tab_MinKomp[[Stanowisko / Position ]:[Stanowisko / Position ]],0))="n/a","n/a",BK101-INDEX(tab_MinKomp[MP&amp;L (Material Planning and Logistics)],MATCH($B101,tab_MinKomp[[Stanowisko / Position ]:[Stanowisko / Position ]],0)))</f>
        <v>n/a</v>
      </c>
      <c r="BL102" s="315" t="str">
        <f>IF(INDEX(tab_MinKomp[Supplier delivery rating],MATCH($B101,tab_MinKomp[[Stanowisko / Position ]:[Stanowisko / Position ]],0))="n/a","n/a",BL101-INDEX(tab_MinKomp[Supplier delivery rating],MATCH($B101,tab_MinKomp[[Stanowisko / Position ]:[Stanowisko / Position ]],0)))</f>
        <v>n/a</v>
      </c>
      <c r="BM102" s="343">
        <f>IF(INDEX(tab_MinKomp[Planowanie produkcji / Produktionsplanung],MATCH($B101,tab_MinKomp[[Stanowisko / Position ]:[Stanowisko / Position ]],0))="n/a","n/a",BM101-INDEX(tab_MinKomp[Planowanie produkcji / Produktionsplanung],MATCH($B101,tab_MinKomp[[Stanowisko / Position ]:[Stanowisko / Position ]],0)))</f>
        <v>0</v>
      </c>
      <c r="BN102" s="343" t="str">
        <f>IF(INDEX(tab_MinKomp[Obsługa maszyn Engel / Engel Maschinenbedienung],MATCH($B101,tab_MinKomp[[Stanowisko / Position ]:[Stanowisko / Position ]],0))="n/a","n/a",BN101-INDEX(tab_MinKomp[Obsługa maszyn Engel / Engel Maschinenbedienung],MATCH($B101,tab_MinKomp[[Stanowisko / Position ]:[Stanowisko / Position ]],0)))</f>
        <v>n/a</v>
      </c>
      <c r="BO102" s="343" t="str">
        <f>IF(INDEX(tab_MinKomp[Obsługa maszyn KVT / KVT Maschinenbedienung],MATCH($B101,tab_MinKomp[[Stanowisko / Position ]:[Stanowisko / Position ]],0))="n/a","n/a",BO101-INDEX(tab_MinKomp[Obsługa maszyn KVT / KVT Maschinenbedienung],MATCH($B101,tab_MinKomp[[Stanowisko / Position ]:[Stanowisko / Position ]],0)))</f>
        <v>n/a</v>
      </c>
      <c r="BP102" s="343" t="str">
        <f>IF(INDEX(tab_MinKomp[Obsługa maszyn KVT / KVT Maschinenbedienung],MATCH($B101,tab_MinKomp[[Stanowisko / Position ]:[Stanowisko / Position ]],0))="n/a","n/a",BP101-INDEX(tab_MinKomp[Obsługa maszyn KVT / KVT Maschinenbedienung],MATCH($B101,tab_MinKomp[[Stanowisko / Position ]:[Stanowisko / Position ]],0)))</f>
        <v>n/a</v>
      </c>
      <c r="BQ102" s="343" t="str">
        <f>IF(INDEX(tab_MinKomp[Obsługa maszyn ASL / ASL Maschinenbedienung],MATCH($B101,tab_MinKomp[[Stanowisko / Position ]:[Stanowisko / Position ]],0))="n/a","n/a",BQ101-INDEX(tab_MinKomp[Obsługa maszyn ASL / ASL Maschinenbedienung],MATCH($B101,tab_MinKomp[[Stanowisko / Position ]:[Stanowisko / Position ]],0)))</f>
        <v>n/a</v>
      </c>
      <c r="BR102" s="343" t="str">
        <f>IF(INDEX(tab_MinKomp[Obsługa maszyn Branson / Branson Maschinenbedienung],MATCH($B101,tab_MinKomp[[Stanowisko / Position ]:[Stanowisko / Position ]],0))="n/a","n/a",BR101-INDEX(tab_MinKomp[Obsługa maszyn Branson / Branson Maschinenbedienung],MATCH($B101,tab_MinKomp[[Stanowisko / Position ]:[Stanowisko / Position ]],0)))</f>
        <v>n/a</v>
      </c>
      <c r="BS102" s="343">
        <f>IF(INDEX(tab_MinKomp[Obsługa maszyn Novapax / Novapax Maschinenbedienung],MATCH($B101,tab_MinKomp[[Stanowisko / Position ]:[Stanowisko / Position ]],0))="n/a","n/a",BS101-INDEX(tab_MinKomp[Obsługa maszyn Novapax / Novapax Maschinenbedienung],MATCH($B101,tab_MinKomp[[Stanowisko / Position ]:[Stanowisko / Position ]],0)))</f>
        <v>0</v>
      </c>
      <c r="BT102" s="343" t="str">
        <f>IF(INDEX(tab_MinKomp[Obsługa maszyn Piovan / Piovan Maschinenbedienung],MATCH($B101,tab_MinKomp[[Stanowisko / Position ]:[Stanowisko / Position ]],0))="n/a","n/a",BT101-INDEX(tab_MinKomp[Obsługa maszyn Piovan / Piovan Maschinenbedienung],MATCH($B101,tab_MinKomp[[Stanowisko / Position ]:[Stanowisko / Position ]],0)))</f>
        <v>n/a</v>
      </c>
      <c r="BU102" s="343">
        <f>IF(INDEX(tab_MinKomp[Obsługa maszyn Novapax / Novapax Maschinenbedienung],MATCH($B101,tab_MinKomp[[Stanowisko / Position ]:[Stanowisko / Position ]],0))="n/a","n/a",BU101-INDEX(tab_MinKomp[Obsługa maszyn Novapax / Novapax Maschinenbedienung],MATCH($B101,tab_MinKomp[[Stanowisko / Position ]:[Stanowisko / Position ]],0)))</f>
        <v>0</v>
      </c>
      <c r="BV102" s="343">
        <f>IF(INDEX(tab_MinKomp[Eliminacja awarii / Beseitigung von Ausfällen],MATCH($B101,tab_MinKomp[[Stanowisko / Position ]:[Stanowisko / Position ]],0))="n/a","n/a",BV101-INDEX(tab_MinKomp[Eliminacja awarii / Beseitigung von Ausfällen],MATCH($B101,tab_MinKomp[[Stanowisko / Position ]:[Stanowisko / Position ]],0)))</f>
        <v>0</v>
      </c>
      <c r="BW102" s="343" t="str">
        <f>IF(INDEX(tab_MinKomp[Informatyka ogólna (techniczne i systemowe) / Allgemeine IT (Technik und System)],MATCH($B101,tab_MinKomp[[Stanowisko / Position ]:[Stanowisko / Position ]],0))="n/a","n/a",BW101-INDEX(tab_MinKomp[Informatyka ogólna (techniczne i systemowe) / Allgemeine IT (Technik und System)],MATCH($B101,tab_MinKomp[[Stanowisko / Position ]:[Stanowisko / Position ]],0)))</f>
        <v>n/a</v>
      </c>
      <c r="BX102" s="343" t="str">
        <f>IF(INDEX(tab_MinKomp[Sieci komputerowe / Computernetzwerke],MATCH($B101,tab_MinKomp[[Stanowisko / Position ]:[Stanowisko / Position ]],0))="n/a","n/a",BX101-INDEX(tab_MinKomp[Sieci komputerowe / Computernetzwerke],MATCH($B101,tab_MinKomp[[Stanowisko / Position ]:[Stanowisko / Position ]],0)))</f>
        <v>n/a</v>
      </c>
      <c r="BY102" s="343" t="str">
        <f>IF(INDEX(tab_MinKomp[Hardware (komputery PC, drukarki biurowe i etykietowe, telefonia stacjonarna i mobilna) (PC, Drucker, Telefpne, Handys)],MATCH($B101,tab_MinKomp[[Stanowisko / Position ]:[Stanowisko / Position ]],0))="n/a","n/a",BY101-INDEX(tab_MinKomp[Hardware (komputery PC, drukarki biurowe i etykietowe, telefonia stacjonarna i mobilna) (PC, Drucker, Telefpne, Handys)],MATCH($B101,tab_MinKomp[[Stanowisko / Position ]:[Stanowisko / Position ]],0)))</f>
        <v>n/a</v>
      </c>
      <c r="BZ102" s="343" t="str">
        <f>IF(INDEX(tab_MinKomp[Software &amp; Systems (MS Office, MS Remote Desktop)],MATCH($B101,tab_MinKomp[[Stanowisko / Position ]:[Stanowisko / Position ]],0))="n/a","n/a",BZ101-INDEX(tab_MinKomp[Software &amp; Systems (MS Office, MS Remote Desktop)],MATCH($B101,tab_MinKomp[[Stanowisko / Position ]:[Stanowisko / Position ]],0)))</f>
        <v>n/a</v>
      </c>
      <c r="CA102" s="343" t="str">
        <f>IF(INDEX(tab_MinKomp[Programowanie obiektowe (PHP) / Objektprogrammierung],MATCH($B101,tab_MinKomp[[Stanowisko / Position ]:[Stanowisko / Position ]],0))="n/a","n/a",CA101-INDEX(tab_MinKomp[Programowanie obiektowe (PHP) / Objektprogrammierung],MATCH($B101,tab_MinKomp[[Stanowisko / Position ]:[Stanowisko / Position ]],0)))</f>
        <v>n/a</v>
      </c>
      <c r="CB102" s="343" t="str">
        <f>IF(INDEX(tab_MinKomp[Scrum],MATCH($B101,tab_MinKomp[[Stanowisko / Position ]:[Stanowisko / Position ]],0))="n/a","n/a",CB101-INDEX(tab_MinKomp[Scrum],MATCH($B101,tab_MinKomp[[Stanowisko / Position ]:[Stanowisko / Position ]],0)))</f>
        <v>n/a</v>
      </c>
      <c r="CC102" s="343" t="str">
        <f>IF(INDEX(tab_MinKomp[SQL (MySQL)],MATCH($B101,tab_MinKomp[[Stanowisko / Position ]:[Stanowisko / Position ]],0))="n/a","n/a",CC101-INDEX(tab_MinKomp[SQL (MySQL)],MATCH($B101,tab_MinKomp[[Stanowisko / Position ]:[Stanowisko / Position ]],0)))</f>
        <v>n/a</v>
      </c>
      <c r="CD102" s="343" t="str">
        <f>IF(INDEX(tab_MinKomp[Javascript],MATCH($B101,tab_MinKomp[[Stanowisko / Position ]:[Stanowisko / Position ]],0))="n/a","n/a",CD101-INDEX(tab_MinKomp[Javascript],MATCH($B101,tab_MinKomp[[Stanowisko / Position ]:[Stanowisko / Position ]],0)))</f>
        <v>n/a</v>
      </c>
      <c r="CE102" s="343" t="str">
        <f>IF(INDEX(tab_MinKomp[Joomla],MATCH($B101,tab_MinKomp[[Stanowisko / Position ]:[Stanowisko / Position ]],0))="n/a","n/a",CE101-INDEX(tab_MinKomp[Joomla],MATCH($B101,tab_MinKomp[[Stanowisko / Position ]:[Stanowisko / Position ]],0)))</f>
        <v>n/a</v>
      </c>
      <c r="CF102" s="343" t="str">
        <f>IF(INDEX(tab_MinKomp[Bash],MATCH($B101,tab_MinKomp[[Stanowisko / Position ]:[Stanowisko / Position ]],0))="n/a","n/a",CF101-INDEX(tab_MinKomp[Bash],MATCH($B101,tab_MinKomp[[Stanowisko / Position ]:[Stanowisko / Position ]],0)))</f>
        <v>n/a</v>
      </c>
      <c r="CG102" s="343">
        <f>IF(INDEX(tab_MinKomp[Systemy MES (HYDRA / SFMS)],MATCH($B101,tab_MinKomp[[Stanowisko / Position ]:[Stanowisko / Position ]],0))="n/a","n/a",CG101-INDEX(tab_MinKomp[Systemy MES (HYDRA / SFMS)],MATCH($B101,tab_MinKomp[[Stanowisko / Position ]:[Stanowisko / Position ]],0)))</f>
        <v>0</v>
      </c>
      <c r="CH102" s="343" t="str">
        <f>IF(INDEX(tab_MinKomp[HTML / CSS],MATCH($B101,tab_MinKomp[[Stanowisko / Position ]:[Stanowisko / Position ]],0))="n/a","n/a",CH101-INDEX(tab_MinKomp[HTML / CSS],MATCH($B101,tab_MinKomp[[Stanowisko / Position ]:[Stanowisko / Position ]],0)))</f>
        <v>n/a</v>
      </c>
      <c r="CI102" s="343" t="str">
        <f>IF(INDEX(tab_MinKomp[SYSTEM PR],MATCH($B101,tab_MinKomp[[Stanowisko / Position ]:[Stanowisko / Position ]],0))="n/a","n/a",CI101-INDEX(tab_MinKomp[SYSTEM PR],MATCH($B101,tab_MinKomp[[Stanowisko / Position ]:[Stanowisko / Position ]],0)))</f>
        <v>n/a</v>
      </c>
      <c r="CJ102" s="343" t="str">
        <f>IF(INDEX(tab_MinKomp[System Einkauf XP / EBA],MATCH($B101,tab_MinKomp[[Stanowisko / Position ]:[Stanowisko / Position ]],0))="n/a","n/a",CJ101-INDEX(tab_MinKomp[System Einkauf XP / EBA],MATCH($B101,tab_MinKomp[[Stanowisko / Position ]:[Stanowisko / Position ]],0)))</f>
        <v>n/a</v>
      </c>
      <c r="CK102" s="343" t="str">
        <f>IF(INDEX(tab_MinKomp[Techniki negocjacyjne / Verhandlungstechniken],MATCH($B101,tab_MinKomp[[Stanowisko / Position ]:[Stanowisko / Position ]],0))="n/a","n/a",CK101-INDEX(tab_MinKomp[Techniki negocjacyjne / Verhandlungstechniken],MATCH($B101,tab_MinKomp[[Stanowisko / Position ]:[Stanowisko / Position ]],0)))</f>
        <v>n/a</v>
      </c>
      <c r="CL102" s="343" t="str">
        <f>IF(INDEX(tab_MinKomp[Znajomość rynku branżowego / Kenntnis des Industrie Marktes],MATCH($B101,tab_MinKomp[[Stanowisko / Position ]:[Stanowisko / Position ]],0))="n/a","n/a",CL101-INDEX(tab_MinKomp[Znajomość rynku branżowego / Kenntnis des Industrie Marktes],MATCH($B101,tab_MinKomp[[Stanowisko / Position ]:[Stanowisko / Position ]],0)))</f>
        <v>n/a</v>
      </c>
      <c r="CM102" s="343">
        <f>IF(INDEX(tab_MinKomp[RAPORTY 8D / 8D Berichten],MATCH($B101,tab_MinKomp[[Stanowisko / Position ]:[Stanowisko / Position ]],0))="n/a","n/a",CM101-INDEX(tab_MinKomp[RAPORTY 8D / 8D Berichten],MATCH($B101,tab_MinKomp[[Stanowisko / Position ]:[Stanowisko / Position ]],0)))</f>
        <v>0</v>
      </c>
      <c r="CN102" s="343">
        <f>IF(INDEX(tab_MinKomp[NARZĘDZIA JAKOŚCIOWE (5WHY, Ishikawa, etc) / QS-Werkzeuge],MATCH($B101,tab_MinKomp[[Stanowisko / Position ]:[Stanowisko / Position ]],0))="n/a","n/a",CN101-INDEX(tab_MinKomp[NARZĘDZIA JAKOŚCIOWE (5WHY, Ishikawa, etc) / QS-Werkzeuge],MATCH($B101,tab_MinKomp[[Stanowisko / Position ]:[Stanowisko / Position ]],0)))</f>
        <v>0</v>
      </c>
      <c r="CO102" s="343">
        <f>IF(INDEX(tab_MinKomp[PDCA],MATCH($B101,tab_MinKomp[[Stanowisko / Position ]:[Stanowisko / Position ]],0))="n/a","n/a",CO101-INDEX(tab_MinKomp[PDCA],MATCH($B101,tab_MinKomp[[Stanowisko / Position ]:[Stanowisko / Position ]],0)))</f>
        <v>0</v>
      </c>
      <c r="CP102" s="343">
        <f>IF(INDEX(tab_MinKomp[Pareto],MATCH($B101,tab_MinKomp[[Stanowisko / Position ]:[Stanowisko / Position ]],0))="n/a","n/a",CP101-INDEX(tab_MinKomp[Pareto],MATCH($B101,tab_MinKomp[[Stanowisko / Position ]:[Stanowisko / Position ]],0)))</f>
        <v>0</v>
      </c>
      <c r="CQ102" s="343" t="str">
        <f>IF(INDEX(tab_MinKomp[PPAP/PSW],MATCH($B101,tab_MinKomp[[Stanowisko / Position ]:[Stanowisko / Position ]],0))="n/a","n/a",CQ101-INDEX(tab_MinKomp[PPAP/PSW],MATCH($B101,tab_MinKomp[[Stanowisko / Position ]:[Stanowisko / Position ]],0)))</f>
        <v>n/a</v>
      </c>
      <c r="CR102" s="343" t="str">
        <f>IF(INDEX(tab_MinKomp[SUPPLIER MANAGEMENT],MATCH($B101,tab_MinKomp[[Stanowisko / Position ]:[Stanowisko / Position ]],0))="n/a","n/a",CR101-INDEX(tab_MinKomp[SUPPLIER MANAGEMENT],MATCH($B101,tab_MinKomp[[Stanowisko / Position ]:[Stanowisko / Position ]],0)))</f>
        <v>n/a</v>
      </c>
      <c r="CS102" s="343" t="str">
        <f>IF(INDEX(tab_MinKomp[OBSŁUGA PORTALI KLIENTA / Kundenportale],MATCH($B101,tab_MinKomp[[Stanowisko / Position ]:[Stanowisko / Position ]],0))="n/a","n/a",CS101-INDEX(tab_MinKomp[OBSŁUGA PORTALI KLIENTA / Kundenportale],MATCH($B101,tab_MinKomp[[Stanowisko / Position ]:[Stanowisko / Position ]],0)))</f>
        <v>n/a</v>
      </c>
      <c r="CT102" s="343" t="str">
        <f>IF(INDEX(tab_MinKomp[Obsługa systemu BABTECQ / BABTECQ System],MATCH($B101,tab_MinKomp[[Stanowisko / Position ]:[Stanowisko / Position ]],0))="n/a","n/a",CT101-INDEX(tab_MinKomp[Obsługa systemu BABTECQ / BABTECQ System],MATCH($B101,tab_MinKomp[[Stanowisko / Position ]:[Stanowisko / Position ]],0)))</f>
        <v>n/a</v>
      </c>
      <c r="CU102" s="343" t="str">
        <f>IF(INDEX(tab_MinKomp[Rysunek techniczny / technische Zeichnung],MATCH($B101,tab_MinKomp[[Stanowisko / Position ]:[Stanowisko / Position ]],0))="n/a","n/a",CU101-INDEX(tab_MinKomp[Rysunek techniczny / technische Zeichnung],MATCH($B101,tab_MinKomp[[Stanowisko / Position ]:[Stanowisko / Position ]],0)))</f>
        <v>n/a</v>
      </c>
      <c r="CV102" s="343" t="str">
        <f>IF(INDEX(tab_MinKomp[Kalibracja / Kalibrierung],MATCH($B101,tab_MinKomp[[Stanowisko / Position ]:[Stanowisko / Position ]],0))="n/a","n/a",CV101-INDEX(tab_MinKomp[Kalibracja / Kalibrierung],MATCH($B101,tab_MinKomp[[Stanowisko / Position ]:[Stanowisko / Position ]],0)))</f>
        <v>n/a</v>
      </c>
      <c r="CW102" s="343" t="str">
        <f>IF(INDEX(tab_MinKomp[Rekwalifikacja / Requalifizierung],MATCH($B101,tab_MinKomp[[Stanowisko / Position ]:[Stanowisko / Position ]],0))="n/a","n/a",CW101-INDEX(tab_MinKomp[Rekwalifikacja / Requalifizierung],MATCH($B101,tab_MinKomp[[Stanowisko / Position ]:[Stanowisko / Position ]],0)))</f>
        <v>n/a</v>
      </c>
      <c r="CX102" s="315" t="str">
        <f>IF(INDEX(tab_MinKomp[CMM - Contura Zeiss],MATCH($B101,tab_MinKomp[[Stanowisko / Position ]:[Stanowisko / Position ]],0))="n/a","n/a",CX101-INDEX(tab_MinKomp[CMM - Contura Zeiss],MATCH($B101,tab_MinKomp[[Stanowisko / Position ]:[Stanowisko / Position ]],0)))</f>
        <v>n/a</v>
      </c>
      <c r="CY102" s="315" t="str">
        <f>IF(INDEX(tab_MinKomp[CMM - Contura Zeiss],MATCH($B101,tab_MinKomp[[Stanowisko / Position ]:[Stanowisko / Position ]],0))="n/a","n/a",CY101-INDEX(tab_MinKomp[CMM - Contura Zeiss],MATCH($B101,tab_MinKomp[[Stanowisko / Position ]:[Stanowisko / Position ]],0)))</f>
        <v>n/a</v>
      </c>
      <c r="CZ102" s="315" t="str">
        <f>IF(INDEX(tab_MinKomp[CMM - Contura Zeiss],MATCH($B101,tab_MinKomp[[Stanowisko / Position ]:[Stanowisko / Position ]],0))="n/a","n/a",CZ101-INDEX(tab_MinKomp[CMM - Contura Zeiss],MATCH($B101,tab_MinKomp[[Stanowisko / Position ]:[Stanowisko / Position ]],0)))</f>
        <v>n/a</v>
      </c>
      <c r="DA102" s="315" t="str">
        <f>IF(INDEX(tab_MinKomp[CMM - Contura Zeiss],MATCH($B101,tab_MinKomp[[Stanowisko / Position ]:[Stanowisko / Position ]],0))="n/a","n/a",DA101-INDEX(tab_MinKomp[CMM - Contura Zeiss],MATCH($B101,tab_MinKomp[[Stanowisko / Position ]:[Stanowisko / Position ]],0)))</f>
        <v>n/a</v>
      </c>
      <c r="DB102" s="315" t="str">
        <f>IF(INDEX(tab_MinKomp[CMM - Contura Zeiss],MATCH($B101,tab_MinKomp[[Stanowisko / Position ]:[Stanowisko / Position ]],0))="n/a","n/a",DB101-INDEX(tab_MinKomp[CMM - Contura Zeiss],MATCH($B101,tab_MinKomp[[Stanowisko / Position ]:[Stanowisko / Position ]],0)))</f>
        <v>n/a</v>
      </c>
      <c r="DC102" s="315" t="str">
        <f>IF(INDEX(tab_MinKomp[CMM - Contura Zeiss],MATCH($B101,tab_MinKomp[[Stanowisko / Position ]:[Stanowisko / Position ]],0))="n/a","n/a",DC101-INDEX(tab_MinKomp[CMM - Contura Zeiss],MATCH($B101,tab_MinKomp[[Stanowisko / Position ]:[Stanowisko / Position ]],0)))</f>
        <v>n/a</v>
      </c>
      <c r="DD102" s="315" t="str">
        <f>IF(INDEX(tab_MinKomp[Pisanie programów / Programme schreiben],MATCH($B101,tab_MinKomp[[Stanowisko / Position ]:[Stanowisko / Position ]],0))="n/a","n/a",DD101-INDEX(tab_MinKomp[Pisanie programów / Programme schreiben],MATCH($B101,tab_MinKomp[[Stanowisko / Position ]:[Stanowisko / Position ]],0)))</f>
        <v>n/a</v>
      </c>
      <c r="DE102" s="315" t="str">
        <f>IF(INDEX(tab_MinKomp[CMM - Contura Zeiss],MATCH($B101,tab_MinKomp[[Stanowisko / Position ]:[Stanowisko / Position ]],0))="n/a","n/a",DE101-INDEX(tab_MinKomp[CMM - Contura Zeiss],MATCH($B101,tab_MinKomp[[Stanowisko / Position ]:[Stanowisko / Position ]],0)))</f>
        <v>n/a</v>
      </c>
      <c r="DF102" s="315" t="str">
        <f>IF(INDEX(tab_MinKomp[CMM - Contura Zeiss],MATCH($B101,tab_MinKomp[[Stanowisko / Position ]:[Stanowisko / Position ]],0))="n/a","n/a",DF101-INDEX(tab_MinKomp[CMM - Contura Zeiss],MATCH($B101,tab_MinKomp[[Stanowisko / Position ]:[Stanowisko / Position ]],0)))</f>
        <v>n/a</v>
      </c>
      <c r="DG102" s="315" t="str">
        <f>IF(INDEX(tab_MinKomp[CMM - Contura Zeiss],MATCH($B101,tab_MinKomp[[Stanowisko / Position ]:[Stanowisko / Position ]],0))="n/a","n/a",DG101-INDEX(tab_MinKomp[CMM - Contura Zeiss],MATCH($B101,tab_MinKomp[[Stanowisko / Position ]:[Stanowisko / Position ]],0)))</f>
        <v>n/a</v>
      </c>
      <c r="DH102" s="315" t="str">
        <f>IF(INDEX(tab_MinKomp[CMM - Contura Zeiss],MATCH($B101,tab_MinKomp[[Stanowisko / Position ]:[Stanowisko / Position ]],0))="n/a","n/a",DH101-INDEX(tab_MinKomp[CMM - Contura Zeiss],MATCH($B101,tab_MinKomp[[Stanowisko / Position ]:[Stanowisko / Position ]],0)))</f>
        <v>n/a</v>
      </c>
      <c r="DI102" s="315" t="str">
        <f>IF(INDEX(tab_MinKomp[CMM - Contura Zeiss],MATCH($B101,tab_MinKomp[[Stanowisko / Position ]:[Stanowisko / Position ]],0))="n/a","n/a",DI101-INDEX(tab_MinKomp[CMM - Contura Zeiss],MATCH($B101,tab_MinKomp[[Stanowisko / Position ]:[Stanowisko / Position ]],0)))</f>
        <v>n/a</v>
      </c>
      <c r="DJ102" s="315" t="str">
        <f>IF(INDEX(tab_MinKomp[CMM - Contura Zeiss],MATCH($B101,tab_MinKomp[[Stanowisko / Position ]:[Stanowisko / Position ]],0))="n/a","n/a",DJ101-INDEX(tab_MinKomp[CMM - Contura Zeiss],MATCH($B101,tab_MinKomp[[Stanowisko / Position ]:[Stanowisko / Position ]],0)))</f>
        <v>n/a</v>
      </c>
      <c r="DK102" s="315" t="str">
        <f>IF(INDEX(tab_MinKomp[Pisanie programów / Programme schreiben],MATCH($B101,tab_MinKomp[[Stanowisko / Position ]:[Stanowisko / Position ]],0))="n/a","n/a",DK101-INDEX(tab_MinKomp[Pisanie programów / Programme schreiben],MATCH($B101,tab_MinKomp[[Stanowisko / Position ]:[Stanowisko / Position ]],0)))</f>
        <v>n/a</v>
      </c>
      <c r="DL102" s="315" t="str">
        <f>IF(INDEX(tab_MinKomp[CMM - Contura Zeiss],MATCH($B101,tab_MinKomp[[Stanowisko / Position ]:[Stanowisko / Position ]],0))="n/a","n/a",DL101-INDEX(tab_MinKomp[CMM - Contura Zeiss],MATCH($B101,tab_MinKomp[[Stanowisko / Position ]:[Stanowisko / Position ]],0)))</f>
        <v>n/a</v>
      </c>
      <c r="DM102" s="315" t="str">
        <f>IF(INDEX(tab_MinKomp[CMM - Contura Zeiss],MATCH($B101,tab_MinKomp[[Stanowisko / Position ]:[Stanowisko / Position ]],0))="n/a","n/a",DM101-INDEX(tab_MinKomp[CMM - Contura Zeiss],MATCH($B101,tab_MinKomp[[Stanowisko / Position ]:[Stanowisko / Position ]],0)))</f>
        <v>n/a</v>
      </c>
      <c r="DN102" s="315" t="str">
        <f>IF(INDEX(tab_MinKomp[CMM - Contura Zeiss],MATCH($B101,tab_MinKomp[[Stanowisko / Position ]:[Stanowisko / Position ]],0))="n/a","n/a",DN101-INDEX(tab_MinKomp[CMM - Contura Zeiss],MATCH($B101,tab_MinKomp[[Stanowisko / Position ]:[Stanowisko / Position ]],0)))</f>
        <v>n/a</v>
      </c>
      <c r="DO102" s="315" t="str">
        <f>IF(INDEX(tab_MinKomp[CMM - Contura Zeiss],MATCH($B101,tab_MinKomp[[Stanowisko / Position ]:[Stanowisko / Position ]],0))="n/a","n/a",DO101-INDEX(tab_MinKomp[CMM - Contura Zeiss],MATCH($B101,tab_MinKomp[[Stanowisko / Position ]:[Stanowisko / Position ]],0)))</f>
        <v>n/a</v>
      </c>
      <c r="DP102" s="315" t="str">
        <f>IF(INDEX(tab_MinKomp[CMM - Contura Zeiss],MATCH($B101,tab_MinKomp[[Stanowisko / Position ]:[Stanowisko / Position ]],0))="n/a","n/a",DP101-INDEX(tab_MinKomp[CMM - Contura Zeiss],MATCH($B101,tab_MinKomp[[Stanowisko / Position ]:[Stanowisko / Position ]],0)))</f>
        <v>n/a</v>
      </c>
      <c r="DQ102" s="315" t="str">
        <f>IF(INDEX(tab_MinKomp[CMM - Contura Zeiss],MATCH($B101,tab_MinKomp[[Stanowisko / Position ]:[Stanowisko / Position ]],0))="n/a","n/a",DQ101-INDEX(tab_MinKomp[CMM - Contura Zeiss],MATCH($B101,tab_MinKomp[[Stanowisko / Position ]:[Stanowisko / Position ]],0)))</f>
        <v>n/a</v>
      </c>
      <c r="DR102" s="315" t="str">
        <f>IF(INDEX(tab_MinKomp[Pisanie programów / Programme schreiben],MATCH($B101,tab_MinKomp[[Stanowisko / Position ]:[Stanowisko / Position ]],0))="n/a","n/a",DR101-INDEX(tab_MinKomp[Pisanie programów / Programme schreiben],MATCH($B101,tab_MinKomp[[Stanowisko / Position ]:[Stanowisko / Position ]],0)))</f>
        <v>n/a</v>
      </c>
      <c r="DS102" s="315" t="str">
        <f>IF(INDEX(tab_MinKomp[CMM - Contura Zeiss],MATCH($B101,tab_MinKomp[[Stanowisko / Position ]:[Stanowisko / Position ]],0))="n/a","n/a",DS101-INDEX(tab_MinKomp[CMM - Contura Zeiss],MATCH($B101,tab_MinKomp[[Stanowisko / Position ]:[Stanowisko / Position ]],0)))</f>
        <v>n/a</v>
      </c>
      <c r="DT102" s="315" t="str">
        <f>IF(INDEX(tab_MinKomp[CMM - Contura Zeiss],MATCH($B101,tab_MinKomp[[Stanowisko / Position ]:[Stanowisko / Position ]],0))="n/a","n/a",DT101-INDEX(tab_MinKomp[CMM - Contura Zeiss],MATCH($B101,tab_MinKomp[[Stanowisko / Position ]:[Stanowisko / Position ]],0)))</f>
        <v>n/a</v>
      </c>
      <c r="DU102" s="315" t="str">
        <f>IF(INDEX(tab_MinKomp[CMM - Contura Zeiss],MATCH($B101,tab_MinKomp[[Stanowisko / Position ]:[Stanowisko / Position ]],0))="n/a","n/a",DU101-INDEX(tab_MinKomp[CMM - Contura Zeiss],MATCH($B101,tab_MinKomp[[Stanowisko / Position ]:[Stanowisko / Position ]],0)))</f>
        <v>n/a</v>
      </c>
      <c r="DV102" s="315" t="str">
        <f>IF(INDEX(tab_MinKomp[CMM - Contura Zeiss],MATCH($B101,tab_MinKomp[[Stanowisko / Position ]:[Stanowisko / Position ]],0))="n/a","n/a",DV101-INDEX(tab_MinKomp[CMM - Contura Zeiss],MATCH($B101,tab_MinKomp[[Stanowisko / Position ]:[Stanowisko / Position ]],0)))</f>
        <v>n/a</v>
      </c>
      <c r="DW102" s="315" t="str">
        <f>IF(INDEX(tab_MinKomp[CMM - Contura Zeiss],MATCH($B101,tab_MinKomp[[Stanowisko / Position ]:[Stanowisko / Position ]],0))="n/a","n/a",DW101-INDEX(tab_MinKomp[CMM - Contura Zeiss],MATCH($B101,tab_MinKomp[[Stanowisko / Position ]:[Stanowisko / Position ]],0)))</f>
        <v>n/a</v>
      </c>
      <c r="DX102" s="315" t="str">
        <f>IF(INDEX(tab_MinKomp[CMM - Contura Zeiss],MATCH($B101,tab_MinKomp[[Stanowisko / Position ]:[Stanowisko / Position ]],0))="n/a","n/a",DX101-INDEX(tab_MinKomp[CMM - Contura Zeiss],MATCH($B101,tab_MinKomp[[Stanowisko / Position ]:[Stanowisko / Position ]],0)))</f>
        <v>n/a</v>
      </c>
      <c r="DY102" s="343" t="str">
        <f>IF(INDEX(tab_MinKomp[Konserwacja Rep],MATCH($B101,tab_MinKomp[[Stanowisko / Position ]:[Stanowisko / Position ]],0))="n/a","n/a",DY101-INDEX(tab_MinKomp[Konserwacja Rep],MATCH($B101,tab_MinKomp[[Stanowisko / Position ]:[Stanowisko / Position ]],0)))</f>
        <v>n/a</v>
      </c>
      <c r="DZ102" s="343" t="str">
        <f>IF(INDEX(tab_MinKomp[[Konserwacja Engel ]],MATCH($B101,tab_MinKomp[[Stanowisko / Position ]:[Stanowisko / Position ]],0))="n/a","n/a",DZ101-INDEX(tab_MinKomp[[Konserwacja Engel ]],MATCH($B101,tab_MinKomp[[Stanowisko / Position ]:[Stanowisko / Position ]],0)))</f>
        <v>n/a</v>
      </c>
      <c r="EA102" s="343" t="str">
        <f>IF(INDEX(tab_MinKomp[Konserwacja B 50],MATCH($B101,tab_MinKomp[[Stanowisko / Position ]:[Stanowisko / Position ]],0))="n/a","n/a",EA101-INDEX(tab_MinKomp[Konserwacja B 50],MATCH($B101,tab_MinKomp[[Stanowisko / Position ]:[Stanowisko / Position ]],0)))</f>
        <v>n/a</v>
      </c>
      <c r="EB102" s="343" t="str">
        <f>IF(INDEX(tab_MinKomp[[Konserwacja EOL ]],MATCH($B101,tab_MinKomp[[Stanowisko / Position ]:[Stanowisko / Position ]],0))="n/a","n/a",EB101-INDEX(tab_MinKomp[[Konserwacja EOL ]],MATCH($B101,tab_MinKomp[[Stanowisko / Position ]:[Stanowisko / Position ]],0)))</f>
        <v>n/a</v>
      </c>
      <c r="EC102" s="343" t="str">
        <f>IF(INDEX(tab_MinKomp[Konserwacja Branson],MATCH($B101,tab_MinKomp[[Stanowisko / Position ]:[Stanowisko / Position ]],0))="n/a","n/a",EC101-INDEX(tab_MinKomp[Konserwacja Branson],MATCH($B101,tab_MinKomp[[Stanowisko / Position ]:[Stanowisko / Position ]],0)))</f>
        <v>n/a</v>
      </c>
      <c r="ED102" s="343" t="str">
        <f>IF(INDEX(tab_MinKomp[Konserwacja coolery],MATCH($B101,tab_MinKomp[[Stanowisko / Position ]:[Stanowisko / Position ]],0))="n/a","n/a",ED101-INDEX(tab_MinKomp[Konserwacja coolery],MATCH($B101,tab_MinKomp[[Stanowisko / Position ]:[Stanowisko / Position ]],0)))</f>
        <v>n/a</v>
      </c>
      <c r="EE102" s="343" t="str">
        <f>IF(INDEX(tab_MinKomp[Konserwacja piecy],MATCH($B101,tab_MinKomp[[Stanowisko / Position ]:[Stanowisko / Position ]],0))="n/a","n/a",EE101-INDEX(tab_MinKomp[Konserwacja piecy],MATCH($B101,tab_MinKomp[[Stanowisko / Position ]:[Stanowisko / Position ]],0)))</f>
        <v>n/a</v>
      </c>
      <c r="EF102" s="343" t="str">
        <f>IF(INDEX(tab_MinKomp[Rysunek techniczny- czytanie],MATCH($B101,tab_MinKomp[[Stanowisko / Position ]:[Stanowisko / Position ]],0))="n/a","n/a",EF101-INDEX(tab_MinKomp[Rysunek techniczny- czytanie],MATCH($B101,tab_MinKomp[[Stanowisko / Position ]:[Stanowisko / Position ]],0)))</f>
        <v>n/a</v>
      </c>
      <c r="EG102" s="343" t="str">
        <f>IF(INDEX(tab_MinKomp[Elektryka],MATCH($B101,tab_MinKomp[[Stanowisko / Position ]:[Stanowisko / Position ]],0))="n/a","n/a",EG101-INDEX(tab_MinKomp[Elektryka],MATCH($B101,tab_MinKomp[[Stanowisko / Position ]:[Stanowisko / Position ]],0)))</f>
        <v>n/a</v>
      </c>
      <c r="EH102" s="343" t="str">
        <f>IF(INDEX(tab_MinKomp[Pneumatyka],MATCH($B101,tab_MinKomp[[Stanowisko / Position ]:[Stanowisko / Position ]],0))="n/a","n/a",EH101-INDEX(tab_MinKomp[Pneumatyka],MATCH($B101,tab_MinKomp[[Stanowisko / Position ]:[Stanowisko / Position ]],0)))</f>
        <v>n/a</v>
      </c>
      <c r="EI102" s="343" t="str">
        <f>IF(INDEX(tab_MinKomp[[Hydraulika ]],MATCH($B101,tab_MinKomp[[Stanowisko / Position ]:[Stanowisko / Position ]],0))="n/a","n/a",EI101-INDEX(tab_MinKomp[[Hydraulika ]],MATCH($B101,tab_MinKomp[[Stanowisko / Position ]:[Stanowisko / Position ]],0)))</f>
        <v>n/a</v>
      </c>
      <c r="EJ102" s="343" t="str">
        <f>IF(INDEX(tab_MinKomp[Podciśnienie],MATCH($B101,tab_MinKomp[[Stanowisko / Position ]:[Stanowisko / Position ]],0))="n/a","n/a",EJ101-INDEX(tab_MinKomp[Podciśnienie],MATCH($B101,tab_MinKomp[[Stanowisko / Position ]:[Stanowisko / Position ]],0)))</f>
        <v>n/a</v>
      </c>
      <c r="EK102" s="343" t="str">
        <f>IF(INDEX(tab_MinKomp[Usuwanie awarii],MATCH($B101,tab_MinKomp[[Stanowisko / Position ]:[Stanowisko / Position ]],0))="n/a","n/a",EK101-INDEX(tab_MinKomp[Usuwanie awarii],MATCH($B101,tab_MinKomp[[Stanowisko / Position ]:[Stanowisko / Position ]],0)))</f>
        <v>n/a</v>
      </c>
      <c r="EL102" s="343" t="str">
        <f>IF(INDEX(tab_MinKomp[Obsługa robotów],MATCH($B101,tab_MinKomp[[Stanowisko / Position ]:[Stanowisko / Position ]],0))="n/a","n/a",EL101-INDEX(tab_MinKomp[Obsługa robotów],MATCH($B101,tab_MinKomp[[Stanowisko / Position ]:[Stanowisko / Position ]],0)))</f>
        <v>n/a</v>
      </c>
      <c r="EM102" s="343" t="str">
        <f>IF(INDEX(tab_MinKomp[Obsługa sterowania maszyny],MATCH($B101,tab_MinKomp[[Stanowisko / Position ]:[Stanowisko / Position ]],0))="n/a","n/a",EM101-INDEX(tab_MinKomp[Obsługa sterowania maszyny],MATCH($B101,tab_MinKomp[[Stanowisko / Position ]:[Stanowisko / Position ]],0)))</f>
        <v>n/a</v>
      </c>
      <c r="EN102" s="343" t="str">
        <f>IF(INDEX(tab_MinKomp[Usuwanie przyczyn żródłowych],MATCH($B101,tab_MinKomp[[Stanowisko / Position ]:[Stanowisko / Position ]],0))="n/a","n/a",EN101-INDEX(tab_MinKomp[Usuwanie przyczyn żródłowych],MATCH($B101,tab_MinKomp[[Stanowisko / Position ]:[Stanowisko / Position ]],0)))</f>
        <v>n/a</v>
      </c>
      <c r="EO102" s="343" t="str">
        <f>IF(INDEX(tab_MinKomp[Cmms stosowanie],MATCH($B101,tab_MinKomp[[Stanowisko / Position ]:[Stanowisko / Position ]],0))="n/a","n/a",EO101-INDEX(tab_MinKomp[Cmms stosowanie],MATCH($B101,tab_MinKomp[[Stanowisko / Position ]:[Stanowisko / Position ]],0)))</f>
        <v>n/a</v>
      </c>
      <c r="EP102" s="343" t="str">
        <f>IF(INDEX(tab_MinKomp[[Czyszczenie form gumowych ]],MATCH($B101,tab_MinKomp[[Stanowisko / Position ]:[Stanowisko / Position ]],0))="n/a","n/a",EP101-INDEX(tab_MinKomp[[Czyszczenie form gumowych ]],MATCH($B101,tab_MinKomp[[Stanowisko / Position ]:[Stanowisko / Position ]],0)))</f>
        <v>n/a</v>
      </c>
      <c r="EQ102" s="343" t="str">
        <f>IF(INDEX(tab_MinKomp[Czyszczenie form plastikowych],MATCH($B101,tab_MinKomp[[Stanowisko / Position ]:[Stanowisko / Position ]],0))="n/a","n/a",EQ101-INDEX(tab_MinKomp[Czyszczenie form plastikowych],MATCH($B101,tab_MinKomp[[Stanowisko / Position ]:[Stanowisko / Position ]],0)))</f>
        <v>n/a</v>
      </c>
      <c r="ER102" s="343" t="str">
        <f>IF(INDEX(tab_MinKomp[Wymiana form plastik],MATCH($B101,tab_MinKomp[[Stanowisko / Position ]:[Stanowisko / Position ]],0))="n/a","n/a",ER101-INDEX(tab_MinKomp[Wymiana form plastik],MATCH($B101,tab_MinKomp[[Stanowisko / Position ]:[Stanowisko / Position ]],0)))</f>
        <v>n/a</v>
      </c>
      <c r="ES102" s="343" t="str">
        <f>IF(INDEX(tab_MinKomp[Wymiana form guma],MATCH($B101,tab_MinKomp[[Stanowisko / Position ]:[Stanowisko / Position ]],0))="n/a","n/a",ES101-INDEX(tab_MinKomp[Wymiana form guma],MATCH($B101,tab_MinKomp[[Stanowisko / Position ]:[Stanowisko / Position ]],0)))</f>
        <v>n/a</v>
      </c>
      <c r="ET102" s="343" t="str">
        <f>IF(INDEX(tab_MinKomp[Konserwacja KK],MATCH($B101,tab_MinKomp[[Stanowisko / Position ]:[Stanowisko / Position ]],0))="n/a","n/a",ET101-INDEX(tab_MinKomp[Konserwacja KK],MATCH($B101,tab_MinKomp[[Stanowisko / Position ]:[Stanowisko / Position ]],0)))</f>
        <v>n/a</v>
      </c>
      <c r="EU102" s="343" t="str">
        <f>IF(INDEX(tab_MinKomp[Konserwacja form guma],MATCH($B101,tab_MinKomp[[Stanowisko / Position ]:[Stanowisko / Position ]],0))="n/a","n/a",EU101-INDEX(tab_MinKomp[Konserwacja form guma],MATCH($B101,tab_MinKomp[[Stanowisko / Position ]:[Stanowisko / Position ]],0)))</f>
        <v>n/a</v>
      </c>
      <c r="EV102" s="343" t="str">
        <f>IF(INDEX(tab_MinKomp[Konserwacja form plastiki],MATCH($B101,tab_MinKomp[[Stanowisko / Position ]:[Stanowisko / Position ]],0))="n/a","n/a",EV101-INDEX(tab_MinKomp[Konserwacja form plastiki],MATCH($B101,tab_MinKomp[[Stanowisko / Position ]:[Stanowisko / Position ]],0)))</f>
        <v>n/a</v>
      </c>
      <c r="EW102" s="330" t="str">
        <f>IF(INDEX(tab_MinKomp[Konserwacja form plastiki],MATCH($B101,tab_MinKomp[[Stanowisko / Position ]:[Stanowisko / Position ]],0))="n/a","n/a",EW101-INDEX(tab_MinKomp[Konserwacja form plastiki],MATCH($B101,tab_MinKomp[[Stanowisko / Position ]:[Stanowisko / Position ]],0)))</f>
        <v>n/a</v>
      </c>
      <c r="EX102" s="343" t="str">
        <f>IF(INDEX(tab_MinKomp[Konserwacja Gorącego Kanału],MATCH($B101,tab_MinKomp[[Stanowisko / Position ]:[Stanowisko / Position ]],0))="n/a","n/a",EX101-INDEX(tab_MinKomp[Konserwacja Gorącego Kanału],MATCH($B101,tab_MinKomp[[Stanowisko / Position ]:[Stanowisko / Position ]],0)))</f>
        <v>n/a</v>
      </c>
      <c r="EY102" s="343">
        <f>IF(INDEX(tab_MinKomp[MS Office (Excel)],MATCH($B101,tab_MinKomp[[Stanowisko / Position ]:[Stanowisko / Position ]],0))="n/a","n/a",EY101-INDEX(tab_MinKomp[MS Office (Excel)],MATCH($B101,tab_MinKomp[[Stanowisko / Position ]:[Stanowisko / Position ]],0)))</f>
        <v>0</v>
      </c>
      <c r="EZ102" s="343">
        <f>IF(INDEX(tab_MinKomp[MS Office (Word)],MATCH($B101,tab_MinKomp[[Stanowisko / Position ]:[Stanowisko / Position ]],0))="n/a","n/a",EZ101-INDEX(tab_MinKomp[MS Office (Word)],MATCH($B101,tab_MinKomp[[Stanowisko / Position ]:[Stanowisko / Position ]],0)))</f>
        <v>0</v>
      </c>
      <c r="FA102" s="343">
        <f>IF(INDEX(tab_MinKomp[MS Office (Power Point)],MATCH($B101,tab_MinKomp[[Stanowisko / Position ]:[Stanowisko / Position ]],0))="n/a","n/a",FA101-INDEX(tab_MinKomp[MS Office (Power Point)],MATCH($B101,tab_MinKomp[[Stanowisko / Position ]:[Stanowisko / Position ]],0)))</f>
        <v>0</v>
      </c>
      <c r="FB102" s="343" t="str">
        <f>IF(INDEX(tab_MinKomp[Język angielski / Englisch],MATCH($B101,tab_MinKomp[[Stanowisko / Position ]:[Stanowisko / Position ]],0))="n/a","n/a",FB101-INDEX(tab_MinKomp[Język angielski / Englisch],MATCH($B101,tab_MinKomp[[Stanowisko / Position ]:[Stanowisko / Position ]],0)))</f>
        <v>n/a</v>
      </c>
      <c r="FC102" s="343" t="str">
        <f>IF(INDEX(tab_MinKomp[Język niemiecki / Deutsch],MATCH($B101,tab_MinKomp[[Stanowisko / Position ]:[Stanowisko / Position ]],0))="n/a","n/a",FC101-INDEX(tab_MinKomp[Język niemiecki / Deutsch],MATCH($B101,tab_MinKomp[[Stanowisko / Position ]:[Stanowisko / Position ]],0)))</f>
        <v>n/a</v>
      </c>
      <c r="FD102" s="343">
        <f>IF(INDEX(tab_MinKomp[Zarządzanie dokumentacją procesową / Process dokumentation management],MATCH($B101,tab_MinKomp[[Stanowisko / Position ]:[Stanowisko / Position ]],0))="n/a","n/a",FD101-INDEX(tab_MinKomp[Zarządzanie dokumentacją procesową / Process dokumentation management],MATCH($B101,tab_MinKomp[[Stanowisko / Position ]:[Stanowisko / Position ]],0)))</f>
        <v>0</v>
      </c>
      <c r="FE102" s="343">
        <f>IF(INDEX(tab_MinKomp[Znajomość procesów z obszaru / Kenntiss der prozesse in dem Bereich],MATCH($B101,tab_MinKomp[[Stanowisko / Position ]:[Stanowisko / Position ]],0))="n/a","n/a",FE101-INDEX(tab_MinKomp[Znajomość procesów z obszaru / Kenntiss der prozesse in dem Bereich],MATCH($B101,tab_MinKomp[[Stanowisko / Position ]:[Stanowisko / Position ]],0)))</f>
        <v>1</v>
      </c>
      <c r="FF102" s="343">
        <f>IF(INDEX(tab_MinKomp[optymalizacja procesów / Prozessoptymalisierung],MATCH($B101,tab_MinKomp[[Stanowisko / Position ]:[Stanowisko / Position ]],0))="n/a","n/a",FF101-INDEX(tab_MinKomp[optymalizacja procesów / Prozessoptymalisierung],MATCH($B101,tab_MinKomp[[Stanowisko / Position ]:[Stanowisko / Position ]],0)))</f>
        <v>0</v>
      </c>
      <c r="FG102" s="343">
        <f>IF(INDEX(tab_MinKomp[Umiejętności szkoleniowe / Trainingsfähigkeiten],MATCH($B101,tab_MinKomp[[Stanowisko / Position ]:[Stanowisko / Position ]],0))="n/a","n/a",FG101-INDEX(tab_MinKomp[Umiejętności szkoleniowe / Trainingsfähigkeiten],MATCH($B101,tab_MinKomp[[Stanowisko / Position ]:[Stanowisko / Position ]],0)))</f>
        <v>0</v>
      </c>
      <c r="FH102" s="343">
        <f>IF(INDEX(tab_MinKomp[Analityczne myślenie, podejście / Analitysches Denken, Einstellung],MATCH($B101,tab_MinKomp[[Stanowisko / Position ]:[Stanowisko / Position ]],0))="n/a","n/a",FH101-INDEX(tab_MinKomp[Analityczne myślenie, podejście / Analitysches Denken, Einstellung],MATCH($B101,tab_MinKomp[[Stanowisko / Position ]:[Stanowisko / Position ]],0)))</f>
        <v>0</v>
      </c>
      <c r="FI102" s="343">
        <f>IF(INDEX(tab_MinKomp[Dokładność, precyzja w dzialaniu / Genauigkeit, Präzision in die Arbeit],MATCH($B101,tab_MinKomp[[Stanowisko / Position ]:[Stanowisko / Position ]],0))="n/a","n/a",FI101-INDEX(tab_MinKomp[Dokładność, precyzja w dzialaniu / Genauigkeit, Präzision in die Arbeit],MATCH($B101,tab_MinKomp[[Stanowisko / Position ]:[Stanowisko / Position ]],0)))</f>
        <v>0</v>
      </c>
      <c r="FJ102" s="343">
        <f>IF(INDEX(tab_MinKomp[Dyspozycyjność / Verfügbarkeit],MATCH($B101,tab_MinKomp[[Stanowisko / Position ]:[Stanowisko / Position ]],0))="n/a","n/a",FJ101-INDEX(tab_MinKomp[Dyspozycyjność / Verfügbarkeit],MATCH($B101,tab_MinKomp[[Stanowisko / Position ]:[Stanowisko / Position ]],0)))</f>
        <v>0</v>
      </c>
      <c r="FK102" s="343">
        <f>IF(INDEX(tab_MinKomp[Zaangażowanie / 
Engagement],MATCH($B101,tab_MinKomp[[Stanowisko / Position ]:[Stanowisko / Position ]],0))="n/a","n/a",FK101-INDEX(tab_MinKomp[Zaangażowanie / 
Engagement],MATCH($B101,tab_MinKomp[[Stanowisko / Position ]:[Stanowisko / Position ]],0)))</f>
        <v>0</v>
      </c>
      <c r="FL102" s="343">
        <f>IF(INDEX(tab_MinKomp[Planowanie strategiczne / Strategische Planung],MATCH($B101,tab_MinKomp[[Stanowisko / Position ]:[Stanowisko / Position ]],0))="n/a","n/a",FL101-INDEX(tab_MinKomp[Planowanie strategiczne / Strategische Planung],MATCH($B101,tab_MinKomp[[Stanowisko / Position ]:[Stanowisko / Position ]],0)))</f>
        <v>0</v>
      </c>
      <c r="FM102" s="343">
        <f>IF(INDEX(tab_MinKomp[Konsekwentne i dynamiczne działanie],MATCH($B101,tab_MinKomp[[Stanowisko / Position ]:[Stanowisko / Position ]],0))="n/a","n/a",FM101-INDEX(tab_MinKomp[Konsekwentne i dynamiczne działanie],MATCH($B101,tab_MinKomp[[Stanowisko / Position ]:[Stanowisko / Position ]],0)))</f>
        <v>0</v>
      </c>
      <c r="FN102" s="343">
        <f>IF(INDEX(tab_MinKomp[Elastyczność w działaniu],MATCH($B101,tab_MinKomp[[Stanowisko / Position ]:[Stanowisko / Position ]],0))="n/a","n/a",FN101-INDEX(tab_MinKomp[Elastyczność w działaniu],MATCH($B101,tab_MinKomp[[Stanowisko / Position ]:[Stanowisko / Position ]],0)))</f>
        <v>0</v>
      </c>
      <c r="FO102" s="343">
        <f>IF(INDEX(tab_MinKomp[Komunikatywność],MATCH($B101,tab_MinKomp[[Stanowisko / Position ]:[Stanowisko / Position ]],0))="n/a","n/a",FO101-INDEX(tab_MinKomp[Komunikatywność],MATCH($B101,tab_MinKomp[[Stanowisko / Position ]:[Stanowisko / Position ]],0)))</f>
        <v>0</v>
      </c>
      <c r="FP102" s="342">
        <f>IF(INDEX(tab_MinKomp[Motywowanie i budowanie zaangażowania zespołu],MATCH($B101,tab_MinKomp[[Stanowisko / Position ]:[Stanowisko / Position ]],0))="n/a","n/a",FP101-INDEX(tab_MinKomp[Motywowanie i budowanie zaangażowania zespołu],MATCH($B101,tab_MinKomp[[Stanowisko / Position ]:[Stanowisko / Position ]],0)))</f>
        <v>0</v>
      </c>
      <c r="FQ102" s="346" t="str">
        <f>IFERROR(IF(INDEX(tab_MinKomp[BRAK / Keine],MATCH($B101,tab_MinKomp[[Stanowisko / Position ]:[Stanowisko / Position ]],0))="n/a","n/a",INDEX(tab_MinKomp[BRAK / Keine],MATCH($B101,tab_MinKomp[[Stanowisko / Position ]:[Stanowisko / Position ]],0))-FQ101),"")</f>
        <v>n/a</v>
      </c>
      <c r="FR102" s="343" t="str">
        <f>IF(INDEX(tab_MinKomp[MINIMUM 1 ROK / min. 1 Jahr],MATCH($B101,tab_MinKomp[[Stanowisko / Position ]:[Stanowisko / Position ]],0))="n/a","n/a",INDEX(tab_MinKomp[MINIMUM 1 ROK / min. 1 Jahr],MATCH($B101,tab_MinKomp[[Stanowisko / Position ]:[Stanowisko / Position ]],0)))</f>
        <v>x</v>
      </c>
      <c r="FS102" s="343" t="str">
        <f>IF(INDEX(tab_MinKomp[MINIMUM 2 LATA / min. 2 Jahre],MATCH($B101,tab_MinKomp[[Stanowisko / Position ]:[Stanowisko / Position ]],0))="n/a","n/a",INDEX(tab_MinKomp[MINIMUM 2 LATA / min. 2 Jahre],MATCH($B101,tab_MinKomp[[Stanowisko / Position ]:[Stanowisko / Position ]],0)))</f>
        <v>n/a</v>
      </c>
      <c r="FT102" s="343" t="str">
        <f>IF(INDEX(tab_MinKomp[MINIMUM 3 LATA / min. 3 Jahre],MATCH($B101,tab_MinKomp[[Stanowisko / Position ]:[Stanowisko / Position ]],0))="n/a","n/a",INDEX(tab_MinKomp[MINIMUM 3 LATA / min. 3 Jahre],MATCH($B101,tab_MinKomp[[Stanowisko / Position ]:[Stanowisko / Position ]],0)))</f>
        <v>n/a</v>
      </c>
      <c r="FU102" s="343" t="str">
        <f>IF(INDEX(tab_MinKomp[MINIMUM 4 LATA / min. 4 Jahre],MATCH($B101,tab_MinKomp[[Stanowisko / Position ]:[Stanowisko / Position ]],0))="n/a","n/a",INDEX(tab_MinKomp[MINIMUM 4 LATA / min. 4 Jahre],MATCH($B101,tab_MinKomp[[Stanowisko / Position ]:[Stanowisko / Position ]],0)))</f>
        <v>n/a</v>
      </c>
      <c r="FV102" s="347" t="str">
        <f>IF(INDEX(tab_MinKomp[MINIMUM 5 LAT / min. 5 Jahre],MATCH($B101,tab_MinKomp[[Stanowisko / Position ]:[Stanowisko / Position ]],0))="n/a","n/a",INDEX(tab_MinKomp[MINIMUM 5 LAT / min. 5 Jahre],MATCH($B101,tab_MinKomp[[Stanowisko / Position ]:[Stanowisko / Position ]],0)))</f>
        <v>n/a</v>
      </c>
      <c r="FW102" s="346" t="str">
        <f>IF(INDEX(tab_MinKomp[BRAK / Keine9],MATCH($B101,tab_MinKomp[[Stanowisko / Position ]:[Stanowisko / Position ]],0))="n/a","n/a",INDEX(tab_MinKomp[BRAK / Keine9],MATCH($B101,tab_MinKomp[[Stanowisko / Position ]:[Stanowisko / Position ]],0)))</f>
        <v>n/a</v>
      </c>
      <c r="FX102" s="343" t="str">
        <f>IF(INDEX(tab_MinKomp[ZAWODOWE / Berufsausbildung],MATCH($B101,tab_MinKomp[[Stanowisko / Position ]:[Stanowisko / Position ]],0))="n/a","n/a",INDEX(tab_MinKomp[ZAWODOWE / Berufsausbildung],MATCH($B101,tab_MinKomp[[Stanowisko / Position ]:[Stanowisko / Position ]],0)))</f>
        <v>x</v>
      </c>
      <c r="FY102" s="343" t="str">
        <f>IF(INDEX(tab_MinKomp[ŚREDNIE OGÓLNE / Abitur allgemeine],MATCH($B101,tab_MinKomp[[Stanowisko / Position ]:[Stanowisko / Position ]],0))="n/a","n/a",INDEX(tab_MinKomp[ŚREDNIE OGÓLNE / Abitur allgemeine],MATCH($B101,tab_MinKomp[[Stanowisko / Position ]:[Stanowisko / Position ]],0)))</f>
        <v>n/a</v>
      </c>
      <c r="FZ102" s="343" t="str">
        <f>IF(INDEX(tab_MinKomp[ŚREDNIE KIERUNKOWE / berufliches Gymnasium],MATCH($B101,tab_MinKomp[[Stanowisko / Position ]:[Stanowisko / Position ]],0))="n/a","n/a",INDEX(tab_MinKomp[ŚREDNIE KIERUNKOWE / berufliches Gymnasium],MATCH($B101,tab_MinKomp[[Stanowisko / Position ]:[Stanowisko / Position ]],0)))</f>
        <v>n/a</v>
      </c>
      <c r="GA102" s="343" t="str">
        <f>IF(INDEX(tab_MinKomp[WYŻSZE OGÓLNE / Hochschule allgemeine],MATCH($B101,tab_MinKomp[[Stanowisko / Position ]:[Stanowisko / Position ]],0))="n/a","n/a",INDEX(tab_MinKomp[WYŻSZE OGÓLNE / Hochschule allgemeine],MATCH($B101,tab_MinKomp[[Stanowisko / Position ]:[Stanowisko / Position ]],0)))</f>
        <v>n/a</v>
      </c>
      <c r="GB102" s="347" t="str">
        <f>IF(INDEX(tab_MinKomp[WYŻSZE KIERUNKOWE / Hochschule berufliche],MATCH($B101,tab_MinKomp[[Stanowisko / Position ]:[Stanowisko / Position ]],0))="n/a","n/a",INDEX(tab_MinKomp[WYŻSZE KIERUNKOWE / Hochschule berufliche],MATCH($B101,tab_MinKomp[[Stanowisko / Position ]:[Stanowisko / Position ]],0)))</f>
        <v>n/a</v>
      </c>
      <c r="GC102" s="346" t="str">
        <f>IF(INDEX(tab_MinKomp[PIERWSZA POMOC / Erste Hilfe],MATCH($B101,tab_MinKomp[[Stanowisko / Position ]:[Stanowisko / Position ]],0))="n/a","n/a",INDEX(tab_MinKomp[PIERWSZA POMOC / Erste Hilfe],MATCH($B101,tab_MinKomp[[Stanowisko / Position ]:[Stanowisko / Position ]],0)))</f>
        <v>x</v>
      </c>
      <c r="GD102" s="343" t="str">
        <f>IF(INDEX(tab_MinKomp[Specjalista BHP / BHP Spezialist],MATCH($B101,tab_MinKomp[[Stanowisko / Position ]:[Stanowisko / Position ]],0))="n/a","n/a",INDEX(tab_MinKomp[Specjalista BHP / BHP Spezialist],MATCH($B101,tab_MinKomp[[Stanowisko / Position ]:[Stanowisko / Position ]],0)))</f>
        <v>n/a</v>
      </c>
      <c r="GE102" s="343" t="str">
        <f>IF(INDEX(tab_MinKomp[Inspektor ochrony PPOŻ / Brandschutzinspektor],MATCH($B101,tab_MinKomp[[Stanowisko / Position ]:[Stanowisko / Position ]],0))="n/a","n/a",INDEX(tab_MinKomp[Inspektor ochrony PPOŻ / Brandschutzinspektor],MATCH($B101,tab_MinKomp[[Stanowisko / Position ]:[Stanowisko / Position ]],0)))</f>
        <v>n/a</v>
      </c>
      <c r="GF102" s="343" t="str">
        <f>IF(INDEX(tab_MinKomp[WÓZKI JEZDNIOWE / Gebelstapler],MATCH($B101,tab_MinKomp[[Stanowisko / Position ]:[Stanowisko / Position ]],0))="n/a","n/a",INDEX(tab_MinKomp[WÓZKI JEZDNIOWE / Gebelstapler],MATCH($B101,tab_MinKomp[[Stanowisko / Position ]:[Stanowisko / Position ]],0)))</f>
        <v>x</v>
      </c>
      <c r="GG102" s="343" t="str">
        <f>IF(INDEX(tab_MinKomp[SEP],MATCH($B101,tab_MinKomp[[Stanowisko / Position ]:[Stanowisko / Position ]],0))="n/a","n/a",INDEX(tab_MinKomp[SEP],MATCH($B101,tab_MinKomp[[Stanowisko / Position ]:[Stanowisko / Position ]],0)))</f>
        <v>n/a</v>
      </c>
      <c r="GH102" s="343" t="str">
        <f>IF(INDEX(tab_MinKomp[SEP  DOZÓR / SEP Aufsicht],MATCH($B101,tab_MinKomp[[Stanowisko / Position ]:[Stanowisko / Position ]],0))="n/a","n/a",INDEX(tab_MinKomp[SEP  DOZÓR / SEP Aufsicht],MATCH($B101,tab_MinKomp[[Stanowisko / Position ]:[Stanowisko / Position ]],0)))</f>
        <v>n/a</v>
      </c>
      <c r="GI102" s="343" t="str">
        <f>IF(INDEX(tab_MinKomp[PODNOŚNIKI / Hebevorrichtung],MATCH($B101,tab_MinKomp[[Stanowisko / Position ]:[Stanowisko / Position ]],0))="n/a","n/a",INDEX(tab_MinKomp[PODNOŚNIKI / Hebevorrichtung],MATCH($B101,tab_MinKomp[[Stanowisko / Position ]:[Stanowisko / Position ]],0)))</f>
        <v>n/a</v>
      </c>
      <c r="GJ102" s="343" t="str">
        <f>IF(INDEX(tab_MinKomp[SUWNICE / Laufkran],MATCH($B101,tab_MinKomp[[Stanowisko / Position ]:[Stanowisko / Position ]],0))="n/a","n/a",INDEX(tab_MinKomp[SUWNICE / Laufkran],MATCH($B101,tab_MinKomp[[Stanowisko / Position ]:[Stanowisko / Position ]],0)))</f>
        <v>n/a</v>
      </c>
      <c r="GK102" s="347" t="str">
        <f>IF(INDEX(tab_MinKomp[WYSOKOŚCIOWE / Höhenberechtigungen],MATCH($B101,tab_MinKomp[[Stanowisko / Position ]:[Stanowisko / Position ]],0))="n/a","n/a",INDEX(tab_MinKomp[WYSOKOŚCIOWE / Höhenberechtigungen],MATCH($B101,tab_MinKomp[[Stanowisko / Position ]:[Stanowisko / Position ]],0)))</f>
        <v>n/a</v>
      </c>
      <c r="GL102" s="320">
        <f>SUM(G102:FP102)/(GL101-(SUM(G102:FP102)))</f>
        <v>1.4492753623188406E-2</v>
      </c>
    </row>
    <row r="103" spans="1:194" ht="28.35" customHeight="1" x14ac:dyDescent="0.25">
      <c r="A103" s="135" t="s">
        <v>186</v>
      </c>
      <c r="B103" s="135" t="s">
        <v>581</v>
      </c>
      <c r="C103" s="135" t="s">
        <v>672</v>
      </c>
      <c r="D103" s="135">
        <v>1652</v>
      </c>
      <c r="E103" s="565" t="s">
        <v>753</v>
      </c>
      <c r="F103" s="307" t="s">
        <v>165</v>
      </c>
      <c r="G103" s="308">
        <v>2</v>
      </c>
      <c r="H103" s="308">
        <v>2</v>
      </c>
      <c r="I103" s="308">
        <v>1</v>
      </c>
      <c r="J103" s="308">
        <v>1</v>
      </c>
      <c r="K103" s="308">
        <v>1</v>
      </c>
      <c r="L103" s="308">
        <v>1</v>
      </c>
      <c r="M103" s="308" t="s">
        <v>176</v>
      </c>
      <c r="N103" s="308" t="s">
        <v>176</v>
      </c>
      <c r="O103" s="308">
        <v>1</v>
      </c>
      <c r="P103" s="308">
        <v>1</v>
      </c>
      <c r="Q103" s="308" t="s">
        <v>176</v>
      </c>
      <c r="R103" s="308" t="s">
        <v>176</v>
      </c>
      <c r="S103" s="308" t="s">
        <v>176</v>
      </c>
      <c r="T103" s="308">
        <v>1</v>
      </c>
      <c r="U103" s="308" t="s">
        <v>176</v>
      </c>
      <c r="V103" s="308" t="s">
        <v>176</v>
      </c>
      <c r="W103" s="308" t="s">
        <v>176</v>
      </c>
      <c r="X103" s="308" t="s">
        <v>176</v>
      </c>
      <c r="Y103" s="308" t="s">
        <v>176</v>
      </c>
      <c r="Z103" s="308" t="s">
        <v>176</v>
      </c>
      <c r="AA103" s="308" t="s">
        <v>176</v>
      </c>
      <c r="AB103" s="308" t="s">
        <v>176</v>
      </c>
      <c r="AC103" s="308" t="s">
        <v>176</v>
      </c>
      <c r="AD103" s="308" t="s">
        <v>176</v>
      </c>
      <c r="AE103" s="308" t="s">
        <v>176</v>
      </c>
      <c r="AF103" s="308" t="s">
        <v>176</v>
      </c>
      <c r="AG103" s="308" t="s">
        <v>176</v>
      </c>
      <c r="AH103" s="308" t="s">
        <v>176</v>
      </c>
      <c r="AI103" s="308" t="s">
        <v>176</v>
      </c>
      <c r="AJ103" s="308" t="s">
        <v>176</v>
      </c>
      <c r="AK103" s="308" t="s">
        <v>176</v>
      </c>
      <c r="AL103" s="308"/>
      <c r="AM103" s="308" t="s">
        <v>176</v>
      </c>
      <c r="AN103" s="308" t="s">
        <v>176</v>
      </c>
      <c r="AO103" s="308">
        <v>1</v>
      </c>
      <c r="AP103" s="308" t="s">
        <v>176</v>
      </c>
      <c r="AQ103" s="308">
        <v>1</v>
      </c>
      <c r="AR103" s="308" t="s">
        <v>176</v>
      </c>
      <c r="AS103" s="308" t="s">
        <v>176</v>
      </c>
      <c r="AT103" s="308" t="s">
        <v>176</v>
      </c>
      <c r="AU103" s="308">
        <v>1</v>
      </c>
      <c r="AV103" s="308">
        <v>1</v>
      </c>
      <c r="AW103" s="308"/>
      <c r="AX103" s="308" t="s">
        <v>176</v>
      </c>
      <c r="AY103" s="308" t="s">
        <v>176</v>
      </c>
      <c r="AZ103" s="308" t="s">
        <v>176</v>
      </c>
      <c r="BA103" s="308">
        <v>1</v>
      </c>
      <c r="BB103" s="308">
        <v>1</v>
      </c>
      <c r="BC103" s="308" t="s">
        <v>176</v>
      </c>
      <c r="BD103" s="308" t="s">
        <v>176</v>
      </c>
      <c r="BE103" s="308" t="s">
        <v>176</v>
      </c>
      <c r="BF103" s="308" t="s">
        <v>176</v>
      </c>
      <c r="BG103" s="308" t="s">
        <v>176</v>
      </c>
      <c r="BH103" s="308" t="s">
        <v>176</v>
      </c>
      <c r="BI103" s="308" t="s">
        <v>176</v>
      </c>
      <c r="BJ103" s="308" t="s">
        <v>176</v>
      </c>
      <c r="BK103" s="308" t="s">
        <v>176</v>
      </c>
      <c r="BL103" s="308" t="s">
        <v>176</v>
      </c>
      <c r="BM103" s="308">
        <v>2</v>
      </c>
      <c r="BN103" s="308"/>
      <c r="BO103" s="308"/>
      <c r="BP103" s="308" t="s">
        <v>176</v>
      </c>
      <c r="BQ103" s="308" t="s">
        <v>176</v>
      </c>
      <c r="BR103" s="308" t="s">
        <v>176</v>
      </c>
      <c r="BS103" s="308">
        <v>2</v>
      </c>
      <c r="BT103" s="308" t="s">
        <v>176</v>
      </c>
      <c r="BU103" s="308">
        <v>3</v>
      </c>
      <c r="BV103" s="308">
        <v>2</v>
      </c>
      <c r="BW103" s="308" t="s">
        <v>176</v>
      </c>
      <c r="BX103" s="308" t="s">
        <v>176</v>
      </c>
      <c r="BY103" s="308" t="s">
        <v>176</v>
      </c>
      <c r="BZ103" s="308" t="s">
        <v>176</v>
      </c>
      <c r="CA103" s="308" t="s">
        <v>176</v>
      </c>
      <c r="CB103" s="308" t="s">
        <v>176</v>
      </c>
      <c r="CC103" s="308" t="s">
        <v>176</v>
      </c>
      <c r="CD103" s="308" t="s">
        <v>176</v>
      </c>
      <c r="CE103" s="308" t="s">
        <v>176</v>
      </c>
      <c r="CF103" s="308" t="s">
        <v>176</v>
      </c>
      <c r="CG103" s="308">
        <v>2</v>
      </c>
      <c r="CH103" s="308" t="s">
        <v>176</v>
      </c>
      <c r="CI103" s="308" t="s">
        <v>176</v>
      </c>
      <c r="CJ103" s="308" t="s">
        <v>176</v>
      </c>
      <c r="CK103" s="308" t="s">
        <v>176</v>
      </c>
      <c r="CL103" s="308" t="s">
        <v>176</v>
      </c>
      <c r="CM103" s="308"/>
      <c r="CN103" s="308"/>
      <c r="CO103" s="308"/>
      <c r="CP103" s="308">
        <v>2</v>
      </c>
      <c r="CQ103" s="308" t="s">
        <v>176</v>
      </c>
      <c r="CR103" s="308" t="s">
        <v>176</v>
      </c>
      <c r="CS103" s="308" t="s">
        <v>176</v>
      </c>
      <c r="CT103" s="308" t="s">
        <v>176</v>
      </c>
      <c r="CU103" s="308" t="s">
        <v>176</v>
      </c>
      <c r="CV103" s="308" t="s">
        <v>176</v>
      </c>
      <c r="CW103" s="308" t="s">
        <v>176</v>
      </c>
      <c r="CX103" s="308" t="s">
        <v>176</v>
      </c>
      <c r="CY103" s="308" t="s">
        <v>176</v>
      </c>
      <c r="CZ103" s="308" t="s">
        <v>176</v>
      </c>
      <c r="DA103" s="308" t="s">
        <v>176</v>
      </c>
      <c r="DB103" s="308" t="s">
        <v>176</v>
      </c>
      <c r="DC103" s="308" t="s">
        <v>176</v>
      </c>
      <c r="DD103" s="308" t="s">
        <v>176</v>
      </c>
      <c r="DE103" s="308" t="s">
        <v>176</v>
      </c>
      <c r="DF103" s="308" t="s">
        <v>176</v>
      </c>
      <c r="DG103" s="308" t="s">
        <v>176</v>
      </c>
      <c r="DH103" s="308" t="s">
        <v>176</v>
      </c>
      <c r="DI103" s="308" t="s">
        <v>176</v>
      </c>
      <c r="DJ103" s="308" t="s">
        <v>176</v>
      </c>
      <c r="DK103" s="308" t="s">
        <v>176</v>
      </c>
      <c r="DL103" s="308" t="s">
        <v>176</v>
      </c>
      <c r="DM103" s="308" t="s">
        <v>176</v>
      </c>
      <c r="DN103" s="308" t="s">
        <v>176</v>
      </c>
      <c r="DO103" s="308" t="s">
        <v>176</v>
      </c>
      <c r="DP103" s="308" t="s">
        <v>176</v>
      </c>
      <c r="DQ103" s="308" t="s">
        <v>176</v>
      </c>
      <c r="DR103" s="308" t="s">
        <v>176</v>
      </c>
      <c r="DS103" s="308" t="s">
        <v>176</v>
      </c>
      <c r="DT103" s="308" t="s">
        <v>176</v>
      </c>
      <c r="DU103" s="308" t="s">
        <v>176</v>
      </c>
      <c r="DV103" s="306" t="s">
        <v>176</v>
      </c>
      <c r="DW103" s="306" t="s">
        <v>176</v>
      </c>
      <c r="DX103" s="306" t="s">
        <v>176</v>
      </c>
      <c r="DY103" s="308" t="s">
        <v>176</v>
      </c>
      <c r="DZ103" s="308" t="s">
        <v>176</v>
      </c>
      <c r="EA103" s="308" t="s">
        <v>176</v>
      </c>
      <c r="EB103" s="308" t="s">
        <v>176</v>
      </c>
      <c r="EC103" s="308" t="s">
        <v>176</v>
      </c>
      <c r="ED103" s="308" t="s">
        <v>176</v>
      </c>
      <c r="EE103" s="308" t="s">
        <v>176</v>
      </c>
      <c r="EF103" s="308" t="s">
        <v>176</v>
      </c>
      <c r="EG103" s="308" t="s">
        <v>176</v>
      </c>
      <c r="EH103" s="308" t="s">
        <v>176</v>
      </c>
      <c r="EI103" s="308" t="s">
        <v>176</v>
      </c>
      <c r="EJ103" s="308" t="s">
        <v>176</v>
      </c>
      <c r="EK103" s="308" t="s">
        <v>176</v>
      </c>
      <c r="EL103" s="308" t="s">
        <v>176</v>
      </c>
      <c r="EM103" s="308" t="s">
        <v>176</v>
      </c>
      <c r="EN103" s="308" t="s">
        <v>176</v>
      </c>
      <c r="EO103" s="308" t="s">
        <v>176</v>
      </c>
      <c r="EP103" s="308" t="s">
        <v>176</v>
      </c>
      <c r="EQ103" s="308" t="s">
        <v>176</v>
      </c>
      <c r="ER103" s="308" t="s">
        <v>176</v>
      </c>
      <c r="ES103" s="308" t="s">
        <v>176</v>
      </c>
      <c r="ET103" s="308" t="s">
        <v>176</v>
      </c>
      <c r="EU103" s="308" t="s">
        <v>176</v>
      </c>
      <c r="EV103" s="308" t="s">
        <v>176</v>
      </c>
      <c r="EW103" s="308" t="s">
        <v>176</v>
      </c>
      <c r="EX103" s="308" t="s">
        <v>176</v>
      </c>
      <c r="EY103" s="308">
        <v>1</v>
      </c>
      <c r="EZ103" s="308">
        <v>1</v>
      </c>
      <c r="FA103" s="308">
        <v>1</v>
      </c>
      <c r="FB103" s="308" t="s">
        <v>176</v>
      </c>
      <c r="FC103" s="308" t="s">
        <v>176</v>
      </c>
      <c r="FD103" s="308">
        <v>1</v>
      </c>
      <c r="FE103" s="308">
        <v>2</v>
      </c>
      <c r="FF103" s="308">
        <v>1</v>
      </c>
      <c r="FG103" s="308">
        <v>2</v>
      </c>
      <c r="FH103" s="308">
        <v>2</v>
      </c>
      <c r="FI103" s="308">
        <v>2</v>
      </c>
      <c r="FJ103" s="308">
        <v>2</v>
      </c>
      <c r="FK103" s="308">
        <v>2</v>
      </c>
      <c r="FL103" s="308">
        <v>1</v>
      </c>
      <c r="FM103" s="308">
        <v>2</v>
      </c>
      <c r="FN103" s="308">
        <v>2</v>
      </c>
      <c r="FO103" s="308">
        <v>2</v>
      </c>
      <c r="FP103" s="308">
        <v>2</v>
      </c>
      <c r="FQ103" s="308" t="s">
        <v>176</v>
      </c>
      <c r="FR103" s="308" t="s">
        <v>176</v>
      </c>
      <c r="FS103" s="308" t="s">
        <v>387</v>
      </c>
      <c r="FT103" s="308" t="s">
        <v>176</v>
      </c>
      <c r="FU103" s="308" t="s">
        <v>176</v>
      </c>
      <c r="FV103" s="308" t="s">
        <v>176</v>
      </c>
      <c r="FW103" s="308" t="s">
        <v>176</v>
      </c>
      <c r="FX103" s="308" t="s">
        <v>176</v>
      </c>
      <c r="FY103" s="308" t="s">
        <v>387</v>
      </c>
      <c r="FZ103" s="308" t="s">
        <v>176</v>
      </c>
      <c r="GA103" s="308" t="s">
        <v>176</v>
      </c>
      <c r="GB103" s="308" t="s">
        <v>176</v>
      </c>
      <c r="GC103" s="308" t="s">
        <v>176</v>
      </c>
      <c r="GD103" s="308" t="s">
        <v>387</v>
      </c>
      <c r="GE103" s="308" t="s">
        <v>176</v>
      </c>
      <c r="GF103" s="308" t="s">
        <v>176</v>
      </c>
      <c r="GG103" s="308" t="s">
        <v>387</v>
      </c>
      <c r="GH103" s="308" t="s">
        <v>176</v>
      </c>
      <c r="GI103" s="308" t="s">
        <v>176</v>
      </c>
      <c r="GJ103" s="308" t="s">
        <v>176</v>
      </c>
      <c r="GK103" s="308" t="s">
        <v>176</v>
      </c>
      <c r="GL103" s="311">
        <f>SUM(G103:FP103)</f>
        <v>56</v>
      </c>
    </row>
    <row r="104" spans="1:194" ht="28.35" customHeight="1" thickBot="1" x14ac:dyDescent="0.3">
      <c r="A104" s="138" t="str">
        <f>A103</f>
        <v>Prod.-Q-1</v>
      </c>
      <c r="B104" s="138" t="str">
        <f>B103</f>
        <v>Teamleder zespołu produkcji</v>
      </c>
      <c r="C104" s="138" t="str">
        <f>C103</f>
        <v>CS</v>
      </c>
      <c r="D104" s="138">
        <f>D103</f>
        <v>1652</v>
      </c>
      <c r="E104" s="566" t="str">
        <f>E103</f>
        <v>Cesarek Wiktoria</v>
      </c>
      <c r="F104" s="312" t="s">
        <v>166</v>
      </c>
      <c r="G104" s="341">
        <f>IF(INDEX(tab_MinKomp[Przepisy BHP / BHP Vorschriften],MATCH($B103,tab_MinKomp[[Stanowisko / Position ]:[Stanowisko / Position ]],0))="n/a","n/a",G103-INDEX(tab_MinKomp[Przepisy BHP / BHP Vorschriften],MATCH($B103,tab_MinKomp[[Stanowisko / Position ]:[Stanowisko / Position ]],0)))</f>
        <v>0</v>
      </c>
      <c r="H104" s="342">
        <f>IF(INDEX(tab_MinKomp[Przepisy PPOŻ / Brandschutzbestimmungen],MATCH($B103,tab_MinKomp[[Stanowisko / Position ]:[Stanowisko / Position ]],0))="n/a","n/a",H103-INDEX(tab_MinKomp[Przepisy PPOŻ / Brandschutzbestimmungen],MATCH($B103,tab_MinKomp[[Stanowisko / Position ]:[Stanowisko / Position ]],0)))</f>
        <v>0</v>
      </c>
      <c r="I104" s="342">
        <f>IF(INDEX(tab_MinKomp[Ryzyko zawodowe na stanowiskach pracyv/ Berufliche Risiken an Arbeitsstellen],MATCH($B103,tab_MinKomp[[Stanowisko / Position ]:[Stanowisko / Position ]],0))="n/a","n/a",I103-INDEX(tab_MinKomp[Ryzyko zawodowe na stanowiskach pracyv/ Berufliche Risiken an Arbeitsstellen],MATCH($B103,tab_MinKomp[[Stanowisko / Position ]:[Stanowisko / Position ]],0)))</f>
        <v>0</v>
      </c>
      <c r="J104" s="342">
        <f>IF(INDEX(tab_MinKomp[Gospodarka substancjami niebezpiecznymi / Gefahrstoffmanagement],MATCH($B103,tab_MinKomp[[Stanowisko / Position ]:[Stanowisko / Position ]],0))="n/a","n/a",J103-INDEX(tab_MinKomp[Gospodarka substancjami niebezpiecznymi / Gefahrstoffmanagement],MATCH($B103,tab_MinKomp[[Stanowisko / Position ]:[Stanowisko / Position ]],0)))</f>
        <v>0</v>
      </c>
      <c r="K104" s="342">
        <f>IF(INDEX(tab_MinKomp[Gospodarka odpadami / Abfallwirtschaft],MATCH($B103,tab_MinKomp[[Stanowisko / Position ]:[Stanowisko / Position ]],0))="n/a","n/a",K103-INDEX(tab_MinKomp[Gospodarka odpadami / Abfallwirtschaft],MATCH($B103,tab_MinKomp[[Stanowisko / Position ]:[Stanowisko / Position ]],0)))</f>
        <v>0</v>
      </c>
      <c r="L104" s="343">
        <f>IF(INDEX(tab_MinKomp[Przepisy kodeksu pracy / Bestimmungen des Arbeitsgesetzes],MATCH($B103,tab_MinKomp[[Stanowisko / Position ]:[Stanowisko / Position ]],0))="n/a","n/a",L103-INDEX(tab_MinKomp[Przepisy kodeksu pracy / Bestimmungen des Arbeitsgesetzes],MATCH($B103,tab_MinKomp[[Stanowisko / Position ]:[Stanowisko / Position ]],0)))</f>
        <v>0</v>
      </c>
      <c r="M104" s="344" t="str">
        <f>IF(INDEX(tab_MinKomp[Przepisy o ub.społ. ZUS  / Sozialversicherungsvorschriften],MATCH($B103,tab_MinKomp[[Stanowisko / Position ]:[Stanowisko / Position ]],0))="n/a","n/a",M103-INDEX(tab_MinKomp[Przepisy o ub.społ. ZUS  / Sozialversicherungsvorschriften],MATCH($B103,tab_MinKomp[[Stanowisko / Position ]:[Stanowisko / Position ]],0)))</f>
        <v>n/a</v>
      </c>
      <c r="N104" s="343" t="str">
        <f>IF(INDEX(tab_MinKomp[PRZEPISY O PDOF /persönlich Einkommensteuergesetz ],MATCH($B103,tab_MinKomp[[Stanowisko / Position ]:[Stanowisko / Position ]],0))="n/a","n/a",N103-INDEX(tab_MinKomp[PRZEPISY O PDOF /persönlich Einkommensteuergesetz ],MATCH($B103,tab_MinKomp[[Stanowisko / Position ]:[Stanowisko / Position ]],0)))</f>
        <v>n/a</v>
      </c>
      <c r="O104" s="343">
        <f>IF(INDEX(tab_MinKomp[Regulamin pracy / Arbeitsordnung],MATCH($B103,tab_MinKomp[[Stanowisko / Position ]:[Stanowisko / Position ]],0))="n/a","n/a",O103-INDEX(tab_MinKomp[Regulamin pracy / Arbeitsordnung],MATCH($B103,tab_MinKomp[[Stanowisko / Position ]:[Stanowisko / Position ]],0)))</f>
        <v>0</v>
      </c>
      <c r="P104" s="343">
        <f>IF(INDEX(tab_MinKomp[Regulamin wynagradzania / Vergütungsordnung],MATCH($B103,tab_MinKomp[[Stanowisko / Position ]:[Stanowisko / Position ]],0))="n/a","n/a",P103-INDEX(tab_MinKomp[Regulamin wynagradzania / Vergütungsordnung],MATCH($B103,tab_MinKomp[[Stanowisko / Position ]:[Stanowisko / Position ]],0)))</f>
        <v>0</v>
      </c>
      <c r="Q104" s="343" t="str">
        <f>IF(INDEX(tab_MinKomp[System R2PŁATNIK PRO: Płace / Lohnabrechnung],MATCH($B103,tab_MinKomp[[Stanowisko / Position ]:[Stanowisko / Position ]],0))="n/a","n/a",Q103-INDEX(tab_MinKomp[System R2PŁATNIK PRO: Płace / Lohnabrechnung],MATCH($B103,tab_MinKomp[[Stanowisko / Position ]:[Stanowisko / Position ]],0)))</f>
        <v>n/a</v>
      </c>
      <c r="R104" s="343" t="str">
        <f>IF(INDEX(tab_MinKomp[SystemR2PŁATNIK PRO: KADRY / Personaldaten],MATCH($B103,tab_MinKomp[[Stanowisko / Position ]:[Stanowisko / Position ]],0))="n/a","n/a",R103-INDEX(tab_MinKomp[SystemR2PŁATNIK PRO: KADRY / Personaldaten],MATCH($B103,tab_MinKomp[[Stanowisko / Position ]:[Stanowisko / Position ]],0)))</f>
        <v>n/a</v>
      </c>
      <c r="S104" s="343" t="str">
        <f>IF(INDEX(tab_MinKomp[SYSTEM R2PŁATNIK PRO: zarządzanie pracownikami / Arbeitsverwaltung],MATCH($B103,tab_MinKomp[[Stanowisko / Position ]:[Stanowisko / Position ]],0))="n/a","n/a",S103-INDEX(tab_MinKomp[SYSTEM R2PŁATNIK PRO: zarządzanie pracownikami / Arbeitsverwaltung],MATCH($B103,tab_MinKomp[[Stanowisko / Position ]:[Stanowisko / Position ]],0)))</f>
        <v>n/a</v>
      </c>
      <c r="T104" s="343">
        <f>IF(INDEX(tab_MinKomp[Doradztwo, wsparcie personalne / Personalberatung und Unterstützung],MATCH($B103,tab_MinKomp[[Stanowisko / Position ]:[Stanowisko / Position ]],0))="n/a","n/a",T103-INDEX(tab_MinKomp[Doradztwo, wsparcie personalne / Personalberatung und Unterstützung],MATCH($B103,tab_MinKomp[[Stanowisko / Position ]:[Stanowisko / Position ]],0)))</f>
        <v>0</v>
      </c>
      <c r="U104" s="343" t="str">
        <f>IF(INDEX(tab_MinKomp[Przepisy o podatku VAT / MwSt.- Gesetz],MATCH($B103,tab_MinKomp[[Stanowisko / Position ]:[Stanowisko / Position ]],0))="n/a","n/a",U103-INDEX(tab_MinKomp[Przepisy o podatku VAT / MwSt.- Gesetz],MATCH($B103,tab_MinKomp[[Stanowisko / Position ]:[Stanowisko / Position ]],0)))</f>
        <v>n/a</v>
      </c>
      <c r="V104" s="343" t="str">
        <f>IF(INDEX(tab_MinKomp[PrzepisyPDOP / geschäftlich Einkommensteuergesetz],MATCH($B103,tab_MinKomp[[Stanowisko / Position ]:[Stanowisko / Position ]],0))="n/a","n/a",V103-INDEX(tab_MinKomp[PrzepisyPDOP / geschäftlich Einkommensteuergesetz],MATCH($B103,tab_MinKomp[[Stanowisko / Position ]:[Stanowisko / Position ]],0)))</f>
        <v>n/a</v>
      </c>
      <c r="W104" s="343" t="str">
        <f>IF(INDEX(tab_MinKomp[System BAAN / FINANSE (FIBU)],MATCH($B103,tab_MinKomp[[Stanowisko / Position ]:[Stanowisko / Position ]],0))="n/a","n/a",W103-INDEX(tab_MinKomp[System BAAN / FINANSE (FIBU)],MATCH($B103,tab_MinKomp[[Stanowisko / Position ]:[Stanowisko / Position ]],0)))</f>
        <v>n/a</v>
      </c>
      <c r="X104" s="343" t="str">
        <f>IF(INDEX(tab_MinKomp[Systemy pomocnicze / Hilfssysteme(STOCKPROGRAM, KALK2000 etc.)],MATCH($B103,tab_MinKomp[[Stanowisko / Position ]:[Stanowisko / Position ]],0))="n/a","n/a",X103-INDEX(tab_MinKomp[Systemy pomocnicze / Hilfssysteme(STOCKPROGRAM, KALK2000 etc.)],MATCH($B103,tab_MinKomp[[Stanowisko / Position ]:[Stanowisko / Position ]],0)))</f>
        <v>n/a</v>
      </c>
      <c r="Y104" s="343" t="str">
        <f>IF(INDEX(tab_MinKomp[Polityka rachunkowości / Buchführungspolitik],MATCH($B103,tab_MinKomp[[Stanowisko / Position ]:[Stanowisko / Position ]],0))="n/a","n/a",Y103-INDEX(tab_MinKomp[Polityka rachunkowości / Buchführungspolitik],MATCH($B103,tab_MinKomp[[Stanowisko / Position ]:[Stanowisko / Position ]],0)))</f>
        <v>n/a</v>
      </c>
      <c r="Z104" s="343" t="str">
        <f>IF(INDEX(tab_MinKomp[Ustawa o rachunkowości / Rechnungslegungsgesetz],MATCH($B103,tab_MinKomp[[Stanowisko / Position ]:[Stanowisko / Position ]],0))="n/a","n/a",Z103-INDEX(tab_MinKomp[Ustawa o rachunkowości / Rechnungslegungsgesetz],MATCH($B103,tab_MinKomp[[Stanowisko / Position ]:[Stanowisko / Position ]],0)))</f>
        <v>n/a</v>
      </c>
      <c r="AA104" s="343" t="str">
        <f>IF(INDEX(tab_MinKomp[WORKFLOW - TS-100],MATCH($B103,tab_MinKomp[[Stanowisko / Position ]:[Stanowisko / Position ]],0))="n/a","n/a",AA103-INDEX(tab_MinKomp[WORKFLOW - TS-100],MATCH($B103,tab_MinKomp[[Stanowisko / Position ]:[Stanowisko / Position ]],0)))</f>
        <v>n/a</v>
      </c>
      <c r="AB104" s="343" t="str">
        <f>IF(INDEX(tab_MinKomp[WORKFLOW - SFMS],MATCH($B103,tab_MinKomp[[Stanowisko / Position ]:[Stanowisko / Position ]],0))="n/a","n/a",AB103-INDEX(tab_MinKomp[WORKFLOW - SFMS],MATCH($B103,tab_MinKomp[[Stanowisko / Position ]:[Stanowisko / Position ]],0)))</f>
        <v>n/a</v>
      </c>
      <c r="AC104" s="343" t="str">
        <f>IF(INDEX(tab_MinKomp[System ISO 9001:2015],MATCH($B103,tab_MinKomp[[Stanowisko / Position ]:[Stanowisko / Position ]],0))="n/a","n/a",AC103-INDEX(tab_MinKomp[System ISO 9001:2015],MATCH($B103,tab_MinKomp[[Stanowisko / Position ]:[Stanowisko / Position ]],0)))</f>
        <v>n/a</v>
      </c>
      <c r="AD104" s="343" t="str">
        <f>IF(INDEX(tab_MinKomp[System IATF 16949:2016],MATCH($B103,tab_MinKomp[[Stanowisko / Position ]:[Stanowisko / Position ]],0))="n/a","n/a",AD103-INDEX(tab_MinKomp[System IATF 16949:2016],MATCH($B103,tab_MinKomp[[Stanowisko / Position ]:[Stanowisko / Position ]],0)))</f>
        <v>n/a</v>
      </c>
      <c r="AE104" s="343" t="str">
        <f>IF(INDEX(tab_MinKomp[System ISO 14001:2015],MATCH($B103,tab_MinKomp[[Stanowisko / Position ]:[Stanowisko / Position ]],0))="n/a","n/a",AE103-INDEX(tab_MinKomp[System ISO 14001:2015],MATCH($B103,tab_MinKomp[[Stanowisko / Position ]:[Stanowisko / Position ]],0)))</f>
        <v>n/a</v>
      </c>
      <c r="AF104" s="343" t="str">
        <f>IF(INDEX(tab_MinKomp[System PN-N 18001:2004 / ISO 45001:2018],MATCH($B103,tab_MinKomp[[Stanowisko / Position ]:[Stanowisko / Position ]],0))="n/a","n/a",AF103-INDEX(tab_MinKomp[System PN-N 18001:2004 / ISO 45001:2018],MATCH($B103,tab_MinKomp[[Stanowisko / Position ]:[Stanowisko / Position ]],0)))</f>
        <v>n/a</v>
      </c>
      <c r="AG104" s="343" t="str">
        <f>IF(INDEX(tab_MinKomp[Wymagania VDA 6.3 Process / Forderungen],MATCH($B103,tab_MinKomp[[Stanowisko / Position ]:[Stanowisko / Position ]],0))="n/a","n/a",AG103-INDEX(tab_MinKomp[Wymagania VDA 6.3 Process / Forderungen],MATCH($B103,tab_MinKomp[[Stanowisko / Position ]:[Stanowisko / Position ]],0)))</f>
        <v>n/a</v>
      </c>
      <c r="AH104" s="343" t="str">
        <f>IF(INDEX(tab_MinKomp[Wymagania VDA 6.5 Product / Forderungen],MATCH($B103,tab_MinKomp[[Stanowisko / Position ]:[Stanowisko / Position ]],0))="n/a","n/a",AH103-INDEX(tab_MinKomp[Wymagania VDA 6.5 Product / Forderungen],MATCH($B103,tab_MinKomp[[Stanowisko / Position ]:[Stanowisko / Position ]],0)))</f>
        <v>n/a</v>
      </c>
      <c r="AI104" s="343" t="str">
        <f>IF(INDEX(tab_MinKomp[PSCR (VW Product Safety &amp; Conformity Representative)],MATCH($B103,tab_MinKomp[[Stanowisko / Position ]:[Stanowisko / Position ]],0))="n/a","n/a",AI103-INDEX(tab_MinKomp[PSCR (VW Product Safety &amp; Conformity Representative)],MATCH($B103,tab_MinKomp[[Stanowisko / Position ]:[Stanowisko / Position ]],0)))</f>
        <v>n/a</v>
      </c>
      <c r="AJ104" s="343" t="str">
        <f>IF(INDEX(tab_MinKomp[Auditor systemu ISO 17025:2018],MATCH($B103,tab_MinKomp[[Stanowisko / Position ]:[Stanowisko / Position ]],0))="n/a","n/a",AJ103-INDEX(tab_MinKomp[Auditor systemu ISO 17025:2018],MATCH($B103,tab_MinKomp[[Stanowisko / Position ]:[Stanowisko / Position ]],0)))</f>
        <v>n/a</v>
      </c>
      <c r="AK104" s="343" t="str">
        <f>IF(INDEX(tab_MinKomp[Pełnomocnik systemu / Systemvertreter],MATCH($B103,tab_MinKomp[[Stanowisko / Position ]:[Stanowisko / Position ]],0))="n/a","n/a",AK103-INDEX(tab_MinKomp[Pełnomocnik systemu / Systemvertreter],MATCH($B103,tab_MinKomp[[Stanowisko / Position ]:[Stanowisko / Position ]],0)))</f>
        <v>n/a</v>
      </c>
      <c r="AL104" s="343" t="str">
        <f>IF(INDEX(tab_MinKomp[Polityka Etyczna - Compliance],MATCH($B103,tab_MinKomp[[Stanowisko / Position ]:[Stanowisko / Position ]],0))="n/a","n/a",AL103-INDEX(tab_MinKomp[Polityka Etyczna - Compliance],MATCH($B103,tab_MinKomp[[Stanowisko / Position ]:[Stanowisko / Position ]],0)))</f>
        <v>n/a</v>
      </c>
      <c r="AM104" s="343" t="str">
        <f>IF(INDEX(tab_MinKomp[WDRAŻANIE NOWYCH PROJEKTÓW/ PROCEDURA CTM],MATCH($B103,tab_MinKomp[[Stanowisko / Position ]:[Stanowisko / Position ]],0))="n/a","n/a",AM103-INDEX(tab_MinKomp[WDRAŻANIE NOWYCH PROJEKTÓW/ PROCEDURA CTM],MATCH($B103,tab_MinKomp[[Stanowisko / Position ]:[Stanowisko / Position ]],0)))</f>
        <v>n/a</v>
      </c>
      <c r="AN104" s="343" t="str">
        <f>IF(INDEX(tab_MinKomp[KAMIENIE MILOWE MSL/PIFF],MATCH($B103,tab_MinKomp[[Stanowisko / Position ]:[Stanowisko / Position ]],0))="n/a","n/a",AN103-INDEX(tab_MinKomp[KAMIENIE MILOWE MSL/PIFF],MATCH($B103,tab_MinKomp[[Stanowisko / Position ]:[Stanowisko / Position ]],0)))</f>
        <v>n/a</v>
      </c>
      <c r="AO104" s="343">
        <f>IF(INDEX(tab_MinKomp[CP],MATCH($B103,tab_MinKomp[[Stanowisko / Position ]:[Stanowisko / Position ]],0))="n/a","n/a",AO103-INDEX(tab_MinKomp[CP],MATCH($B103,tab_MinKomp[[Stanowisko / Position ]:[Stanowisko / Position ]],0)))</f>
        <v>-1</v>
      </c>
      <c r="AP104" s="343" t="str">
        <f>IF(INDEX(tab_MinKomp[FMEA],MATCH($B103,tab_MinKomp[[Stanowisko / Position ]:[Stanowisko / Position ]],0))="n/a","n/a",AP103-INDEX(tab_MinKomp[FMEA],MATCH($B103,tab_MinKomp[[Stanowisko / Position ]:[Stanowisko / Position ]],0)))</f>
        <v>n/a</v>
      </c>
      <c r="AQ104" s="343">
        <f>IF(INDEX(tab_MinKomp[FLOW CHART],MATCH($B103,tab_MinKomp[[Stanowisko / Position ]:[Stanowisko / Position ]],0))="n/a","n/a",AQ103-INDEX(tab_MinKomp[FLOW CHART],MATCH($B103,tab_MinKomp[[Stanowisko / Position ]:[Stanowisko / Position ]],0)))</f>
        <v>0</v>
      </c>
      <c r="AR104" s="343" t="str">
        <f>IF(INDEX(tab_MinKomp[APQP],MATCH($B103,tab_MinKomp[[Stanowisko / Position ]:[Stanowisko / Position ]],0))="n/a","n/a",AR103-INDEX(tab_MinKomp[APQP],MATCH($B103,tab_MinKomp[[Stanowisko / Position ]:[Stanowisko / Position ]],0)))</f>
        <v>n/a</v>
      </c>
      <c r="AS104" s="343" t="str">
        <f>IF(INDEX(tab_MinKomp[MSA],MATCH($B103,tab_MinKomp[[Stanowisko / Position ]:[Stanowisko / Position ]],0))="n/a","n/a",AS103-INDEX(tab_MinKomp[MSA],MATCH($B103,tab_MinKomp[[Stanowisko / Position ]:[Stanowisko / Position ]],0)))</f>
        <v>n/a</v>
      </c>
      <c r="AT104" s="343" t="str">
        <f>IF(INDEX(tab_MinKomp[SPC],MATCH($B103,tab_MinKomp[[Stanowisko / Position ]:[Stanowisko / Position ]],0))="n/a","n/a",AT103-INDEX(tab_MinKomp[SPC],MATCH($B103,tab_MinKomp[[Stanowisko / Position ]:[Stanowisko / Position ]],0)))</f>
        <v>n/a</v>
      </c>
      <c r="AU104" s="343">
        <f>IF(INDEX(tab_MinKomp[CSR (SPECYFICZNE WYMAGANIA KLIENTA)],MATCH($B103,tab_MinKomp[[Stanowisko / Position ]:[Stanowisko / Position ]],0))="n/a","n/a",AU103-INDEX(tab_MinKomp[CSR (SPECYFICZNE WYMAGANIA KLIENTA)],MATCH($B103,tab_MinKomp[[Stanowisko / Position ]:[Stanowisko / Position ]],0)))</f>
        <v>0</v>
      </c>
      <c r="AV104" s="343">
        <f>IF(INDEX(tab_MinKomp[5S],MATCH($B103,tab_MinKomp[[Stanowisko / Position ]:[Stanowisko / Position ]],0))="n/a","n/a",AV103-INDEX(tab_MinKomp[5S],MATCH($B103,tab_MinKomp[[Stanowisko / Position ]:[Stanowisko / Position ]],0)))</f>
        <v>0</v>
      </c>
      <c r="AW104" s="343">
        <f>IF(INDEX(tab_MinKomp[LEAN MANAGEMENT],MATCH($B103,tab_MinKomp[[Stanowisko / Position ]:[Stanowisko / Position ]],0))="n/a","n/a",AW103-INDEX(tab_MinKomp[LEAN MANAGEMENT],MATCH($B103,tab_MinKomp[[Stanowisko / Position ]:[Stanowisko / Position ]],0)))</f>
        <v>-1</v>
      </c>
      <c r="AX104" s="343" t="str">
        <f>IF(INDEX(tab_MinKomp[5R],MATCH($B103,tab_MinKomp[[Stanowisko / Position ]:[Stanowisko / Position ]],0))="n/a","n/a",AX103-INDEX(tab_MinKomp[5R],MATCH($B103,tab_MinKomp[[Stanowisko / Position ]:[Stanowisko / Position ]],0)))</f>
        <v>n/a</v>
      </c>
      <c r="AY104" s="343" t="str">
        <f>IF(INDEX(tab_MinKomp[Six Sigma],MATCH($B103,tab_MinKomp[[Stanowisko / Position ]:[Stanowisko / Position ]],0))="n/a","n/a",AY103-INDEX(tab_MinKomp[Six Sigma],MATCH($B103,tab_MinKomp[[Stanowisko / Position ]:[Stanowisko / Position ]],0)))</f>
        <v>n/a</v>
      </c>
      <c r="AZ104" s="343" t="str">
        <f>IF(INDEX(tab_MinKomp[System BAAN / Distribution &amp; Supply Chain],MATCH($B103,tab_MinKomp[[Stanowisko / Position ]:[Stanowisko / Position ]],0))="n/a","n/a",AZ103-INDEX(tab_MinKomp[System BAAN / Distribution &amp; Supply Chain],MATCH($B103,tab_MinKomp[[Stanowisko / Position ]:[Stanowisko / Position ]],0)))</f>
        <v>n/a</v>
      </c>
      <c r="BA104" s="343">
        <f>IF(INDEX(tab_MinKomp[Gospodarka magazynowa / Lagerverwaltung],MATCH($B103,tab_MinKomp[[Stanowisko / Position ]:[Stanowisko / Position ]],0))="n/a","n/a",BA103-INDEX(tab_MinKomp[Gospodarka magazynowa / Lagerverwaltung],MATCH($B103,tab_MinKomp[[Stanowisko / Position ]:[Stanowisko / Position ]],0)))</f>
        <v>0</v>
      </c>
      <c r="BB104" s="343">
        <f>IF(INDEX(tab_MinKomp[Inwentaryzacja - organizacja i przebieg / Inventurprozess],MATCH($B103,tab_MinKomp[[Stanowisko / Position ]:[Stanowisko / Position ]],0))="n/a","n/a",BB103-INDEX(tab_MinKomp[Inwentaryzacja - organizacja i przebieg / Inventurprozess],MATCH($B103,tab_MinKomp[[Stanowisko / Position ]:[Stanowisko / Position ]],0)))</f>
        <v>0</v>
      </c>
      <c r="BC104" s="343" t="str">
        <f>IF(INDEX(tab_MinKomp[Organizacja dostaw / Versorgungsorganisation],MATCH($B103,tab_MinKomp[[Stanowisko / Position ]:[Stanowisko / Position ]],0))="n/a","n/a",BC103-INDEX(tab_MinKomp[Organizacja dostaw / Versorgungsorganisation],MATCH($B103,tab_MinKomp[[Stanowisko / Position ]:[Stanowisko / Position ]],0)))</f>
        <v>n/a</v>
      </c>
      <c r="BD104" s="343" t="str">
        <f>IF(INDEX(tab_MinKomp[Organizacja wysyłek / Organisation von Lieferungen],MATCH($B103,tab_MinKomp[[Stanowisko / Position ]:[Stanowisko / Position ]],0))="n/a","n/a",BD103-INDEX(tab_MinKomp[Organizacja wysyłek / Organisation von Lieferungen],MATCH($B103,tab_MinKomp[[Stanowisko / Position ]:[Stanowisko / Position ]],0)))</f>
        <v>n/a</v>
      </c>
      <c r="BE104" s="343" t="str">
        <f>IF(INDEX(tab_MinKomp[Analiza magazynowa - Program Polen.mdb / Inventuranalyse],MATCH($B103,tab_MinKomp[[Stanowisko / Position ]:[Stanowisko / Position ]],0))="n/a","n/a",BE103-INDEX(tab_MinKomp[Analiza magazynowa - Program Polen.mdb / Inventuranalyse],MATCH($B103,tab_MinKomp[[Stanowisko / Position ]:[Stanowisko / Position ]],0)))</f>
        <v>n/a</v>
      </c>
      <c r="BF104" s="315" t="str">
        <f>IF(INDEX(tab_MinKomp[MMOG (Materials Management Operations Guidelines)],MATCH($B103,tab_MinKomp[[Stanowisko / Position ]:[Stanowisko / Position ]],0))="n/a","n/a",BF103-INDEX(tab_MinKomp[MMOG (Materials Management Operations Guidelines)],MATCH($B103,tab_MinKomp[[Stanowisko / Position ]:[Stanowisko / Position ]],0)))</f>
        <v>n/a</v>
      </c>
      <c r="BG104" s="315" t="str">
        <f>IF(INDEX(tab_MinKomp[GPP],MATCH($B103,tab_MinKomp[[Stanowisko / Position ]:[Stanowisko / Position ]],0))="n/a","n/a",BG103-INDEX(tab_MinKomp[GPP],MATCH($B103,tab_MinKomp[[Stanowisko / Position ]:[Stanowisko / Position ]],0)))</f>
        <v>n/a</v>
      </c>
      <c r="BH104" s="315" t="str">
        <f>IF(INDEX(tab_MinKomp[AIAG (Automotive Industry Action Group)],MATCH($B103,tab_MinKomp[[Stanowisko / Position ]:[Stanowisko / Position ]],0))="n/a","n/a",BH103-INDEX(tab_MinKomp[AIAG (Automotive Industry Action Group)],MATCH($B103,tab_MinKomp[[Stanowisko / Position ]:[Stanowisko / Position ]],0)))</f>
        <v>n/a</v>
      </c>
      <c r="BI104" s="315" t="str">
        <f>IF(INDEX(tab_MinKomp[Super-G disputes],MATCH($B103,tab_MinKomp[[Stanowisko / Position ]:[Stanowisko / Position ]],0))="n/a","n/a",BI103-INDEX(tab_MinKomp[Super-G disputes],MATCH($B103,tab_MinKomp[[Stanowisko / Position ]:[Stanowisko / Position ]],0)))</f>
        <v>n/a</v>
      </c>
      <c r="BJ104" s="315" t="str">
        <f>IF(INDEX(tab_MinKomp[CMMS3/eDDL (Direct Data Link)],MATCH($B103,tab_MinKomp[[Stanowisko / Position ]:[Stanowisko / Position ]],0))="n/a","n/a",BJ103-INDEX(tab_MinKomp[CMMS3/eDDL (Direct Data Link)],MATCH($B103,tab_MinKomp[[Stanowisko / Position ]:[Stanowisko / Position ]],0)))</f>
        <v>n/a</v>
      </c>
      <c r="BK104" s="315" t="str">
        <f>IF(INDEX(tab_MinKomp[MP&amp;L (Material Planning and Logistics)],MATCH($B103,tab_MinKomp[[Stanowisko / Position ]:[Stanowisko / Position ]],0))="n/a","n/a",BK103-INDEX(tab_MinKomp[MP&amp;L (Material Planning and Logistics)],MATCH($B103,tab_MinKomp[[Stanowisko / Position ]:[Stanowisko / Position ]],0)))</f>
        <v>n/a</v>
      </c>
      <c r="BL104" s="315" t="str">
        <f>IF(INDEX(tab_MinKomp[Supplier delivery rating],MATCH($B103,tab_MinKomp[[Stanowisko / Position ]:[Stanowisko / Position ]],0))="n/a","n/a",BL103-INDEX(tab_MinKomp[Supplier delivery rating],MATCH($B103,tab_MinKomp[[Stanowisko / Position ]:[Stanowisko / Position ]],0)))</f>
        <v>n/a</v>
      </c>
      <c r="BM104" s="343">
        <f>IF(INDEX(tab_MinKomp[Planowanie produkcji / Produktionsplanung],MATCH($B103,tab_MinKomp[[Stanowisko / Position ]:[Stanowisko / Position ]],0))="n/a","n/a",BM103-INDEX(tab_MinKomp[Planowanie produkcji / Produktionsplanung],MATCH($B103,tab_MinKomp[[Stanowisko / Position ]:[Stanowisko / Position ]],0)))</f>
        <v>-1</v>
      </c>
      <c r="BN104" s="343" t="str">
        <f>IF(INDEX(tab_MinKomp[Obsługa maszyn Engel / Engel Maschinenbedienung],MATCH($B103,tab_MinKomp[[Stanowisko / Position ]:[Stanowisko / Position ]],0))="n/a","n/a",BN103-INDEX(tab_MinKomp[Obsługa maszyn Engel / Engel Maschinenbedienung],MATCH($B103,tab_MinKomp[[Stanowisko / Position ]:[Stanowisko / Position ]],0)))</f>
        <v>n/a</v>
      </c>
      <c r="BO104" s="343" t="str">
        <f>IF(INDEX(tab_MinKomp[Obsługa maszyn KVT / KVT Maschinenbedienung],MATCH($B103,tab_MinKomp[[Stanowisko / Position ]:[Stanowisko / Position ]],0))="n/a","n/a",BO103-INDEX(tab_MinKomp[Obsługa maszyn KVT / KVT Maschinenbedienung],MATCH($B103,tab_MinKomp[[Stanowisko / Position ]:[Stanowisko / Position ]],0)))</f>
        <v>n/a</v>
      </c>
      <c r="BP104" s="343" t="str">
        <f>IF(INDEX(tab_MinKomp[Obsługa maszyn KVT / KVT Maschinenbedienung],MATCH($B103,tab_MinKomp[[Stanowisko / Position ]:[Stanowisko / Position ]],0))="n/a","n/a",BP103-INDEX(tab_MinKomp[Obsługa maszyn KVT / KVT Maschinenbedienung],MATCH($B103,tab_MinKomp[[Stanowisko / Position ]:[Stanowisko / Position ]],0)))</f>
        <v>n/a</v>
      </c>
      <c r="BQ104" s="343" t="str">
        <f>IF(INDEX(tab_MinKomp[Obsługa maszyn ASL / ASL Maschinenbedienung],MATCH($B103,tab_MinKomp[[Stanowisko / Position ]:[Stanowisko / Position ]],0))="n/a","n/a",BQ103-INDEX(tab_MinKomp[Obsługa maszyn ASL / ASL Maschinenbedienung],MATCH($B103,tab_MinKomp[[Stanowisko / Position ]:[Stanowisko / Position ]],0)))</f>
        <v>n/a</v>
      </c>
      <c r="BR104" s="343" t="str">
        <f>IF(INDEX(tab_MinKomp[Obsługa maszyn Branson / Branson Maschinenbedienung],MATCH($B103,tab_MinKomp[[Stanowisko / Position ]:[Stanowisko / Position ]],0))="n/a","n/a",BR103-INDEX(tab_MinKomp[Obsługa maszyn Branson / Branson Maschinenbedienung],MATCH($B103,tab_MinKomp[[Stanowisko / Position ]:[Stanowisko / Position ]],0)))</f>
        <v>n/a</v>
      </c>
      <c r="BS104" s="343">
        <f>IF(INDEX(tab_MinKomp[Obsługa maszyn Novapax / Novapax Maschinenbedienung],MATCH($B103,tab_MinKomp[[Stanowisko / Position ]:[Stanowisko / Position ]],0))="n/a","n/a",BS103-INDEX(tab_MinKomp[Obsługa maszyn Novapax / Novapax Maschinenbedienung],MATCH($B103,tab_MinKomp[[Stanowisko / Position ]:[Stanowisko / Position ]],0)))</f>
        <v>-1</v>
      </c>
      <c r="BT104" s="343" t="str">
        <f>IF(INDEX(tab_MinKomp[Obsługa maszyn Piovan / Piovan Maschinenbedienung],MATCH($B103,tab_MinKomp[[Stanowisko / Position ]:[Stanowisko / Position ]],0))="n/a","n/a",BT103-INDEX(tab_MinKomp[Obsługa maszyn Piovan / Piovan Maschinenbedienung],MATCH($B103,tab_MinKomp[[Stanowisko / Position ]:[Stanowisko / Position ]],0)))</f>
        <v>n/a</v>
      </c>
      <c r="BU104" s="343">
        <f>IF(INDEX(tab_MinKomp[Obsługa maszyn Novapax / Novapax Maschinenbedienung],MATCH($B103,tab_MinKomp[[Stanowisko / Position ]:[Stanowisko / Position ]],0))="n/a","n/a",BU103-INDEX(tab_MinKomp[Obsługa maszyn Novapax / Novapax Maschinenbedienung],MATCH($B103,tab_MinKomp[[Stanowisko / Position ]:[Stanowisko / Position ]],0)))</f>
        <v>0</v>
      </c>
      <c r="BV104" s="343">
        <f>IF(INDEX(tab_MinKomp[Eliminacja awarii / Beseitigung von Ausfällen],MATCH($B103,tab_MinKomp[[Stanowisko / Position ]:[Stanowisko / Position ]],0))="n/a","n/a",BV103-INDEX(tab_MinKomp[Eliminacja awarii / Beseitigung von Ausfällen],MATCH($B103,tab_MinKomp[[Stanowisko / Position ]:[Stanowisko / Position ]],0)))</f>
        <v>-1</v>
      </c>
      <c r="BW104" s="343" t="str">
        <f>IF(INDEX(tab_MinKomp[Informatyka ogólna (techniczne i systemowe) / Allgemeine IT (Technik und System)],MATCH($B103,tab_MinKomp[[Stanowisko / Position ]:[Stanowisko / Position ]],0))="n/a","n/a",BW103-INDEX(tab_MinKomp[Informatyka ogólna (techniczne i systemowe) / Allgemeine IT (Technik und System)],MATCH($B103,tab_MinKomp[[Stanowisko / Position ]:[Stanowisko / Position ]],0)))</f>
        <v>n/a</v>
      </c>
      <c r="BX104" s="343" t="str">
        <f>IF(INDEX(tab_MinKomp[Sieci komputerowe / Computernetzwerke],MATCH($B103,tab_MinKomp[[Stanowisko / Position ]:[Stanowisko / Position ]],0))="n/a","n/a",BX103-INDEX(tab_MinKomp[Sieci komputerowe / Computernetzwerke],MATCH($B103,tab_MinKomp[[Stanowisko / Position ]:[Stanowisko / Position ]],0)))</f>
        <v>n/a</v>
      </c>
      <c r="BY104" s="343" t="str">
        <f>IF(INDEX(tab_MinKomp[Hardware (komputery PC, drukarki biurowe i etykietowe, telefonia stacjonarna i mobilna) (PC, Drucker, Telefpne, Handys)],MATCH($B103,tab_MinKomp[[Stanowisko / Position ]:[Stanowisko / Position ]],0))="n/a","n/a",BY103-INDEX(tab_MinKomp[Hardware (komputery PC, drukarki biurowe i etykietowe, telefonia stacjonarna i mobilna) (PC, Drucker, Telefpne, Handys)],MATCH($B103,tab_MinKomp[[Stanowisko / Position ]:[Stanowisko / Position ]],0)))</f>
        <v>n/a</v>
      </c>
      <c r="BZ104" s="343" t="str">
        <f>IF(INDEX(tab_MinKomp[Software &amp; Systems (MS Office, MS Remote Desktop)],MATCH($B103,tab_MinKomp[[Stanowisko / Position ]:[Stanowisko / Position ]],0))="n/a","n/a",BZ103-INDEX(tab_MinKomp[Software &amp; Systems (MS Office, MS Remote Desktop)],MATCH($B103,tab_MinKomp[[Stanowisko / Position ]:[Stanowisko / Position ]],0)))</f>
        <v>n/a</v>
      </c>
      <c r="CA104" s="343" t="str">
        <f>IF(INDEX(tab_MinKomp[Programowanie obiektowe (PHP) / Objektprogrammierung],MATCH($B103,tab_MinKomp[[Stanowisko / Position ]:[Stanowisko / Position ]],0))="n/a","n/a",CA103-INDEX(tab_MinKomp[Programowanie obiektowe (PHP) / Objektprogrammierung],MATCH($B103,tab_MinKomp[[Stanowisko / Position ]:[Stanowisko / Position ]],0)))</f>
        <v>n/a</v>
      </c>
      <c r="CB104" s="343" t="str">
        <f>IF(INDEX(tab_MinKomp[Scrum],MATCH($B103,tab_MinKomp[[Stanowisko / Position ]:[Stanowisko / Position ]],0))="n/a","n/a",CB103-INDEX(tab_MinKomp[Scrum],MATCH($B103,tab_MinKomp[[Stanowisko / Position ]:[Stanowisko / Position ]],0)))</f>
        <v>n/a</v>
      </c>
      <c r="CC104" s="343" t="str">
        <f>IF(INDEX(tab_MinKomp[SQL (MySQL)],MATCH($B103,tab_MinKomp[[Stanowisko / Position ]:[Stanowisko / Position ]],0))="n/a","n/a",CC103-INDEX(tab_MinKomp[SQL (MySQL)],MATCH($B103,tab_MinKomp[[Stanowisko / Position ]:[Stanowisko / Position ]],0)))</f>
        <v>n/a</v>
      </c>
      <c r="CD104" s="343" t="str">
        <f>IF(INDEX(tab_MinKomp[Javascript],MATCH($B103,tab_MinKomp[[Stanowisko / Position ]:[Stanowisko / Position ]],0))="n/a","n/a",CD103-INDEX(tab_MinKomp[Javascript],MATCH($B103,tab_MinKomp[[Stanowisko / Position ]:[Stanowisko / Position ]],0)))</f>
        <v>n/a</v>
      </c>
      <c r="CE104" s="343" t="str">
        <f>IF(INDEX(tab_MinKomp[Joomla],MATCH($B103,tab_MinKomp[[Stanowisko / Position ]:[Stanowisko / Position ]],0))="n/a","n/a",CE103-INDEX(tab_MinKomp[Joomla],MATCH($B103,tab_MinKomp[[Stanowisko / Position ]:[Stanowisko / Position ]],0)))</f>
        <v>n/a</v>
      </c>
      <c r="CF104" s="343" t="str">
        <f>IF(INDEX(tab_MinKomp[Bash],MATCH($B103,tab_MinKomp[[Stanowisko / Position ]:[Stanowisko / Position ]],0))="n/a","n/a",CF103-INDEX(tab_MinKomp[Bash],MATCH($B103,tab_MinKomp[[Stanowisko / Position ]:[Stanowisko / Position ]],0)))</f>
        <v>n/a</v>
      </c>
      <c r="CG104" s="343">
        <f>IF(INDEX(tab_MinKomp[Systemy MES (HYDRA / SFMS)],MATCH($B103,tab_MinKomp[[Stanowisko / Position ]:[Stanowisko / Position ]],0))="n/a","n/a",CG103-INDEX(tab_MinKomp[Systemy MES (HYDRA / SFMS)],MATCH($B103,tab_MinKomp[[Stanowisko / Position ]:[Stanowisko / Position ]],0)))</f>
        <v>0</v>
      </c>
      <c r="CH104" s="343" t="str">
        <f>IF(INDEX(tab_MinKomp[HTML / CSS],MATCH($B103,tab_MinKomp[[Stanowisko / Position ]:[Stanowisko / Position ]],0))="n/a","n/a",CH103-INDEX(tab_MinKomp[HTML / CSS],MATCH($B103,tab_MinKomp[[Stanowisko / Position ]:[Stanowisko / Position ]],0)))</f>
        <v>n/a</v>
      </c>
      <c r="CI104" s="343" t="str">
        <f>IF(INDEX(tab_MinKomp[SYSTEM PR],MATCH($B103,tab_MinKomp[[Stanowisko / Position ]:[Stanowisko / Position ]],0))="n/a","n/a",CI103-INDEX(tab_MinKomp[SYSTEM PR],MATCH($B103,tab_MinKomp[[Stanowisko / Position ]:[Stanowisko / Position ]],0)))</f>
        <v>n/a</v>
      </c>
      <c r="CJ104" s="343" t="str">
        <f>IF(INDEX(tab_MinKomp[System Einkauf XP / EBA],MATCH($B103,tab_MinKomp[[Stanowisko / Position ]:[Stanowisko / Position ]],0))="n/a","n/a",CJ103-INDEX(tab_MinKomp[System Einkauf XP / EBA],MATCH($B103,tab_MinKomp[[Stanowisko / Position ]:[Stanowisko / Position ]],0)))</f>
        <v>n/a</v>
      </c>
      <c r="CK104" s="343" t="str">
        <f>IF(INDEX(tab_MinKomp[Techniki negocjacyjne / Verhandlungstechniken],MATCH($B103,tab_MinKomp[[Stanowisko / Position ]:[Stanowisko / Position ]],0))="n/a","n/a",CK103-INDEX(tab_MinKomp[Techniki negocjacyjne / Verhandlungstechniken],MATCH($B103,tab_MinKomp[[Stanowisko / Position ]:[Stanowisko / Position ]],0)))</f>
        <v>n/a</v>
      </c>
      <c r="CL104" s="343" t="str">
        <f>IF(INDEX(tab_MinKomp[Znajomość rynku branżowego / Kenntnis des Industrie Marktes],MATCH($B103,tab_MinKomp[[Stanowisko / Position ]:[Stanowisko / Position ]],0))="n/a","n/a",CL103-INDEX(tab_MinKomp[Znajomość rynku branżowego / Kenntnis des Industrie Marktes],MATCH($B103,tab_MinKomp[[Stanowisko / Position ]:[Stanowisko / Position ]],0)))</f>
        <v>n/a</v>
      </c>
      <c r="CM104" s="343">
        <f>IF(INDEX(tab_MinKomp[RAPORTY 8D / 8D Berichten],MATCH($B103,tab_MinKomp[[Stanowisko / Position ]:[Stanowisko / Position ]],0))="n/a","n/a",CM103-INDEX(tab_MinKomp[RAPORTY 8D / 8D Berichten],MATCH($B103,tab_MinKomp[[Stanowisko / Position ]:[Stanowisko / Position ]],0)))</f>
        <v>-1</v>
      </c>
      <c r="CN104" s="343">
        <f>IF(INDEX(tab_MinKomp[NARZĘDZIA JAKOŚCIOWE (5WHY, Ishikawa, etc) / QS-Werkzeuge],MATCH($B103,tab_MinKomp[[Stanowisko / Position ]:[Stanowisko / Position ]],0))="n/a","n/a",CN103-INDEX(tab_MinKomp[NARZĘDZIA JAKOŚCIOWE (5WHY, Ishikawa, etc) / QS-Werkzeuge],MATCH($B103,tab_MinKomp[[Stanowisko / Position ]:[Stanowisko / Position ]],0)))</f>
        <v>-1</v>
      </c>
      <c r="CO104" s="343">
        <f>IF(INDEX(tab_MinKomp[PDCA],MATCH($B103,tab_MinKomp[[Stanowisko / Position ]:[Stanowisko / Position ]],0))="n/a","n/a",CO103-INDEX(tab_MinKomp[PDCA],MATCH($B103,tab_MinKomp[[Stanowisko / Position ]:[Stanowisko / Position ]],0)))</f>
        <v>-1</v>
      </c>
      <c r="CP104" s="343">
        <f>IF(INDEX(tab_MinKomp[Pareto],MATCH($B103,tab_MinKomp[[Stanowisko / Position ]:[Stanowisko / Position ]],0))="n/a","n/a",CP103-INDEX(tab_MinKomp[Pareto],MATCH($B103,tab_MinKomp[[Stanowisko / Position ]:[Stanowisko / Position ]],0)))</f>
        <v>0</v>
      </c>
      <c r="CQ104" s="343" t="str">
        <f>IF(INDEX(tab_MinKomp[PPAP/PSW],MATCH($B103,tab_MinKomp[[Stanowisko / Position ]:[Stanowisko / Position ]],0))="n/a","n/a",CQ103-INDEX(tab_MinKomp[PPAP/PSW],MATCH($B103,tab_MinKomp[[Stanowisko / Position ]:[Stanowisko / Position ]],0)))</f>
        <v>n/a</v>
      </c>
      <c r="CR104" s="343" t="str">
        <f>IF(INDEX(tab_MinKomp[SUPPLIER MANAGEMENT],MATCH($B103,tab_MinKomp[[Stanowisko / Position ]:[Stanowisko / Position ]],0))="n/a","n/a",CR103-INDEX(tab_MinKomp[SUPPLIER MANAGEMENT],MATCH($B103,tab_MinKomp[[Stanowisko / Position ]:[Stanowisko / Position ]],0)))</f>
        <v>n/a</v>
      </c>
      <c r="CS104" s="343" t="str">
        <f>IF(INDEX(tab_MinKomp[OBSŁUGA PORTALI KLIENTA / Kundenportale],MATCH($B103,tab_MinKomp[[Stanowisko / Position ]:[Stanowisko / Position ]],0))="n/a","n/a",CS103-INDEX(tab_MinKomp[OBSŁUGA PORTALI KLIENTA / Kundenportale],MATCH($B103,tab_MinKomp[[Stanowisko / Position ]:[Stanowisko / Position ]],0)))</f>
        <v>n/a</v>
      </c>
      <c r="CT104" s="343" t="str">
        <f>IF(INDEX(tab_MinKomp[Obsługa systemu BABTECQ / BABTECQ System],MATCH($B103,tab_MinKomp[[Stanowisko / Position ]:[Stanowisko / Position ]],0))="n/a","n/a",CT103-INDEX(tab_MinKomp[Obsługa systemu BABTECQ / BABTECQ System],MATCH($B103,tab_MinKomp[[Stanowisko / Position ]:[Stanowisko / Position ]],0)))</f>
        <v>n/a</v>
      </c>
      <c r="CU104" s="343" t="str">
        <f>IF(INDEX(tab_MinKomp[Rysunek techniczny / technische Zeichnung],MATCH($B103,tab_MinKomp[[Stanowisko / Position ]:[Stanowisko / Position ]],0))="n/a","n/a",CU103-INDEX(tab_MinKomp[Rysunek techniczny / technische Zeichnung],MATCH($B103,tab_MinKomp[[Stanowisko / Position ]:[Stanowisko / Position ]],0)))</f>
        <v>n/a</v>
      </c>
      <c r="CV104" s="343" t="str">
        <f>IF(INDEX(tab_MinKomp[Kalibracja / Kalibrierung],MATCH($B103,tab_MinKomp[[Stanowisko / Position ]:[Stanowisko / Position ]],0))="n/a","n/a",CV103-INDEX(tab_MinKomp[Kalibracja / Kalibrierung],MATCH($B103,tab_MinKomp[[Stanowisko / Position ]:[Stanowisko / Position ]],0)))</f>
        <v>n/a</v>
      </c>
      <c r="CW104" s="343" t="str">
        <f>IF(INDEX(tab_MinKomp[Rekwalifikacja / Requalifizierung],MATCH($B103,tab_MinKomp[[Stanowisko / Position ]:[Stanowisko / Position ]],0))="n/a","n/a",CW103-INDEX(tab_MinKomp[Rekwalifikacja / Requalifizierung],MATCH($B103,tab_MinKomp[[Stanowisko / Position ]:[Stanowisko / Position ]],0)))</f>
        <v>n/a</v>
      </c>
      <c r="CX104" s="315" t="str">
        <f>IF(INDEX(tab_MinKomp[CMM - Contura Zeiss],MATCH($B103,tab_MinKomp[[Stanowisko / Position ]:[Stanowisko / Position ]],0))="n/a","n/a",CX103-INDEX(tab_MinKomp[CMM - Contura Zeiss],MATCH($B103,tab_MinKomp[[Stanowisko / Position ]:[Stanowisko / Position ]],0)))</f>
        <v>n/a</v>
      </c>
      <c r="CY104" s="315" t="str">
        <f>IF(INDEX(tab_MinKomp[CMM - Contura Zeiss],MATCH($B103,tab_MinKomp[[Stanowisko / Position ]:[Stanowisko / Position ]],0))="n/a","n/a",CY103-INDEX(tab_MinKomp[CMM - Contura Zeiss],MATCH($B103,tab_MinKomp[[Stanowisko / Position ]:[Stanowisko / Position ]],0)))</f>
        <v>n/a</v>
      </c>
      <c r="CZ104" s="315" t="str">
        <f>IF(INDEX(tab_MinKomp[CMM - Contura Zeiss],MATCH($B103,tab_MinKomp[[Stanowisko / Position ]:[Stanowisko / Position ]],0))="n/a","n/a",CZ103-INDEX(tab_MinKomp[CMM - Contura Zeiss],MATCH($B103,tab_MinKomp[[Stanowisko / Position ]:[Stanowisko / Position ]],0)))</f>
        <v>n/a</v>
      </c>
      <c r="DA104" s="315" t="str">
        <f>IF(INDEX(tab_MinKomp[CMM - Contura Zeiss],MATCH($B103,tab_MinKomp[[Stanowisko / Position ]:[Stanowisko / Position ]],0))="n/a","n/a",DA103-INDEX(tab_MinKomp[CMM - Contura Zeiss],MATCH($B103,tab_MinKomp[[Stanowisko / Position ]:[Stanowisko / Position ]],0)))</f>
        <v>n/a</v>
      </c>
      <c r="DB104" s="315" t="str">
        <f>IF(INDEX(tab_MinKomp[CMM - Contura Zeiss],MATCH($B103,tab_MinKomp[[Stanowisko / Position ]:[Stanowisko / Position ]],0))="n/a","n/a",DB103-INDEX(tab_MinKomp[CMM - Contura Zeiss],MATCH($B103,tab_MinKomp[[Stanowisko / Position ]:[Stanowisko / Position ]],0)))</f>
        <v>n/a</v>
      </c>
      <c r="DC104" s="315" t="str">
        <f>IF(INDEX(tab_MinKomp[CMM - Contura Zeiss],MATCH($B103,tab_MinKomp[[Stanowisko / Position ]:[Stanowisko / Position ]],0))="n/a","n/a",DC103-INDEX(tab_MinKomp[CMM - Contura Zeiss],MATCH($B103,tab_MinKomp[[Stanowisko / Position ]:[Stanowisko / Position ]],0)))</f>
        <v>n/a</v>
      </c>
      <c r="DD104" s="315" t="str">
        <f>IF(INDEX(tab_MinKomp[Pisanie programów / Programme schreiben],MATCH($B103,tab_MinKomp[[Stanowisko / Position ]:[Stanowisko / Position ]],0))="n/a","n/a",DD103-INDEX(tab_MinKomp[Pisanie programów / Programme schreiben],MATCH($B103,tab_MinKomp[[Stanowisko / Position ]:[Stanowisko / Position ]],0)))</f>
        <v>n/a</v>
      </c>
      <c r="DE104" s="315" t="str">
        <f>IF(INDEX(tab_MinKomp[CMM - Contura Zeiss],MATCH($B103,tab_MinKomp[[Stanowisko / Position ]:[Stanowisko / Position ]],0))="n/a","n/a",DE103-INDEX(tab_MinKomp[CMM - Contura Zeiss],MATCH($B103,tab_MinKomp[[Stanowisko / Position ]:[Stanowisko / Position ]],0)))</f>
        <v>n/a</v>
      </c>
      <c r="DF104" s="315" t="str">
        <f>IF(INDEX(tab_MinKomp[CMM - Contura Zeiss],MATCH($B103,tab_MinKomp[[Stanowisko / Position ]:[Stanowisko / Position ]],0))="n/a","n/a",DF103-INDEX(tab_MinKomp[CMM - Contura Zeiss],MATCH($B103,tab_MinKomp[[Stanowisko / Position ]:[Stanowisko / Position ]],0)))</f>
        <v>n/a</v>
      </c>
      <c r="DG104" s="315" t="str">
        <f>IF(INDEX(tab_MinKomp[CMM - Contura Zeiss],MATCH($B103,tab_MinKomp[[Stanowisko / Position ]:[Stanowisko / Position ]],0))="n/a","n/a",DG103-INDEX(tab_MinKomp[CMM - Contura Zeiss],MATCH($B103,tab_MinKomp[[Stanowisko / Position ]:[Stanowisko / Position ]],0)))</f>
        <v>n/a</v>
      </c>
      <c r="DH104" s="315" t="str">
        <f>IF(INDEX(tab_MinKomp[CMM - Contura Zeiss],MATCH($B103,tab_MinKomp[[Stanowisko / Position ]:[Stanowisko / Position ]],0))="n/a","n/a",DH103-INDEX(tab_MinKomp[CMM - Contura Zeiss],MATCH($B103,tab_MinKomp[[Stanowisko / Position ]:[Stanowisko / Position ]],0)))</f>
        <v>n/a</v>
      </c>
      <c r="DI104" s="315" t="str">
        <f>IF(INDEX(tab_MinKomp[CMM - Contura Zeiss],MATCH($B103,tab_MinKomp[[Stanowisko / Position ]:[Stanowisko / Position ]],0))="n/a","n/a",DI103-INDEX(tab_MinKomp[CMM - Contura Zeiss],MATCH($B103,tab_MinKomp[[Stanowisko / Position ]:[Stanowisko / Position ]],0)))</f>
        <v>n/a</v>
      </c>
      <c r="DJ104" s="315" t="str">
        <f>IF(INDEX(tab_MinKomp[CMM - Contura Zeiss],MATCH($B103,tab_MinKomp[[Stanowisko / Position ]:[Stanowisko / Position ]],0))="n/a","n/a",DJ103-INDEX(tab_MinKomp[CMM - Contura Zeiss],MATCH($B103,tab_MinKomp[[Stanowisko / Position ]:[Stanowisko / Position ]],0)))</f>
        <v>n/a</v>
      </c>
      <c r="DK104" s="315" t="str">
        <f>IF(INDEX(tab_MinKomp[Pisanie programów / Programme schreiben],MATCH($B103,tab_MinKomp[[Stanowisko / Position ]:[Stanowisko / Position ]],0))="n/a","n/a",DK103-INDEX(tab_MinKomp[Pisanie programów / Programme schreiben],MATCH($B103,tab_MinKomp[[Stanowisko / Position ]:[Stanowisko / Position ]],0)))</f>
        <v>n/a</v>
      </c>
      <c r="DL104" s="315" t="str">
        <f>IF(INDEX(tab_MinKomp[CMM - Contura Zeiss],MATCH($B103,tab_MinKomp[[Stanowisko / Position ]:[Stanowisko / Position ]],0))="n/a","n/a",DL103-INDEX(tab_MinKomp[CMM - Contura Zeiss],MATCH($B103,tab_MinKomp[[Stanowisko / Position ]:[Stanowisko / Position ]],0)))</f>
        <v>n/a</v>
      </c>
      <c r="DM104" s="315" t="str">
        <f>IF(INDEX(tab_MinKomp[CMM - Contura Zeiss],MATCH($B103,tab_MinKomp[[Stanowisko / Position ]:[Stanowisko / Position ]],0))="n/a","n/a",DM103-INDEX(tab_MinKomp[CMM - Contura Zeiss],MATCH($B103,tab_MinKomp[[Stanowisko / Position ]:[Stanowisko / Position ]],0)))</f>
        <v>n/a</v>
      </c>
      <c r="DN104" s="315" t="str">
        <f>IF(INDEX(tab_MinKomp[CMM - Contura Zeiss],MATCH($B103,tab_MinKomp[[Stanowisko / Position ]:[Stanowisko / Position ]],0))="n/a","n/a",DN103-INDEX(tab_MinKomp[CMM - Contura Zeiss],MATCH($B103,tab_MinKomp[[Stanowisko / Position ]:[Stanowisko / Position ]],0)))</f>
        <v>n/a</v>
      </c>
      <c r="DO104" s="315" t="str">
        <f>IF(INDEX(tab_MinKomp[CMM - Contura Zeiss],MATCH($B103,tab_MinKomp[[Stanowisko / Position ]:[Stanowisko / Position ]],0))="n/a","n/a",DO103-INDEX(tab_MinKomp[CMM - Contura Zeiss],MATCH($B103,tab_MinKomp[[Stanowisko / Position ]:[Stanowisko / Position ]],0)))</f>
        <v>n/a</v>
      </c>
      <c r="DP104" s="315" t="str">
        <f>IF(INDEX(tab_MinKomp[CMM - Contura Zeiss],MATCH($B103,tab_MinKomp[[Stanowisko / Position ]:[Stanowisko / Position ]],0))="n/a","n/a",DP103-INDEX(tab_MinKomp[CMM - Contura Zeiss],MATCH($B103,tab_MinKomp[[Stanowisko / Position ]:[Stanowisko / Position ]],0)))</f>
        <v>n/a</v>
      </c>
      <c r="DQ104" s="315" t="str">
        <f>IF(INDEX(tab_MinKomp[CMM - Contura Zeiss],MATCH($B103,tab_MinKomp[[Stanowisko / Position ]:[Stanowisko / Position ]],0))="n/a","n/a",DQ103-INDEX(tab_MinKomp[CMM - Contura Zeiss],MATCH($B103,tab_MinKomp[[Stanowisko / Position ]:[Stanowisko / Position ]],0)))</f>
        <v>n/a</v>
      </c>
      <c r="DR104" s="315" t="str">
        <f>IF(INDEX(tab_MinKomp[Pisanie programów / Programme schreiben],MATCH($B103,tab_MinKomp[[Stanowisko / Position ]:[Stanowisko / Position ]],0))="n/a","n/a",DR103-INDEX(tab_MinKomp[Pisanie programów / Programme schreiben],MATCH($B103,tab_MinKomp[[Stanowisko / Position ]:[Stanowisko / Position ]],0)))</f>
        <v>n/a</v>
      </c>
      <c r="DS104" s="315" t="str">
        <f>IF(INDEX(tab_MinKomp[CMM - Contura Zeiss],MATCH($B103,tab_MinKomp[[Stanowisko / Position ]:[Stanowisko / Position ]],0))="n/a","n/a",DS103-INDEX(tab_MinKomp[CMM - Contura Zeiss],MATCH($B103,tab_MinKomp[[Stanowisko / Position ]:[Stanowisko / Position ]],0)))</f>
        <v>n/a</v>
      </c>
      <c r="DT104" s="315" t="str">
        <f>IF(INDEX(tab_MinKomp[CMM - Contura Zeiss],MATCH($B103,tab_MinKomp[[Stanowisko / Position ]:[Stanowisko / Position ]],0))="n/a","n/a",DT103-INDEX(tab_MinKomp[CMM - Contura Zeiss],MATCH($B103,tab_MinKomp[[Stanowisko / Position ]:[Stanowisko / Position ]],0)))</f>
        <v>n/a</v>
      </c>
      <c r="DU104" s="315" t="str">
        <f>IF(INDEX(tab_MinKomp[CMM - Contura Zeiss],MATCH($B103,tab_MinKomp[[Stanowisko / Position ]:[Stanowisko / Position ]],0))="n/a","n/a",DU103-INDEX(tab_MinKomp[CMM - Contura Zeiss],MATCH($B103,tab_MinKomp[[Stanowisko / Position ]:[Stanowisko / Position ]],0)))</f>
        <v>n/a</v>
      </c>
      <c r="DV104" s="315" t="str">
        <f>IF(INDEX(tab_MinKomp[CMM - Contura Zeiss],MATCH($B103,tab_MinKomp[[Stanowisko / Position ]:[Stanowisko / Position ]],0))="n/a","n/a",DV103-INDEX(tab_MinKomp[CMM - Contura Zeiss],MATCH($B103,tab_MinKomp[[Stanowisko / Position ]:[Stanowisko / Position ]],0)))</f>
        <v>n/a</v>
      </c>
      <c r="DW104" s="315" t="str">
        <f>IF(INDEX(tab_MinKomp[CMM - Contura Zeiss],MATCH($B103,tab_MinKomp[[Stanowisko / Position ]:[Stanowisko / Position ]],0))="n/a","n/a",DW103-INDEX(tab_MinKomp[CMM - Contura Zeiss],MATCH($B103,tab_MinKomp[[Stanowisko / Position ]:[Stanowisko / Position ]],0)))</f>
        <v>n/a</v>
      </c>
      <c r="DX104" s="315" t="str">
        <f>IF(INDEX(tab_MinKomp[CMM - Contura Zeiss],MATCH($B103,tab_MinKomp[[Stanowisko / Position ]:[Stanowisko / Position ]],0))="n/a","n/a",DX103-INDEX(tab_MinKomp[CMM - Contura Zeiss],MATCH($B103,tab_MinKomp[[Stanowisko / Position ]:[Stanowisko / Position ]],0)))</f>
        <v>n/a</v>
      </c>
      <c r="DY104" s="343" t="str">
        <f>IF(INDEX(tab_MinKomp[Konserwacja Rep],MATCH($B103,tab_MinKomp[[Stanowisko / Position ]:[Stanowisko / Position ]],0))="n/a","n/a",DY103-INDEX(tab_MinKomp[Konserwacja Rep],MATCH($B103,tab_MinKomp[[Stanowisko / Position ]:[Stanowisko / Position ]],0)))</f>
        <v>n/a</v>
      </c>
      <c r="DZ104" s="343" t="str">
        <f>IF(INDEX(tab_MinKomp[[Konserwacja Engel ]],MATCH($B103,tab_MinKomp[[Stanowisko / Position ]:[Stanowisko / Position ]],0))="n/a","n/a",DZ103-INDEX(tab_MinKomp[[Konserwacja Engel ]],MATCH($B103,tab_MinKomp[[Stanowisko / Position ]:[Stanowisko / Position ]],0)))</f>
        <v>n/a</v>
      </c>
      <c r="EA104" s="343" t="str">
        <f>IF(INDEX(tab_MinKomp[Konserwacja B 50],MATCH($B103,tab_MinKomp[[Stanowisko / Position ]:[Stanowisko / Position ]],0))="n/a","n/a",EA103-INDEX(tab_MinKomp[Konserwacja B 50],MATCH($B103,tab_MinKomp[[Stanowisko / Position ]:[Stanowisko / Position ]],0)))</f>
        <v>n/a</v>
      </c>
      <c r="EB104" s="343" t="str">
        <f>IF(INDEX(tab_MinKomp[[Konserwacja EOL ]],MATCH($B103,tab_MinKomp[[Stanowisko / Position ]:[Stanowisko / Position ]],0))="n/a","n/a",EB103-INDEX(tab_MinKomp[[Konserwacja EOL ]],MATCH($B103,tab_MinKomp[[Stanowisko / Position ]:[Stanowisko / Position ]],0)))</f>
        <v>n/a</v>
      </c>
      <c r="EC104" s="343" t="str">
        <f>IF(INDEX(tab_MinKomp[Konserwacja Branson],MATCH($B103,tab_MinKomp[[Stanowisko / Position ]:[Stanowisko / Position ]],0))="n/a","n/a",EC103-INDEX(tab_MinKomp[Konserwacja Branson],MATCH($B103,tab_MinKomp[[Stanowisko / Position ]:[Stanowisko / Position ]],0)))</f>
        <v>n/a</v>
      </c>
      <c r="ED104" s="343" t="str">
        <f>IF(INDEX(tab_MinKomp[Konserwacja coolery],MATCH($B103,tab_MinKomp[[Stanowisko / Position ]:[Stanowisko / Position ]],0))="n/a","n/a",ED103-INDEX(tab_MinKomp[Konserwacja coolery],MATCH($B103,tab_MinKomp[[Stanowisko / Position ]:[Stanowisko / Position ]],0)))</f>
        <v>n/a</v>
      </c>
      <c r="EE104" s="343" t="str">
        <f>IF(INDEX(tab_MinKomp[Konserwacja piecy],MATCH($B103,tab_MinKomp[[Stanowisko / Position ]:[Stanowisko / Position ]],0))="n/a","n/a",EE103-INDEX(tab_MinKomp[Konserwacja piecy],MATCH($B103,tab_MinKomp[[Stanowisko / Position ]:[Stanowisko / Position ]],0)))</f>
        <v>n/a</v>
      </c>
      <c r="EF104" s="343" t="str">
        <f>IF(INDEX(tab_MinKomp[Rysunek techniczny- czytanie],MATCH($B103,tab_MinKomp[[Stanowisko / Position ]:[Stanowisko / Position ]],0))="n/a","n/a",EF103-INDEX(tab_MinKomp[Rysunek techniczny- czytanie],MATCH($B103,tab_MinKomp[[Stanowisko / Position ]:[Stanowisko / Position ]],0)))</f>
        <v>n/a</v>
      </c>
      <c r="EG104" s="343" t="str">
        <f>IF(INDEX(tab_MinKomp[Elektryka],MATCH($B103,tab_MinKomp[[Stanowisko / Position ]:[Stanowisko / Position ]],0))="n/a","n/a",EG103-INDEX(tab_MinKomp[Elektryka],MATCH($B103,tab_MinKomp[[Stanowisko / Position ]:[Stanowisko / Position ]],0)))</f>
        <v>n/a</v>
      </c>
      <c r="EH104" s="343" t="str">
        <f>IF(INDEX(tab_MinKomp[Pneumatyka],MATCH($B103,tab_MinKomp[[Stanowisko / Position ]:[Stanowisko / Position ]],0))="n/a","n/a",EH103-INDEX(tab_MinKomp[Pneumatyka],MATCH($B103,tab_MinKomp[[Stanowisko / Position ]:[Stanowisko / Position ]],0)))</f>
        <v>n/a</v>
      </c>
      <c r="EI104" s="343" t="str">
        <f>IF(INDEX(tab_MinKomp[[Hydraulika ]],MATCH($B103,tab_MinKomp[[Stanowisko / Position ]:[Stanowisko / Position ]],0))="n/a","n/a",EI103-INDEX(tab_MinKomp[[Hydraulika ]],MATCH($B103,tab_MinKomp[[Stanowisko / Position ]:[Stanowisko / Position ]],0)))</f>
        <v>n/a</v>
      </c>
      <c r="EJ104" s="343" t="str">
        <f>IF(INDEX(tab_MinKomp[Podciśnienie],MATCH($B103,tab_MinKomp[[Stanowisko / Position ]:[Stanowisko / Position ]],0))="n/a","n/a",EJ103-INDEX(tab_MinKomp[Podciśnienie],MATCH($B103,tab_MinKomp[[Stanowisko / Position ]:[Stanowisko / Position ]],0)))</f>
        <v>n/a</v>
      </c>
      <c r="EK104" s="343" t="str">
        <f>IF(INDEX(tab_MinKomp[Usuwanie awarii],MATCH($B103,tab_MinKomp[[Stanowisko / Position ]:[Stanowisko / Position ]],0))="n/a","n/a",EK103-INDEX(tab_MinKomp[Usuwanie awarii],MATCH($B103,tab_MinKomp[[Stanowisko / Position ]:[Stanowisko / Position ]],0)))</f>
        <v>n/a</v>
      </c>
      <c r="EL104" s="343" t="str">
        <f>IF(INDEX(tab_MinKomp[Obsługa robotów],MATCH($B103,tab_MinKomp[[Stanowisko / Position ]:[Stanowisko / Position ]],0))="n/a","n/a",EL103-INDEX(tab_MinKomp[Obsługa robotów],MATCH($B103,tab_MinKomp[[Stanowisko / Position ]:[Stanowisko / Position ]],0)))</f>
        <v>n/a</v>
      </c>
      <c r="EM104" s="343" t="str">
        <f>IF(INDEX(tab_MinKomp[Obsługa sterowania maszyny],MATCH($B103,tab_MinKomp[[Stanowisko / Position ]:[Stanowisko / Position ]],0))="n/a","n/a",EM103-INDEX(tab_MinKomp[Obsługa sterowania maszyny],MATCH($B103,tab_MinKomp[[Stanowisko / Position ]:[Stanowisko / Position ]],0)))</f>
        <v>n/a</v>
      </c>
      <c r="EN104" s="343" t="str">
        <f>IF(INDEX(tab_MinKomp[Usuwanie przyczyn żródłowych],MATCH($B103,tab_MinKomp[[Stanowisko / Position ]:[Stanowisko / Position ]],0))="n/a","n/a",EN103-INDEX(tab_MinKomp[Usuwanie przyczyn żródłowych],MATCH($B103,tab_MinKomp[[Stanowisko / Position ]:[Stanowisko / Position ]],0)))</f>
        <v>n/a</v>
      </c>
      <c r="EO104" s="343" t="str">
        <f>IF(INDEX(tab_MinKomp[Cmms stosowanie],MATCH($B103,tab_MinKomp[[Stanowisko / Position ]:[Stanowisko / Position ]],0))="n/a","n/a",EO103-INDEX(tab_MinKomp[Cmms stosowanie],MATCH($B103,tab_MinKomp[[Stanowisko / Position ]:[Stanowisko / Position ]],0)))</f>
        <v>n/a</v>
      </c>
      <c r="EP104" s="343" t="str">
        <f>IF(INDEX(tab_MinKomp[[Czyszczenie form gumowych ]],MATCH($B103,tab_MinKomp[[Stanowisko / Position ]:[Stanowisko / Position ]],0))="n/a","n/a",EP103-INDEX(tab_MinKomp[[Czyszczenie form gumowych ]],MATCH($B103,tab_MinKomp[[Stanowisko / Position ]:[Stanowisko / Position ]],0)))</f>
        <v>n/a</v>
      </c>
      <c r="EQ104" s="343" t="str">
        <f>IF(INDEX(tab_MinKomp[Czyszczenie form plastikowych],MATCH($B103,tab_MinKomp[[Stanowisko / Position ]:[Stanowisko / Position ]],0))="n/a","n/a",EQ103-INDEX(tab_MinKomp[Czyszczenie form plastikowych],MATCH($B103,tab_MinKomp[[Stanowisko / Position ]:[Stanowisko / Position ]],0)))</f>
        <v>n/a</v>
      </c>
      <c r="ER104" s="343" t="str">
        <f>IF(INDEX(tab_MinKomp[Wymiana form plastik],MATCH($B103,tab_MinKomp[[Stanowisko / Position ]:[Stanowisko / Position ]],0))="n/a","n/a",ER103-INDEX(tab_MinKomp[Wymiana form plastik],MATCH($B103,tab_MinKomp[[Stanowisko / Position ]:[Stanowisko / Position ]],0)))</f>
        <v>n/a</v>
      </c>
      <c r="ES104" s="343" t="str">
        <f>IF(INDEX(tab_MinKomp[Wymiana form guma],MATCH($B103,tab_MinKomp[[Stanowisko / Position ]:[Stanowisko / Position ]],0))="n/a","n/a",ES103-INDEX(tab_MinKomp[Wymiana form guma],MATCH($B103,tab_MinKomp[[Stanowisko / Position ]:[Stanowisko / Position ]],0)))</f>
        <v>n/a</v>
      </c>
      <c r="ET104" s="343" t="str">
        <f>IF(INDEX(tab_MinKomp[Konserwacja KK],MATCH($B103,tab_MinKomp[[Stanowisko / Position ]:[Stanowisko / Position ]],0))="n/a","n/a",ET103-INDEX(tab_MinKomp[Konserwacja KK],MATCH($B103,tab_MinKomp[[Stanowisko / Position ]:[Stanowisko / Position ]],0)))</f>
        <v>n/a</v>
      </c>
      <c r="EU104" s="343" t="str">
        <f>IF(INDEX(tab_MinKomp[Konserwacja form guma],MATCH($B103,tab_MinKomp[[Stanowisko / Position ]:[Stanowisko / Position ]],0))="n/a","n/a",EU103-INDEX(tab_MinKomp[Konserwacja form guma],MATCH($B103,tab_MinKomp[[Stanowisko / Position ]:[Stanowisko / Position ]],0)))</f>
        <v>n/a</v>
      </c>
      <c r="EV104" s="343" t="str">
        <f>IF(INDEX(tab_MinKomp[Konserwacja form plastiki],MATCH($B103,tab_MinKomp[[Stanowisko / Position ]:[Stanowisko / Position ]],0))="n/a","n/a",EV103-INDEX(tab_MinKomp[Konserwacja form plastiki],MATCH($B103,tab_MinKomp[[Stanowisko / Position ]:[Stanowisko / Position ]],0)))</f>
        <v>n/a</v>
      </c>
      <c r="EW104" s="330" t="str">
        <f>IF(INDEX(tab_MinKomp[Konserwacja form plastiki],MATCH($B103,tab_MinKomp[[Stanowisko / Position ]:[Stanowisko / Position ]],0))="n/a","n/a",EW103-INDEX(tab_MinKomp[Konserwacja form plastiki],MATCH($B103,tab_MinKomp[[Stanowisko / Position ]:[Stanowisko / Position ]],0)))</f>
        <v>n/a</v>
      </c>
      <c r="EX104" s="343" t="str">
        <f>IF(INDEX(tab_MinKomp[Konserwacja Gorącego Kanału],MATCH($B103,tab_MinKomp[[Stanowisko / Position ]:[Stanowisko / Position ]],0))="n/a","n/a",EX103-INDEX(tab_MinKomp[Konserwacja Gorącego Kanału],MATCH($B103,tab_MinKomp[[Stanowisko / Position ]:[Stanowisko / Position ]],0)))</f>
        <v>n/a</v>
      </c>
      <c r="EY104" s="343">
        <f>IF(INDEX(tab_MinKomp[MS Office (Excel)],MATCH($B103,tab_MinKomp[[Stanowisko / Position ]:[Stanowisko / Position ]],0))="n/a","n/a",EY103-INDEX(tab_MinKomp[MS Office (Excel)],MATCH($B103,tab_MinKomp[[Stanowisko / Position ]:[Stanowisko / Position ]],0)))</f>
        <v>0</v>
      </c>
      <c r="EZ104" s="343">
        <f>IF(INDEX(tab_MinKomp[MS Office (Word)],MATCH($B103,tab_MinKomp[[Stanowisko / Position ]:[Stanowisko / Position ]],0))="n/a","n/a",EZ103-INDEX(tab_MinKomp[MS Office (Word)],MATCH($B103,tab_MinKomp[[Stanowisko / Position ]:[Stanowisko / Position ]],0)))</f>
        <v>0</v>
      </c>
      <c r="FA104" s="343">
        <f>IF(INDEX(tab_MinKomp[MS Office (Power Point)],MATCH($B103,tab_MinKomp[[Stanowisko / Position ]:[Stanowisko / Position ]],0))="n/a","n/a",FA103-INDEX(tab_MinKomp[MS Office (Power Point)],MATCH($B103,tab_MinKomp[[Stanowisko / Position ]:[Stanowisko / Position ]],0)))</f>
        <v>0</v>
      </c>
      <c r="FB104" s="343" t="str">
        <f>IF(INDEX(tab_MinKomp[Język angielski / Englisch],MATCH($B103,tab_MinKomp[[Stanowisko / Position ]:[Stanowisko / Position ]],0))="n/a","n/a",FB103-INDEX(tab_MinKomp[Język angielski / Englisch],MATCH($B103,tab_MinKomp[[Stanowisko / Position ]:[Stanowisko / Position ]],0)))</f>
        <v>n/a</v>
      </c>
      <c r="FC104" s="343" t="str">
        <f>IF(INDEX(tab_MinKomp[Język niemiecki / Deutsch],MATCH($B103,tab_MinKomp[[Stanowisko / Position ]:[Stanowisko / Position ]],0))="n/a","n/a",FC103-INDEX(tab_MinKomp[Język niemiecki / Deutsch],MATCH($B103,tab_MinKomp[[Stanowisko / Position ]:[Stanowisko / Position ]],0)))</f>
        <v>n/a</v>
      </c>
      <c r="FD104" s="343">
        <f>IF(INDEX(tab_MinKomp[Zarządzanie dokumentacją procesową / Process dokumentation management],MATCH($B103,tab_MinKomp[[Stanowisko / Position ]:[Stanowisko / Position ]],0))="n/a","n/a",FD103-INDEX(tab_MinKomp[Zarządzanie dokumentacją procesową / Process dokumentation management],MATCH($B103,tab_MinKomp[[Stanowisko / Position ]:[Stanowisko / Position ]],0)))</f>
        <v>-1</v>
      </c>
      <c r="FE104" s="343">
        <f>IF(INDEX(tab_MinKomp[Znajomość procesów z obszaru / Kenntiss der prozesse in dem Bereich],MATCH($B103,tab_MinKomp[[Stanowisko / Position ]:[Stanowisko / Position ]],0))="n/a","n/a",FE103-INDEX(tab_MinKomp[Znajomość procesów z obszaru / Kenntiss der prozesse in dem Bereich],MATCH($B103,tab_MinKomp[[Stanowisko / Position ]:[Stanowisko / Position ]],0)))</f>
        <v>0</v>
      </c>
      <c r="FF104" s="343">
        <f>IF(INDEX(tab_MinKomp[optymalizacja procesów / Prozessoptymalisierung],MATCH($B103,tab_MinKomp[[Stanowisko / Position ]:[Stanowisko / Position ]],0))="n/a","n/a",FF103-INDEX(tab_MinKomp[optymalizacja procesów / Prozessoptymalisierung],MATCH($B103,tab_MinKomp[[Stanowisko / Position ]:[Stanowisko / Position ]],0)))</f>
        <v>-1</v>
      </c>
      <c r="FG104" s="343">
        <f>IF(INDEX(tab_MinKomp[Umiejętności szkoleniowe / Trainingsfähigkeiten],MATCH($B103,tab_MinKomp[[Stanowisko / Position ]:[Stanowisko / Position ]],0))="n/a","n/a",FG103-INDEX(tab_MinKomp[Umiejętności szkoleniowe / Trainingsfähigkeiten],MATCH($B103,tab_MinKomp[[Stanowisko / Position ]:[Stanowisko / Position ]],0)))</f>
        <v>0</v>
      </c>
      <c r="FH104" s="343">
        <f>IF(INDEX(tab_MinKomp[Analityczne myślenie, podejście / Analitysches Denken, Einstellung],MATCH($B103,tab_MinKomp[[Stanowisko / Position ]:[Stanowisko / Position ]],0))="n/a","n/a",FH103-INDEX(tab_MinKomp[Analityczne myślenie, podejście / Analitysches Denken, Einstellung],MATCH($B103,tab_MinKomp[[Stanowisko / Position ]:[Stanowisko / Position ]],0)))</f>
        <v>0</v>
      </c>
      <c r="FI104" s="343">
        <f>IF(INDEX(tab_MinKomp[Dokładność, precyzja w dzialaniu / Genauigkeit, Präzision in die Arbeit],MATCH($B103,tab_MinKomp[[Stanowisko / Position ]:[Stanowisko / Position ]],0))="n/a","n/a",FI103-INDEX(tab_MinKomp[Dokładność, precyzja w dzialaniu / Genauigkeit, Präzision in die Arbeit],MATCH($B103,tab_MinKomp[[Stanowisko / Position ]:[Stanowisko / Position ]],0)))</f>
        <v>0</v>
      </c>
      <c r="FJ104" s="343">
        <f>IF(INDEX(tab_MinKomp[Dyspozycyjność / Verfügbarkeit],MATCH($B103,tab_MinKomp[[Stanowisko / Position ]:[Stanowisko / Position ]],0))="n/a","n/a",FJ103-INDEX(tab_MinKomp[Dyspozycyjność / Verfügbarkeit],MATCH($B103,tab_MinKomp[[Stanowisko / Position ]:[Stanowisko / Position ]],0)))</f>
        <v>0</v>
      </c>
      <c r="FK104" s="343">
        <f>IF(INDEX(tab_MinKomp[Zaangażowanie / 
Engagement],MATCH($B103,tab_MinKomp[[Stanowisko / Position ]:[Stanowisko / Position ]],0))="n/a","n/a",FK103-INDEX(tab_MinKomp[Zaangażowanie / 
Engagement],MATCH($B103,tab_MinKomp[[Stanowisko / Position ]:[Stanowisko / Position ]],0)))</f>
        <v>0</v>
      </c>
      <c r="FL104" s="343">
        <f>IF(INDEX(tab_MinKomp[Planowanie strategiczne / Strategische Planung],MATCH($B103,tab_MinKomp[[Stanowisko / Position ]:[Stanowisko / Position ]],0))="n/a","n/a",FL103-INDEX(tab_MinKomp[Planowanie strategiczne / Strategische Planung],MATCH($B103,tab_MinKomp[[Stanowisko / Position ]:[Stanowisko / Position ]],0)))</f>
        <v>-1</v>
      </c>
      <c r="FM104" s="343">
        <f>IF(INDEX(tab_MinKomp[Konsekwentne i dynamiczne działanie],MATCH($B103,tab_MinKomp[[Stanowisko / Position ]:[Stanowisko / Position ]],0))="n/a","n/a",FM103-INDEX(tab_MinKomp[Konsekwentne i dynamiczne działanie],MATCH($B103,tab_MinKomp[[Stanowisko / Position ]:[Stanowisko / Position ]],0)))</f>
        <v>0</v>
      </c>
      <c r="FN104" s="343">
        <f>IF(INDEX(tab_MinKomp[Elastyczność w działaniu],MATCH($B103,tab_MinKomp[[Stanowisko / Position ]:[Stanowisko / Position ]],0))="n/a","n/a",FN103-INDEX(tab_MinKomp[Elastyczność w działaniu],MATCH($B103,tab_MinKomp[[Stanowisko / Position ]:[Stanowisko / Position ]],0)))</f>
        <v>0</v>
      </c>
      <c r="FO104" s="343">
        <f>IF(INDEX(tab_MinKomp[Komunikatywność],MATCH($B103,tab_MinKomp[[Stanowisko / Position ]:[Stanowisko / Position ]],0))="n/a","n/a",FO103-INDEX(tab_MinKomp[Komunikatywność],MATCH($B103,tab_MinKomp[[Stanowisko / Position ]:[Stanowisko / Position ]],0)))</f>
        <v>0</v>
      </c>
      <c r="FP104" s="342">
        <f>IF(INDEX(tab_MinKomp[Motywowanie i budowanie zaangażowania zespołu],MATCH($B103,tab_MinKomp[[Stanowisko / Position ]:[Stanowisko / Position ]],0))="n/a","n/a",FP103-INDEX(tab_MinKomp[Motywowanie i budowanie zaangażowania zespołu],MATCH($B103,tab_MinKomp[[Stanowisko / Position ]:[Stanowisko / Position ]],0)))</f>
        <v>0</v>
      </c>
      <c r="FQ104" s="346" t="str">
        <f>IFERROR(IF(INDEX(tab_MinKomp[BRAK / Keine],MATCH($B103,tab_MinKomp[[Stanowisko / Position ]:[Stanowisko / Position ]],0))="n/a","n/a",INDEX(tab_MinKomp[BRAK / Keine],MATCH($B103,tab_MinKomp[[Stanowisko / Position ]:[Stanowisko / Position ]],0))-FQ103),"")</f>
        <v>n/a</v>
      </c>
      <c r="FR104" s="343" t="str">
        <f>IF(INDEX(tab_MinKomp[MINIMUM 1 ROK / min. 1 Jahr],MATCH($B103,tab_MinKomp[[Stanowisko / Position ]:[Stanowisko / Position ]],0))="n/a","n/a",INDEX(tab_MinKomp[MINIMUM 1 ROK / min. 1 Jahr],MATCH($B103,tab_MinKomp[[Stanowisko / Position ]:[Stanowisko / Position ]],0)))</f>
        <v>x</v>
      </c>
      <c r="FS104" s="343" t="str">
        <f>IF(INDEX(tab_MinKomp[MINIMUM 2 LATA / min. 2 Jahre],MATCH($B103,tab_MinKomp[[Stanowisko / Position ]:[Stanowisko / Position ]],0))="n/a","n/a",INDEX(tab_MinKomp[MINIMUM 2 LATA / min. 2 Jahre],MATCH($B103,tab_MinKomp[[Stanowisko / Position ]:[Stanowisko / Position ]],0)))</f>
        <v>n/a</v>
      </c>
      <c r="FT104" s="343" t="str">
        <f>IF(INDEX(tab_MinKomp[MINIMUM 3 LATA / min. 3 Jahre],MATCH($B103,tab_MinKomp[[Stanowisko / Position ]:[Stanowisko / Position ]],0))="n/a","n/a",INDEX(tab_MinKomp[MINIMUM 3 LATA / min. 3 Jahre],MATCH($B103,tab_MinKomp[[Stanowisko / Position ]:[Stanowisko / Position ]],0)))</f>
        <v>n/a</v>
      </c>
      <c r="FU104" s="343" t="str">
        <f>IF(INDEX(tab_MinKomp[MINIMUM 4 LATA / min. 4 Jahre],MATCH($B103,tab_MinKomp[[Stanowisko / Position ]:[Stanowisko / Position ]],0))="n/a","n/a",INDEX(tab_MinKomp[MINIMUM 4 LATA / min. 4 Jahre],MATCH($B103,tab_MinKomp[[Stanowisko / Position ]:[Stanowisko / Position ]],0)))</f>
        <v>n/a</v>
      </c>
      <c r="FV104" s="347" t="str">
        <f>IF(INDEX(tab_MinKomp[MINIMUM 5 LAT / min. 5 Jahre],MATCH($B103,tab_MinKomp[[Stanowisko / Position ]:[Stanowisko / Position ]],0))="n/a","n/a",INDEX(tab_MinKomp[MINIMUM 5 LAT / min. 5 Jahre],MATCH($B103,tab_MinKomp[[Stanowisko / Position ]:[Stanowisko / Position ]],0)))</f>
        <v>n/a</v>
      </c>
      <c r="FW104" s="346" t="str">
        <f>IF(INDEX(tab_MinKomp[BRAK / Keine9],MATCH($B103,tab_MinKomp[[Stanowisko / Position ]:[Stanowisko / Position ]],0))="n/a","n/a",INDEX(tab_MinKomp[BRAK / Keine9],MATCH($B103,tab_MinKomp[[Stanowisko / Position ]:[Stanowisko / Position ]],0)))</f>
        <v>n/a</v>
      </c>
      <c r="FX104" s="343" t="str">
        <f>IF(INDEX(tab_MinKomp[ZAWODOWE / Berufsausbildung],MATCH($B103,tab_MinKomp[[Stanowisko / Position ]:[Stanowisko / Position ]],0))="n/a","n/a",INDEX(tab_MinKomp[ZAWODOWE / Berufsausbildung],MATCH($B103,tab_MinKomp[[Stanowisko / Position ]:[Stanowisko / Position ]],0)))</f>
        <v>x</v>
      </c>
      <c r="FY104" s="343" t="str">
        <f>IF(INDEX(tab_MinKomp[ŚREDNIE OGÓLNE / Abitur allgemeine],MATCH($B103,tab_MinKomp[[Stanowisko / Position ]:[Stanowisko / Position ]],0))="n/a","n/a",INDEX(tab_MinKomp[ŚREDNIE OGÓLNE / Abitur allgemeine],MATCH($B103,tab_MinKomp[[Stanowisko / Position ]:[Stanowisko / Position ]],0)))</f>
        <v>n/a</v>
      </c>
      <c r="FZ104" s="343" t="str">
        <f>IF(INDEX(tab_MinKomp[ŚREDNIE KIERUNKOWE / berufliches Gymnasium],MATCH($B103,tab_MinKomp[[Stanowisko / Position ]:[Stanowisko / Position ]],0))="n/a","n/a",INDEX(tab_MinKomp[ŚREDNIE KIERUNKOWE / berufliches Gymnasium],MATCH($B103,tab_MinKomp[[Stanowisko / Position ]:[Stanowisko / Position ]],0)))</f>
        <v>n/a</v>
      </c>
      <c r="GA104" s="343" t="str">
        <f>IF(INDEX(tab_MinKomp[WYŻSZE OGÓLNE / Hochschule allgemeine],MATCH($B103,tab_MinKomp[[Stanowisko / Position ]:[Stanowisko / Position ]],0))="n/a","n/a",INDEX(tab_MinKomp[WYŻSZE OGÓLNE / Hochschule allgemeine],MATCH($B103,tab_MinKomp[[Stanowisko / Position ]:[Stanowisko / Position ]],0)))</f>
        <v>n/a</v>
      </c>
      <c r="GB104" s="347" t="str">
        <f>IF(INDEX(tab_MinKomp[WYŻSZE KIERUNKOWE / Hochschule berufliche],MATCH($B103,tab_MinKomp[[Stanowisko / Position ]:[Stanowisko / Position ]],0))="n/a","n/a",INDEX(tab_MinKomp[WYŻSZE KIERUNKOWE / Hochschule berufliche],MATCH($B103,tab_MinKomp[[Stanowisko / Position ]:[Stanowisko / Position ]],0)))</f>
        <v>n/a</v>
      </c>
      <c r="GC104" s="346" t="str">
        <f>IF(INDEX(tab_MinKomp[PIERWSZA POMOC / Erste Hilfe],MATCH($B103,tab_MinKomp[[Stanowisko / Position ]:[Stanowisko / Position ]],0))="n/a","n/a",INDEX(tab_MinKomp[PIERWSZA POMOC / Erste Hilfe],MATCH($B103,tab_MinKomp[[Stanowisko / Position ]:[Stanowisko / Position ]],0)))</f>
        <v>x</v>
      </c>
      <c r="GD104" s="343" t="str">
        <f>IF(INDEX(tab_MinKomp[Specjalista BHP / BHP Spezialist],MATCH($B103,tab_MinKomp[[Stanowisko / Position ]:[Stanowisko / Position ]],0))="n/a","n/a",INDEX(tab_MinKomp[Specjalista BHP / BHP Spezialist],MATCH($B103,tab_MinKomp[[Stanowisko / Position ]:[Stanowisko / Position ]],0)))</f>
        <v>n/a</v>
      </c>
      <c r="GE104" s="343" t="str">
        <f>IF(INDEX(tab_MinKomp[Inspektor ochrony PPOŻ / Brandschutzinspektor],MATCH($B103,tab_MinKomp[[Stanowisko / Position ]:[Stanowisko / Position ]],0))="n/a","n/a",INDEX(tab_MinKomp[Inspektor ochrony PPOŻ / Brandschutzinspektor],MATCH($B103,tab_MinKomp[[Stanowisko / Position ]:[Stanowisko / Position ]],0)))</f>
        <v>n/a</v>
      </c>
      <c r="GF104" s="343" t="str">
        <f>IF(INDEX(tab_MinKomp[WÓZKI JEZDNIOWE / Gebelstapler],MATCH($B103,tab_MinKomp[[Stanowisko / Position ]:[Stanowisko / Position ]],0))="n/a","n/a",INDEX(tab_MinKomp[WÓZKI JEZDNIOWE / Gebelstapler],MATCH($B103,tab_MinKomp[[Stanowisko / Position ]:[Stanowisko / Position ]],0)))</f>
        <v>x</v>
      </c>
      <c r="GG104" s="343" t="str">
        <f>IF(INDEX(tab_MinKomp[SEP],MATCH($B103,tab_MinKomp[[Stanowisko / Position ]:[Stanowisko / Position ]],0))="n/a","n/a",INDEX(tab_MinKomp[SEP],MATCH($B103,tab_MinKomp[[Stanowisko / Position ]:[Stanowisko / Position ]],0)))</f>
        <v>n/a</v>
      </c>
      <c r="GH104" s="343" t="str">
        <f>IF(INDEX(tab_MinKomp[SEP  DOZÓR / SEP Aufsicht],MATCH($B103,tab_MinKomp[[Stanowisko / Position ]:[Stanowisko / Position ]],0))="n/a","n/a",INDEX(tab_MinKomp[SEP  DOZÓR / SEP Aufsicht],MATCH($B103,tab_MinKomp[[Stanowisko / Position ]:[Stanowisko / Position ]],0)))</f>
        <v>n/a</v>
      </c>
      <c r="GI104" s="343" t="str">
        <f>IF(INDEX(tab_MinKomp[PODNOŚNIKI / Hebevorrichtung],MATCH($B103,tab_MinKomp[[Stanowisko / Position ]:[Stanowisko / Position ]],0))="n/a","n/a",INDEX(tab_MinKomp[PODNOŚNIKI / Hebevorrichtung],MATCH($B103,tab_MinKomp[[Stanowisko / Position ]:[Stanowisko / Position ]],0)))</f>
        <v>n/a</v>
      </c>
      <c r="GJ104" s="343" t="str">
        <f>IF(INDEX(tab_MinKomp[SUWNICE / Laufkran],MATCH($B103,tab_MinKomp[[Stanowisko / Position ]:[Stanowisko / Position ]],0))="n/a","n/a",INDEX(tab_MinKomp[SUWNICE / Laufkran],MATCH($B103,tab_MinKomp[[Stanowisko / Position ]:[Stanowisko / Position ]],0)))</f>
        <v>n/a</v>
      </c>
      <c r="GK104" s="347" t="str">
        <f>IF(INDEX(tab_MinKomp[WYSOKOŚCIOWE / Höhenberechtigungen],MATCH($B103,tab_MinKomp[[Stanowisko / Position ]:[Stanowisko / Position ]],0))="n/a","n/a",INDEX(tab_MinKomp[WYSOKOŚCIOWE / Höhenberechtigungen],MATCH($B103,tab_MinKomp[[Stanowisko / Position ]:[Stanowisko / Position ]],0)))</f>
        <v>n/a</v>
      </c>
      <c r="GL104" s="320">
        <f>SUM(G104:FP104)/(GL103-(SUM(G104:FP104)))</f>
        <v>-0.16417910447761194</v>
      </c>
    </row>
    <row r="105" spans="1:194" ht="28.35" customHeight="1" x14ac:dyDescent="0.25">
      <c r="A105" s="135" t="s">
        <v>178</v>
      </c>
      <c r="B105" s="135" t="s">
        <v>581</v>
      </c>
      <c r="C105" s="135" t="s">
        <v>229</v>
      </c>
      <c r="D105" s="135">
        <v>716</v>
      </c>
      <c r="E105" s="565" t="s">
        <v>608</v>
      </c>
      <c r="F105" s="307" t="s">
        <v>165</v>
      </c>
      <c r="G105" s="308">
        <v>2</v>
      </c>
      <c r="H105" s="308">
        <v>2</v>
      </c>
      <c r="I105" s="308">
        <v>1</v>
      </c>
      <c r="J105" s="308">
        <v>1</v>
      </c>
      <c r="K105" s="308">
        <v>1</v>
      </c>
      <c r="L105" s="308">
        <v>1</v>
      </c>
      <c r="M105" s="308" t="s">
        <v>176</v>
      </c>
      <c r="N105" s="308" t="s">
        <v>176</v>
      </c>
      <c r="O105" s="308">
        <v>1</v>
      </c>
      <c r="P105" s="308">
        <v>1</v>
      </c>
      <c r="Q105" s="308" t="s">
        <v>176</v>
      </c>
      <c r="R105" s="308" t="s">
        <v>176</v>
      </c>
      <c r="S105" s="308" t="s">
        <v>176</v>
      </c>
      <c r="T105" s="308">
        <v>1</v>
      </c>
      <c r="U105" s="308" t="s">
        <v>176</v>
      </c>
      <c r="V105" s="308" t="s">
        <v>176</v>
      </c>
      <c r="W105" s="308" t="s">
        <v>176</v>
      </c>
      <c r="X105" s="308" t="s">
        <v>176</v>
      </c>
      <c r="Y105" s="308" t="s">
        <v>176</v>
      </c>
      <c r="Z105" s="308" t="s">
        <v>176</v>
      </c>
      <c r="AA105" s="308" t="s">
        <v>176</v>
      </c>
      <c r="AB105" s="308" t="s">
        <v>176</v>
      </c>
      <c r="AC105" s="308" t="s">
        <v>176</v>
      </c>
      <c r="AD105" s="308" t="s">
        <v>176</v>
      </c>
      <c r="AE105" s="308" t="s">
        <v>176</v>
      </c>
      <c r="AF105" s="308" t="s">
        <v>176</v>
      </c>
      <c r="AG105" s="308" t="s">
        <v>176</v>
      </c>
      <c r="AH105" s="308" t="s">
        <v>176</v>
      </c>
      <c r="AI105" s="308" t="s">
        <v>176</v>
      </c>
      <c r="AJ105" s="308" t="s">
        <v>176</v>
      </c>
      <c r="AK105" s="308" t="s">
        <v>176</v>
      </c>
      <c r="AL105" s="308">
        <v>2</v>
      </c>
      <c r="AM105" s="308" t="s">
        <v>176</v>
      </c>
      <c r="AN105" s="308" t="s">
        <v>176</v>
      </c>
      <c r="AO105" s="308">
        <v>1</v>
      </c>
      <c r="AP105" s="308" t="s">
        <v>176</v>
      </c>
      <c r="AQ105" s="308">
        <v>1</v>
      </c>
      <c r="AR105" s="308" t="s">
        <v>176</v>
      </c>
      <c r="AS105" s="308" t="s">
        <v>176</v>
      </c>
      <c r="AT105" s="308" t="s">
        <v>176</v>
      </c>
      <c r="AU105" s="308">
        <v>1</v>
      </c>
      <c r="AV105" s="308">
        <v>1</v>
      </c>
      <c r="AW105" s="308">
        <v>1</v>
      </c>
      <c r="AX105" s="308" t="s">
        <v>176</v>
      </c>
      <c r="AY105" s="308" t="s">
        <v>176</v>
      </c>
      <c r="AZ105" s="308" t="s">
        <v>176</v>
      </c>
      <c r="BA105" s="308">
        <v>1</v>
      </c>
      <c r="BB105" s="308">
        <v>2</v>
      </c>
      <c r="BC105" s="308" t="s">
        <v>176</v>
      </c>
      <c r="BD105" s="308" t="s">
        <v>176</v>
      </c>
      <c r="BE105" s="308" t="s">
        <v>176</v>
      </c>
      <c r="BF105" s="308" t="s">
        <v>176</v>
      </c>
      <c r="BG105" s="308" t="s">
        <v>176</v>
      </c>
      <c r="BH105" s="308" t="s">
        <v>176</v>
      </c>
      <c r="BI105" s="308" t="s">
        <v>176</v>
      </c>
      <c r="BJ105" s="308" t="s">
        <v>176</v>
      </c>
      <c r="BK105" s="308" t="s">
        <v>176</v>
      </c>
      <c r="BL105" s="308" t="s">
        <v>176</v>
      </c>
      <c r="BM105" s="308">
        <v>3</v>
      </c>
      <c r="BN105" s="308" t="s">
        <v>176</v>
      </c>
      <c r="BO105" s="308" t="s">
        <v>176</v>
      </c>
      <c r="BP105" s="308" t="s">
        <v>176</v>
      </c>
      <c r="BQ105" s="308" t="s">
        <v>176</v>
      </c>
      <c r="BR105" s="308" t="s">
        <v>176</v>
      </c>
      <c r="BS105" s="308">
        <v>3</v>
      </c>
      <c r="BT105" s="308" t="s">
        <v>176</v>
      </c>
      <c r="BU105" s="308">
        <v>3</v>
      </c>
      <c r="BV105" s="308">
        <v>3</v>
      </c>
      <c r="BW105" s="308" t="s">
        <v>176</v>
      </c>
      <c r="BX105" s="308" t="s">
        <v>176</v>
      </c>
      <c r="BY105" s="308" t="s">
        <v>176</v>
      </c>
      <c r="BZ105" s="308" t="s">
        <v>176</v>
      </c>
      <c r="CA105" s="308" t="s">
        <v>176</v>
      </c>
      <c r="CB105" s="308" t="s">
        <v>176</v>
      </c>
      <c r="CC105" s="308" t="s">
        <v>176</v>
      </c>
      <c r="CD105" s="308" t="s">
        <v>176</v>
      </c>
      <c r="CE105" s="308" t="s">
        <v>176</v>
      </c>
      <c r="CF105" s="308" t="s">
        <v>176</v>
      </c>
      <c r="CG105" s="308">
        <v>2</v>
      </c>
      <c r="CH105" s="308" t="s">
        <v>176</v>
      </c>
      <c r="CI105" s="308" t="s">
        <v>176</v>
      </c>
      <c r="CJ105" s="308" t="s">
        <v>176</v>
      </c>
      <c r="CK105" s="308" t="s">
        <v>176</v>
      </c>
      <c r="CL105" s="308" t="s">
        <v>176</v>
      </c>
      <c r="CM105" s="308">
        <v>1</v>
      </c>
      <c r="CN105" s="308">
        <v>1</v>
      </c>
      <c r="CO105" s="308">
        <v>1</v>
      </c>
      <c r="CP105" s="308">
        <v>1</v>
      </c>
      <c r="CQ105" s="308" t="s">
        <v>176</v>
      </c>
      <c r="CR105" s="308" t="s">
        <v>176</v>
      </c>
      <c r="CS105" s="308" t="s">
        <v>176</v>
      </c>
      <c r="CT105" s="308" t="s">
        <v>176</v>
      </c>
      <c r="CU105" s="308" t="s">
        <v>176</v>
      </c>
      <c r="CV105" s="308" t="s">
        <v>176</v>
      </c>
      <c r="CW105" s="308" t="s">
        <v>176</v>
      </c>
      <c r="CX105" s="308" t="s">
        <v>176</v>
      </c>
      <c r="CY105" s="308" t="s">
        <v>176</v>
      </c>
      <c r="CZ105" s="308" t="s">
        <v>176</v>
      </c>
      <c r="DA105" s="308" t="s">
        <v>176</v>
      </c>
      <c r="DB105" s="308" t="s">
        <v>176</v>
      </c>
      <c r="DC105" s="308" t="s">
        <v>176</v>
      </c>
      <c r="DD105" s="308" t="s">
        <v>176</v>
      </c>
      <c r="DE105" s="308" t="s">
        <v>176</v>
      </c>
      <c r="DF105" s="308" t="s">
        <v>176</v>
      </c>
      <c r="DG105" s="308" t="s">
        <v>176</v>
      </c>
      <c r="DH105" s="308" t="s">
        <v>176</v>
      </c>
      <c r="DI105" s="308" t="s">
        <v>176</v>
      </c>
      <c r="DJ105" s="308" t="s">
        <v>176</v>
      </c>
      <c r="DK105" s="308" t="s">
        <v>176</v>
      </c>
      <c r="DL105" s="308" t="s">
        <v>176</v>
      </c>
      <c r="DM105" s="308" t="s">
        <v>176</v>
      </c>
      <c r="DN105" s="308" t="s">
        <v>176</v>
      </c>
      <c r="DO105" s="308" t="s">
        <v>176</v>
      </c>
      <c r="DP105" s="308" t="s">
        <v>176</v>
      </c>
      <c r="DQ105" s="308" t="s">
        <v>176</v>
      </c>
      <c r="DR105" s="308" t="s">
        <v>176</v>
      </c>
      <c r="DS105" s="308" t="s">
        <v>176</v>
      </c>
      <c r="DT105" s="308" t="s">
        <v>176</v>
      </c>
      <c r="DU105" s="308" t="s">
        <v>176</v>
      </c>
      <c r="DV105" s="306" t="s">
        <v>176</v>
      </c>
      <c r="DW105" s="306" t="s">
        <v>176</v>
      </c>
      <c r="DX105" s="306" t="s">
        <v>176</v>
      </c>
      <c r="DY105" s="308" t="s">
        <v>176</v>
      </c>
      <c r="DZ105" s="308" t="s">
        <v>176</v>
      </c>
      <c r="EA105" s="308" t="s">
        <v>176</v>
      </c>
      <c r="EB105" s="308" t="s">
        <v>176</v>
      </c>
      <c r="EC105" s="308" t="s">
        <v>176</v>
      </c>
      <c r="ED105" s="308" t="s">
        <v>176</v>
      </c>
      <c r="EE105" s="308" t="s">
        <v>176</v>
      </c>
      <c r="EF105" s="308" t="s">
        <v>176</v>
      </c>
      <c r="EG105" s="308" t="s">
        <v>176</v>
      </c>
      <c r="EH105" s="308" t="s">
        <v>176</v>
      </c>
      <c r="EI105" s="308" t="s">
        <v>176</v>
      </c>
      <c r="EJ105" s="308" t="s">
        <v>176</v>
      </c>
      <c r="EK105" s="308" t="s">
        <v>176</v>
      </c>
      <c r="EL105" s="308" t="s">
        <v>176</v>
      </c>
      <c r="EM105" s="308" t="s">
        <v>176</v>
      </c>
      <c r="EN105" s="308" t="s">
        <v>176</v>
      </c>
      <c r="EO105" s="308" t="s">
        <v>176</v>
      </c>
      <c r="EP105" s="308" t="s">
        <v>176</v>
      </c>
      <c r="EQ105" s="308" t="s">
        <v>176</v>
      </c>
      <c r="ER105" s="308" t="s">
        <v>176</v>
      </c>
      <c r="ES105" s="308" t="s">
        <v>176</v>
      </c>
      <c r="ET105" s="308" t="s">
        <v>176</v>
      </c>
      <c r="EU105" s="308" t="s">
        <v>176</v>
      </c>
      <c r="EV105" s="308" t="s">
        <v>176</v>
      </c>
      <c r="EW105" s="308" t="s">
        <v>176</v>
      </c>
      <c r="EX105" s="308" t="s">
        <v>176</v>
      </c>
      <c r="EY105" s="308">
        <v>1</v>
      </c>
      <c r="EZ105" s="308">
        <v>1</v>
      </c>
      <c r="FA105" s="308">
        <v>1</v>
      </c>
      <c r="FB105" s="308" t="s">
        <v>176</v>
      </c>
      <c r="FC105" s="308" t="s">
        <v>176</v>
      </c>
      <c r="FD105" s="308">
        <v>2</v>
      </c>
      <c r="FE105" s="308">
        <v>2</v>
      </c>
      <c r="FF105" s="308">
        <v>2</v>
      </c>
      <c r="FG105" s="308">
        <v>1</v>
      </c>
      <c r="FH105" s="308">
        <v>2</v>
      </c>
      <c r="FI105" s="308">
        <v>1</v>
      </c>
      <c r="FJ105" s="308">
        <v>3</v>
      </c>
      <c r="FK105" s="308">
        <v>2</v>
      </c>
      <c r="FL105" s="308">
        <v>1</v>
      </c>
      <c r="FM105" s="308">
        <v>2</v>
      </c>
      <c r="FN105" s="308">
        <v>2</v>
      </c>
      <c r="FO105" s="308">
        <v>2</v>
      </c>
      <c r="FP105" s="308">
        <v>1</v>
      </c>
      <c r="FQ105" s="308" t="s">
        <v>176</v>
      </c>
      <c r="FR105" s="308" t="s">
        <v>176</v>
      </c>
      <c r="FS105" s="308" t="s">
        <v>387</v>
      </c>
      <c r="FT105" s="308" t="s">
        <v>176</v>
      </c>
      <c r="FU105" s="308" t="s">
        <v>176</v>
      </c>
      <c r="FV105" s="308" t="s">
        <v>176</v>
      </c>
      <c r="FW105" s="308" t="s">
        <v>176</v>
      </c>
      <c r="FX105" s="308" t="s">
        <v>176</v>
      </c>
      <c r="FY105" s="308" t="s">
        <v>387</v>
      </c>
      <c r="FZ105" s="308" t="s">
        <v>176</v>
      </c>
      <c r="GA105" s="308" t="s">
        <v>176</v>
      </c>
      <c r="GB105" s="308" t="s">
        <v>176</v>
      </c>
      <c r="GC105" s="308" t="s">
        <v>176</v>
      </c>
      <c r="GD105" s="308" t="s">
        <v>387</v>
      </c>
      <c r="GE105" s="308" t="s">
        <v>176</v>
      </c>
      <c r="GF105" s="308" t="s">
        <v>176</v>
      </c>
      <c r="GG105" s="308" t="s">
        <v>387</v>
      </c>
      <c r="GH105" s="308" t="s">
        <v>176</v>
      </c>
      <c r="GI105" s="308" t="s">
        <v>176</v>
      </c>
      <c r="GJ105" s="308" t="s">
        <v>176</v>
      </c>
      <c r="GK105" s="308" t="s">
        <v>176</v>
      </c>
      <c r="GL105" s="311">
        <f>SUM(G105:FP105)</f>
        <v>65</v>
      </c>
    </row>
    <row r="106" spans="1:194" ht="28.35" customHeight="1" thickBot="1" x14ac:dyDescent="0.3">
      <c r="A106" s="138" t="str">
        <f>A105</f>
        <v>Prod.-Q-5</v>
      </c>
      <c r="B106" s="138" t="str">
        <f>B105</f>
        <v>Teamleder zespołu produkcji</v>
      </c>
      <c r="C106" s="138" t="str">
        <f>C105</f>
        <v>KW</v>
      </c>
      <c r="D106" s="138">
        <f>D105</f>
        <v>716</v>
      </c>
      <c r="E106" s="566" t="str">
        <f>E105</f>
        <v>Borkowski Łukasz</v>
      </c>
      <c r="F106" s="312" t="s">
        <v>166</v>
      </c>
      <c r="G106" s="341">
        <f>IF(INDEX(tab_MinKomp[Przepisy BHP / BHP Vorschriften],MATCH($B105,tab_MinKomp[[Stanowisko / Position ]:[Stanowisko / Position ]],0))="n/a","n/a",G105-INDEX(tab_MinKomp[Przepisy BHP / BHP Vorschriften],MATCH($B105,tab_MinKomp[[Stanowisko / Position ]:[Stanowisko / Position ]],0)))</f>
        <v>0</v>
      </c>
      <c r="H106" s="342">
        <f>IF(INDEX(tab_MinKomp[Przepisy PPOŻ / Brandschutzbestimmungen],MATCH($B105,tab_MinKomp[[Stanowisko / Position ]:[Stanowisko / Position ]],0))="n/a","n/a",H105-INDEX(tab_MinKomp[Przepisy PPOŻ / Brandschutzbestimmungen],MATCH($B105,tab_MinKomp[[Stanowisko / Position ]:[Stanowisko / Position ]],0)))</f>
        <v>0</v>
      </c>
      <c r="I106" s="342">
        <f>IF(INDEX(tab_MinKomp[Ryzyko zawodowe na stanowiskach pracyv/ Berufliche Risiken an Arbeitsstellen],MATCH($B105,tab_MinKomp[[Stanowisko / Position ]:[Stanowisko / Position ]],0))="n/a","n/a",I105-INDEX(tab_MinKomp[Ryzyko zawodowe na stanowiskach pracyv/ Berufliche Risiken an Arbeitsstellen],MATCH($B105,tab_MinKomp[[Stanowisko / Position ]:[Stanowisko / Position ]],0)))</f>
        <v>0</v>
      </c>
      <c r="J106" s="342">
        <f>IF(INDEX(tab_MinKomp[Gospodarka substancjami niebezpiecznymi / Gefahrstoffmanagement],MATCH($B105,tab_MinKomp[[Stanowisko / Position ]:[Stanowisko / Position ]],0))="n/a","n/a",J105-INDEX(tab_MinKomp[Gospodarka substancjami niebezpiecznymi / Gefahrstoffmanagement],MATCH($B105,tab_MinKomp[[Stanowisko / Position ]:[Stanowisko / Position ]],0)))</f>
        <v>0</v>
      </c>
      <c r="K106" s="342">
        <f>IF(INDEX(tab_MinKomp[Gospodarka odpadami / Abfallwirtschaft],MATCH($B105,tab_MinKomp[[Stanowisko / Position ]:[Stanowisko / Position ]],0))="n/a","n/a",K105-INDEX(tab_MinKomp[Gospodarka odpadami / Abfallwirtschaft],MATCH($B105,tab_MinKomp[[Stanowisko / Position ]:[Stanowisko / Position ]],0)))</f>
        <v>0</v>
      </c>
      <c r="L106" s="343">
        <f>IF(INDEX(tab_MinKomp[Przepisy kodeksu pracy / Bestimmungen des Arbeitsgesetzes],MATCH($B105,tab_MinKomp[[Stanowisko / Position ]:[Stanowisko / Position ]],0))="n/a","n/a",L105-INDEX(tab_MinKomp[Przepisy kodeksu pracy / Bestimmungen des Arbeitsgesetzes],MATCH($B105,tab_MinKomp[[Stanowisko / Position ]:[Stanowisko / Position ]],0)))</f>
        <v>0</v>
      </c>
      <c r="M106" s="344" t="str">
        <f>IF(INDEX(tab_MinKomp[Przepisy o ub.społ. ZUS  / Sozialversicherungsvorschriften],MATCH($B105,tab_MinKomp[[Stanowisko / Position ]:[Stanowisko / Position ]],0))="n/a","n/a",M105-INDEX(tab_MinKomp[Przepisy o ub.społ. ZUS  / Sozialversicherungsvorschriften],MATCH($B105,tab_MinKomp[[Stanowisko / Position ]:[Stanowisko / Position ]],0)))</f>
        <v>n/a</v>
      </c>
      <c r="N106" s="343" t="str">
        <f>IF(INDEX(tab_MinKomp[PRZEPISY O PDOF /persönlich Einkommensteuergesetz ],MATCH($B105,tab_MinKomp[[Stanowisko / Position ]:[Stanowisko / Position ]],0))="n/a","n/a",N105-INDEX(tab_MinKomp[PRZEPISY O PDOF /persönlich Einkommensteuergesetz ],MATCH($B105,tab_MinKomp[[Stanowisko / Position ]:[Stanowisko / Position ]],0)))</f>
        <v>n/a</v>
      </c>
      <c r="O106" s="343">
        <f>IF(INDEX(tab_MinKomp[Regulamin pracy / Arbeitsordnung],MATCH($B105,tab_MinKomp[[Stanowisko / Position ]:[Stanowisko / Position ]],0))="n/a","n/a",O105-INDEX(tab_MinKomp[Regulamin pracy / Arbeitsordnung],MATCH($B105,tab_MinKomp[[Stanowisko / Position ]:[Stanowisko / Position ]],0)))</f>
        <v>0</v>
      </c>
      <c r="P106" s="343">
        <f>IF(INDEX(tab_MinKomp[Regulamin wynagradzania / Vergütungsordnung],MATCH($B105,tab_MinKomp[[Stanowisko / Position ]:[Stanowisko / Position ]],0))="n/a","n/a",P105-INDEX(tab_MinKomp[Regulamin wynagradzania / Vergütungsordnung],MATCH($B105,tab_MinKomp[[Stanowisko / Position ]:[Stanowisko / Position ]],0)))</f>
        <v>0</v>
      </c>
      <c r="Q106" s="343" t="str">
        <f>IF(INDEX(tab_MinKomp[System R2PŁATNIK PRO: Płace / Lohnabrechnung],MATCH($B105,tab_MinKomp[[Stanowisko / Position ]:[Stanowisko / Position ]],0))="n/a","n/a",Q105-INDEX(tab_MinKomp[System R2PŁATNIK PRO: Płace / Lohnabrechnung],MATCH($B105,tab_MinKomp[[Stanowisko / Position ]:[Stanowisko / Position ]],0)))</f>
        <v>n/a</v>
      </c>
      <c r="R106" s="343" t="str">
        <f>IF(INDEX(tab_MinKomp[SystemR2PŁATNIK PRO: KADRY / Personaldaten],MATCH($B105,tab_MinKomp[[Stanowisko / Position ]:[Stanowisko / Position ]],0))="n/a","n/a",R105-INDEX(tab_MinKomp[SystemR2PŁATNIK PRO: KADRY / Personaldaten],MATCH($B105,tab_MinKomp[[Stanowisko / Position ]:[Stanowisko / Position ]],0)))</f>
        <v>n/a</v>
      </c>
      <c r="S106" s="343" t="str">
        <f>IF(INDEX(tab_MinKomp[SYSTEM R2PŁATNIK PRO: zarządzanie pracownikami / Arbeitsverwaltung],MATCH($B105,tab_MinKomp[[Stanowisko / Position ]:[Stanowisko / Position ]],0))="n/a","n/a",S105-INDEX(tab_MinKomp[SYSTEM R2PŁATNIK PRO: zarządzanie pracownikami / Arbeitsverwaltung],MATCH($B105,tab_MinKomp[[Stanowisko / Position ]:[Stanowisko / Position ]],0)))</f>
        <v>n/a</v>
      </c>
      <c r="T106" s="343">
        <f>IF(INDEX(tab_MinKomp[Doradztwo, wsparcie personalne / Personalberatung und Unterstützung],MATCH($B105,tab_MinKomp[[Stanowisko / Position ]:[Stanowisko / Position ]],0))="n/a","n/a",T105-INDEX(tab_MinKomp[Doradztwo, wsparcie personalne / Personalberatung und Unterstützung],MATCH($B105,tab_MinKomp[[Stanowisko / Position ]:[Stanowisko / Position ]],0)))</f>
        <v>0</v>
      </c>
      <c r="U106" s="343" t="str">
        <f>IF(INDEX(tab_MinKomp[Przepisy o podatku VAT / MwSt.- Gesetz],MATCH($B105,tab_MinKomp[[Stanowisko / Position ]:[Stanowisko / Position ]],0))="n/a","n/a",U105-INDEX(tab_MinKomp[Przepisy o podatku VAT / MwSt.- Gesetz],MATCH($B105,tab_MinKomp[[Stanowisko / Position ]:[Stanowisko / Position ]],0)))</f>
        <v>n/a</v>
      </c>
      <c r="V106" s="343" t="str">
        <f>IF(INDEX(tab_MinKomp[PrzepisyPDOP / geschäftlich Einkommensteuergesetz],MATCH($B105,tab_MinKomp[[Stanowisko / Position ]:[Stanowisko / Position ]],0))="n/a","n/a",V105-INDEX(tab_MinKomp[PrzepisyPDOP / geschäftlich Einkommensteuergesetz],MATCH($B105,tab_MinKomp[[Stanowisko / Position ]:[Stanowisko / Position ]],0)))</f>
        <v>n/a</v>
      </c>
      <c r="W106" s="343" t="str">
        <f>IF(INDEX(tab_MinKomp[System BAAN / FINANSE (FIBU)],MATCH($B105,tab_MinKomp[[Stanowisko / Position ]:[Stanowisko / Position ]],0))="n/a","n/a",W105-INDEX(tab_MinKomp[System BAAN / FINANSE (FIBU)],MATCH($B105,tab_MinKomp[[Stanowisko / Position ]:[Stanowisko / Position ]],0)))</f>
        <v>n/a</v>
      </c>
      <c r="X106" s="343" t="str">
        <f>IF(INDEX(tab_MinKomp[Systemy pomocnicze / Hilfssysteme(STOCKPROGRAM, KALK2000 etc.)],MATCH($B105,tab_MinKomp[[Stanowisko / Position ]:[Stanowisko / Position ]],0))="n/a","n/a",X105-INDEX(tab_MinKomp[Systemy pomocnicze / Hilfssysteme(STOCKPROGRAM, KALK2000 etc.)],MATCH($B105,tab_MinKomp[[Stanowisko / Position ]:[Stanowisko / Position ]],0)))</f>
        <v>n/a</v>
      </c>
      <c r="Y106" s="343" t="str">
        <f>IF(INDEX(tab_MinKomp[Polityka rachunkowości / Buchführungspolitik],MATCH($B105,tab_MinKomp[[Stanowisko / Position ]:[Stanowisko / Position ]],0))="n/a","n/a",Y105-INDEX(tab_MinKomp[Polityka rachunkowości / Buchführungspolitik],MATCH($B105,tab_MinKomp[[Stanowisko / Position ]:[Stanowisko / Position ]],0)))</f>
        <v>n/a</v>
      </c>
      <c r="Z106" s="343" t="str">
        <f>IF(INDEX(tab_MinKomp[Ustawa o rachunkowości / Rechnungslegungsgesetz],MATCH($B105,tab_MinKomp[[Stanowisko / Position ]:[Stanowisko / Position ]],0))="n/a","n/a",Z105-INDEX(tab_MinKomp[Ustawa o rachunkowości / Rechnungslegungsgesetz],MATCH($B105,tab_MinKomp[[Stanowisko / Position ]:[Stanowisko / Position ]],0)))</f>
        <v>n/a</v>
      </c>
      <c r="AA106" s="343" t="str">
        <f>IF(INDEX(tab_MinKomp[WORKFLOW - TS-100],MATCH($B105,tab_MinKomp[[Stanowisko / Position ]:[Stanowisko / Position ]],0))="n/a","n/a",AA105-INDEX(tab_MinKomp[WORKFLOW - TS-100],MATCH($B105,tab_MinKomp[[Stanowisko / Position ]:[Stanowisko / Position ]],0)))</f>
        <v>n/a</v>
      </c>
      <c r="AB106" s="343" t="str">
        <f>IF(INDEX(tab_MinKomp[WORKFLOW - SFMS],MATCH($B105,tab_MinKomp[[Stanowisko / Position ]:[Stanowisko / Position ]],0))="n/a","n/a",AB105-INDEX(tab_MinKomp[WORKFLOW - SFMS],MATCH($B105,tab_MinKomp[[Stanowisko / Position ]:[Stanowisko / Position ]],0)))</f>
        <v>n/a</v>
      </c>
      <c r="AC106" s="343" t="str">
        <f>IF(INDEX(tab_MinKomp[System ISO 9001:2015],MATCH($B105,tab_MinKomp[[Stanowisko / Position ]:[Stanowisko / Position ]],0))="n/a","n/a",AC105-INDEX(tab_MinKomp[System ISO 9001:2015],MATCH($B105,tab_MinKomp[[Stanowisko / Position ]:[Stanowisko / Position ]],0)))</f>
        <v>n/a</v>
      </c>
      <c r="AD106" s="343" t="str">
        <f>IF(INDEX(tab_MinKomp[System IATF 16949:2016],MATCH($B105,tab_MinKomp[[Stanowisko / Position ]:[Stanowisko / Position ]],0))="n/a","n/a",AD105-INDEX(tab_MinKomp[System IATF 16949:2016],MATCH($B105,tab_MinKomp[[Stanowisko / Position ]:[Stanowisko / Position ]],0)))</f>
        <v>n/a</v>
      </c>
      <c r="AE106" s="343" t="str">
        <f>IF(INDEX(tab_MinKomp[System ISO 14001:2015],MATCH($B105,tab_MinKomp[[Stanowisko / Position ]:[Stanowisko / Position ]],0))="n/a","n/a",AE105-INDEX(tab_MinKomp[System ISO 14001:2015],MATCH($B105,tab_MinKomp[[Stanowisko / Position ]:[Stanowisko / Position ]],0)))</f>
        <v>n/a</v>
      </c>
      <c r="AF106" s="343" t="str">
        <f>IF(INDEX(tab_MinKomp[System PN-N 18001:2004 / ISO 45001:2018],MATCH($B105,tab_MinKomp[[Stanowisko / Position ]:[Stanowisko / Position ]],0))="n/a","n/a",AF105-INDEX(tab_MinKomp[System PN-N 18001:2004 / ISO 45001:2018],MATCH($B105,tab_MinKomp[[Stanowisko / Position ]:[Stanowisko / Position ]],0)))</f>
        <v>n/a</v>
      </c>
      <c r="AG106" s="343" t="str">
        <f>IF(INDEX(tab_MinKomp[Wymagania VDA 6.3 Process / Forderungen],MATCH($B105,tab_MinKomp[[Stanowisko / Position ]:[Stanowisko / Position ]],0))="n/a","n/a",AG105-INDEX(tab_MinKomp[Wymagania VDA 6.3 Process / Forderungen],MATCH($B105,tab_MinKomp[[Stanowisko / Position ]:[Stanowisko / Position ]],0)))</f>
        <v>n/a</v>
      </c>
      <c r="AH106" s="343" t="str">
        <f>IF(INDEX(tab_MinKomp[Wymagania VDA 6.5 Product / Forderungen],MATCH($B105,tab_MinKomp[[Stanowisko / Position ]:[Stanowisko / Position ]],0))="n/a","n/a",AH105-INDEX(tab_MinKomp[Wymagania VDA 6.5 Product / Forderungen],MATCH($B105,tab_MinKomp[[Stanowisko / Position ]:[Stanowisko / Position ]],0)))</f>
        <v>n/a</v>
      </c>
      <c r="AI106" s="343" t="str">
        <f>IF(INDEX(tab_MinKomp[PSCR (VW Product Safety &amp; Conformity Representative)],MATCH($B105,tab_MinKomp[[Stanowisko / Position ]:[Stanowisko / Position ]],0))="n/a","n/a",AI105-INDEX(tab_MinKomp[PSCR (VW Product Safety &amp; Conformity Representative)],MATCH($B105,tab_MinKomp[[Stanowisko / Position ]:[Stanowisko / Position ]],0)))</f>
        <v>n/a</v>
      </c>
      <c r="AJ106" s="343" t="str">
        <f>IF(INDEX(tab_MinKomp[Auditor systemu ISO 17025:2018],MATCH($B105,tab_MinKomp[[Stanowisko / Position ]:[Stanowisko / Position ]],0))="n/a","n/a",AJ105-INDEX(tab_MinKomp[Auditor systemu ISO 17025:2018],MATCH($B105,tab_MinKomp[[Stanowisko / Position ]:[Stanowisko / Position ]],0)))</f>
        <v>n/a</v>
      </c>
      <c r="AK106" s="343" t="str">
        <f>IF(INDEX(tab_MinKomp[Pełnomocnik systemu / Systemvertreter],MATCH($B105,tab_MinKomp[[Stanowisko / Position ]:[Stanowisko / Position ]],0))="n/a","n/a",AK105-INDEX(tab_MinKomp[Pełnomocnik systemu / Systemvertreter],MATCH($B105,tab_MinKomp[[Stanowisko / Position ]:[Stanowisko / Position ]],0)))</f>
        <v>n/a</v>
      </c>
      <c r="AL106" s="343" t="str">
        <f>IF(INDEX(tab_MinKomp[Polityka Etyczna - Compliance],MATCH($B105,tab_MinKomp[[Stanowisko / Position ]:[Stanowisko / Position ]],0))="n/a","n/a",AL105-INDEX(tab_MinKomp[Polityka Etyczna - Compliance],MATCH($B105,tab_MinKomp[[Stanowisko / Position ]:[Stanowisko / Position ]],0)))</f>
        <v>n/a</v>
      </c>
      <c r="AM106" s="343" t="str">
        <f>IF(INDEX(tab_MinKomp[WDRAŻANIE NOWYCH PROJEKTÓW/ PROCEDURA CTM],MATCH($B105,tab_MinKomp[[Stanowisko / Position ]:[Stanowisko / Position ]],0))="n/a","n/a",AM105-INDEX(tab_MinKomp[WDRAŻANIE NOWYCH PROJEKTÓW/ PROCEDURA CTM],MATCH($B105,tab_MinKomp[[Stanowisko / Position ]:[Stanowisko / Position ]],0)))</f>
        <v>n/a</v>
      </c>
      <c r="AN106" s="343" t="str">
        <f>IF(INDEX(tab_MinKomp[KAMIENIE MILOWE MSL/PIFF],MATCH($B105,tab_MinKomp[[Stanowisko / Position ]:[Stanowisko / Position ]],0))="n/a","n/a",AN105-INDEX(tab_MinKomp[KAMIENIE MILOWE MSL/PIFF],MATCH($B105,tab_MinKomp[[Stanowisko / Position ]:[Stanowisko / Position ]],0)))</f>
        <v>n/a</v>
      </c>
      <c r="AO106" s="343">
        <f>IF(INDEX(tab_MinKomp[CP],MATCH($B105,tab_MinKomp[[Stanowisko / Position ]:[Stanowisko / Position ]],0))="n/a","n/a",AO105-INDEX(tab_MinKomp[CP],MATCH($B105,tab_MinKomp[[Stanowisko / Position ]:[Stanowisko / Position ]],0)))</f>
        <v>-1</v>
      </c>
      <c r="AP106" s="343" t="str">
        <f>IF(INDEX(tab_MinKomp[FMEA],MATCH($B105,tab_MinKomp[[Stanowisko / Position ]:[Stanowisko / Position ]],0))="n/a","n/a",AP105-INDEX(tab_MinKomp[FMEA],MATCH($B105,tab_MinKomp[[Stanowisko / Position ]:[Stanowisko / Position ]],0)))</f>
        <v>n/a</v>
      </c>
      <c r="AQ106" s="343">
        <f>IF(INDEX(tab_MinKomp[FLOW CHART],MATCH($B105,tab_MinKomp[[Stanowisko / Position ]:[Stanowisko / Position ]],0))="n/a","n/a",AQ105-INDEX(tab_MinKomp[FLOW CHART],MATCH($B105,tab_MinKomp[[Stanowisko / Position ]:[Stanowisko / Position ]],0)))</f>
        <v>0</v>
      </c>
      <c r="AR106" s="343" t="str">
        <f>IF(INDEX(tab_MinKomp[APQP],MATCH($B105,tab_MinKomp[[Stanowisko / Position ]:[Stanowisko / Position ]],0))="n/a","n/a",AR105-INDEX(tab_MinKomp[APQP],MATCH($B105,tab_MinKomp[[Stanowisko / Position ]:[Stanowisko / Position ]],0)))</f>
        <v>n/a</v>
      </c>
      <c r="AS106" s="343" t="str">
        <f>IF(INDEX(tab_MinKomp[MSA],MATCH($B105,tab_MinKomp[[Stanowisko / Position ]:[Stanowisko / Position ]],0))="n/a","n/a",AS105-INDEX(tab_MinKomp[MSA],MATCH($B105,tab_MinKomp[[Stanowisko / Position ]:[Stanowisko / Position ]],0)))</f>
        <v>n/a</v>
      </c>
      <c r="AT106" s="343" t="str">
        <f>IF(INDEX(tab_MinKomp[SPC],MATCH($B105,tab_MinKomp[[Stanowisko / Position ]:[Stanowisko / Position ]],0))="n/a","n/a",AT105-INDEX(tab_MinKomp[SPC],MATCH($B105,tab_MinKomp[[Stanowisko / Position ]:[Stanowisko / Position ]],0)))</f>
        <v>n/a</v>
      </c>
      <c r="AU106" s="343">
        <f>IF(INDEX(tab_MinKomp[CSR (SPECYFICZNE WYMAGANIA KLIENTA)],MATCH($B105,tab_MinKomp[[Stanowisko / Position ]:[Stanowisko / Position ]],0))="n/a","n/a",AU105-INDEX(tab_MinKomp[CSR (SPECYFICZNE WYMAGANIA KLIENTA)],MATCH($B105,tab_MinKomp[[Stanowisko / Position ]:[Stanowisko / Position ]],0)))</f>
        <v>0</v>
      </c>
      <c r="AV106" s="343">
        <f>IF(INDEX(tab_MinKomp[5S],MATCH($B105,tab_MinKomp[[Stanowisko / Position ]:[Stanowisko / Position ]],0))="n/a","n/a",AV105-INDEX(tab_MinKomp[5S],MATCH($B105,tab_MinKomp[[Stanowisko / Position ]:[Stanowisko / Position ]],0)))</f>
        <v>0</v>
      </c>
      <c r="AW106" s="343">
        <f>IF(INDEX(tab_MinKomp[LEAN MANAGEMENT],MATCH($B105,tab_MinKomp[[Stanowisko / Position ]:[Stanowisko / Position ]],0))="n/a","n/a",AW105-INDEX(tab_MinKomp[LEAN MANAGEMENT],MATCH($B105,tab_MinKomp[[Stanowisko / Position ]:[Stanowisko / Position ]],0)))</f>
        <v>0</v>
      </c>
      <c r="AX106" s="343" t="str">
        <f>IF(INDEX(tab_MinKomp[5R],MATCH($B105,tab_MinKomp[[Stanowisko / Position ]:[Stanowisko / Position ]],0))="n/a","n/a",AX105-INDEX(tab_MinKomp[5R],MATCH($B105,tab_MinKomp[[Stanowisko / Position ]:[Stanowisko / Position ]],0)))</f>
        <v>n/a</v>
      </c>
      <c r="AY106" s="343" t="str">
        <f>IF(INDEX(tab_MinKomp[Six Sigma],MATCH($B105,tab_MinKomp[[Stanowisko / Position ]:[Stanowisko / Position ]],0))="n/a","n/a",AY105-INDEX(tab_MinKomp[Six Sigma],MATCH($B105,tab_MinKomp[[Stanowisko / Position ]:[Stanowisko / Position ]],0)))</f>
        <v>n/a</v>
      </c>
      <c r="AZ106" s="343" t="str">
        <f>IF(INDEX(tab_MinKomp[System BAAN / Distribution &amp; Supply Chain],MATCH($B105,tab_MinKomp[[Stanowisko / Position ]:[Stanowisko / Position ]],0))="n/a","n/a",AZ105-INDEX(tab_MinKomp[System BAAN / Distribution &amp; Supply Chain],MATCH($B105,tab_MinKomp[[Stanowisko / Position ]:[Stanowisko / Position ]],0)))</f>
        <v>n/a</v>
      </c>
      <c r="BA106" s="343">
        <f>IF(INDEX(tab_MinKomp[Gospodarka magazynowa / Lagerverwaltung],MATCH($B105,tab_MinKomp[[Stanowisko / Position ]:[Stanowisko / Position ]],0))="n/a","n/a",BA105-INDEX(tab_MinKomp[Gospodarka magazynowa / Lagerverwaltung],MATCH($B105,tab_MinKomp[[Stanowisko / Position ]:[Stanowisko / Position ]],0)))</f>
        <v>0</v>
      </c>
      <c r="BB106" s="343">
        <f>IF(INDEX(tab_MinKomp[Inwentaryzacja - organizacja i przebieg / Inventurprozess],MATCH($B105,tab_MinKomp[[Stanowisko / Position ]:[Stanowisko / Position ]],0))="n/a","n/a",BB105-INDEX(tab_MinKomp[Inwentaryzacja - organizacja i przebieg / Inventurprozess],MATCH($B105,tab_MinKomp[[Stanowisko / Position ]:[Stanowisko / Position ]],0)))</f>
        <v>1</v>
      </c>
      <c r="BC106" s="343" t="str">
        <f>IF(INDEX(tab_MinKomp[Organizacja dostaw / Versorgungsorganisation],MATCH($B105,tab_MinKomp[[Stanowisko / Position ]:[Stanowisko / Position ]],0))="n/a","n/a",BC105-INDEX(tab_MinKomp[Organizacja dostaw / Versorgungsorganisation],MATCH($B105,tab_MinKomp[[Stanowisko / Position ]:[Stanowisko / Position ]],0)))</f>
        <v>n/a</v>
      </c>
      <c r="BD106" s="343" t="str">
        <f>IF(INDEX(tab_MinKomp[Organizacja wysyłek / Organisation von Lieferungen],MATCH($B105,tab_MinKomp[[Stanowisko / Position ]:[Stanowisko / Position ]],0))="n/a","n/a",BD105-INDEX(tab_MinKomp[Organizacja wysyłek / Organisation von Lieferungen],MATCH($B105,tab_MinKomp[[Stanowisko / Position ]:[Stanowisko / Position ]],0)))</f>
        <v>n/a</v>
      </c>
      <c r="BE106" s="343" t="str">
        <f>IF(INDEX(tab_MinKomp[Analiza magazynowa - Program Polen.mdb / Inventuranalyse],MATCH($B105,tab_MinKomp[[Stanowisko / Position ]:[Stanowisko / Position ]],0))="n/a","n/a",BE105-INDEX(tab_MinKomp[Analiza magazynowa - Program Polen.mdb / Inventuranalyse],MATCH($B105,tab_MinKomp[[Stanowisko / Position ]:[Stanowisko / Position ]],0)))</f>
        <v>n/a</v>
      </c>
      <c r="BF106" s="315" t="str">
        <f>IF(INDEX(tab_MinKomp[MMOG (Materials Management Operations Guidelines)],MATCH($B105,tab_MinKomp[[Stanowisko / Position ]:[Stanowisko / Position ]],0))="n/a","n/a",BF105-INDEX(tab_MinKomp[MMOG (Materials Management Operations Guidelines)],MATCH($B105,tab_MinKomp[[Stanowisko / Position ]:[Stanowisko / Position ]],0)))</f>
        <v>n/a</v>
      </c>
      <c r="BG106" s="315" t="str">
        <f>IF(INDEX(tab_MinKomp[GPP],MATCH($B105,tab_MinKomp[[Stanowisko / Position ]:[Stanowisko / Position ]],0))="n/a","n/a",BG105-INDEX(tab_MinKomp[GPP],MATCH($B105,tab_MinKomp[[Stanowisko / Position ]:[Stanowisko / Position ]],0)))</f>
        <v>n/a</v>
      </c>
      <c r="BH106" s="315" t="str">
        <f>IF(INDEX(tab_MinKomp[AIAG (Automotive Industry Action Group)],MATCH($B105,tab_MinKomp[[Stanowisko / Position ]:[Stanowisko / Position ]],0))="n/a","n/a",BH105-INDEX(tab_MinKomp[AIAG (Automotive Industry Action Group)],MATCH($B105,tab_MinKomp[[Stanowisko / Position ]:[Stanowisko / Position ]],0)))</f>
        <v>n/a</v>
      </c>
      <c r="BI106" s="315" t="str">
        <f>IF(INDEX(tab_MinKomp[Super-G disputes],MATCH($B105,tab_MinKomp[[Stanowisko / Position ]:[Stanowisko / Position ]],0))="n/a","n/a",BI105-INDEX(tab_MinKomp[Super-G disputes],MATCH($B105,tab_MinKomp[[Stanowisko / Position ]:[Stanowisko / Position ]],0)))</f>
        <v>n/a</v>
      </c>
      <c r="BJ106" s="315" t="str">
        <f>IF(INDEX(tab_MinKomp[CMMS3/eDDL (Direct Data Link)],MATCH($B105,tab_MinKomp[[Stanowisko / Position ]:[Stanowisko / Position ]],0))="n/a","n/a",BJ105-INDEX(tab_MinKomp[CMMS3/eDDL (Direct Data Link)],MATCH($B105,tab_MinKomp[[Stanowisko / Position ]:[Stanowisko / Position ]],0)))</f>
        <v>n/a</v>
      </c>
      <c r="BK106" s="315" t="str">
        <f>IF(INDEX(tab_MinKomp[MP&amp;L (Material Planning and Logistics)],MATCH($B105,tab_MinKomp[[Stanowisko / Position ]:[Stanowisko / Position ]],0))="n/a","n/a",BK105-INDEX(tab_MinKomp[MP&amp;L (Material Planning and Logistics)],MATCH($B105,tab_MinKomp[[Stanowisko / Position ]:[Stanowisko / Position ]],0)))</f>
        <v>n/a</v>
      </c>
      <c r="BL106" s="315" t="str">
        <f>IF(INDEX(tab_MinKomp[Supplier delivery rating],MATCH($B105,tab_MinKomp[[Stanowisko / Position ]:[Stanowisko / Position ]],0))="n/a","n/a",BL105-INDEX(tab_MinKomp[Supplier delivery rating],MATCH($B105,tab_MinKomp[[Stanowisko / Position ]:[Stanowisko / Position ]],0)))</f>
        <v>n/a</v>
      </c>
      <c r="BM106" s="343">
        <f>IF(INDEX(tab_MinKomp[Planowanie produkcji / Produktionsplanung],MATCH($B105,tab_MinKomp[[Stanowisko / Position ]:[Stanowisko / Position ]],0))="n/a","n/a",BM105-INDEX(tab_MinKomp[Planowanie produkcji / Produktionsplanung],MATCH($B105,tab_MinKomp[[Stanowisko / Position ]:[Stanowisko / Position ]],0)))</f>
        <v>0</v>
      </c>
      <c r="BN106" s="343" t="str">
        <f>IF(INDEX(tab_MinKomp[Obsługa maszyn Engel / Engel Maschinenbedienung],MATCH($B105,tab_MinKomp[[Stanowisko / Position ]:[Stanowisko / Position ]],0))="n/a","n/a",BN105-INDEX(tab_MinKomp[Obsługa maszyn Engel / Engel Maschinenbedienung],MATCH($B105,tab_MinKomp[[Stanowisko / Position ]:[Stanowisko / Position ]],0)))</f>
        <v>n/a</v>
      </c>
      <c r="BO106" s="343" t="str">
        <f>IF(INDEX(tab_MinKomp[Obsługa maszyn KVT / KVT Maschinenbedienung],MATCH($B105,tab_MinKomp[[Stanowisko / Position ]:[Stanowisko / Position ]],0))="n/a","n/a",BO105-INDEX(tab_MinKomp[Obsługa maszyn KVT / KVT Maschinenbedienung],MATCH($B105,tab_MinKomp[[Stanowisko / Position ]:[Stanowisko / Position ]],0)))</f>
        <v>n/a</v>
      </c>
      <c r="BP106" s="343" t="str">
        <f>IF(INDEX(tab_MinKomp[Obsługa maszyn KVT / KVT Maschinenbedienung],MATCH($B105,tab_MinKomp[[Stanowisko / Position ]:[Stanowisko / Position ]],0))="n/a","n/a",BP105-INDEX(tab_MinKomp[Obsługa maszyn KVT / KVT Maschinenbedienung],MATCH($B105,tab_MinKomp[[Stanowisko / Position ]:[Stanowisko / Position ]],0)))</f>
        <v>n/a</v>
      </c>
      <c r="BQ106" s="343" t="str">
        <f>IF(INDEX(tab_MinKomp[Obsługa maszyn ASL / ASL Maschinenbedienung],MATCH($B105,tab_MinKomp[[Stanowisko / Position ]:[Stanowisko / Position ]],0))="n/a","n/a",BQ105-INDEX(tab_MinKomp[Obsługa maszyn ASL / ASL Maschinenbedienung],MATCH($B105,tab_MinKomp[[Stanowisko / Position ]:[Stanowisko / Position ]],0)))</f>
        <v>n/a</v>
      </c>
      <c r="BR106" s="343" t="str">
        <f>IF(INDEX(tab_MinKomp[Obsługa maszyn Branson / Branson Maschinenbedienung],MATCH($B105,tab_MinKomp[[Stanowisko / Position ]:[Stanowisko / Position ]],0))="n/a","n/a",BR105-INDEX(tab_MinKomp[Obsługa maszyn Branson / Branson Maschinenbedienung],MATCH($B105,tab_MinKomp[[Stanowisko / Position ]:[Stanowisko / Position ]],0)))</f>
        <v>n/a</v>
      </c>
      <c r="BS106" s="343">
        <f>IF(INDEX(tab_MinKomp[Obsługa maszyn Novapax / Novapax Maschinenbedienung],MATCH($B105,tab_MinKomp[[Stanowisko / Position ]:[Stanowisko / Position ]],0))="n/a","n/a",BS105-INDEX(tab_MinKomp[Obsługa maszyn Novapax / Novapax Maschinenbedienung],MATCH($B105,tab_MinKomp[[Stanowisko / Position ]:[Stanowisko / Position ]],0)))</f>
        <v>0</v>
      </c>
      <c r="BT106" s="343" t="str">
        <f>IF(INDEX(tab_MinKomp[Obsługa maszyn Piovan / Piovan Maschinenbedienung],MATCH($B105,tab_MinKomp[[Stanowisko / Position ]:[Stanowisko / Position ]],0))="n/a","n/a",BT105-INDEX(tab_MinKomp[Obsługa maszyn Piovan / Piovan Maschinenbedienung],MATCH($B105,tab_MinKomp[[Stanowisko / Position ]:[Stanowisko / Position ]],0)))</f>
        <v>n/a</v>
      </c>
      <c r="BU106" s="343">
        <f>IF(INDEX(tab_MinKomp[Obsługa maszyn Novapax / Novapax Maschinenbedienung],MATCH($B105,tab_MinKomp[[Stanowisko / Position ]:[Stanowisko / Position ]],0))="n/a","n/a",BU105-INDEX(tab_MinKomp[Obsługa maszyn Novapax / Novapax Maschinenbedienung],MATCH($B105,tab_MinKomp[[Stanowisko / Position ]:[Stanowisko / Position ]],0)))</f>
        <v>0</v>
      </c>
      <c r="BV106" s="343">
        <f>IF(INDEX(tab_MinKomp[Eliminacja awarii / Beseitigung von Ausfällen],MATCH($B105,tab_MinKomp[[Stanowisko / Position ]:[Stanowisko / Position ]],0))="n/a","n/a",BV105-INDEX(tab_MinKomp[Eliminacja awarii / Beseitigung von Ausfällen],MATCH($B105,tab_MinKomp[[Stanowisko / Position ]:[Stanowisko / Position ]],0)))</f>
        <v>0</v>
      </c>
      <c r="BW106" s="343" t="str">
        <f>IF(INDEX(tab_MinKomp[Informatyka ogólna (techniczne i systemowe) / Allgemeine IT (Technik und System)],MATCH($B105,tab_MinKomp[[Stanowisko / Position ]:[Stanowisko / Position ]],0))="n/a","n/a",BW105-INDEX(tab_MinKomp[Informatyka ogólna (techniczne i systemowe) / Allgemeine IT (Technik und System)],MATCH($B105,tab_MinKomp[[Stanowisko / Position ]:[Stanowisko / Position ]],0)))</f>
        <v>n/a</v>
      </c>
      <c r="BX106" s="343" t="str">
        <f>IF(INDEX(tab_MinKomp[Sieci komputerowe / Computernetzwerke],MATCH($B105,tab_MinKomp[[Stanowisko / Position ]:[Stanowisko / Position ]],0))="n/a","n/a",BX105-INDEX(tab_MinKomp[Sieci komputerowe / Computernetzwerke],MATCH($B105,tab_MinKomp[[Stanowisko / Position ]:[Stanowisko / Position ]],0)))</f>
        <v>n/a</v>
      </c>
      <c r="BY106" s="343" t="str">
        <f>IF(INDEX(tab_MinKomp[Hardware (komputery PC, drukarki biurowe i etykietowe, telefonia stacjonarna i mobilna) (PC, Drucker, Telefpne, Handys)],MATCH($B105,tab_MinKomp[[Stanowisko / Position ]:[Stanowisko / Position ]],0))="n/a","n/a",BY105-INDEX(tab_MinKomp[Hardware (komputery PC, drukarki biurowe i etykietowe, telefonia stacjonarna i mobilna) (PC, Drucker, Telefpne, Handys)],MATCH($B105,tab_MinKomp[[Stanowisko / Position ]:[Stanowisko / Position ]],0)))</f>
        <v>n/a</v>
      </c>
      <c r="BZ106" s="343" t="str">
        <f>IF(INDEX(tab_MinKomp[Software &amp; Systems (MS Office, MS Remote Desktop)],MATCH($B105,tab_MinKomp[[Stanowisko / Position ]:[Stanowisko / Position ]],0))="n/a","n/a",BZ105-INDEX(tab_MinKomp[Software &amp; Systems (MS Office, MS Remote Desktop)],MATCH($B105,tab_MinKomp[[Stanowisko / Position ]:[Stanowisko / Position ]],0)))</f>
        <v>n/a</v>
      </c>
      <c r="CA106" s="343" t="str">
        <f>IF(INDEX(tab_MinKomp[Programowanie obiektowe (PHP) / Objektprogrammierung],MATCH($B105,tab_MinKomp[[Stanowisko / Position ]:[Stanowisko / Position ]],0))="n/a","n/a",CA105-INDEX(tab_MinKomp[Programowanie obiektowe (PHP) / Objektprogrammierung],MATCH($B105,tab_MinKomp[[Stanowisko / Position ]:[Stanowisko / Position ]],0)))</f>
        <v>n/a</v>
      </c>
      <c r="CB106" s="343" t="str">
        <f>IF(INDEX(tab_MinKomp[Scrum],MATCH($B105,tab_MinKomp[[Stanowisko / Position ]:[Stanowisko / Position ]],0))="n/a","n/a",CB105-INDEX(tab_MinKomp[Scrum],MATCH($B105,tab_MinKomp[[Stanowisko / Position ]:[Stanowisko / Position ]],0)))</f>
        <v>n/a</v>
      </c>
      <c r="CC106" s="343" t="str">
        <f>IF(INDEX(tab_MinKomp[SQL (MySQL)],MATCH($B105,tab_MinKomp[[Stanowisko / Position ]:[Stanowisko / Position ]],0))="n/a","n/a",CC105-INDEX(tab_MinKomp[SQL (MySQL)],MATCH($B105,tab_MinKomp[[Stanowisko / Position ]:[Stanowisko / Position ]],0)))</f>
        <v>n/a</v>
      </c>
      <c r="CD106" s="343" t="str">
        <f>IF(INDEX(tab_MinKomp[Javascript],MATCH($B105,tab_MinKomp[[Stanowisko / Position ]:[Stanowisko / Position ]],0))="n/a","n/a",CD105-INDEX(tab_MinKomp[Javascript],MATCH($B105,tab_MinKomp[[Stanowisko / Position ]:[Stanowisko / Position ]],0)))</f>
        <v>n/a</v>
      </c>
      <c r="CE106" s="343" t="str">
        <f>IF(INDEX(tab_MinKomp[Joomla],MATCH($B105,tab_MinKomp[[Stanowisko / Position ]:[Stanowisko / Position ]],0))="n/a","n/a",CE105-INDEX(tab_MinKomp[Joomla],MATCH($B105,tab_MinKomp[[Stanowisko / Position ]:[Stanowisko / Position ]],0)))</f>
        <v>n/a</v>
      </c>
      <c r="CF106" s="343" t="str">
        <f>IF(INDEX(tab_MinKomp[Bash],MATCH($B105,tab_MinKomp[[Stanowisko / Position ]:[Stanowisko / Position ]],0))="n/a","n/a",CF105-INDEX(tab_MinKomp[Bash],MATCH($B105,tab_MinKomp[[Stanowisko / Position ]:[Stanowisko / Position ]],0)))</f>
        <v>n/a</v>
      </c>
      <c r="CG106" s="343">
        <f>IF(INDEX(tab_MinKomp[Systemy MES (HYDRA / SFMS)],MATCH($B105,tab_MinKomp[[Stanowisko / Position ]:[Stanowisko / Position ]],0))="n/a","n/a",CG105-INDEX(tab_MinKomp[Systemy MES (HYDRA / SFMS)],MATCH($B105,tab_MinKomp[[Stanowisko / Position ]:[Stanowisko / Position ]],0)))</f>
        <v>0</v>
      </c>
      <c r="CH106" s="343" t="str">
        <f>IF(INDEX(tab_MinKomp[HTML / CSS],MATCH($B105,tab_MinKomp[[Stanowisko / Position ]:[Stanowisko / Position ]],0))="n/a","n/a",CH105-INDEX(tab_MinKomp[HTML / CSS],MATCH($B105,tab_MinKomp[[Stanowisko / Position ]:[Stanowisko / Position ]],0)))</f>
        <v>n/a</v>
      </c>
      <c r="CI106" s="343" t="str">
        <f>IF(INDEX(tab_MinKomp[SYSTEM PR],MATCH($B105,tab_MinKomp[[Stanowisko / Position ]:[Stanowisko / Position ]],0))="n/a","n/a",CI105-INDEX(tab_MinKomp[SYSTEM PR],MATCH($B105,tab_MinKomp[[Stanowisko / Position ]:[Stanowisko / Position ]],0)))</f>
        <v>n/a</v>
      </c>
      <c r="CJ106" s="343" t="str">
        <f>IF(INDEX(tab_MinKomp[System Einkauf XP / EBA],MATCH($B105,tab_MinKomp[[Stanowisko / Position ]:[Stanowisko / Position ]],0))="n/a","n/a",CJ105-INDEX(tab_MinKomp[System Einkauf XP / EBA],MATCH($B105,tab_MinKomp[[Stanowisko / Position ]:[Stanowisko / Position ]],0)))</f>
        <v>n/a</v>
      </c>
      <c r="CK106" s="343" t="str">
        <f>IF(INDEX(tab_MinKomp[Techniki negocjacyjne / Verhandlungstechniken],MATCH($B105,tab_MinKomp[[Stanowisko / Position ]:[Stanowisko / Position ]],0))="n/a","n/a",CK105-INDEX(tab_MinKomp[Techniki negocjacyjne / Verhandlungstechniken],MATCH($B105,tab_MinKomp[[Stanowisko / Position ]:[Stanowisko / Position ]],0)))</f>
        <v>n/a</v>
      </c>
      <c r="CL106" s="343" t="str">
        <f>IF(INDEX(tab_MinKomp[Znajomość rynku branżowego / Kenntnis des Industrie Marktes],MATCH($B105,tab_MinKomp[[Stanowisko / Position ]:[Stanowisko / Position ]],0))="n/a","n/a",CL105-INDEX(tab_MinKomp[Znajomość rynku branżowego / Kenntnis des Industrie Marktes],MATCH($B105,tab_MinKomp[[Stanowisko / Position ]:[Stanowisko / Position ]],0)))</f>
        <v>n/a</v>
      </c>
      <c r="CM106" s="343">
        <f>IF(INDEX(tab_MinKomp[RAPORTY 8D / 8D Berichten],MATCH($B105,tab_MinKomp[[Stanowisko / Position ]:[Stanowisko / Position ]],0))="n/a","n/a",CM105-INDEX(tab_MinKomp[RAPORTY 8D / 8D Berichten],MATCH($B105,tab_MinKomp[[Stanowisko / Position ]:[Stanowisko / Position ]],0)))</f>
        <v>0</v>
      </c>
      <c r="CN106" s="343">
        <f>IF(INDEX(tab_MinKomp[NARZĘDZIA JAKOŚCIOWE (5WHY, Ishikawa, etc) / QS-Werkzeuge],MATCH($B105,tab_MinKomp[[Stanowisko / Position ]:[Stanowisko / Position ]],0))="n/a","n/a",CN105-INDEX(tab_MinKomp[NARZĘDZIA JAKOŚCIOWE (5WHY, Ishikawa, etc) / QS-Werkzeuge],MATCH($B105,tab_MinKomp[[Stanowisko / Position ]:[Stanowisko / Position ]],0)))</f>
        <v>0</v>
      </c>
      <c r="CO106" s="343">
        <f>IF(INDEX(tab_MinKomp[PDCA],MATCH($B105,tab_MinKomp[[Stanowisko / Position ]:[Stanowisko / Position ]],0))="n/a","n/a",CO105-INDEX(tab_MinKomp[PDCA],MATCH($B105,tab_MinKomp[[Stanowisko / Position ]:[Stanowisko / Position ]],0)))</f>
        <v>0</v>
      </c>
      <c r="CP106" s="343">
        <f>IF(INDEX(tab_MinKomp[Pareto],MATCH($B105,tab_MinKomp[[Stanowisko / Position ]:[Stanowisko / Position ]],0))="n/a","n/a",CP105-INDEX(tab_MinKomp[Pareto],MATCH($B105,tab_MinKomp[[Stanowisko / Position ]:[Stanowisko / Position ]],0)))</f>
        <v>-1</v>
      </c>
      <c r="CQ106" s="343" t="str">
        <f>IF(INDEX(tab_MinKomp[PPAP/PSW],MATCH($B105,tab_MinKomp[[Stanowisko / Position ]:[Stanowisko / Position ]],0))="n/a","n/a",CQ105-INDEX(tab_MinKomp[PPAP/PSW],MATCH($B105,tab_MinKomp[[Stanowisko / Position ]:[Stanowisko / Position ]],0)))</f>
        <v>n/a</v>
      </c>
      <c r="CR106" s="343" t="str">
        <f>IF(INDEX(tab_MinKomp[SUPPLIER MANAGEMENT],MATCH($B105,tab_MinKomp[[Stanowisko / Position ]:[Stanowisko / Position ]],0))="n/a","n/a",CR105-INDEX(tab_MinKomp[SUPPLIER MANAGEMENT],MATCH($B105,tab_MinKomp[[Stanowisko / Position ]:[Stanowisko / Position ]],0)))</f>
        <v>n/a</v>
      </c>
      <c r="CS106" s="343" t="str">
        <f>IF(INDEX(tab_MinKomp[OBSŁUGA PORTALI KLIENTA / Kundenportale],MATCH($B105,tab_MinKomp[[Stanowisko / Position ]:[Stanowisko / Position ]],0))="n/a","n/a",CS105-INDEX(tab_MinKomp[OBSŁUGA PORTALI KLIENTA / Kundenportale],MATCH($B105,tab_MinKomp[[Stanowisko / Position ]:[Stanowisko / Position ]],0)))</f>
        <v>n/a</v>
      </c>
      <c r="CT106" s="343" t="str">
        <f>IF(INDEX(tab_MinKomp[Obsługa systemu BABTECQ / BABTECQ System],MATCH($B105,tab_MinKomp[[Stanowisko / Position ]:[Stanowisko / Position ]],0))="n/a","n/a",CT105-INDEX(tab_MinKomp[Obsługa systemu BABTECQ / BABTECQ System],MATCH($B105,tab_MinKomp[[Stanowisko / Position ]:[Stanowisko / Position ]],0)))</f>
        <v>n/a</v>
      </c>
      <c r="CU106" s="343" t="str">
        <f>IF(INDEX(tab_MinKomp[Rysunek techniczny / technische Zeichnung],MATCH($B105,tab_MinKomp[[Stanowisko / Position ]:[Stanowisko / Position ]],0))="n/a","n/a",CU105-INDEX(tab_MinKomp[Rysunek techniczny / technische Zeichnung],MATCH($B105,tab_MinKomp[[Stanowisko / Position ]:[Stanowisko / Position ]],0)))</f>
        <v>n/a</v>
      </c>
      <c r="CV106" s="343" t="str">
        <f>IF(INDEX(tab_MinKomp[Kalibracja / Kalibrierung],MATCH($B105,tab_MinKomp[[Stanowisko / Position ]:[Stanowisko / Position ]],0))="n/a","n/a",CV105-INDEX(tab_MinKomp[Kalibracja / Kalibrierung],MATCH($B105,tab_MinKomp[[Stanowisko / Position ]:[Stanowisko / Position ]],0)))</f>
        <v>n/a</v>
      </c>
      <c r="CW106" s="343" t="str">
        <f>IF(INDEX(tab_MinKomp[Rekwalifikacja / Requalifizierung],MATCH($B105,tab_MinKomp[[Stanowisko / Position ]:[Stanowisko / Position ]],0))="n/a","n/a",CW105-INDEX(tab_MinKomp[Rekwalifikacja / Requalifizierung],MATCH($B105,tab_MinKomp[[Stanowisko / Position ]:[Stanowisko / Position ]],0)))</f>
        <v>n/a</v>
      </c>
      <c r="CX106" s="315" t="str">
        <f>IF(INDEX(tab_MinKomp[CMM - Contura Zeiss],MATCH($B105,tab_MinKomp[[Stanowisko / Position ]:[Stanowisko / Position ]],0))="n/a","n/a",CX105-INDEX(tab_MinKomp[CMM - Contura Zeiss],MATCH($B105,tab_MinKomp[[Stanowisko / Position ]:[Stanowisko / Position ]],0)))</f>
        <v>n/a</v>
      </c>
      <c r="CY106" s="315" t="str">
        <f>IF(INDEX(tab_MinKomp[CMM - Contura Zeiss],MATCH($B105,tab_MinKomp[[Stanowisko / Position ]:[Stanowisko / Position ]],0))="n/a","n/a",CY105-INDEX(tab_MinKomp[CMM - Contura Zeiss],MATCH($B105,tab_MinKomp[[Stanowisko / Position ]:[Stanowisko / Position ]],0)))</f>
        <v>n/a</v>
      </c>
      <c r="CZ106" s="315" t="str">
        <f>IF(INDEX(tab_MinKomp[CMM - Contura Zeiss],MATCH($B105,tab_MinKomp[[Stanowisko / Position ]:[Stanowisko / Position ]],0))="n/a","n/a",CZ105-INDEX(tab_MinKomp[CMM - Contura Zeiss],MATCH($B105,tab_MinKomp[[Stanowisko / Position ]:[Stanowisko / Position ]],0)))</f>
        <v>n/a</v>
      </c>
      <c r="DA106" s="315" t="str">
        <f>IF(INDEX(tab_MinKomp[CMM - Contura Zeiss],MATCH($B105,tab_MinKomp[[Stanowisko / Position ]:[Stanowisko / Position ]],0))="n/a","n/a",DA105-INDEX(tab_MinKomp[CMM - Contura Zeiss],MATCH($B105,tab_MinKomp[[Stanowisko / Position ]:[Stanowisko / Position ]],0)))</f>
        <v>n/a</v>
      </c>
      <c r="DB106" s="315" t="str">
        <f>IF(INDEX(tab_MinKomp[CMM - Contura Zeiss],MATCH($B105,tab_MinKomp[[Stanowisko / Position ]:[Stanowisko / Position ]],0))="n/a","n/a",DB105-INDEX(tab_MinKomp[CMM - Contura Zeiss],MATCH($B105,tab_MinKomp[[Stanowisko / Position ]:[Stanowisko / Position ]],0)))</f>
        <v>n/a</v>
      </c>
      <c r="DC106" s="315" t="str">
        <f>IF(INDEX(tab_MinKomp[CMM - Contura Zeiss],MATCH($B105,tab_MinKomp[[Stanowisko / Position ]:[Stanowisko / Position ]],0))="n/a","n/a",DC105-INDEX(tab_MinKomp[CMM - Contura Zeiss],MATCH($B105,tab_MinKomp[[Stanowisko / Position ]:[Stanowisko / Position ]],0)))</f>
        <v>n/a</v>
      </c>
      <c r="DD106" s="315" t="str">
        <f>IF(INDEX(tab_MinKomp[Pisanie programów / Programme schreiben],MATCH($B105,tab_MinKomp[[Stanowisko / Position ]:[Stanowisko / Position ]],0))="n/a","n/a",DD105-INDEX(tab_MinKomp[Pisanie programów / Programme schreiben],MATCH($B105,tab_MinKomp[[Stanowisko / Position ]:[Stanowisko / Position ]],0)))</f>
        <v>n/a</v>
      </c>
      <c r="DE106" s="315" t="str">
        <f>IF(INDEX(tab_MinKomp[CMM - Contura Zeiss],MATCH($B105,tab_MinKomp[[Stanowisko / Position ]:[Stanowisko / Position ]],0))="n/a","n/a",DE105-INDEX(tab_MinKomp[CMM - Contura Zeiss],MATCH($B105,tab_MinKomp[[Stanowisko / Position ]:[Stanowisko / Position ]],0)))</f>
        <v>n/a</v>
      </c>
      <c r="DF106" s="315" t="str">
        <f>IF(INDEX(tab_MinKomp[CMM - Contura Zeiss],MATCH($B105,tab_MinKomp[[Stanowisko / Position ]:[Stanowisko / Position ]],0))="n/a","n/a",DF105-INDEX(tab_MinKomp[CMM - Contura Zeiss],MATCH($B105,tab_MinKomp[[Stanowisko / Position ]:[Stanowisko / Position ]],0)))</f>
        <v>n/a</v>
      </c>
      <c r="DG106" s="315" t="str">
        <f>IF(INDEX(tab_MinKomp[CMM - Contura Zeiss],MATCH($B105,tab_MinKomp[[Stanowisko / Position ]:[Stanowisko / Position ]],0))="n/a","n/a",DG105-INDEX(tab_MinKomp[CMM - Contura Zeiss],MATCH($B105,tab_MinKomp[[Stanowisko / Position ]:[Stanowisko / Position ]],0)))</f>
        <v>n/a</v>
      </c>
      <c r="DH106" s="315" t="str">
        <f>IF(INDEX(tab_MinKomp[CMM - Contura Zeiss],MATCH($B105,tab_MinKomp[[Stanowisko / Position ]:[Stanowisko / Position ]],0))="n/a","n/a",DH105-INDEX(tab_MinKomp[CMM - Contura Zeiss],MATCH($B105,tab_MinKomp[[Stanowisko / Position ]:[Stanowisko / Position ]],0)))</f>
        <v>n/a</v>
      </c>
      <c r="DI106" s="315" t="str">
        <f>IF(INDEX(tab_MinKomp[CMM - Contura Zeiss],MATCH($B105,tab_MinKomp[[Stanowisko / Position ]:[Stanowisko / Position ]],0))="n/a","n/a",DI105-INDEX(tab_MinKomp[CMM - Contura Zeiss],MATCH($B105,tab_MinKomp[[Stanowisko / Position ]:[Stanowisko / Position ]],0)))</f>
        <v>n/a</v>
      </c>
      <c r="DJ106" s="315" t="str">
        <f>IF(INDEX(tab_MinKomp[CMM - Contura Zeiss],MATCH($B105,tab_MinKomp[[Stanowisko / Position ]:[Stanowisko / Position ]],0))="n/a","n/a",DJ105-INDEX(tab_MinKomp[CMM - Contura Zeiss],MATCH($B105,tab_MinKomp[[Stanowisko / Position ]:[Stanowisko / Position ]],0)))</f>
        <v>n/a</v>
      </c>
      <c r="DK106" s="315" t="str">
        <f>IF(INDEX(tab_MinKomp[Pisanie programów / Programme schreiben],MATCH($B105,tab_MinKomp[[Stanowisko / Position ]:[Stanowisko / Position ]],0))="n/a","n/a",DK105-INDEX(tab_MinKomp[Pisanie programów / Programme schreiben],MATCH($B105,tab_MinKomp[[Stanowisko / Position ]:[Stanowisko / Position ]],0)))</f>
        <v>n/a</v>
      </c>
      <c r="DL106" s="315" t="str">
        <f>IF(INDEX(tab_MinKomp[CMM - Contura Zeiss],MATCH($B105,tab_MinKomp[[Stanowisko / Position ]:[Stanowisko / Position ]],0))="n/a","n/a",DL105-INDEX(tab_MinKomp[CMM - Contura Zeiss],MATCH($B105,tab_MinKomp[[Stanowisko / Position ]:[Stanowisko / Position ]],0)))</f>
        <v>n/a</v>
      </c>
      <c r="DM106" s="315" t="str">
        <f>IF(INDEX(tab_MinKomp[CMM - Contura Zeiss],MATCH($B105,tab_MinKomp[[Stanowisko / Position ]:[Stanowisko / Position ]],0))="n/a","n/a",DM105-INDEX(tab_MinKomp[CMM - Contura Zeiss],MATCH($B105,tab_MinKomp[[Stanowisko / Position ]:[Stanowisko / Position ]],0)))</f>
        <v>n/a</v>
      </c>
      <c r="DN106" s="315" t="str">
        <f>IF(INDEX(tab_MinKomp[CMM - Contura Zeiss],MATCH($B105,tab_MinKomp[[Stanowisko / Position ]:[Stanowisko / Position ]],0))="n/a","n/a",DN105-INDEX(tab_MinKomp[CMM - Contura Zeiss],MATCH($B105,tab_MinKomp[[Stanowisko / Position ]:[Stanowisko / Position ]],0)))</f>
        <v>n/a</v>
      </c>
      <c r="DO106" s="315" t="str">
        <f>IF(INDEX(tab_MinKomp[CMM - Contura Zeiss],MATCH($B105,tab_MinKomp[[Stanowisko / Position ]:[Stanowisko / Position ]],0))="n/a","n/a",DO105-INDEX(tab_MinKomp[CMM - Contura Zeiss],MATCH($B105,tab_MinKomp[[Stanowisko / Position ]:[Stanowisko / Position ]],0)))</f>
        <v>n/a</v>
      </c>
      <c r="DP106" s="315" t="str">
        <f>IF(INDEX(tab_MinKomp[CMM - Contura Zeiss],MATCH($B105,tab_MinKomp[[Stanowisko / Position ]:[Stanowisko / Position ]],0))="n/a","n/a",DP105-INDEX(tab_MinKomp[CMM - Contura Zeiss],MATCH($B105,tab_MinKomp[[Stanowisko / Position ]:[Stanowisko / Position ]],0)))</f>
        <v>n/a</v>
      </c>
      <c r="DQ106" s="315" t="str">
        <f>IF(INDEX(tab_MinKomp[CMM - Contura Zeiss],MATCH($B105,tab_MinKomp[[Stanowisko / Position ]:[Stanowisko / Position ]],0))="n/a","n/a",DQ105-INDEX(tab_MinKomp[CMM - Contura Zeiss],MATCH($B105,tab_MinKomp[[Stanowisko / Position ]:[Stanowisko / Position ]],0)))</f>
        <v>n/a</v>
      </c>
      <c r="DR106" s="315" t="str">
        <f>IF(INDEX(tab_MinKomp[Pisanie programów / Programme schreiben],MATCH($B105,tab_MinKomp[[Stanowisko / Position ]:[Stanowisko / Position ]],0))="n/a","n/a",DR105-INDEX(tab_MinKomp[Pisanie programów / Programme schreiben],MATCH($B105,tab_MinKomp[[Stanowisko / Position ]:[Stanowisko / Position ]],0)))</f>
        <v>n/a</v>
      </c>
      <c r="DS106" s="315" t="str">
        <f>IF(INDEX(tab_MinKomp[CMM - Contura Zeiss],MATCH($B105,tab_MinKomp[[Stanowisko / Position ]:[Stanowisko / Position ]],0))="n/a","n/a",DS105-INDEX(tab_MinKomp[CMM - Contura Zeiss],MATCH($B105,tab_MinKomp[[Stanowisko / Position ]:[Stanowisko / Position ]],0)))</f>
        <v>n/a</v>
      </c>
      <c r="DT106" s="315" t="str">
        <f>IF(INDEX(tab_MinKomp[CMM - Contura Zeiss],MATCH($B105,tab_MinKomp[[Stanowisko / Position ]:[Stanowisko / Position ]],0))="n/a","n/a",DT105-INDEX(tab_MinKomp[CMM - Contura Zeiss],MATCH($B105,tab_MinKomp[[Stanowisko / Position ]:[Stanowisko / Position ]],0)))</f>
        <v>n/a</v>
      </c>
      <c r="DU106" s="315" t="str">
        <f>IF(INDEX(tab_MinKomp[CMM - Contura Zeiss],MATCH($B105,tab_MinKomp[[Stanowisko / Position ]:[Stanowisko / Position ]],0))="n/a","n/a",DU105-INDEX(tab_MinKomp[CMM - Contura Zeiss],MATCH($B105,tab_MinKomp[[Stanowisko / Position ]:[Stanowisko / Position ]],0)))</f>
        <v>n/a</v>
      </c>
      <c r="DV106" s="315" t="str">
        <f>IF(INDEX(tab_MinKomp[CMM - Contura Zeiss],MATCH($B105,tab_MinKomp[[Stanowisko / Position ]:[Stanowisko / Position ]],0))="n/a","n/a",DV105-INDEX(tab_MinKomp[CMM - Contura Zeiss],MATCH($B105,tab_MinKomp[[Stanowisko / Position ]:[Stanowisko / Position ]],0)))</f>
        <v>n/a</v>
      </c>
      <c r="DW106" s="315" t="str">
        <f>IF(INDEX(tab_MinKomp[CMM - Contura Zeiss],MATCH($B105,tab_MinKomp[[Stanowisko / Position ]:[Stanowisko / Position ]],0))="n/a","n/a",DW105-INDEX(tab_MinKomp[CMM - Contura Zeiss],MATCH($B105,tab_MinKomp[[Stanowisko / Position ]:[Stanowisko / Position ]],0)))</f>
        <v>n/a</v>
      </c>
      <c r="DX106" s="315" t="str">
        <f>IF(INDEX(tab_MinKomp[CMM - Contura Zeiss],MATCH($B105,tab_MinKomp[[Stanowisko / Position ]:[Stanowisko / Position ]],0))="n/a","n/a",DX105-INDEX(tab_MinKomp[CMM - Contura Zeiss],MATCH($B105,tab_MinKomp[[Stanowisko / Position ]:[Stanowisko / Position ]],0)))</f>
        <v>n/a</v>
      </c>
      <c r="DY106" s="343" t="str">
        <f>IF(INDEX(tab_MinKomp[Konserwacja Rep],MATCH($B105,tab_MinKomp[[Stanowisko / Position ]:[Stanowisko / Position ]],0))="n/a","n/a",DY105-INDEX(tab_MinKomp[Konserwacja Rep],MATCH($B105,tab_MinKomp[[Stanowisko / Position ]:[Stanowisko / Position ]],0)))</f>
        <v>n/a</v>
      </c>
      <c r="DZ106" s="343" t="str">
        <f>IF(INDEX(tab_MinKomp[[Konserwacja Engel ]],MATCH($B105,tab_MinKomp[[Stanowisko / Position ]:[Stanowisko / Position ]],0))="n/a","n/a",DZ105-INDEX(tab_MinKomp[[Konserwacja Engel ]],MATCH($B105,tab_MinKomp[[Stanowisko / Position ]:[Stanowisko / Position ]],0)))</f>
        <v>n/a</v>
      </c>
      <c r="EA106" s="343" t="str">
        <f>IF(INDEX(tab_MinKomp[Konserwacja B 50],MATCH($B105,tab_MinKomp[[Stanowisko / Position ]:[Stanowisko / Position ]],0))="n/a","n/a",EA105-INDEX(tab_MinKomp[Konserwacja B 50],MATCH($B105,tab_MinKomp[[Stanowisko / Position ]:[Stanowisko / Position ]],0)))</f>
        <v>n/a</v>
      </c>
      <c r="EB106" s="343" t="str">
        <f>IF(INDEX(tab_MinKomp[[Konserwacja EOL ]],MATCH($B105,tab_MinKomp[[Stanowisko / Position ]:[Stanowisko / Position ]],0))="n/a","n/a",EB105-INDEX(tab_MinKomp[[Konserwacja EOL ]],MATCH($B105,tab_MinKomp[[Stanowisko / Position ]:[Stanowisko / Position ]],0)))</f>
        <v>n/a</v>
      </c>
      <c r="EC106" s="343" t="str">
        <f>IF(INDEX(tab_MinKomp[Konserwacja Branson],MATCH($B105,tab_MinKomp[[Stanowisko / Position ]:[Stanowisko / Position ]],0))="n/a","n/a",EC105-INDEX(tab_MinKomp[Konserwacja Branson],MATCH($B105,tab_MinKomp[[Stanowisko / Position ]:[Stanowisko / Position ]],0)))</f>
        <v>n/a</v>
      </c>
      <c r="ED106" s="343" t="str">
        <f>IF(INDEX(tab_MinKomp[Konserwacja coolery],MATCH($B105,tab_MinKomp[[Stanowisko / Position ]:[Stanowisko / Position ]],0))="n/a","n/a",ED105-INDEX(tab_MinKomp[Konserwacja coolery],MATCH($B105,tab_MinKomp[[Stanowisko / Position ]:[Stanowisko / Position ]],0)))</f>
        <v>n/a</v>
      </c>
      <c r="EE106" s="343" t="str">
        <f>IF(INDEX(tab_MinKomp[Konserwacja piecy],MATCH($B105,tab_MinKomp[[Stanowisko / Position ]:[Stanowisko / Position ]],0))="n/a","n/a",EE105-INDEX(tab_MinKomp[Konserwacja piecy],MATCH($B105,tab_MinKomp[[Stanowisko / Position ]:[Stanowisko / Position ]],0)))</f>
        <v>n/a</v>
      </c>
      <c r="EF106" s="343" t="str">
        <f>IF(INDEX(tab_MinKomp[Rysunek techniczny- czytanie],MATCH($B105,tab_MinKomp[[Stanowisko / Position ]:[Stanowisko / Position ]],0))="n/a","n/a",EF105-INDEX(tab_MinKomp[Rysunek techniczny- czytanie],MATCH($B105,tab_MinKomp[[Stanowisko / Position ]:[Stanowisko / Position ]],0)))</f>
        <v>n/a</v>
      </c>
      <c r="EG106" s="343" t="str">
        <f>IF(INDEX(tab_MinKomp[Elektryka],MATCH($B105,tab_MinKomp[[Stanowisko / Position ]:[Stanowisko / Position ]],0))="n/a","n/a",EG105-INDEX(tab_MinKomp[Elektryka],MATCH($B105,tab_MinKomp[[Stanowisko / Position ]:[Stanowisko / Position ]],0)))</f>
        <v>n/a</v>
      </c>
      <c r="EH106" s="343" t="str">
        <f>IF(INDEX(tab_MinKomp[Pneumatyka],MATCH($B105,tab_MinKomp[[Stanowisko / Position ]:[Stanowisko / Position ]],0))="n/a","n/a",EH105-INDEX(tab_MinKomp[Pneumatyka],MATCH($B105,tab_MinKomp[[Stanowisko / Position ]:[Stanowisko / Position ]],0)))</f>
        <v>n/a</v>
      </c>
      <c r="EI106" s="343" t="str">
        <f>IF(INDEX(tab_MinKomp[[Hydraulika ]],MATCH($B105,tab_MinKomp[[Stanowisko / Position ]:[Stanowisko / Position ]],0))="n/a","n/a",EI105-INDEX(tab_MinKomp[[Hydraulika ]],MATCH($B105,tab_MinKomp[[Stanowisko / Position ]:[Stanowisko / Position ]],0)))</f>
        <v>n/a</v>
      </c>
      <c r="EJ106" s="343" t="str">
        <f>IF(INDEX(tab_MinKomp[Podciśnienie],MATCH($B105,tab_MinKomp[[Stanowisko / Position ]:[Stanowisko / Position ]],0))="n/a","n/a",EJ105-INDEX(tab_MinKomp[Podciśnienie],MATCH($B105,tab_MinKomp[[Stanowisko / Position ]:[Stanowisko / Position ]],0)))</f>
        <v>n/a</v>
      </c>
      <c r="EK106" s="343" t="str">
        <f>IF(INDEX(tab_MinKomp[Usuwanie awarii],MATCH($B105,tab_MinKomp[[Stanowisko / Position ]:[Stanowisko / Position ]],0))="n/a","n/a",EK105-INDEX(tab_MinKomp[Usuwanie awarii],MATCH($B105,tab_MinKomp[[Stanowisko / Position ]:[Stanowisko / Position ]],0)))</f>
        <v>n/a</v>
      </c>
      <c r="EL106" s="343" t="str">
        <f>IF(INDEX(tab_MinKomp[Obsługa robotów],MATCH($B105,tab_MinKomp[[Stanowisko / Position ]:[Stanowisko / Position ]],0))="n/a","n/a",EL105-INDEX(tab_MinKomp[Obsługa robotów],MATCH($B105,tab_MinKomp[[Stanowisko / Position ]:[Stanowisko / Position ]],0)))</f>
        <v>n/a</v>
      </c>
      <c r="EM106" s="343" t="str">
        <f>IF(INDEX(tab_MinKomp[Obsługa sterowania maszyny],MATCH($B105,tab_MinKomp[[Stanowisko / Position ]:[Stanowisko / Position ]],0))="n/a","n/a",EM105-INDEX(tab_MinKomp[Obsługa sterowania maszyny],MATCH($B105,tab_MinKomp[[Stanowisko / Position ]:[Stanowisko / Position ]],0)))</f>
        <v>n/a</v>
      </c>
      <c r="EN106" s="343" t="str">
        <f>IF(INDEX(tab_MinKomp[Usuwanie przyczyn żródłowych],MATCH($B105,tab_MinKomp[[Stanowisko / Position ]:[Stanowisko / Position ]],0))="n/a","n/a",EN105-INDEX(tab_MinKomp[Usuwanie przyczyn żródłowych],MATCH($B105,tab_MinKomp[[Stanowisko / Position ]:[Stanowisko / Position ]],0)))</f>
        <v>n/a</v>
      </c>
      <c r="EO106" s="343" t="str">
        <f>IF(INDEX(tab_MinKomp[Cmms stosowanie],MATCH($B105,tab_MinKomp[[Stanowisko / Position ]:[Stanowisko / Position ]],0))="n/a","n/a",EO105-INDEX(tab_MinKomp[Cmms stosowanie],MATCH($B105,tab_MinKomp[[Stanowisko / Position ]:[Stanowisko / Position ]],0)))</f>
        <v>n/a</v>
      </c>
      <c r="EP106" s="343" t="str">
        <f>IF(INDEX(tab_MinKomp[[Czyszczenie form gumowych ]],MATCH($B105,tab_MinKomp[[Stanowisko / Position ]:[Stanowisko / Position ]],0))="n/a","n/a",EP105-INDEX(tab_MinKomp[[Czyszczenie form gumowych ]],MATCH($B105,tab_MinKomp[[Stanowisko / Position ]:[Stanowisko / Position ]],0)))</f>
        <v>n/a</v>
      </c>
      <c r="EQ106" s="343" t="str">
        <f>IF(INDEX(tab_MinKomp[Czyszczenie form plastikowych],MATCH($B105,tab_MinKomp[[Stanowisko / Position ]:[Stanowisko / Position ]],0))="n/a","n/a",EQ105-INDEX(tab_MinKomp[Czyszczenie form plastikowych],MATCH($B105,tab_MinKomp[[Stanowisko / Position ]:[Stanowisko / Position ]],0)))</f>
        <v>n/a</v>
      </c>
      <c r="ER106" s="343" t="str">
        <f>IF(INDEX(tab_MinKomp[Wymiana form plastik],MATCH($B105,tab_MinKomp[[Stanowisko / Position ]:[Stanowisko / Position ]],0))="n/a","n/a",ER105-INDEX(tab_MinKomp[Wymiana form plastik],MATCH($B105,tab_MinKomp[[Stanowisko / Position ]:[Stanowisko / Position ]],0)))</f>
        <v>n/a</v>
      </c>
      <c r="ES106" s="343" t="str">
        <f>IF(INDEX(tab_MinKomp[Wymiana form guma],MATCH($B105,tab_MinKomp[[Stanowisko / Position ]:[Stanowisko / Position ]],0))="n/a","n/a",ES105-INDEX(tab_MinKomp[Wymiana form guma],MATCH($B105,tab_MinKomp[[Stanowisko / Position ]:[Stanowisko / Position ]],0)))</f>
        <v>n/a</v>
      </c>
      <c r="ET106" s="343" t="str">
        <f>IF(INDEX(tab_MinKomp[Konserwacja KK],MATCH($B105,tab_MinKomp[[Stanowisko / Position ]:[Stanowisko / Position ]],0))="n/a","n/a",ET105-INDEX(tab_MinKomp[Konserwacja KK],MATCH($B105,tab_MinKomp[[Stanowisko / Position ]:[Stanowisko / Position ]],0)))</f>
        <v>n/a</v>
      </c>
      <c r="EU106" s="343" t="str">
        <f>IF(INDEX(tab_MinKomp[Konserwacja form guma],MATCH($B105,tab_MinKomp[[Stanowisko / Position ]:[Stanowisko / Position ]],0))="n/a","n/a",EU105-INDEX(tab_MinKomp[Konserwacja form guma],MATCH($B105,tab_MinKomp[[Stanowisko / Position ]:[Stanowisko / Position ]],0)))</f>
        <v>n/a</v>
      </c>
      <c r="EV106" s="343" t="str">
        <f>IF(INDEX(tab_MinKomp[Konserwacja form plastiki],MATCH($B105,tab_MinKomp[[Stanowisko / Position ]:[Stanowisko / Position ]],0))="n/a","n/a",EV105-INDEX(tab_MinKomp[Konserwacja form plastiki],MATCH($B105,tab_MinKomp[[Stanowisko / Position ]:[Stanowisko / Position ]],0)))</f>
        <v>n/a</v>
      </c>
      <c r="EW106" s="330" t="str">
        <f>IF(INDEX(tab_MinKomp[Konserwacja form plastiki],MATCH($B105,tab_MinKomp[[Stanowisko / Position ]:[Stanowisko / Position ]],0))="n/a","n/a",EW105-INDEX(tab_MinKomp[Konserwacja form plastiki],MATCH($B105,tab_MinKomp[[Stanowisko / Position ]:[Stanowisko / Position ]],0)))</f>
        <v>n/a</v>
      </c>
      <c r="EX106" s="343" t="str">
        <f>IF(INDEX(tab_MinKomp[Konserwacja Gorącego Kanału],MATCH($B105,tab_MinKomp[[Stanowisko / Position ]:[Stanowisko / Position ]],0))="n/a","n/a",EX105-INDEX(tab_MinKomp[Konserwacja Gorącego Kanału],MATCH($B105,tab_MinKomp[[Stanowisko / Position ]:[Stanowisko / Position ]],0)))</f>
        <v>n/a</v>
      </c>
      <c r="EY106" s="343">
        <f>IF(INDEX(tab_MinKomp[MS Office (Excel)],MATCH($B105,tab_MinKomp[[Stanowisko / Position ]:[Stanowisko / Position ]],0))="n/a","n/a",EY105-INDEX(tab_MinKomp[MS Office (Excel)],MATCH($B105,tab_MinKomp[[Stanowisko / Position ]:[Stanowisko / Position ]],0)))</f>
        <v>0</v>
      </c>
      <c r="EZ106" s="343">
        <f>IF(INDEX(tab_MinKomp[MS Office (Word)],MATCH($B105,tab_MinKomp[[Stanowisko / Position ]:[Stanowisko / Position ]],0))="n/a","n/a",EZ105-INDEX(tab_MinKomp[MS Office (Word)],MATCH($B105,tab_MinKomp[[Stanowisko / Position ]:[Stanowisko / Position ]],0)))</f>
        <v>0</v>
      </c>
      <c r="FA106" s="343">
        <f>IF(INDEX(tab_MinKomp[MS Office (Power Point)],MATCH($B105,tab_MinKomp[[Stanowisko / Position ]:[Stanowisko / Position ]],0))="n/a","n/a",FA105-INDEX(tab_MinKomp[MS Office (Power Point)],MATCH($B105,tab_MinKomp[[Stanowisko / Position ]:[Stanowisko / Position ]],0)))</f>
        <v>0</v>
      </c>
      <c r="FB106" s="343" t="str">
        <f>IF(INDEX(tab_MinKomp[Język angielski / Englisch],MATCH($B105,tab_MinKomp[[Stanowisko / Position ]:[Stanowisko / Position ]],0))="n/a","n/a",FB105-INDEX(tab_MinKomp[Język angielski / Englisch],MATCH($B105,tab_MinKomp[[Stanowisko / Position ]:[Stanowisko / Position ]],0)))</f>
        <v>n/a</v>
      </c>
      <c r="FC106" s="343" t="str">
        <f>IF(INDEX(tab_MinKomp[Język niemiecki / Deutsch],MATCH($B105,tab_MinKomp[[Stanowisko / Position ]:[Stanowisko / Position ]],0))="n/a","n/a",FC105-INDEX(tab_MinKomp[Język niemiecki / Deutsch],MATCH($B105,tab_MinKomp[[Stanowisko / Position ]:[Stanowisko / Position ]],0)))</f>
        <v>n/a</v>
      </c>
      <c r="FD106" s="343">
        <f>IF(INDEX(tab_MinKomp[Zarządzanie dokumentacją procesową / Process dokumentation management],MATCH($B105,tab_MinKomp[[Stanowisko / Position ]:[Stanowisko / Position ]],0))="n/a","n/a",FD105-INDEX(tab_MinKomp[Zarządzanie dokumentacją procesową / Process dokumentation management],MATCH($B105,tab_MinKomp[[Stanowisko / Position ]:[Stanowisko / Position ]],0)))</f>
        <v>0</v>
      </c>
      <c r="FE106" s="343">
        <f>IF(INDEX(tab_MinKomp[Znajomość procesów z obszaru / Kenntiss der prozesse in dem Bereich],MATCH($B105,tab_MinKomp[[Stanowisko / Position ]:[Stanowisko / Position ]],0))="n/a","n/a",FE105-INDEX(tab_MinKomp[Znajomość procesów z obszaru / Kenntiss der prozesse in dem Bereich],MATCH($B105,tab_MinKomp[[Stanowisko / Position ]:[Stanowisko / Position ]],0)))</f>
        <v>0</v>
      </c>
      <c r="FF106" s="343">
        <f>IF(INDEX(tab_MinKomp[optymalizacja procesów / Prozessoptymalisierung],MATCH($B105,tab_MinKomp[[Stanowisko / Position ]:[Stanowisko / Position ]],0))="n/a","n/a",FF105-INDEX(tab_MinKomp[optymalizacja procesów / Prozessoptymalisierung],MATCH($B105,tab_MinKomp[[Stanowisko / Position ]:[Stanowisko / Position ]],0)))</f>
        <v>0</v>
      </c>
      <c r="FG106" s="343">
        <f>IF(INDEX(tab_MinKomp[Umiejętności szkoleniowe / Trainingsfähigkeiten],MATCH($B105,tab_MinKomp[[Stanowisko / Position ]:[Stanowisko / Position ]],0))="n/a","n/a",FG105-INDEX(tab_MinKomp[Umiejętności szkoleniowe / Trainingsfähigkeiten],MATCH($B105,tab_MinKomp[[Stanowisko / Position ]:[Stanowisko / Position ]],0)))</f>
        <v>-1</v>
      </c>
      <c r="FH106" s="343">
        <f>IF(INDEX(tab_MinKomp[Analityczne myślenie, podejście / Analitysches Denken, Einstellung],MATCH($B105,tab_MinKomp[[Stanowisko / Position ]:[Stanowisko / Position ]],0))="n/a","n/a",FH105-INDEX(tab_MinKomp[Analityczne myślenie, podejście / Analitysches Denken, Einstellung],MATCH($B105,tab_MinKomp[[Stanowisko / Position ]:[Stanowisko / Position ]],0)))</f>
        <v>0</v>
      </c>
      <c r="FI106" s="343">
        <f>IF(INDEX(tab_MinKomp[Dokładność, precyzja w dzialaniu / Genauigkeit, Präzision in die Arbeit],MATCH($B105,tab_MinKomp[[Stanowisko / Position ]:[Stanowisko / Position ]],0))="n/a","n/a",FI105-INDEX(tab_MinKomp[Dokładność, precyzja w dzialaniu / Genauigkeit, Präzision in die Arbeit],MATCH($B105,tab_MinKomp[[Stanowisko / Position ]:[Stanowisko / Position ]],0)))</f>
        <v>-1</v>
      </c>
      <c r="FJ106" s="343">
        <f>IF(INDEX(tab_MinKomp[Dyspozycyjność / Verfügbarkeit],MATCH($B105,tab_MinKomp[[Stanowisko / Position ]:[Stanowisko / Position ]],0))="n/a","n/a",FJ105-INDEX(tab_MinKomp[Dyspozycyjność / Verfügbarkeit],MATCH($B105,tab_MinKomp[[Stanowisko / Position ]:[Stanowisko / Position ]],0)))</f>
        <v>1</v>
      </c>
      <c r="FK106" s="343">
        <f>IF(INDEX(tab_MinKomp[Zaangażowanie / 
Engagement],MATCH($B105,tab_MinKomp[[Stanowisko / Position ]:[Stanowisko / Position ]],0))="n/a","n/a",FK105-INDEX(tab_MinKomp[Zaangażowanie / 
Engagement],MATCH($B105,tab_MinKomp[[Stanowisko / Position ]:[Stanowisko / Position ]],0)))</f>
        <v>0</v>
      </c>
      <c r="FL106" s="343">
        <f>IF(INDEX(tab_MinKomp[Planowanie strategiczne / Strategische Planung],MATCH($B105,tab_MinKomp[[Stanowisko / Position ]:[Stanowisko / Position ]],0))="n/a","n/a",FL105-INDEX(tab_MinKomp[Planowanie strategiczne / Strategische Planung],MATCH($B105,tab_MinKomp[[Stanowisko / Position ]:[Stanowisko / Position ]],0)))</f>
        <v>-1</v>
      </c>
      <c r="FM106" s="343">
        <f>IF(INDEX(tab_MinKomp[Konsekwentne i dynamiczne działanie],MATCH($B105,tab_MinKomp[[Stanowisko / Position ]:[Stanowisko / Position ]],0))="n/a","n/a",FM105-INDEX(tab_MinKomp[Konsekwentne i dynamiczne działanie],MATCH($B105,tab_MinKomp[[Stanowisko / Position ]:[Stanowisko / Position ]],0)))</f>
        <v>0</v>
      </c>
      <c r="FN106" s="343">
        <f>IF(INDEX(tab_MinKomp[Elastyczność w działaniu],MATCH($B105,tab_MinKomp[[Stanowisko / Position ]:[Stanowisko / Position ]],0))="n/a","n/a",FN105-INDEX(tab_MinKomp[Elastyczność w działaniu],MATCH($B105,tab_MinKomp[[Stanowisko / Position ]:[Stanowisko / Position ]],0)))</f>
        <v>0</v>
      </c>
      <c r="FO106" s="343">
        <f>IF(INDEX(tab_MinKomp[Komunikatywność],MATCH($B105,tab_MinKomp[[Stanowisko / Position ]:[Stanowisko / Position ]],0))="n/a","n/a",FO105-INDEX(tab_MinKomp[Komunikatywność],MATCH($B105,tab_MinKomp[[Stanowisko / Position ]:[Stanowisko / Position ]],0)))</f>
        <v>0</v>
      </c>
      <c r="FP106" s="342">
        <f>IF(INDEX(tab_MinKomp[Motywowanie i budowanie zaangażowania zespołu],MATCH($B105,tab_MinKomp[[Stanowisko / Position ]:[Stanowisko / Position ]],0))="n/a","n/a",FP105-INDEX(tab_MinKomp[Motywowanie i budowanie zaangażowania zespołu],MATCH($B105,tab_MinKomp[[Stanowisko / Position ]:[Stanowisko / Position ]],0)))</f>
        <v>-1</v>
      </c>
      <c r="FQ106" s="346" t="str">
        <f>IFERROR(IF(INDEX(tab_MinKomp[BRAK / Keine],MATCH($B105,tab_MinKomp[[Stanowisko / Position ]:[Stanowisko / Position ]],0))="n/a","n/a",INDEX(tab_MinKomp[BRAK / Keine],MATCH($B105,tab_MinKomp[[Stanowisko / Position ]:[Stanowisko / Position ]],0))-FQ105),"")</f>
        <v>n/a</v>
      </c>
      <c r="FR106" s="343" t="str">
        <f>IF(INDEX(tab_MinKomp[MINIMUM 1 ROK / min. 1 Jahr],MATCH($B105,tab_MinKomp[[Stanowisko / Position ]:[Stanowisko / Position ]],0))="n/a","n/a",INDEX(tab_MinKomp[MINIMUM 1 ROK / min. 1 Jahr],MATCH($B105,tab_MinKomp[[Stanowisko / Position ]:[Stanowisko / Position ]],0)))</f>
        <v>x</v>
      </c>
      <c r="FS106" s="343" t="str">
        <f>IF(INDEX(tab_MinKomp[MINIMUM 2 LATA / min. 2 Jahre],MATCH($B105,tab_MinKomp[[Stanowisko / Position ]:[Stanowisko / Position ]],0))="n/a","n/a",INDEX(tab_MinKomp[MINIMUM 2 LATA / min. 2 Jahre],MATCH($B105,tab_MinKomp[[Stanowisko / Position ]:[Stanowisko / Position ]],0)))</f>
        <v>n/a</v>
      </c>
      <c r="FT106" s="343" t="str">
        <f>IF(INDEX(tab_MinKomp[MINIMUM 3 LATA / min. 3 Jahre],MATCH($B105,tab_MinKomp[[Stanowisko / Position ]:[Stanowisko / Position ]],0))="n/a","n/a",INDEX(tab_MinKomp[MINIMUM 3 LATA / min. 3 Jahre],MATCH($B105,tab_MinKomp[[Stanowisko / Position ]:[Stanowisko / Position ]],0)))</f>
        <v>n/a</v>
      </c>
      <c r="FU106" s="343" t="str">
        <f>IF(INDEX(tab_MinKomp[MINIMUM 4 LATA / min. 4 Jahre],MATCH($B105,tab_MinKomp[[Stanowisko / Position ]:[Stanowisko / Position ]],0))="n/a","n/a",INDEX(tab_MinKomp[MINIMUM 4 LATA / min. 4 Jahre],MATCH($B105,tab_MinKomp[[Stanowisko / Position ]:[Stanowisko / Position ]],0)))</f>
        <v>n/a</v>
      </c>
      <c r="FV106" s="347" t="str">
        <f>IF(INDEX(tab_MinKomp[MINIMUM 5 LAT / min. 5 Jahre],MATCH($B105,tab_MinKomp[[Stanowisko / Position ]:[Stanowisko / Position ]],0))="n/a","n/a",INDEX(tab_MinKomp[MINIMUM 5 LAT / min. 5 Jahre],MATCH($B105,tab_MinKomp[[Stanowisko / Position ]:[Stanowisko / Position ]],0)))</f>
        <v>n/a</v>
      </c>
      <c r="FW106" s="346" t="str">
        <f>IF(INDEX(tab_MinKomp[BRAK / Keine9],MATCH($B105,tab_MinKomp[[Stanowisko / Position ]:[Stanowisko / Position ]],0))="n/a","n/a",INDEX(tab_MinKomp[BRAK / Keine9],MATCH($B105,tab_MinKomp[[Stanowisko / Position ]:[Stanowisko / Position ]],0)))</f>
        <v>n/a</v>
      </c>
      <c r="FX106" s="343" t="str">
        <f>IF(INDEX(tab_MinKomp[ZAWODOWE / Berufsausbildung],MATCH($B105,tab_MinKomp[[Stanowisko / Position ]:[Stanowisko / Position ]],0))="n/a","n/a",INDEX(tab_MinKomp[ZAWODOWE / Berufsausbildung],MATCH($B105,tab_MinKomp[[Stanowisko / Position ]:[Stanowisko / Position ]],0)))</f>
        <v>x</v>
      </c>
      <c r="FY106" s="343" t="str">
        <f>IF(INDEX(tab_MinKomp[ŚREDNIE OGÓLNE / Abitur allgemeine],MATCH($B105,tab_MinKomp[[Stanowisko / Position ]:[Stanowisko / Position ]],0))="n/a","n/a",INDEX(tab_MinKomp[ŚREDNIE OGÓLNE / Abitur allgemeine],MATCH($B105,tab_MinKomp[[Stanowisko / Position ]:[Stanowisko / Position ]],0)))</f>
        <v>n/a</v>
      </c>
      <c r="FZ106" s="343" t="str">
        <f>IF(INDEX(tab_MinKomp[ŚREDNIE KIERUNKOWE / berufliches Gymnasium],MATCH($B105,tab_MinKomp[[Stanowisko / Position ]:[Stanowisko / Position ]],0))="n/a","n/a",INDEX(tab_MinKomp[ŚREDNIE KIERUNKOWE / berufliches Gymnasium],MATCH($B105,tab_MinKomp[[Stanowisko / Position ]:[Stanowisko / Position ]],0)))</f>
        <v>n/a</v>
      </c>
      <c r="GA106" s="343" t="str">
        <f>IF(INDEX(tab_MinKomp[WYŻSZE OGÓLNE / Hochschule allgemeine],MATCH($B105,tab_MinKomp[[Stanowisko / Position ]:[Stanowisko / Position ]],0))="n/a","n/a",INDEX(tab_MinKomp[WYŻSZE OGÓLNE / Hochschule allgemeine],MATCH($B105,tab_MinKomp[[Stanowisko / Position ]:[Stanowisko / Position ]],0)))</f>
        <v>n/a</v>
      </c>
      <c r="GB106" s="347" t="str">
        <f>IF(INDEX(tab_MinKomp[WYŻSZE KIERUNKOWE / Hochschule berufliche],MATCH($B105,tab_MinKomp[[Stanowisko / Position ]:[Stanowisko / Position ]],0))="n/a","n/a",INDEX(tab_MinKomp[WYŻSZE KIERUNKOWE / Hochschule berufliche],MATCH($B105,tab_MinKomp[[Stanowisko / Position ]:[Stanowisko / Position ]],0)))</f>
        <v>n/a</v>
      </c>
      <c r="GC106" s="346" t="str">
        <f>IF(INDEX(tab_MinKomp[PIERWSZA POMOC / Erste Hilfe],MATCH($B105,tab_MinKomp[[Stanowisko / Position ]:[Stanowisko / Position ]],0))="n/a","n/a",INDEX(tab_MinKomp[PIERWSZA POMOC / Erste Hilfe],MATCH($B105,tab_MinKomp[[Stanowisko / Position ]:[Stanowisko / Position ]],0)))</f>
        <v>x</v>
      </c>
      <c r="GD106" s="343" t="str">
        <f>IF(INDEX(tab_MinKomp[Specjalista BHP / BHP Spezialist],MATCH($B105,tab_MinKomp[[Stanowisko / Position ]:[Stanowisko / Position ]],0))="n/a","n/a",INDEX(tab_MinKomp[Specjalista BHP / BHP Spezialist],MATCH($B105,tab_MinKomp[[Stanowisko / Position ]:[Stanowisko / Position ]],0)))</f>
        <v>n/a</v>
      </c>
      <c r="GE106" s="343" t="str">
        <f>IF(INDEX(tab_MinKomp[Inspektor ochrony PPOŻ / Brandschutzinspektor],MATCH($B105,tab_MinKomp[[Stanowisko / Position ]:[Stanowisko / Position ]],0))="n/a","n/a",INDEX(tab_MinKomp[Inspektor ochrony PPOŻ / Brandschutzinspektor],MATCH($B105,tab_MinKomp[[Stanowisko / Position ]:[Stanowisko / Position ]],0)))</f>
        <v>n/a</v>
      </c>
      <c r="GF106" s="343" t="str">
        <f>IF(INDEX(tab_MinKomp[WÓZKI JEZDNIOWE / Gebelstapler],MATCH($B105,tab_MinKomp[[Stanowisko / Position ]:[Stanowisko / Position ]],0))="n/a","n/a",INDEX(tab_MinKomp[WÓZKI JEZDNIOWE / Gebelstapler],MATCH($B105,tab_MinKomp[[Stanowisko / Position ]:[Stanowisko / Position ]],0)))</f>
        <v>x</v>
      </c>
      <c r="GG106" s="343" t="str">
        <f>IF(INDEX(tab_MinKomp[SEP],MATCH($B105,tab_MinKomp[[Stanowisko / Position ]:[Stanowisko / Position ]],0))="n/a","n/a",INDEX(tab_MinKomp[SEP],MATCH($B105,tab_MinKomp[[Stanowisko / Position ]:[Stanowisko / Position ]],0)))</f>
        <v>n/a</v>
      </c>
      <c r="GH106" s="343" t="str">
        <f>IF(INDEX(tab_MinKomp[SEP  DOZÓR / SEP Aufsicht],MATCH($B105,tab_MinKomp[[Stanowisko / Position ]:[Stanowisko / Position ]],0))="n/a","n/a",INDEX(tab_MinKomp[SEP  DOZÓR / SEP Aufsicht],MATCH($B105,tab_MinKomp[[Stanowisko / Position ]:[Stanowisko / Position ]],0)))</f>
        <v>n/a</v>
      </c>
      <c r="GI106" s="343" t="str">
        <f>IF(INDEX(tab_MinKomp[PODNOŚNIKI / Hebevorrichtung],MATCH($B105,tab_MinKomp[[Stanowisko / Position ]:[Stanowisko / Position ]],0))="n/a","n/a",INDEX(tab_MinKomp[PODNOŚNIKI / Hebevorrichtung],MATCH($B105,tab_MinKomp[[Stanowisko / Position ]:[Stanowisko / Position ]],0)))</f>
        <v>n/a</v>
      </c>
      <c r="GJ106" s="343" t="str">
        <f>IF(INDEX(tab_MinKomp[SUWNICE / Laufkran],MATCH($B105,tab_MinKomp[[Stanowisko / Position ]:[Stanowisko / Position ]],0))="n/a","n/a",INDEX(tab_MinKomp[SUWNICE / Laufkran],MATCH($B105,tab_MinKomp[[Stanowisko / Position ]:[Stanowisko / Position ]],0)))</f>
        <v>n/a</v>
      </c>
      <c r="GK106" s="347" t="str">
        <f>IF(INDEX(tab_MinKomp[WYSOKOŚCIOWE / Höhenberechtigungen],MATCH($B105,tab_MinKomp[[Stanowisko / Position ]:[Stanowisko / Position ]],0))="n/a","n/a",INDEX(tab_MinKomp[WYSOKOŚCIOWE / Höhenberechtigungen],MATCH($B105,tab_MinKomp[[Stanowisko / Position ]:[Stanowisko / Position ]],0)))</f>
        <v>n/a</v>
      </c>
      <c r="GL106" s="320">
        <f>SUM(G106:FP106)/(GL105-(SUM(G106:FP106)))</f>
        <v>-5.7971014492753624E-2</v>
      </c>
    </row>
    <row r="107" spans="1:194" ht="28.35" customHeight="1" x14ac:dyDescent="0.25">
      <c r="A107" s="135" t="s">
        <v>178</v>
      </c>
      <c r="B107" s="135" t="s">
        <v>581</v>
      </c>
      <c r="C107" s="135" t="s">
        <v>229</v>
      </c>
      <c r="D107" s="135">
        <v>969</v>
      </c>
      <c r="E107" s="565" t="s">
        <v>758</v>
      </c>
      <c r="F107" s="307" t="s">
        <v>165</v>
      </c>
      <c r="G107" s="308"/>
      <c r="H107" s="308"/>
      <c r="I107" s="308"/>
      <c r="J107" s="308"/>
      <c r="K107" s="308"/>
      <c r="L107" s="308"/>
      <c r="M107" s="308" t="s">
        <v>176</v>
      </c>
      <c r="N107" s="308" t="s">
        <v>176</v>
      </c>
      <c r="O107" s="308"/>
      <c r="P107" s="308"/>
      <c r="Q107" s="308" t="s">
        <v>176</v>
      </c>
      <c r="R107" s="308" t="s">
        <v>176</v>
      </c>
      <c r="S107" s="308" t="s">
        <v>176</v>
      </c>
      <c r="T107" s="308"/>
      <c r="U107" s="308" t="s">
        <v>176</v>
      </c>
      <c r="V107" s="308" t="s">
        <v>176</v>
      </c>
      <c r="W107" s="308" t="s">
        <v>176</v>
      </c>
      <c r="X107" s="308" t="s">
        <v>176</v>
      </c>
      <c r="Y107" s="308" t="s">
        <v>176</v>
      </c>
      <c r="Z107" s="308" t="s">
        <v>176</v>
      </c>
      <c r="AA107" s="308" t="s">
        <v>176</v>
      </c>
      <c r="AB107" s="308" t="s">
        <v>176</v>
      </c>
      <c r="AC107" s="308" t="s">
        <v>176</v>
      </c>
      <c r="AD107" s="308" t="s">
        <v>176</v>
      </c>
      <c r="AE107" s="308" t="s">
        <v>176</v>
      </c>
      <c r="AF107" s="308" t="s">
        <v>176</v>
      </c>
      <c r="AG107" s="308" t="s">
        <v>176</v>
      </c>
      <c r="AH107" s="308" t="s">
        <v>176</v>
      </c>
      <c r="AI107" s="308" t="s">
        <v>176</v>
      </c>
      <c r="AJ107" s="308" t="s">
        <v>176</v>
      </c>
      <c r="AK107" s="308" t="s">
        <v>176</v>
      </c>
      <c r="AL107" s="308"/>
      <c r="AM107" s="308" t="s">
        <v>176</v>
      </c>
      <c r="AN107" s="308" t="s">
        <v>176</v>
      </c>
      <c r="AO107" s="308"/>
      <c r="AP107" s="308" t="s">
        <v>176</v>
      </c>
      <c r="AQ107" s="308"/>
      <c r="AR107" s="308" t="s">
        <v>176</v>
      </c>
      <c r="AS107" s="308" t="s">
        <v>176</v>
      </c>
      <c r="AT107" s="308" t="s">
        <v>176</v>
      </c>
      <c r="AU107" s="308"/>
      <c r="AV107" s="308"/>
      <c r="AW107" s="308"/>
      <c r="AX107" s="308" t="s">
        <v>176</v>
      </c>
      <c r="AY107" s="308" t="s">
        <v>176</v>
      </c>
      <c r="AZ107" s="308" t="s">
        <v>176</v>
      </c>
      <c r="BA107" s="308"/>
      <c r="BB107" s="308"/>
      <c r="BC107" s="308" t="s">
        <v>176</v>
      </c>
      <c r="BD107" s="308" t="s">
        <v>176</v>
      </c>
      <c r="BE107" s="308" t="s">
        <v>176</v>
      </c>
      <c r="BF107" s="308" t="s">
        <v>176</v>
      </c>
      <c r="BG107" s="308" t="s">
        <v>176</v>
      </c>
      <c r="BH107" s="308" t="s">
        <v>176</v>
      </c>
      <c r="BI107" s="308" t="s">
        <v>176</v>
      </c>
      <c r="BJ107" s="308" t="s">
        <v>176</v>
      </c>
      <c r="BK107" s="308" t="s">
        <v>176</v>
      </c>
      <c r="BL107" s="308" t="s">
        <v>176</v>
      </c>
      <c r="BM107" s="308"/>
      <c r="BN107" s="308" t="s">
        <v>176</v>
      </c>
      <c r="BO107" s="308" t="s">
        <v>176</v>
      </c>
      <c r="BP107" s="308" t="s">
        <v>176</v>
      </c>
      <c r="BQ107" s="308" t="s">
        <v>176</v>
      </c>
      <c r="BR107" s="308" t="s">
        <v>176</v>
      </c>
      <c r="BS107" s="308"/>
      <c r="BT107" s="308" t="s">
        <v>176</v>
      </c>
      <c r="BU107" s="308"/>
      <c r="BV107" s="308"/>
      <c r="BW107" s="308" t="s">
        <v>176</v>
      </c>
      <c r="BX107" s="308" t="s">
        <v>176</v>
      </c>
      <c r="BY107" s="308" t="s">
        <v>176</v>
      </c>
      <c r="BZ107" s="308" t="s">
        <v>176</v>
      </c>
      <c r="CA107" s="308" t="s">
        <v>176</v>
      </c>
      <c r="CB107" s="308" t="s">
        <v>176</v>
      </c>
      <c r="CC107" s="308" t="s">
        <v>176</v>
      </c>
      <c r="CD107" s="308" t="s">
        <v>176</v>
      </c>
      <c r="CE107" s="308" t="s">
        <v>176</v>
      </c>
      <c r="CF107" s="308" t="s">
        <v>176</v>
      </c>
      <c r="CG107" s="308"/>
      <c r="CH107" s="308" t="s">
        <v>176</v>
      </c>
      <c r="CI107" s="308" t="s">
        <v>176</v>
      </c>
      <c r="CJ107" s="308" t="s">
        <v>176</v>
      </c>
      <c r="CK107" s="308" t="s">
        <v>176</v>
      </c>
      <c r="CL107" s="308" t="s">
        <v>176</v>
      </c>
      <c r="CM107" s="308"/>
      <c r="CN107" s="308"/>
      <c r="CO107" s="308"/>
      <c r="CP107" s="308"/>
      <c r="CQ107" s="308" t="s">
        <v>176</v>
      </c>
      <c r="CR107" s="308" t="s">
        <v>176</v>
      </c>
      <c r="CS107" s="308" t="s">
        <v>176</v>
      </c>
      <c r="CT107" s="308" t="s">
        <v>176</v>
      </c>
      <c r="CU107" s="308" t="s">
        <v>176</v>
      </c>
      <c r="CV107" s="308" t="s">
        <v>176</v>
      </c>
      <c r="CW107" s="308" t="s">
        <v>176</v>
      </c>
      <c r="CX107" s="308" t="s">
        <v>176</v>
      </c>
      <c r="CY107" s="308" t="s">
        <v>176</v>
      </c>
      <c r="CZ107" s="308" t="s">
        <v>176</v>
      </c>
      <c r="DA107" s="308" t="s">
        <v>176</v>
      </c>
      <c r="DB107" s="308" t="s">
        <v>176</v>
      </c>
      <c r="DC107" s="308" t="s">
        <v>176</v>
      </c>
      <c r="DD107" s="308" t="s">
        <v>176</v>
      </c>
      <c r="DE107" s="308" t="s">
        <v>176</v>
      </c>
      <c r="DF107" s="308" t="s">
        <v>176</v>
      </c>
      <c r="DG107" s="308" t="s">
        <v>176</v>
      </c>
      <c r="DH107" s="308" t="s">
        <v>176</v>
      </c>
      <c r="DI107" s="308" t="s">
        <v>176</v>
      </c>
      <c r="DJ107" s="308" t="s">
        <v>176</v>
      </c>
      <c r="DK107" s="308" t="s">
        <v>176</v>
      </c>
      <c r="DL107" s="308" t="s">
        <v>176</v>
      </c>
      <c r="DM107" s="308" t="s">
        <v>176</v>
      </c>
      <c r="DN107" s="308" t="s">
        <v>176</v>
      </c>
      <c r="DO107" s="308" t="s">
        <v>176</v>
      </c>
      <c r="DP107" s="308" t="s">
        <v>176</v>
      </c>
      <c r="DQ107" s="308" t="s">
        <v>176</v>
      </c>
      <c r="DR107" s="308" t="s">
        <v>176</v>
      </c>
      <c r="DS107" s="308" t="s">
        <v>176</v>
      </c>
      <c r="DT107" s="308" t="s">
        <v>176</v>
      </c>
      <c r="DU107" s="308" t="s">
        <v>176</v>
      </c>
      <c r="DV107" s="306" t="s">
        <v>176</v>
      </c>
      <c r="DW107" s="306" t="s">
        <v>176</v>
      </c>
      <c r="DX107" s="306" t="s">
        <v>176</v>
      </c>
      <c r="DY107" s="308" t="s">
        <v>176</v>
      </c>
      <c r="DZ107" s="308" t="s">
        <v>176</v>
      </c>
      <c r="EA107" s="308" t="s">
        <v>176</v>
      </c>
      <c r="EB107" s="308" t="s">
        <v>176</v>
      </c>
      <c r="EC107" s="308" t="s">
        <v>176</v>
      </c>
      <c r="ED107" s="308" t="s">
        <v>176</v>
      </c>
      <c r="EE107" s="308" t="s">
        <v>176</v>
      </c>
      <c r="EF107" s="308" t="s">
        <v>176</v>
      </c>
      <c r="EG107" s="308" t="s">
        <v>176</v>
      </c>
      <c r="EH107" s="308" t="s">
        <v>176</v>
      </c>
      <c r="EI107" s="308" t="s">
        <v>176</v>
      </c>
      <c r="EJ107" s="308" t="s">
        <v>176</v>
      </c>
      <c r="EK107" s="308" t="s">
        <v>176</v>
      </c>
      <c r="EL107" s="308" t="s">
        <v>176</v>
      </c>
      <c r="EM107" s="308" t="s">
        <v>176</v>
      </c>
      <c r="EN107" s="308" t="s">
        <v>176</v>
      </c>
      <c r="EO107" s="308" t="s">
        <v>176</v>
      </c>
      <c r="EP107" s="308" t="s">
        <v>176</v>
      </c>
      <c r="EQ107" s="308" t="s">
        <v>176</v>
      </c>
      <c r="ER107" s="308" t="s">
        <v>176</v>
      </c>
      <c r="ES107" s="308" t="s">
        <v>176</v>
      </c>
      <c r="ET107" s="308" t="s">
        <v>176</v>
      </c>
      <c r="EU107" s="308" t="s">
        <v>176</v>
      </c>
      <c r="EV107" s="308" t="s">
        <v>176</v>
      </c>
      <c r="EW107" s="308" t="s">
        <v>176</v>
      </c>
      <c r="EX107" s="308" t="s">
        <v>176</v>
      </c>
      <c r="EY107" s="308"/>
      <c r="EZ107" s="308"/>
      <c r="FA107" s="308"/>
      <c r="FB107" s="308" t="s">
        <v>176</v>
      </c>
      <c r="FC107" s="308" t="s">
        <v>176</v>
      </c>
      <c r="FD107" s="308"/>
      <c r="FE107" s="308"/>
      <c r="FF107" s="308"/>
      <c r="FG107" s="308"/>
      <c r="FH107" s="308"/>
      <c r="FI107" s="308"/>
      <c r="FJ107" s="308"/>
      <c r="FK107" s="308"/>
      <c r="FL107" s="308"/>
      <c r="FM107" s="308"/>
      <c r="FN107" s="308"/>
      <c r="FO107" s="308"/>
      <c r="FP107" s="308"/>
      <c r="FQ107" s="308" t="s">
        <v>176</v>
      </c>
      <c r="FR107" s="308" t="s">
        <v>176</v>
      </c>
      <c r="FS107" s="308" t="s">
        <v>387</v>
      </c>
      <c r="FT107" s="308" t="s">
        <v>176</v>
      </c>
      <c r="FU107" s="308" t="s">
        <v>176</v>
      </c>
      <c r="FV107" s="308" t="s">
        <v>176</v>
      </c>
      <c r="FW107" s="308" t="s">
        <v>176</v>
      </c>
      <c r="FX107" s="308" t="s">
        <v>176</v>
      </c>
      <c r="FY107" s="308" t="s">
        <v>387</v>
      </c>
      <c r="FZ107" s="308" t="s">
        <v>176</v>
      </c>
      <c r="GA107" s="308" t="s">
        <v>176</v>
      </c>
      <c r="GB107" s="308" t="s">
        <v>176</v>
      </c>
      <c r="GC107" s="308" t="s">
        <v>176</v>
      </c>
      <c r="GD107" s="308" t="s">
        <v>387</v>
      </c>
      <c r="GE107" s="308" t="s">
        <v>176</v>
      </c>
      <c r="GF107" s="308" t="s">
        <v>176</v>
      </c>
      <c r="GG107" s="308" t="s">
        <v>387</v>
      </c>
      <c r="GH107" s="308" t="s">
        <v>176</v>
      </c>
      <c r="GI107" s="308" t="s">
        <v>176</v>
      </c>
      <c r="GJ107" s="308" t="s">
        <v>176</v>
      </c>
      <c r="GK107" s="308" t="s">
        <v>176</v>
      </c>
      <c r="GL107" s="311">
        <f>SUM(G107:FP107)</f>
        <v>0</v>
      </c>
    </row>
    <row r="108" spans="1:194" ht="28.35" customHeight="1" thickBot="1" x14ac:dyDescent="0.3">
      <c r="A108" s="138" t="str">
        <f>A107</f>
        <v>Prod.-Q-5</v>
      </c>
      <c r="B108" s="138" t="str">
        <f>B107</f>
        <v>Teamleder zespołu produkcji</v>
      </c>
      <c r="C108" s="138" t="str">
        <f>C107</f>
        <v>KW</v>
      </c>
      <c r="D108" s="138">
        <f>D107</f>
        <v>969</v>
      </c>
      <c r="E108" s="566" t="str">
        <f>E107</f>
        <v>Mariański Piotr</v>
      </c>
      <c r="F108" s="312" t="s">
        <v>166</v>
      </c>
      <c r="G108" s="341">
        <f>IF(INDEX(tab_MinKomp[Przepisy BHP / BHP Vorschriften],MATCH($B107,tab_MinKomp[[Stanowisko / Position ]:[Stanowisko / Position ]],0))="n/a","n/a",G107-INDEX(tab_MinKomp[Przepisy BHP / BHP Vorschriften],MATCH($B107,tab_MinKomp[[Stanowisko / Position ]:[Stanowisko / Position ]],0)))</f>
        <v>-2</v>
      </c>
      <c r="H108" s="342">
        <f>IF(INDEX(tab_MinKomp[Przepisy PPOŻ / Brandschutzbestimmungen],MATCH($B107,tab_MinKomp[[Stanowisko / Position ]:[Stanowisko / Position ]],0))="n/a","n/a",H107-INDEX(tab_MinKomp[Przepisy PPOŻ / Brandschutzbestimmungen],MATCH($B107,tab_MinKomp[[Stanowisko / Position ]:[Stanowisko / Position ]],0)))</f>
        <v>-2</v>
      </c>
      <c r="I108" s="342">
        <f>IF(INDEX(tab_MinKomp[Ryzyko zawodowe na stanowiskach pracyv/ Berufliche Risiken an Arbeitsstellen],MATCH($B107,tab_MinKomp[[Stanowisko / Position ]:[Stanowisko / Position ]],0))="n/a","n/a",I107-INDEX(tab_MinKomp[Ryzyko zawodowe na stanowiskach pracyv/ Berufliche Risiken an Arbeitsstellen],MATCH($B107,tab_MinKomp[[Stanowisko / Position ]:[Stanowisko / Position ]],0)))</f>
        <v>-1</v>
      </c>
      <c r="J108" s="342">
        <f>IF(INDEX(tab_MinKomp[Gospodarka substancjami niebezpiecznymi / Gefahrstoffmanagement],MATCH($B107,tab_MinKomp[[Stanowisko / Position ]:[Stanowisko / Position ]],0))="n/a","n/a",J107-INDEX(tab_MinKomp[Gospodarka substancjami niebezpiecznymi / Gefahrstoffmanagement],MATCH($B107,tab_MinKomp[[Stanowisko / Position ]:[Stanowisko / Position ]],0)))</f>
        <v>-1</v>
      </c>
      <c r="K108" s="342">
        <f>IF(INDEX(tab_MinKomp[Gospodarka odpadami / Abfallwirtschaft],MATCH($B107,tab_MinKomp[[Stanowisko / Position ]:[Stanowisko / Position ]],0))="n/a","n/a",K107-INDEX(tab_MinKomp[Gospodarka odpadami / Abfallwirtschaft],MATCH($B107,tab_MinKomp[[Stanowisko / Position ]:[Stanowisko / Position ]],0)))</f>
        <v>-1</v>
      </c>
      <c r="L108" s="343">
        <f>IF(INDEX(tab_MinKomp[Przepisy kodeksu pracy / Bestimmungen des Arbeitsgesetzes],MATCH($B107,tab_MinKomp[[Stanowisko / Position ]:[Stanowisko / Position ]],0))="n/a","n/a",L107-INDEX(tab_MinKomp[Przepisy kodeksu pracy / Bestimmungen des Arbeitsgesetzes],MATCH($B107,tab_MinKomp[[Stanowisko / Position ]:[Stanowisko / Position ]],0)))</f>
        <v>-1</v>
      </c>
      <c r="M108" s="344" t="str">
        <f>IF(INDEX(tab_MinKomp[Przepisy o ub.społ. ZUS  / Sozialversicherungsvorschriften],MATCH($B107,tab_MinKomp[[Stanowisko / Position ]:[Stanowisko / Position ]],0))="n/a","n/a",M107-INDEX(tab_MinKomp[Przepisy o ub.społ. ZUS  / Sozialversicherungsvorschriften],MATCH($B107,tab_MinKomp[[Stanowisko / Position ]:[Stanowisko / Position ]],0)))</f>
        <v>n/a</v>
      </c>
      <c r="N108" s="343" t="str">
        <f>IF(INDEX(tab_MinKomp[PRZEPISY O PDOF /persönlich Einkommensteuergesetz ],MATCH($B107,tab_MinKomp[[Stanowisko / Position ]:[Stanowisko / Position ]],0))="n/a","n/a",N107-INDEX(tab_MinKomp[PRZEPISY O PDOF /persönlich Einkommensteuergesetz ],MATCH($B107,tab_MinKomp[[Stanowisko / Position ]:[Stanowisko / Position ]],0)))</f>
        <v>n/a</v>
      </c>
      <c r="O108" s="343">
        <f>IF(INDEX(tab_MinKomp[Regulamin pracy / Arbeitsordnung],MATCH($B107,tab_MinKomp[[Stanowisko / Position ]:[Stanowisko / Position ]],0))="n/a","n/a",O107-INDEX(tab_MinKomp[Regulamin pracy / Arbeitsordnung],MATCH($B107,tab_MinKomp[[Stanowisko / Position ]:[Stanowisko / Position ]],0)))</f>
        <v>-1</v>
      </c>
      <c r="P108" s="343">
        <f>IF(INDEX(tab_MinKomp[Regulamin wynagradzania / Vergütungsordnung],MATCH($B107,tab_MinKomp[[Stanowisko / Position ]:[Stanowisko / Position ]],0))="n/a","n/a",P107-INDEX(tab_MinKomp[Regulamin wynagradzania / Vergütungsordnung],MATCH($B107,tab_MinKomp[[Stanowisko / Position ]:[Stanowisko / Position ]],0)))</f>
        <v>-1</v>
      </c>
      <c r="Q108" s="343" t="str">
        <f>IF(INDEX(tab_MinKomp[System R2PŁATNIK PRO: Płace / Lohnabrechnung],MATCH($B107,tab_MinKomp[[Stanowisko / Position ]:[Stanowisko / Position ]],0))="n/a","n/a",Q107-INDEX(tab_MinKomp[System R2PŁATNIK PRO: Płace / Lohnabrechnung],MATCH($B107,tab_MinKomp[[Stanowisko / Position ]:[Stanowisko / Position ]],0)))</f>
        <v>n/a</v>
      </c>
      <c r="R108" s="343" t="str">
        <f>IF(INDEX(tab_MinKomp[SystemR2PŁATNIK PRO: KADRY / Personaldaten],MATCH($B107,tab_MinKomp[[Stanowisko / Position ]:[Stanowisko / Position ]],0))="n/a","n/a",R107-INDEX(tab_MinKomp[SystemR2PŁATNIK PRO: KADRY / Personaldaten],MATCH($B107,tab_MinKomp[[Stanowisko / Position ]:[Stanowisko / Position ]],0)))</f>
        <v>n/a</v>
      </c>
      <c r="S108" s="343" t="str">
        <f>IF(INDEX(tab_MinKomp[SYSTEM R2PŁATNIK PRO: zarządzanie pracownikami / Arbeitsverwaltung],MATCH($B107,tab_MinKomp[[Stanowisko / Position ]:[Stanowisko / Position ]],0))="n/a","n/a",S107-INDEX(tab_MinKomp[SYSTEM R2PŁATNIK PRO: zarządzanie pracownikami / Arbeitsverwaltung],MATCH($B107,tab_MinKomp[[Stanowisko / Position ]:[Stanowisko / Position ]],0)))</f>
        <v>n/a</v>
      </c>
      <c r="T108" s="343">
        <f>IF(INDEX(tab_MinKomp[Doradztwo, wsparcie personalne / Personalberatung und Unterstützung],MATCH($B107,tab_MinKomp[[Stanowisko / Position ]:[Stanowisko / Position ]],0))="n/a","n/a",T107-INDEX(tab_MinKomp[Doradztwo, wsparcie personalne / Personalberatung und Unterstützung],MATCH($B107,tab_MinKomp[[Stanowisko / Position ]:[Stanowisko / Position ]],0)))</f>
        <v>-1</v>
      </c>
      <c r="U108" s="343" t="str">
        <f>IF(INDEX(tab_MinKomp[Przepisy o podatku VAT / MwSt.- Gesetz],MATCH($B107,tab_MinKomp[[Stanowisko / Position ]:[Stanowisko / Position ]],0))="n/a","n/a",U107-INDEX(tab_MinKomp[Przepisy o podatku VAT / MwSt.- Gesetz],MATCH($B107,tab_MinKomp[[Stanowisko / Position ]:[Stanowisko / Position ]],0)))</f>
        <v>n/a</v>
      </c>
      <c r="V108" s="343" t="str">
        <f>IF(INDEX(tab_MinKomp[PrzepisyPDOP / geschäftlich Einkommensteuergesetz],MATCH($B107,tab_MinKomp[[Stanowisko / Position ]:[Stanowisko / Position ]],0))="n/a","n/a",V107-INDEX(tab_MinKomp[PrzepisyPDOP / geschäftlich Einkommensteuergesetz],MATCH($B107,tab_MinKomp[[Stanowisko / Position ]:[Stanowisko / Position ]],0)))</f>
        <v>n/a</v>
      </c>
      <c r="W108" s="343" t="str">
        <f>IF(INDEX(tab_MinKomp[System BAAN / FINANSE (FIBU)],MATCH($B107,tab_MinKomp[[Stanowisko / Position ]:[Stanowisko / Position ]],0))="n/a","n/a",W107-INDEX(tab_MinKomp[System BAAN / FINANSE (FIBU)],MATCH($B107,tab_MinKomp[[Stanowisko / Position ]:[Stanowisko / Position ]],0)))</f>
        <v>n/a</v>
      </c>
      <c r="X108" s="343" t="str">
        <f>IF(INDEX(tab_MinKomp[Systemy pomocnicze / Hilfssysteme(STOCKPROGRAM, KALK2000 etc.)],MATCH($B107,tab_MinKomp[[Stanowisko / Position ]:[Stanowisko / Position ]],0))="n/a","n/a",X107-INDEX(tab_MinKomp[Systemy pomocnicze / Hilfssysteme(STOCKPROGRAM, KALK2000 etc.)],MATCH($B107,tab_MinKomp[[Stanowisko / Position ]:[Stanowisko / Position ]],0)))</f>
        <v>n/a</v>
      </c>
      <c r="Y108" s="343" t="str">
        <f>IF(INDEX(tab_MinKomp[Polityka rachunkowości / Buchführungspolitik],MATCH($B107,tab_MinKomp[[Stanowisko / Position ]:[Stanowisko / Position ]],0))="n/a","n/a",Y107-INDEX(tab_MinKomp[Polityka rachunkowości / Buchführungspolitik],MATCH($B107,tab_MinKomp[[Stanowisko / Position ]:[Stanowisko / Position ]],0)))</f>
        <v>n/a</v>
      </c>
      <c r="Z108" s="343" t="str">
        <f>IF(INDEX(tab_MinKomp[Ustawa o rachunkowości / Rechnungslegungsgesetz],MATCH($B107,tab_MinKomp[[Stanowisko / Position ]:[Stanowisko / Position ]],0))="n/a","n/a",Z107-INDEX(tab_MinKomp[Ustawa o rachunkowości / Rechnungslegungsgesetz],MATCH($B107,tab_MinKomp[[Stanowisko / Position ]:[Stanowisko / Position ]],0)))</f>
        <v>n/a</v>
      </c>
      <c r="AA108" s="343" t="str">
        <f>IF(INDEX(tab_MinKomp[WORKFLOW - TS-100],MATCH($B107,tab_MinKomp[[Stanowisko / Position ]:[Stanowisko / Position ]],0))="n/a","n/a",AA107-INDEX(tab_MinKomp[WORKFLOW - TS-100],MATCH($B107,tab_MinKomp[[Stanowisko / Position ]:[Stanowisko / Position ]],0)))</f>
        <v>n/a</v>
      </c>
      <c r="AB108" s="343" t="str">
        <f>IF(INDEX(tab_MinKomp[WORKFLOW - SFMS],MATCH($B107,tab_MinKomp[[Stanowisko / Position ]:[Stanowisko / Position ]],0))="n/a","n/a",AB107-INDEX(tab_MinKomp[WORKFLOW - SFMS],MATCH($B107,tab_MinKomp[[Stanowisko / Position ]:[Stanowisko / Position ]],0)))</f>
        <v>n/a</v>
      </c>
      <c r="AC108" s="343" t="str">
        <f>IF(INDEX(tab_MinKomp[System ISO 9001:2015],MATCH($B107,tab_MinKomp[[Stanowisko / Position ]:[Stanowisko / Position ]],0))="n/a","n/a",AC107-INDEX(tab_MinKomp[System ISO 9001:2015],MATCH($B107,tab_MinKomp[[Stanowisko / Position ]:[Stanowisko / Position ]],0)))</f>
        <v>n/a</v>
      </c>
      <c r="AD108" s="343" t="str">
        <f>IF(INDEX(tab_MinKomp[System IATF 16949:2016],MATCH($B107,tab_MinKomp[[Stanowisko / Position ]:[Stanowisko / Position ]],0))="n/a","n/a",AD107-INDEX(tab_MinKomp[System IATF 16949:2016],MATCH($B107,tab_MinKomp[[Stanowisko / Position ]:[Stanowisko / Position ]],0)))</f>
        <v>n/a</v>
      </c>
      <c r="AE108" s="343" t="str">
        <f>IF(INDEX(tab_MinKomp[System ISO 14001:2015],MATCH($B107,tab_MinKomp[[Stanowisko / Position ]:[Stanowisko / Position ]],0))="n/a","n/a",AE107-INDEX(tab_MinKomp[System ISO 14001:2015],MATCH($B107,tab_MinKomp[[Stanowisko / Position ]:[Stanowisko / Position ]],0)))</f>
        <v>n/a</v>
      </c>
      <c r="AF108" s="343" t="str">
        <f>IF(INDEX(tab_MinKomp[System PN-N 18001:2004 / ISO 45001:2018],MATCH($B107,tab_MinKomp[[Stanowisko / Position ]:[Stanowisko / Position ]],0))="n/a","n/a",AF107-INDEX(tab_MinKomp[System PN-N 18001:2004 / ISO 45001:2018],MATCH($B107,tab_MinKomp[[Stanowisko / Position ]:[Stanowisko / Position ]],0)))</f>
        <v>n/a</v>
      </c>
      <c r="AG108" s="343" t="str">
        <f>IF(INDEX(tab_MinKomp[Wymagania VDA 6.3 Process / Forderungen],MATCH($B107,tab_MinKomp[[Stanowisko / Position ]:[Stanowisko / Position ]],0))="n/a","n/a",AG107-INDEX(tab_MinKomp[Wymagania VDA 6.3 Process / Forderungen],MATCH($B107,tab_MinKomp[[Stanowisko / Position ]:[Stanowisko / Position ]],0)))</f>
        <v>n/a</v>
      </c>
      <c r="AH108" s="343" t="str">
        <f>IF(INDEX(tab_MinKomp[Wymagania VDA 6.5 Product / Forderungen],MATCH($B107,tab_MinKomp[[Stanowisko / Position ]:[Stanowisko / Position ]],0))="n/a","n/a",AH107-INDEX(tab_MinKomp[Wymagania VDA 6.5 Product / Forderungen],MATCH($B107,tab_MinKomp[[Stanowisko / Position ]:[Stanowisko / Position ]],0)))</f>
        <v>n/a</v>
      </c>
      <c r="AI108" s="343" t="str">
        <f>IF(INDEX(tab_MinKomp[PSCR (VW Product Safety &amp; Conformity Representative)],MATCH($B107,tab_MinKomp[[Stanowisko / Position ]:[Stanowisko / Position ]],0))="n/a","n/a",AI107-INDEX(tab_MinKomp[PSCR (VW Product Safety &amp; Conformity Representative)],MATCH($B107,tab_MinKomp[[Stanowisko / Position ]:[Stanowisko / Position ]],0)))</f>
        <v>n/a</v>
      </c>
      <c r="AJ108" s="343" t="str">
        <f>IF(INDEX(tab_MinKomp[Auditor systemu ISO 17025:2018],MATCH($B107,tab_MinKomp[[Stanowisko / Position ]:[Stanowisko / Position ]],0))="n/a","n/a",AJ107-INDEX(tab_MinKomp[Auditor systemu ISO 17025:2018],MATCH($B107,tab_MinKomp[[Stanowisko / Position ]:[Stanowisko / Position ]],0)))</f>
        <v>n/a</v>
      </c>
      <c r="AK108" s="343" t="str">
        <f>IF(INDEX(tab_MinKomp[Pełnomocnik systemu / Systemvertreter],MATCH($B107,tab_MinKomp[[Stanowisko / Position ]:[Stanowisko / Position ]],0))="n/a","n/a",AK107-INDEX(tab_MinKomp[Pełnomocnik systemu / Systemvertreter],MATCH($B107,tab_MinKomp[[Stanowisko / Position ]:[Stanowisko / Position ]],0)))</f>
        <v>n/a</v>
      </c>
      <c r="AL108" s="343" t="str">
        <f>IF(INDEX(tab_MinKomp[Polityka Etyczna - Compliance],MATCH($B107,tab_MinKomp[[Stanowisko / Position ]:[Stanowisko / Position ]],0))="n/a","n/a",AL107-INDEX(tab_MinKomp[Polityka Etyczna - Compliance],MATCH($B107,tab_MinKomp[[Stanowisko / Position ]:[Stanowisko / Position ]],0)))</f>
        <v>n/a</v>
      </c>
      <c r="AM108" s="343" t="str">
        <f>IF(INDEX(tab_MinKomp[WDRAŻANIE NOWYCH PROJEKTÓW/ PROCEDURA CTM],MATCH($B107,tab_MinKomp[[Stanowisko / Position ]:[Stanowisko / Position ]],0))="n/a","n/a",AM107-INDEX(tab_MinKomp[WDRAŻANIE NOWYCH PROJEKTÓW/ PROCEDURA CTM],MATCH($B107,tab_MinKomp[[Stanowisko / Position ]:[Stanowisko / Position ]],0)))</f>
        <v>n/a</v>
      </c>
      <c r="AN108" s="343" t="str">
        <f>IF(INDEX(tab_MinKomp[KAMIENIE MILOWE MSL/PIFF],MATCH($B107,tab_MinKomp[[Stanowisko / Position ]:[Stanowisko / Position ]],0))="n/a","n/a",AN107-INDEX(tab_MinKomp[KAMIENIE MILOWE MSL/PIFF],MATCH($B107,tab_MinKomp[[Stanowisko / Position ]:[Stanowisko / Position ]],0)))</f>
        <v>n/a</v>
      </c>
      <c r="AO108" s="343">
        <f>IF(INDEX(tab_MinKomp[CP],MATCH($B107,tab_MinKomp[[Stanowisko / Position ]:[Stanowisko / Position ]],0))="n/a","n/a",AO107-INDEX(tab_MinKomp[CP],MATCH($B107,tab_MinKomp[[Stanowisko / Position ]:[Stanowisko / Position ]],0)))</f>
        <v>-2</v>
      </c>
      <c r="AP108" s="343" t="str">
        <f>IF(INDEX(tab_MinKomp[FMEA],MATCH($B107,tab_MinKomp[[Stanowisko / Position ]:[Stanowisko / Position ]],0))="n/a","n/a",AP107-INDEX(tab_MinKomp[FMEA],MATCH($B107,tab_MinKomp[[Stanowisko / Position ]:[Stanowisko / Position ]],0)))</f>
        <v>n/a</v>
      </c>
      <c r="AQ108" s="343">
        <f>IF(INDEX(tab_MinKomp[FLOW CHART],MATCH($B107,tab_MinKomp[[Stanowisko / Position ]:[Stanowisko / Position ]],0))="n/a","n/a",AQ107-INDEX(tab_MinKomp[FLOW CHART],MATCH($B107,tab_MinKomp[[Stanowisko / Position ]:[Stanowisko / Position ]],0)))</f>
        <v>-1</v>
      </c>
      <c r="AR108" s="343" t="str">
        <f>IF(INDEX(tab_MinKomp[APQP],MATCH($B107,tab_MinKomp[[Stanowisko / Position ]:[Stanowisko / Position ]],0))="n/a","n/a",AR107-INDEX(tab_MinKomp[APQP],MATCH($B107,tab_MinKomp[[Stanowisko / Position ]:[Stanowisko / Position ]],0)))</f>
        <v>n/a</v>
      </c>
      <c r="AS108" s="343" t="str">
        <f>IF(INDEX(tab_MinKomp[MSA],MATCH($B107,tab_MinKomp[[Stanowisko / Position ]:[Stanowisko / Position ]],0))="n/a","n/a",AS107-INDEX(tab_MinKomp[MSA],MATCH($B107,tab_MinKomp[[Stanowisko / Position ]:[Stanowisko / Position ]],0)))</f>
        <v>n/a</v>
      </c>
      <c r="AT108" s="343" t="str">
        <f>IF(INDEX(tab_MinKomp[SPC],MATCH($B107,tab_MinKomp[[Stanowisko / Position ]:[Stanowisko / Position ]],0))="n/a","n/a",AT107-INDEX(tab_MinKomp[SPC],MATCH($B107,tab_MinKomp[[Stanowisko / Position ]:[Stanowisko / Position ]],0)))</f>
        <v>n/a</v>
      </c>
      <c r="AU108" s="343">
        <f>IF(INDEX(tab_MinKomp[CSR (SPECYFICZNE WYMAGANIA KLIENTA)],MATCH($B107,tab_MinKomp[[Stanowisko / Position ]:[Stanowisko / Position ]],0))="n/a","n/a",AU107-INDEX(tab_MinKomp[CSR (SPECYFICZNE WYMAGANIA KLIENTA)],MATCH($B107,tab_MinKomp[[Stanowisko / Position ]:[Stanowisko / Position ]],0)))</f>
        <v>-1</v>
      </c>
      <c r="AV108" s="343">
        <f>IF(INDEX(tab_MinKomp[5S],MATCH($B107,tab_MinKomp[[Stanowisko / Position ]:[Stanowisko / Position ]],0))="n/a","n/a",AV107-INDEX(tab_MinKomp[5S],MATCH($B107,tab_MinKomp[[Stanowisko / Position ]:[Stanowisko / Position ]],0)))</f>
        <v>-1</v>
      </c>
      <c r="AW108" s="343">
        <f>IF(INDEX(tab_MinKomp[LEAN MANAGEMENT],MATCH($B107,tab_MinKomp[[Stanowisko / Position ]:[Stanowisko / Position ]],0))="n/a","n/a",AW107-INDEX(tab_MinKomp[LEAN MANAGEMENT],MATCH($B107,tab_MinKomp[[Stanowisko / Position ]:[Stanowisko / Position ]],0)))</f>
        <v>-1</v>
      </c>
      <c r="AX108" s="343" t="str">
        <f>IF(INDEX(tab_MinKomp[5R],MATCH($B107,tab_MinKomp[[Stanowisko / Position ]:[Stanowisko / Position ]],0))="n/a","n/a",AX107-INDEX(tab_MinKomp[5R],MATCH($B107,tab_MinKomp[[Stanowisko / Position ]:[Stanowisko / Position ]],0)))</f>
        <v>n/a</v>
      </c>
      <c r="AY108" s="343" t="str">
        <f>IF(INDEX(tab_MinKomp[Six Sigma],MATCH($B107,tab_MinKomp[[Stanowisko / Position ]:[Stanowisko / Position ]],0))="n/a","n/a",AY107-INDEX(tab_MinKomp[Six Sigma],MATCH($B107,tab_MinKomp[[Stanowisko / Position ]:[Stanowisko / Position ]],0)))</f>
        <v>n/a</v>
      </c>
      <c r="AZ108" s="343" t="str">
        <f>IF(INDEX(tab_MinKomp[System BAAN / Distribution &amp; Supply Chain],MATCH($B107,tab_MinKomp[[Stanowisko / Position ]:[Stanowisko / Position ]],0))="n/a","n/a",AZ107-INDEX(tab_MinKomp[System BAAN / Distribution &amp; Supply Chain],MATCH($B107,tab_MinKomp[[Stanowisko / Position ]:[Stanowisko / Position ]],0)))</f>
        <v>n/a</v>
      </c>
      <c r="BA108" s="343">
        <f>IF(INDEX(tab_MinKomp[Gospodarka magazynowa / Lagerverwaltung],MATCH($B107,tab_MinKomp[[Stanowisko / Position ]:[Stanowisko / Position ]],0))="n/a","n/a",BA107-INDEX(tab_MinKomp[Gospodarka magazynowa / Lagerverwaltung],MATCH($B107,tab_MinKomp[[Stanowisko / Position ]:[Stanowisko / Position ]],0)))</f>
        <v>-1</v>
      </c>
      <c r="BB108" s="343">
        <f>IF(INDEX(tab_MinKomp[Inwentaryzacja - organizacja i przebieg / Inventurprozess],MATCH($B107,tab_MinKomp[[Stanowisko / Position ]:[Stanowisko / Position ]],0))="n/a","n/a",BB107-INDEX(tab_MinKomp[Inwentaryzacja - organizacja i przebieg / Inventurprozess],MATCH($B107,tab_MinKomp[[Stanowisko / Position ]:[Stanowisko / Position ]],0)))</f>
        <v>-1</v>
      </c>
      <c r="BC108" s="343" t="str">
        <f>IF(INDEX(tab_MinKomp[Organizacja dostaw / Versorgungsorganisation],MATCH($B107,tab_MinKomp[[Stanowisko / Position ]:[Stanowisko / Position ]],0))="n/a","n/a",BC107-INDEX(tab_MinKomp[Organizacja dostaw / Versorgungsorganisation],MATCH($B107,tab_MinKomp[[Stanowisko / Position ]:[Stanowisko / Position ]],0)))</f>
        <v>n/a</v>
      </c>
      <c r="BD108" s="343" t="str">
        <f>IF(INDEX(tab_MinKomp[Organizacja wysyłek / Organisation von Lieferungen],MATCH($B107,tab_MinKomp[[Stanowisko / Position ]:[Stanowisko / Position ]],0))="n/a","n/a",BD107-INDEX(tab_MinKomp[Organizacja wysyłek / Organisation von Lieferungen],MATCH($B107,tab_MinKomp[[Stanowisko / Position ]:[Stanowisko / Position ]],0)))</f>
        <v>n/a</v>
      </c>
      <c r="BE108" s="343" t="str">
        <f>IF(INDEX(tab_MinKomp[Analiza magazynowa - Program Polen.mdb / Inventuranalyse],MATCH($B107,tab_MinKomp[[Stanowisko / Position ]:[Stanowisko / Position ]],0))="n/a","n/a",BE107-INDEX(tab_MinKomp[Analiza magazynowa - Program Polen.mdb / Inventuranalyse],MATCH($B107,tab_MinKomp[[Stanowisko / Position ]:[Stanowisko / Position ]],0)))</f>
        <v>n/a</v>
      </c>
      <c r="BF108" s="315" t="str">
        <f>IF(INDEX(tab_MinKomp[MMOG (Materials Management Operations Guidelines)],MATCH($B107,tab_MinKomp[[Stanowisko / Position ]:[Stanowisko / Position ]],0))="n/a","n/a",BF107-INDEX(tab_MinKomp[MMOG (Materials Management Operations Guidelines)],MATCH($B107,tab_MinKomp[[Stanowisko / Position ]:[Stanowisko / Position ]],0)))</f>
        <v>n/a</v>
      </c>
      <c r="BG108" s="315" t="str">
        <f>IF(INDEX(tab_MinKomp[GPP],MATCH($B107,tab_MinKomp[[Stanowisko / Position ]:[Stanowisko / Position ]],0))="n/a","n/a",BG107-INDEX(tab_MinKomp[GPP],MATCH($B107,tab_MinKomp[[Stanowisko / Position ]:[Stanowisko / Position ]],0)))</f>
        <v>n/a</v>
      </c>
      <c r="BH108" s="315" t="str">
        <f>IF(INDEX(tab_MinKomp[AIAG (Automotive Industry Action Group)],MATCH($B107,tab_MinKomp[[Stanowisko / Position ]:[Stanowisko / Position ]],0))="n/a","n/a",BH107-INDEX(tab_MinKomp[AIAG (Automotive Industry Action Group)],MATCH($B107,tab_MinKomp[[Stanowisko / Position ]:[Stanowisko / Position ]],0)))</f>
        <v>n/a</v>
      </c>
      <c r="BI108" s="315" t="str">
        <f>IF(INDEX(tab_MinKomp[Super-G disputes],MATCH($B107,tab_MinKomp[[Stanowisko / Position ]:[Stanowisko / Position ]],0))="n/a","n/a",BI107-INDEX(tab_MinKomp[Super-G disputes],MATCH($B107,tab_MinKomp[[Stanowisko / Position ]:[Stanowisko / Position ]],0)))</f>
        <v>n/a</v>
      </c>
      <c r="BJ108" s="315" t="str">
        <f>IF(INDEX(tab_MinKomp[CMMS3/eDDL (Direct Data Link)],MATCH($B107,tab_MinKomp[[Stanowisko / Position ]:[Stanowisko / Position ]],0))="n/a","n/a",BJ107-INDEX(tab_MinKomp[CMMS3/eDDL (Direct Data Link)],MATCH($B107,tab_MinKomp[[Stanowisko / Position ]:[Stanowisko / Position ]],0)))</f>
        <v>n/a</v>
      </c>
      <c r="BK108" s="315" t="str">
        <f>IF(INDEX(tab_MinKomp[MP&amp;L (Material Planning and Logistics)],MATCH($B107,tab_MinKomp[[Stanowisko / Position ]:[Stanowisko / Position ]],0))="n/a","n/a",BK107-INDEX(tab_MinKomp[MP&amp;L (Material Planning and Logistics)],MATCH($B107,tab_MinKomp[[Stanowisko / Position ]:[Stanowisko / Position ]],0)))</f>
        <v>n/a</v>
      </c>
      <c r="BL108" s="315" t="str">
        <f>IF(INDEX(tab_MinKomp[Supplier delivery rating],MATCH($B107,tab_MinKomp[[Stanowisko / Position ]:[Stanowisko / Position ]],0))="n/a","n/a",BL107-INDEX(tab_MinKomp[Supplier delivery rating],MATCH($B107,tab_MinKomp[[Stanowisko / Position ]:[Stanowisko / Position ]],0)))</f>
        <v>n/a</v>
      </c>
      <c r="BM108" s="343">
        <f>IF(INDEX(tab_MinKomp[Planowanie produkcji / Produktionsplanung],MATCH($B107,tab_MinKomp[[Stanowisko / Position ]:[Stanowisko / Position ]],0))="n/a","n/a",BM107-INDEX(tab_MinKomp[Planowanie produkcji / Produktionsplanung],MATCH($B107,tab_MinKomp[[Stanowisko / Position ]:[Stanowisko / Position ]],0)))</f>
        <v>-3</v>
      </c>
      <c r="BN108" s="343" t="str">
        <f>IF(INDEX(tab_MinKomp[Obsługa maszyn Engel / Engel Maschinenbedienung],MATCH($B107,tab_MinKomp[[Stanowisko / Position ]:[Stanowisko / Position ]],0))="n/a","n/a",BN107-INDEX(tab_MinKomp[Obsługa maszyn Engel / Engel Maschinenbedienung],MATCH($B107,tab_MinKomp[[Stanowisko / Position ]:[Stanowisko / Position ]],0)))</f>
        <v>n/a</v>
      </c>
      <c r="BO108" s="343" t="str">
        <f>IF(INDEX(tab_MinKomp[Obsługa maszyn KVT / KVT Maschinenbedienung],MATCH($B107,tab_MinKomp[[Stanowisko / Position ]:[Stanowisko / Position ]],0))="n/a","n/a",BO107-INDEX(tab_MinKomp[Obsługa maszyn KVT / KVT Maschinenbedienung],MATCH($B107,tab_MinKomp[[Stanowisko / Position ]:[Stanowisko / Position ]],0)))</f>
        <v>n/a</v>
      </c>
      <c r="BP108" s="343" t="str">
        <f>IF(INDEX(tab_MinKomp[Obsługa maszyn KVT / KVT Maschinenbedienung],MATCH($B107,tab_MinKomp[[Stanowisko / Position ]:[Stanowisko / Position ]],0))="n/a","n/a",BP107-INDEX(tab_MinKomp[Obsługa maszyn KVT / KVT Maschinenbedienung],MATCH($B107,tab_MinKomp[[Stanowisko / Position ]:[Stanowisko / Position ]],0)))</f>
        <v>n/a</v>
      </c>
      <c r="BQ108" s="343" t="str">
        <f>IF(INDEX(tab_MinKomp[Obsługa maszyn ASL / ASL Maschinenbedienung],MATCH($B107,tab_MinKomp[[Stanowisko / Position ]:[Stanowisko / Position ]],0))="n/a","n/a",BQ107-INDEX(tab_MinKomp[Obsługa maszyn ASL / ASL Maschinenbedienung],MATCH($B107,tab_MinKomp[[Stanowisko / Position ]:[Stanowisko / Position ]],0)))</f>
        <v>n/a</v>
      </c>
      <c r="BR108" s="343" t="str">
        <f>IF(INDEX(tab_MinKomp[Obsługa maszyn Branson / Branson Maschinenbedienung],MATCH($B107,tab_MinKomp[[Stanowisko / Position ]:[Stanowisko / Position ]],0))="n/a","n/a",BR107-INDEX(tab_MinKomp[Obsługa maszyn Branson / Branson Maschinenbedienung],MATCH($B107,tab_MinKomp[[Stanowisko / Position ]:[Stanowisko / Position ]],0)))</f>
        <v>n/a</v>
      </c>
      <c r="BS108" s="343">
        <f>IF(INDEX(tab_MinKomp[Obsługa maszyn Novapax / Novapax Maschinenbedienung],MATCH($B107,tab_MinKomp[[Stanowisko / Position ]:[Stanowisko / Position ]],0))="n/a","n/a",BS107-INDEX(tab_MinKomp[Obsługa maszyn Novapax / Novapax Maschinenbedienung],MATCH($B107,tab_MinKomp[[Stanowisko / Position ]:[Stanowisko / Position ]],0)))</f>
        <v>-3</v>
      </c>
      <c r="BT108" s="343" t="str">
        <f>IF(INDEX(tab_MinKomp[Obsługa maszyn Piovan / Piovan Maschinenbedienung],MATCH($B107,tab_MinKomp[[Stanowisko / Position ]:[Stanowisko / Position ]],0))="n/a","n/a",BT107-INDEX(tab_MinKomp[Obsługa maszyn Piovan / Piovan Maschinenbedienung],MATCH($B107,tab_MinKomp[[Stanowisko / Position ]:[Stanowisko / Position ]],0)))</f>
        <v>n/a</v>
      </c>
      <c r="BU108" s="343">
        <f>IF(INDEX(tab_MinKomp[Obsługa maszyn Novapax / Novapax Maschinenbedienung],MATCH($B107,tab_MinKomp[[Stanowisko / Position ]:[Stanowisko / Position ]],0))="n/a","n/a",BU107-INDEX(tab_MinKomp[Obsługa maszyn Novapax / Novapax Maschinenbedienung],MATCH($B107,tab_MinKomp[[Stanowisko / Position ]:[Stanowisko / Position ]],0)))</f>
        <v>-3</v>
      </c>
      <c r="BV108" s="343">
        <f>IF(INDEX(tab_MinKomp[Eliminacja awarii / Beseitigung von Ausfällen],MATCH($B107,tab_MinKomp[[Stanowisko / Position ]:[Stanowisko / Position ]],0))="n/a","n/a",BV107-INDEX(tab_MinKomp[Eliminacja awarii / Beseitigung von Ausfällen],MATCH($B107,tab_MinKomp[[Stanowisko / Position ]:[Stanowisko / Position ]],0)))</f>
        <v>-3</v>
      </c>
      <c r="BW108" s="343" t="str">
        <f>IF(INDEX(tab_MinKomp[Informatyka ogólna (techniczne i systemowe) / Allgemeine IT (Technik und System)],MATCH($B107,tab_MinKomp[[Stanowisko / Position ]:[Stanowisko / Position ]],0))="n/a","n/a",BW107-INDEX(tab_MinKomp[Informatyka ogólna (techniczne i systemowe) / Allgemeine IT (Technik und System)],MATCH($B107,tab_MinKomp[[Stanowisko / Position ]:[Stanowisko / Position ]],0)))</f>
        <v>n/a</v>
      </c>
      <c r="BX108" s="343" t="str">
        <f>IF(INDEX(tab_MinKomp[Sieci komputerowe / Computernetzwerke],MATCH($B107,tab_MinKomp[[Stanowisko / Position ]:[Stanowisko / Position ]],0))="n/a","n/a",BX107-INDEX(tab_MinKomp[Sieci komputerowe / Computernetzwerke],MATCH($B107,tab_MinKomp[[Stanowisko / Position ]:[Stanowisko / Position ]],0)))</f>
        <v>n/a</v>
      </c>
      <c r="BY108" s="343" t="str">
        <f>IF(INDEX(tab_MinKomp[Hardware (komputery PC, drukarki biurowe i etykietowe, telefonia stacjonarna i mobilna) (PC, Drucker, Telefpne, Handys)],MATCH($B107,tab_MinKomp[[Stanowisko / Position ]:[Stanowisko / Position ]],0))="n/a","n/a",BY107-INDEX(tab_MinKomp[Hardware (komputery PC, drukarki biurowe i etykietowe, telefonia stacjonarna i mobilna) (PC, Drucker, Telefpne, Handys)],MATCH($B107,tab_MinKomp[[Stanowisko / Position ]:[Stanowisko / Position ]],0)))</f>
        <v>n/a</v>
      </c>
      <c r="BZ108" s="343" t="str">
        <f>IF(INDEX(tab_MinKomp[Software &amp; Systems (MS Office, MS Remote Desktop)],MATCH($B107,tab_MinKomp[[Stanowisko / Position ]:[Stanowisko / Position ]],0))="n/a","n/a",BZ107-INDEX(tab_MinKomp[Software &amp; Systems (MS Office, MS Remote Desktop)],MATCH($B107,tab_MinKomp[[Stanowisko / Position ]:[Stanowisko / Position ]],0)))</f>
        <v>n/a</v>
      </c>
      <c r="CA108" s="343" t="str">
        <f>IF(INDEX(tab_MinKomp[Programowanie obiektowe (PHP) / Objektprogrammierung],MATCH($B107,tab_MinKomp[[Stanowisko / Position ]:[Stanowisko / Position ]],0))="n/a","n/a",CA107-INDEX(tab_MinKomp[Programowanie obiektowe (PHP) / Objektprogrammierung],MATCH($B107,tab_MinKomp[[Stanowisko / Position ]:[Stanowisko / Position ]],0)))</f>
        <v>n/a</v>
      </c>
      <c r="CB108" s="343" t="str">
        <f>IF(INDEX(tab_MinKomp[Scrum],MATCH($B107,tab_MinKomp[[Stanowisko / Position ]:[Stanowisko / Position ]],0))="n/a","n/a",CB107-INDEX(tab_MinKomp[Scrum],MATCH($B107,tab_MinKomp[[Stanowisko / Position ]:[Stanowisko / Position ]],0)))</f>
        <v>n/a</v>
      </c>
      <c r="CC108" s="343" t="str">
        <f>IF(INDEX(tab_MinKomp[SQL (MySQL)],MATCH($B107,tab_MinKomp[[Stanowisko / Position ]:[Stanowisko / Position ]],0))="n/a","n/a",CC107-INDEX(tab_MinKomp[SQL (MySQL)],MATCH($B107,tab_MinKomp[[Stanowisko / Position ]:[Stanowisko / Position ]],0)))</f>
        <v>n/a</v>
      </c>
      <c r="CD108" s="343" t="str">
        <f>IF(INDEX(tab_MinKomp[Javascript],MATCH($B107,tab_MinKomp[[Stanowisko / Position ]:[Stanowisko / Position ]],0))="n/a","n/a",CD107-INDEX(tab_MinKomp[Javascript],MATCH($B107,tab_MinKomp[[Stanowisko / Position ]:[Stanowisko / Position ]],0)))</f>
        <v>n/a</v>
      </c>
      <c r="CE108" s="343" t="str">
        <f>IF(INDEX(tab_MinKomp[Joomla],MATCH($B107,tab_MinKomp[[Stanowisko / Position ]:[Stanowisko / Position ]],0))="n/a","n/a",CE107-INDEX(tab_MinKomp[Joomla],MATCH($B107,tab_MinKomp[[Stanowisko / Position ]:[Stanowisko / Position ]],0)))</f>
        <v>n/a</v>
      </c>
      <c r="CF108" s="343" t="str">
        <f>IF(INDEX(tab_MinKomp[Bash],MATCH($B107,tab_MinKomp[[Stanowisko / Position ]:[Stanowisko / Position ]],0))="n/a","n/a",CF107-INDEX(tab_MinKomp[Bash],MATCH($B107,tab_MinKomp[[Stanowisko / Position ]:[Stanowisko / Position ]],0)))</f>
        <v>n/a</v>
      </c>
      <c r="CG108" s="343">
        <f>IF(INDEX(tab_MinKomp[Systemy MES (HYDRA / SFMS)],MATCH($B107,tab_MinKomp[[Stanowisko / Position ]:[Stanowisko / Position ]],0))="n/a","n/a",CG107-INDEX(tab_MinKomp[Systemy MES (HYDRA / SFMS)],MATCH($B107,tab_MinKomp[[Stanowisko / Position ]:[Stanowisko / Position ]],0)))</f>
        <v>-2</v>
      </c>
      <c r="CH108" s="343" t="str">
        <f>IF(INDEX(tab_MinKomp[HTML / CSS],MATCH($B107,tab_MinKomp[[Stanowisko / Position ]:[Stanowisko / Position ]],0))="n/a","n/a",CH107-INDEX(tab_MinKomp[HTML / CSS],MATCH($B107,tab_MinKomp[[Stanowisko / Position ]:[Stanowisko / Position ]],0)))</f>
        <v>n/a</v>
      </c>
      <c r="CI108" s="343" t="str">
        <f>IF(INDEX(tab_MinKomp[SYSTEM PR],MATCH($B107,tab_MinKomp[[Stanowisko / Position ]:[Stanowisko / Position ]],0))="n/a","n/a",CI107-INDEX(tab_MinKomp[SYSTEM PR],MATCH($B107,tab_MinKomp[[Stanowisko / Position ]:[Stanowisko / Position ]],0)))</f>
        <v>n/a</v>
      </c>
      <c r="CJ108" s="343" t="str">
        <f>IF(INDEX(tab_MinKomp[System Einkauf XP / EBA],MATCH($B107,tab_MinKomp[[Stanowisko / Position ]:[Stanowisko / Position ]],0))="n/a","n/a",CJ107-INDEX(tab_MinKomp[System Einkauf XP / EBA],MATCH($B107,tab_MinKomp[[Stanowisko / Position ]:[Stanowisko / Position ]],0)))</f>
        <v>n/a</v>
      </c>
      <c r="CK108" s="343" t="str">
        <f>IF(INDEX(tab_MinKomp[Techniki negocjacyjne / Verhandlungstechniken],MATCH($B107,tab_MinKomp[[Stanowisko / Position ]:[Stanowisko / Position ]],0))="n/a","n/a",CK107-INDEX(tab_MinKomp[Techniki negocjacyjne / Verhandlungstechniken],MATCH($B107,tab_MinKomp[[Stanowisko / Position ]:[Stanowisko / Position ]],0)))</f>
        <v>n/a</v>
      </c>
      <c r="CL108" s="343" t="str">
        <f>IF(INDEX(tab_MinKomp[Znajomość rynku branżowego / Kenntnis des Industrie Marktes],MATCH($B107,tab_MinKomp[[Stanowisko / Position ]:[Stanowisko / Position ]],0))="n/a","n/a",CL107-INDEX(tab_MinKomp[Znajomość rynku branżowego / Kenntnis des Industrie Marktes],MATCH($B107,tab_MinKomp[[Stanowisko / Position ]:[Stanowisko / Position ]],0)))</f>
        <v>n/a</v>
      </c>
      <c r="CM108" s="343">
        <f>IF(INDEX(tab_MinKomp[RAPORTY 8D / 8D Berichten],MATCH($B107,tab_MinKomp[[Stanowisko / Position ]:[Stanowisko / Position ]],0))="n/a","n/a",CM107-INDEX(tab_MinKomp[RAPORTY 8D / 8D Berichten],MATCH($B107,tab_MinKomp[[Stanowisko / Position ]:[Stanowisko / Position ]],0)))</f>
        <v>-1</v>
      </c>
      <c r="CN108" s="343">
        <f>IF(INDEX(tab_MinKomp[NARZĘDZIA JAKOŚCIOWE (5WHY, Ishikawa, etc) / QS-Werkzeuge],MATCH($B107,tab_MinKomp[[Stanowisko / Position ]:[Stanowisko / Position ]],0))="n/a","n/a",CN107-INDEX(tab_MinKomp[NARZĘDZIA JAKOŚCIOWE (5WHY, Ishikawa, etc) / QS-Werkzeuge],MATCH($B107,tab_MinKomp[[Stanowisko / Position ]:[Stanowisko / Position ]],0)))</f>
        <v>-1</v>
      </c>
      <c r="CO108" s="343">
        <f>IF(INDEX(tab_MinKomp[PDCA],MATCH($B107,tab_MinKomp[[Stanowisko / Position ]:[Stanowisko / Position ]],0))="n/a","n/a",CO107-INDEX(tab_MinKomp[PDCA],MATCH($B107,tab_MinKomp[[Stanowisko / Position ]:[Stanowisko / Position ]],0)))</f>
        <v>-1</v>
      </c>
      <c r="CP108" s="343">
        <f>IF(INDEX(tab_MinKomp[Pareto],MATCH($B107,tab_MinKomp[[Stanowisko / Position ]:[Stanowisko / Position ]],0))="n/a","n/a",CP107-INDEX(tab_MinKomp[Pareto],MATCH($B107,tab_MinKomp[[Stanowisko / Position ]:[Stanowisko / Position ]],0)))</f>
        <v>-2</v>
      </c>
      <c r="CQ108" s="343" t="str">
        <f>IF(INDEX(tab_MinKomp[PPAP/PSW],MATCH($B107,tab_MinKomp[[Stanowisko / Position ]:[Stanowisko / Position ]],0))="n/a","n/a",CQ107-INDEX(tab_MinKomp[PPAP/PSW],MATCH($B107,tab_MinKomp[[Stanowisko / Position ]:[Stanowisko / Position ]],0)))</f>
        <v>n/a</v>
      </c>
      <c r="CR108" s="343" t="str">
        <f>IF(INDEX(tab_MinKomp[SUPPLIER MANAGEMENT],MATCH($B107,tab_MinKomp[[Stanowisko / Position ]:[Stanowisko / Position ]],0))="n/a","n/a",CR107-INDEX(tab_MinKomp[SUPPLIER MANAGEMENT],MATCH($B107,tab_MinKomp[[Stanowisko / Position ]:[Stanowisko / Position ]],0)))</f>
        <v>n/a</v>
      </c>
      <c r="CS108" s="343" t="str">
        <f>IF(INDEX(tab_MinKomp[OBSŁUGA PORTALI KLIENTA / Kundenportale],MATCH($B107,tab_MinKomp[[Stanowisko / Position ]:[Stanowisko / Position ]],0))="n/a","n/a",CS107-INDEX(tab_MinKomp[OBSŁUGA PORTALI KLIENTA / Kundenportale],MATCH($B107,tab_MinKomp[[Stanowisko / Position ]:[Stanowisko / Position ]],0)))</f>
        <v>n/a</v>
      </c>
      <c r="CT108" s="343" t="str">
        <f>IF(INDEX(tab_MinKomp[Obsługa systemu BABTECQ / BABTECQ System],MATCH($B107,tab_MinKomp[[Stanowisko / Position ]:[Stanowisko / Position ]],0))="n/a","n/a",CT107-INDEX(tab_MinKomp[Obsługa systemu BABTECQ / BABTECQ System],MATCH($B107,tab_MinKomp[[Stanowisko / Position ]:[Stanowisko / Position ]],0)))</f>
        <v>n/a</v>
      </c>
      <c r="CU108" s="343" t="str">
        <f>IF(INDEX(tab_MinKomp[Rysunek techniczny / technische Zeichnung],MATCH($B107,tab_MinKomp[[Stanowisko / Position ]:[Stanowisko / Position ]],0))="n/a","n/a",CU107-INDEX(tab_MinKomp[Rysunek techniczny / technische Zeichnung],MATCH($B107,tab_MinKomp[[Stanowisko / Position ]:[Stanowisko / Position ]],0)))</f>
        <v>n/a</v>
      </c>
      <c r="CV108" s="343" t="str">
        <f>IF(INDEX(tab_MinKomp[Kalibracja / Kalibrierung],MATCH($B107,tab_MinKomp[[Stanowisko / Position ]:[Stanowisko / Position ]],0))="n/a","n/a",CV107-INDEX(tab_MinKomp[Kalibracja / Kalibrierung],MATCH($B107,tab_MinKomp[[Stanowisko / Position ]:[Stanowisko / Position ]],0)))</f>
        <v>n/a</v>
      </c>
      <c r="CW108" s="343" t="str">
        <f>IF(INDEX(tab_MinKomp[Rekwalifikacja / Requalifizierung],MATCH($B107,tab_MinKomp[[Stanowisko / Position ]:[Stanowisko / Position ]],0))="n/a","n/a",CW107-INDEX(tab_MinKomp[Rekwalifikacja / Requalifizierung],MATCH($B107,tab_MinKomp[[Stanowisko / Position ]:[Stanowisko / Position ]],0)))</f>
        <v>n/a</v>
      </c>
      <c r="CX108" s="315" t="str">
        <f>IF(INDEX(tab_MinKomp[CMM - Contura Zeiss],MATCH($B107,tab_MinKomp[[Stanowisko / Position ]:[Stanowisko / Position ]],0))="n/a","n/a",CX107-INDEX(tab_MinKomp[CMM - Contura Zeiss],MATCH($B107,tab_MinKomp[[Stanowisko / Position ]:[Stanowisko / Position ]],0)))</f>
        <v>n/a</v>
      </c>
      <c r="CY108" s="315" t="str">
        <f>IF(INDEX(tab_MinKomp[CMM - Contura Zeiss],MATCH($B107,tab_MinKomp[[Stanowisko / Position ]:[Stanowisko / Position ]],0))="n/a","n/a",CY107-INDEX(tab_MinKomp[CMM - Contura Zeiss],MATCH($B107,tab_MinKomp[[Stanowisko / Position ]:[Stanowisko / Position ]],0)))</f>
        <v>n/a</v>
      </c>
      <c r="CZ108" s="315" t="str">
        <f>IF(INDEX(tab_MinKomp[CMM - Contura Zeiss],MATCH($B107,tab_MinKomp[[Stanowisko / Position ]:[Stanowisko / Position ]],0))="n/a","n/a",CZ107-INDEX(tab_MinKomp[CMM - Contura Zeiss],MATCH($B107,tab_MinKomp[[Stanowisko / Position ]:[Stanowisko / Position ]],0)))</f>
        <v>n/a</v>
      </c>
      <c r="DA108" s="315" t="str">
        <f>IF(INDEX(tab_MinKomp[CMM - Contura Zeiss],MATCH($B107,tab_MinKomp[[Stanowisko / Position ]:[Stanowisko / Position ]],0))="n/a","n/a",DA107-INDEX(tab_MinKomp[CMM - Contura Zeiss],MATCH($B107,tab_MinKomp[[Stanowisko / Position ]:[Stanowisko / Position ]],0)))</f>
        <v>n/a</v>
      </c>
      <c r="DB108" s="315" t="str">
        <f>IF(INDEX(tab_MinKomp[CMM - Contura Zeiss],MATCH($B107,tab_MinKomp[[Stanowisko / Position ]:[Stanowisko / Position ]],0))="n/a","n/a",DB107-INDEX(tab_MinKomp[CMM - Contura Zeiss],MATCH($B107,tab_MinKomp[[Stanowisko / Position ]:[Stanowisko / Position ]],0)))</f>
        <v>n/a</v>
      </c>
      <c r="DC108" s="315" t="str">
        <f>IF(INDEX(tab_MinKomp[CMM - Contura Zeiss],MATCH($B107,tab_MinKomp[[Stanowisko / Position ]:[Stanowisko / Position ]],0))="n/a","n/a",DC107-INDEX(tab_MinKomp[CMM - Contura Zeiss],MATCH($B107,tab_MinKomp[[Stanowisko / Position ]:[Stanowisko / Position ]],0)))</f>
        <v>n/a</v>
      </c>
      <c r="DD108" s="315" t="str">
        <f>IF(INDEX(tab_MinKomp[Pisanie programów / Programme schreiben],MATCH($B107,tab_MinKomp[[Stanowisko / Position ]:[Stanowisko / Position ]],0))="n/a","n/a",DD107-INDEX(tab_MinKomp[Pisanie programów / Programme schreiben],MATCH($B107,tab_MinKomp[[Stanowisko / Position ]:[Stanowisko / Position ]],0)))</f>
        <v>n/a</v>
      </c>
      <c r="DE108" s="315" t="str">
        <f>IF(INDEX(tab_MinKomp[CMM - Contura Zeiss],MATCH($B107,tab_MinKomp[[Stanowisko / Position ]:[Stanowisko / Position ]],0))="n/a","n/a",DE107-INDEX(tab_MinKomp[CMM - Contura Zeiss],MATCH($B107,tab_MinKomp[[Stanowisko / Position ]:[Stanowisko / Position ]],0)))</f>
        <v>n/a</v>
      </c>
      <c r="DF108" s="315" t="str">
        <f>IF(INDEX(tab_MinKomp[CMM - Contura Zeiss],MATCH($B107,tab_MinKomp[[Stanowisko / Position ]:[Stanowisko / Position ]],0))="n/a","n/a",DF107-INDEX(tab_MinKomp[CMM - Contura Zeiss],MATCH($B107,tab_MinKomp[[Stanowisko / Position ]:[Stanowisko / Position ]],0)))</f>
        <v>n/a</v>
      </c>
      <c r="DG108" s="315" t="str">
        <f>IF(INDEX(tab_MinKomp[CMM - Contura Zeiss],MATCH($B107,tab_MinKomp[[Stanowisko / Position ]:[Stanowisko / Position ]],0))="n/a","n/a",DG107-INDEX(tab_MinKomp[CMM - Contura Zeiss],MATCH($B107,tab_MinKomp[[Stanowisko / Position ]:[Stanowisko / Position ]],0)))</f>
        <v>n/a</v>
      </c>
      <c r="DH108" s="315" t="str">
        <f>IF(INDEX(tab_MinKomp[CMM - Contura Zeiss],MATCH($B107,tab_MinKomp[[Stanowisko / Position ]:[Stanowisko / Position ]],0))="n/a","n/a",DH107-INDEX(tab_MinKomp[CMM - Contura Zeiss],MATCH($B107,tab_MinKomp[[Stanowisko / Position ]:[Stanowisko / Position ]],0)))</f>
        <v>n/a</v>
      </c>
      <c r="DI108" s="315" t="str">
        <f>IF(INDEX(tab_MinKomp[CMM - Contura Zeiss],MATCH($B107,tab_MinKomp[[Stanowisko / Position ]:[Stanowisko / Position ]],0))="n/a","n/a",DI107-INDEX(tab_MinKomp[CMM - Contura Zeiss],MATCH($B107,tab_MinKomp[[Stanowisko / Position ]:[Stanowisko / Position ]],0)))</f>
        <v>n/a</v>
      </c>
      <c r="DJ108" s="315" t="str">
        <f>IF(INDEX(tab_MinKomp[CMM - Contura Zeiss],MATCH($B107,tab_MinKomp[[Stanowisko / Position ]:[Stanowisko / Position ]],0))="n/a","n/a",DJ107-INDEX(tab_MinKomp[CMM - Contura Zeiss],MATCH($B107,tab_MinKomp[[Stanowisko / Position ]:[Stanowisko / Position ]],0)))</f>
        <v>n/a</v>
      </c>
      <c r="DK108" s="315" t="str">
        <f>IF(INDEX(tab_MinKomp[Pisanie programów / Programme schreiben],MATCH($B107,tab_MinKomp[[Stanowisko / Position ]:[Stanowisko / Position ]],0))="n/a","n/a",DK107-INDEX(tab_MinKomp[Pisanie programów / Programme schreiben],MATCH($B107,tab_MinKomp[[Stanowisko / Position ]:[Stanowisko / Position ]],0)))</f>
        <v>n/a</v>
      </c>
      <c r="DL108" s="315" t="str">
        <f>IF(INDEX(tab_MinKomp[CMM - Contura Zeiss],MATCH($B107,tab_MinKomp[[Stanowisko / Position ]:[Stanowisko / Position ]],0))="n/a","n/a",DL107-INDEX(tab_MinKomp[CMM - Contura Zeiss],MATCH($B107,tab_MinKomp[[Stanowisko / Position ]:[Stanowisko / Position ]],0)))</f>
        <v>n/a</v>
      </c>
      <c r="DM108" s="315" t="str">
        <f>IF(INDEX(tab_MinKomp[CMM - Contura Zeiss],MATCH($B107,tab_MinKomp[[Stanowisko / Position ]:[Stanowisko / Position ]],0))="n/a","n/a",DM107-INDEX(tab_MinKomp[CMM - Contura Zeiss],MATCH($B107,tab_MinKomp[[Stanowisko / Position ]:[Stanowisko / Position ]],0)))</f>
        <v>n/a</v>
      </c>
      <c r="DN108" s="315" t="str">
        <f>IF(INDEX(tab_MinKomp[CMM - Contura Zeiss],MATCH($B107,tab_MinKomp[[Stanowisko / Position ]:[Stanowisko / Position ]],0))="n/a","n/a",DN107-INDEX(tab_MinKomp[CMM - Contura Zeiss],MATCH($B107,tab_MinKomp[[Stanowisko / Position ]:[Stanowisko / Position ]],0)))</f>
        <v>n/a</v>
      </c>
      <c r="DO108" s="315" t="str">
        <f>IF(INDEX(tab_MinKomp[CMM - Contura Zeiss],MATCH($B107,tab_MinKomp[[Stanowisko / Position ]:[Stanowisko / Position ]],0))="n/a","n/a",DO107-INDEX(tab_MinKomp[CMM - Contura Zeiss],MATCH($B107,tab_MinKomp[[Stanowisko / Position ]:[Stanowisko / Position ]],0)))</f>
        <v>n/a</v>
      </c>
      <c r="DP108" s="315" t="str">
        <f>IF(INDEX(tab_MinKomp[CMM - Contura Zeiss],MATCH($B107,tab_MinKomp[[Stanowisko / Position ]:[Stanowisko / Position ]],0))="n/a","n/a",DP107-INDEX(tab_MinKomp[CMM - Contura Zeiss],MATCH($B107,tab_MinKomp[[Stanowisko / Position ]:[Stanowisko / Position ]],0)))</f>
        <v>n/a</v>
      </c>
      <c r="DQ108" s="315" t="str">
        <f>IF(INDEX(tab_MinKomp[CMM - Contura Zeiss],MATCH($B107,tab_MinKomp[[Stanowisko / Position ]:[Stanowisko / Position ]],0))="n/a","n/a",DQ107-INDEX(tab_MinKomp[CMM - Contura Zeiss],MATCH($B107,tab_MinKomp[[Stanowisko / Position ]:[Stanowisko / Position ]],0)))</f>
        <v>n/a</v>
      </c>
      <c r="DR108" s="315" t="str">
        <f>IF(INDEX(tab_MinKomp[Pisanie programów / Programme schreiben],MATCH($B107,tab_MinKomp[[Stanowisko / Position ]:[Stanowisko / Position ]],0))="n/a","n/a",DR107-INDEX(tab_MinKomp[Pisanie programów / Programme schreiben],MATCH($B107,tab_MinKomp[[Stanowisko / Position ]:[Stanowisko / Position ]],0)))</f>
        <v>n/a</v>
      </c>
      <c r="DS108" s="315" t="str">
        <f>IF(INDEX(tab_MinKomp[CMM - Contura Zeiss],MATCH($B107,tab_MinKomp[[Stanowisko / Position ]:[Stanowisko / Position ]],0))="n/a","n/a",DS107-INDEX(tab_MinKomp[CMM - Contura Zeiss],MATCH($B107,tab_MinKomp[[Stanowisko / Position ]:[Stanowisko / Position ]],0)))</f>
        <v>n/a</v>
      </c>
      <c r="DT108" s="315" t="str">
        <f>IF(INDEX(tab_MinKomp[CMM - Contura Zeiss],MATCH($B107,tab_MinKomp[[Stanowisko / Position ]:[Stanowisko / Position ]],0))="n/a","n/a",DT107-INDEX(tab_MinKomp[CMM - Contura Zeiss],MATCH($B107,tab_MinKomp[[Stanowisko / Position ]:[Stanowisko / Position ]],0)))</f>
        <v>n/a</v>
      </c>
      <c r="DU108" s="315" t="str">
        <f>IF(INDEX(tab_MinKomp[CMM - Contura Zeiss],MATCH($B107,tab_MinKomp[[Stanowisko / Position ]:[Stanowisko / Position ]],0))="n/a","n/a",DU107-INDEX(tab_MinKomp[CMM - Contura Zeiss],MATCH($B107,tab_MinKomp[[Stanowisko / Position ]:[Stanowisko / Position ]],0)))</f>
        <v>n/a</v>
      </c>
      <c r="DV108" s="315" t="str">
        <f>IF(INDEX(tab_MinKomp[CMM - Contura Zeiss],MATCH($B107,tab_MinKomp[[Stanowisko / Position ]:[Stanowisko / Position ]],0))="n/a","n/a",DV107-INDEX(tab_MinKomp[CMM - Contura Zeiss],MATCH($B107,tab_MinKomp[[Stanowisko / Position ]:[Stanowisko / Position ]],0)))</f>
        <v>n/a</v>
      </c>
      <c r="DW108" s="315" t="str">
        <f>IF(INDEX(tab_MinKomp[CMM - Contura Zeiss],MATCH($B107,tab_MinKomp[[Stanowisko / Position ]:[Stanowisko / Position ]],0))="n/a","n/a",DW107-INDEX(tab_MinKomp[CMM - Contura Zeiss],MATCH($B107,tab_MinKomp[[Stanowisko / Position ]:[Stanowisko / Position ]],0)))</f>
        <v>n/a</v>
      </c>
      <c r="DX108" s="315" t="str">
        <f>IF(INDEX(tab_MinKomp[CMM - Contura Zeiss],MATCH($B107,tab_MinKomp[[Stanowisko / Position ]:[Stanowisko / Position ]],0))="n/a","n/a",DX107-INDEX(tab_MinKomp[CMM - Contura Zeiss],MATCH($B107,tab_MinKomp[[Stanowisko / Position ]:[Stanowisko / Position ]],0)))</f>
        <v>n/a</v>
      </c>
      <c r="DY108" s="343" t="str">
        <f>IF(INDEX(tab_MinKomp[Konserwacja Rep],MATCH($B107,tab_MinKomp[[Stanowisko / Position ]:[Stanowisko / Position ]],0))="n/a","n/a",DY107-INDEX(tab_MinKomp[Konserwacja Rep],MATCH($B107,tab_MinKomp[[Stanowisko / Position ]:[Stanowisko / Position ]],0)))</f>
        <v>n/a</v>
      </c>
      <c r="DZ108" s="343" t="str">
        <f>IF(INDEX(tab_MinKomp[[Konserwacja Engel ]],MATCH($B107,tab_MinKomp[[Stanowisko / Position ]:[Stanowisko / Position ]],0))="n/a","n/a",DZ107-INDEX(tab_MinKomp[[Konserwacja Engel ]],MATCH($B107,tab_MinKomp[[Stanowisko / Position ]:[Stanowisko / Position ]],0)))</f>
        <v>n/a</v>
      </c>
      <c r="EA108" s="343" t="str">
        <f>IF(INDEX(tab_MinKomp[Konserwacja B 50],MATCH($B107,tab_MinKomp[[Stanowisko / Position ]:[Stanowisko / Position ]],0))="n/a","n/a",EA107-INDEX(tab_MinKomp[Konserwacja B 50],MATCH($B107,tab_MinKomp[[Stanowisko / Position ]:[Stanowisko / Position ]],0)))</f>
        <v>n/a</v>
      </c>
      <c r="EB108" s="343" t="str">
        <f>IF(INDEX(tab_MinKomp[[Konserwacja EOL ]],MATCH($B107,tab_MinKomp[[Stanowisko / Position ]:[Stanowisko / Position ]],0))="n/a","n/a",EB107-INDEX(tab_MinKomp[[Konserwacja EOL ]],MATCH($B107,tab_MinKomp[[Stanowisko / Position ]:[Stanowisko / Position ]],0)))</f>
        <v>n/a</v>
      </c>
      <c r="EC108" s="343" t="str">
        <f>IF(INDEX(tab_MinKomp[Konserwacja Branson],MATCH($B107,tab_MinKomp[[Stanowisko / Position ]:[Stanowisko / Position ]],0))="n/a","n/a",EC107-INDEX(tab_MinKomp[Konserwacja Branson],MATCH($B107,tab_MinKomp[[Stanowisko / Position ]:[Stanowisko / Position ]],0)))</f>
        <v>n/a</v>
      </c>
      <c r="ED108" s="343" t="str">
        <f>IF(INDEX(tab_MinKomp[Konserwacja coolery],MATCH($B107,tab_MinKomp[[Stanowisko / Position ]:[Stanowisko / Position ]],0))="n/a","n/a",ED107-INDEX(tab_MinKomp[Konserwacja coolery],MATCH($B107,tab_MinKomp[[Stanowisko / Position ]:[Stanowisko / Position ]],0)))</f>
        <v>n/a</v>
      </c>
      <c r="EE108" s="343" t="str">
        <f>IF(INDEX(tab_MinKomp[Konserwacja piecy],MATCH($B107,tab_MinKomp[[Stanowisko / Position ]:[Stanowisko / Position ]],0))="n/a","n/a",EE107-INDEX(tab_MinKomp[Konserwacja piecy],MATCH($B107,tab_MinKomp[[Stanowisko / Position ]:[Stanowisko / Position ]],0)))</f>
        <v>n/a</v>
      </c>
      <c r="EF108" s="343" t="str">
        <f>IF(INDEX(tab_MinKomp[Rysunek techniczny- czytanie],MATCH($B107,tab_MinKomp[[Stanowisko / Position ]:[Stanowisko / Position ]],0))="n/a","n/a",EF107-INDEX(tab_MinKomp[Rysunek techniczny- czytanie],MATCH($B107,tab_MinKomp[[Stanowisko / Position ]:[Stanowisko / Position ]],0)))</f>
        <v>n/a</v>
      </c>
      <c r="EG108" s="343" t="str">
        <f>IF(INDEX(tab_MinKomp[Elektryka],MATCH($B107,tab_MinKomp[[Stanowisko / Position ]:[Stanowisko / Position ]],0))="n/a","n/a",EG107-INDEX(tab_MinKomp[Elektryka],MATCH($B107,tab_MinKomp[[Stanowisko / Position ]:[Stanowisko / Position ]],0)))</f>
        <v>n/a</v>
      </c>
      <c r="EH108" s="343" t="str">
        <f>IF(INDEX(tab_MinKomp[Pneumatyka],MATCH($B107,tab_MinKomp[[Stanowisko / Position ]:[Stanowisko / Position ]],0))="n/a","n/a",EH107-INDEX(tab_MinKomp[Pneumatyka],MATCH($B107,tab_MinKomp[[Stanowisko / Position ]:[Stanowisko / Position ]],0)))</f>
        <v>n/a</v>
      </c>
      <c r="EI108" s="343" t="str">
        <f>IF(INDEX(tab_MinKomp[[Hydraulika ]],MATCH($B107,tab_MinKomp[[Stanowisko / Position ]:[Stanowisko / Position ]],0))="n/a","n/a",EI107-INDEX(tab_MinKomp[[Hydraulika ]],MATCH($B107,tab_MinKomp[[Stanowisko / Position ]:[Stanowisko / Position ]],0)))</f>
        <v>n/a</v>
      </c>
      <c r="EJ108" s="343" t="str">
        <f>IF(INDEX(tab_MinKomp[Podciśnienie],MATCH($B107,tab_MinKomp[[Stanowisko / Position ]:[Stanowisko / Position ]],0))="n/a","n/a",EJ107-INDEX(tab_MinKomp[Podciśnienie],MATCH($B107,tab_MinKomp[[Stanowisko / Position ]:[Stanowisko / Position ]],0)))</f>
        <v>n/a</v>
      </c>
      <c r="EK108" s="343" t="str">
        <f>IF(INDEX(tab_MinKomp[Usuwanie awarii],MATCH($B107,tab_MinKomp[[Stanowisko / Position ]:[Stanowisko / Position ]],0))="n/a","n/a",EK107-INDEX(tab_MinKomp[Usuwanie awarii],MATCH($B107,tab_MinKomp[[Stanowisko / Position ]:[Stanowisko / Position ]],0)))</f>
        <v>n/a</v>
      </c>
      <c r="EL108" s="343" t="str">
        <f>IF(INDEX(tab_MinKomp[Obsługa robotów],MATCH($B107,tab_MinKomp[[Stanowisko / Position ]:[Stanowisko / Position ]],0))="n/a","n/a",EL107-INDEX(tab_MinKomp[Obsługa robotów],MATCH($B107,tab_MinKomp[[Stanowisko / Position ]:[Stanowisko / Position ]],0)))</f>
        <v>n/a</v>
      </c>
      <c r="EM108" s="343" t="str">
        <f>IF(INDEX(tab_MinKomp[Obsługa sterowania maszyny],MATCH($B107,tab_MinKomp[[Stanowisko / Position ]:[Stanowisko / Position ]],0))="n/a","n/a",EM107-INDEX(tab_MinKomp[Obsługa sterowania maszyny],MATCH($B107,tab_MinKomp[[Stanowisko / Position ]:[Stanowisko / Position ]],0)))</f>
        <v>n/a</v>
      </c>
      <c r="EN108" s="343" t="str">
        <f>IF(INDEX(tab_MinKomp[Usuwanie przyczyn żródłowych],MATCH($B107,tab_MinKomp[[Stanowisko / Position ]:[Stanowisko / Position ]],0))="n/a","n/a",EN107-INDEX(tab_MinKomp[Usuwanie przyczyn żródłowych],MATCH($B107,tab_MinKomp[[Stanowisko / Position ]:[Stanowisko / Position ]],0)))</f>
        <v>n/a</v>
      </c>
      <c r="EO108" s="343" t="str">
        <f>IF(INDEX(tab_MinKomp[Cmms stosowanie],MATCH($B107,tab_MinKomp[[Stanowisko / Position ]:[Stanowisko / Position ]],0))="n/a","n/a",EO107-INDEX(tab_MinKomp[Cmms stosowanie],MATCH($B107,tab_MinKomp[[Stanowisko / Position ]:[Stanowisko / Position ]],0)))</f>
        <v>n/a</v>
      </c>
      <c r="EP108" s="343" t="str">
        <f>IF(INDEX(tab_MinKomp[[Czyszczenie form gumowych ]],MATCH($B107,tab_MinKomp[[Stanowisko / Position ]:[Stanowisko / Position ]],0))="n/a","n/a",EP107-INDEX(tab_MinKomp[[Czyszczenie form gumowych ]],MATCH($B107,tab_MinKomp[[Stanowisko / Position ]:[Stanowisko / Position ]],0)))</f>
        <v>n/a</v>
      </c>
      <c r="EQ108" s="343" t="str">
        <f>IF(INDEX(tab_MinKomp[Czyszczenie form plastikowych],MATCH($B107,tab_MinKomp[[Stanowisko / Position ]:[Stanowisko / Position ]],0))="n/a","n/a",EQ107-INDEX(tab_MinKomp[Czyszczenie form plastikowych],MATCH($B107,tab_MinKomp[[Stanowisko / Position ]:[Stanowisko / Position ]],0)))</f>
        <v>n/a</v>
      </c>
      <c r="ER108" s="343" t="str">
        <f>IF(INDEX(tab_MinKomp[Wymiana form plastik],MATCH($B107,tab_MinKomp[[Stanowisko / Position ]:[Stanowisko / Position ]],0))="n/a","n/a",ER107-INDEX(tab_MinKomp[Wymiana form plastik],MATCH($B107,tab_MinKomp[[Stanowisko / Position ]:[Stanowisko / Position ]],0)))</f>
        <v>n/a</v>
      </c>
      <c r="ES108" s="343" t="str">
        <f>IF(INDEX(tab_MinKomp[Wymiana form guma],MATCH($B107,tab_MinKomp[[Stanowisko / Position ]:[Stanowisko / Position ]],0))="n/a","n/a",ES107-INDEX(tab_MinKomp[Wymiana form guma],MATCH($B107,tab_MinKomp[[Stanowisko / Position ]:[Stanowisko / Position ]],0)))</f>
        <v>n/a</v>
      </c>
      <c r="ET108" s="343" t="str">
        <f>IF(INDEX(tab_MinKomp[Konserwacja KK],MATCH($B107,tab_MinKomp[[Stanowisko / Position ]:[Stanowisko / Position ]],0))="n/a","n/a",ET107-INDEX(tab_MinKomp[Konserwacja KK],MATCH($B107,tab_MinKomp[[Stanowisko / Position ]:[Stanowisko / Position ]],0)))</f>
        <v>n/a</v>
      </c>
      <c r="EU108" s="343" t="str">
        <f>IF(INDEX(tab_MinKomp[Konserwacja form guma],MATCH($B107,tab_MinKomp[[Stanowisko / Position ]:[Stanowisko / Position ]],0))="n/a","n/a",EU107-INDEX(tab_MinKomp[Konserwacja form guma],MATCH($B107,tab_MinKomp[[Stanowisko / Position ]:[Stanowisko / Position ]],0)))</f>
        <v>n/a</v>
      </c>
      <c r="EV108" s="343" t="str">
        <f>IF(INDEX(tab_MinKomp[Konserwacja form plastiki],MATCH($B107,tab_MinKomp[[Stanowisko / Position ]:[Stanowisko / Position ]],0))="n/a","n/a",EV107-INDEX(tab_MinKomp[Konserwacja form plastiki],MATCH($B107,tab_MinKomp[[Stanowisko / Position ]:[Stanowisko / Position ]],0)))</f>
        <v>n/a</v>
      </c>
      <c r="EW108" s="330" t="str">
        <f>IF(INDEX(tab_MinKomp[Konserwacja form plastiki],MATCH($B107,tab_MinKomp[[Stanowisko / Position ]:[Stanowisko / Position ]],0))="n/a","n/a",EW107-INDEX(tab_MinKomp[Konserwacja form plastiki],MATCH($B107,tab_MinKomp[[Stanowisko / Position ]:[Stanowisko / Position ]],0)))</f>
        <v>n/a</v>
      </c>
      <c r="EX108" s="343" t="str">
        <f>IF(INDEX(tab_MinKomp[Konserwacja Gorącego Kanału],MATCH($B107,tab_MinKomp[[Stanowisko / Position ]:[Stanowisko / Position ]],0))="n/a","n/a",EX107-INDEX(tab_MinKomp[Konserwacja Gorącego Kanału],MATCH($B107,tab_MinKomp[[Stanowisko / Position ]:[Stanowisko / Position ]],0)))</f>
        <v>n/a</v>
      </c>
      <c r="EY108" s="343">
        <f>IF(INDEX(tab_MinKomp[MS Office (Excel)],MATCH($B107,tab_MinKomp[[Stanowisko / Position ]:[Stanowisko / Position ]],0))="n/a","n/a",EY107-INDEX(tab_MinKomp[MS Office (Excel)],MATCH($B107,tab_MinKomp[[Stanowisko / Position ]:[Stanowisko / Position ]],0)))</f>
        <v>-1</v>
      </c>
      <c r="EZ108" s="343">
        <f>IF(INDEX(tab_MinKomp[MS Office (Word)],MATCH($B107,tab_MinKomp[[Stanowisko / Position ]:[Stanowisko / Position ]],0))="n/a","n/a",EZ107-INDEX(tab_MinKomp[MS Office (Word)],MATCH($B107,tab_MinKomp[[Stanowisko / Position ]:[Stanowisko / Position ]],0)))</f>
        <v>-1</v>
      </c>
      <c r="FA108" s="343">
        <f>IF(INDEX(tab_MinKomp[MS Office (Power Point)],MATCH($B107,tab_MinKomp[[Stanowisko / Position ]:[Stanowisko / Position ]],0))="n/a","n/a",FA107-INDEX(tab_MinKomp[MS Office (Power Point)],MATCH($B107,tab_MinKomp[[Stanowisko / Position ]:[Stanowisko / Position ]],0)))</f>
        <v>-1</v>
      </c>
      <c r="FB108" s="343" t="str">
        <f>IF(INDEX(tab_MinKomp[Język angielski / Englisch],MATCH($B107,tab_MinKomp[[Stanowisko / Position ]:[Stanowisko / Position ]],0))="n/a","n/a",FB107-INDEX(tab_MinKomp[Język angielski / Englisch],MATCH($B107,tab_MinKomp[[Stanowisko / Position ]:[Stanowisko / Position ]],0)))</f>
        <v>n/a</v>
      </c>
      <c r="FC108" s="343" t="str">
        <f>IF(INDEX(tab_MinKomp[Język niemiecki / Deutsch],MATCH($B107,tab_MinKomp[[Stanowisko / Position ]:[Stanowisko / Position ]],0))="n/a","n/a",FC107-INDEX(tab_MinKomp[Język niemiecki / Deutsch],MATCH($B107,tab_MinKomp[[Stanowisko / Position ]:[Stanowisko / Position ]],0)))</f>
        <v>n/a</v>
      </c>
      <c r="FD108" s="343">
        <f>IF(INDEX(tab_MinKomp[Zarządzanie dokumentacją procesową / Process dokumentation management],MATCH($B107,tab_MinKomp[[Stanowisko / Position ]:[Stanowisko / Position ]],0))="n/a","n/a",FD107-INDEX(tab_MinKomp[Zarządzanie dokumentacją procesową / Process dokumentation management],MATCH($B107,tab_MinKomp[[Stanowisko / Position ]:[Stanowisko / Position ]],0)))</f>
        <v>-2</v>
      </c>
      <c r="FE108" s="343">
        <f>IF(INDEX(tab_MinKomp[Znajomość procesów z obszaru / Kenntiss der prozesse in dem Bereich],MATCH($B107,tab_MinKomp[[Stanowisko / Position ]:[Stanowisko / Position ]],0))="n/a","n/a",FE107-INDEX(tab_MinKomp[Znajomość procesów z obszaru / Kenntiss der prozesse in dem Bereich],MATCH($B107,tab_MinKomp[[Stanowisko / Position ]:[Stanowisko / Position ]],0)))</f>
        <v>-2</v>
      </c>
      <c r="FF108" s="343">
        <f>IF(INDEX(tab_MinKomp[optymalizacja procesów / Prozessoptymalisierung],MATCH($B107,tab_MinKomp[[Stanowisko / Position ]:[Stanowisko / Position ]],0))="n/a","n/a",FF107-INDEX(tab_MinKomp[optymalizacja procesów / Prozessoptymalisierung],MATCH($B107,tab_MinKomp[[Stanowisko / Position ]:[Stanowisko / Position ]],0)))</f>
        <v>-2</v>
      </c>
      <c r="FG108" s="343">
        <f>IF(INDEX(tab_MinKomp[Umiejętności szkoleniowe / Trainingsfähigkeiten],MATCH($B107,tab_MinKomp[[Stanowisko / Position ]:[Stanowisko / Position ]],0))="n/a","n/a",FG107-INDEX(tab_MinKomp[Umiejętności szkoleniowe / Trainingsfähigkeiten],MATCH($B107,tab_MinKomp[[Stanowisko / Position ]:[Stanowisko / Position ]],0)))</f>
        <v>-2</v>
      </c>
      <c r="FH108" s="343">
        <f>IF(INDEX(tab_MinKomp[Analityczne myślenie, podejście / Analitysches Denken, Einstellung],MATCH($B107,tab_MinKomp[[Stanowisko / Position ]:[Stanowisko / Position ]],0))="n/a","n/a",FH107-INDEX(tab_MinKomp[Analityczne myślenie, podejście / Analitysches Denken, Einstellung],MATCH($B107,tab_MinKomp[[Stanowisko / Position ]:[Stanowisko / Position ]],0)))</f>
        <v>-2</v>
      </c>
      <c r="FI108" s="343">
        <f>IF(INDEX(tab_MinKomp[Dokładność, precyzja w dzialaniu / Genauigkeit, Präzision in die Arbeit],MATCH($B107,tab_MinKomp[[Stanowisko / Position ]:[Stanowisko / Position ]],0))="n/a","n/a",FI107-INDEX(tab_MinKomp[Dokładność, precyzja w dzialaniu / Genauigkeit, Präzision in die Arbeit],MATCH($B107,tab_MinKomp[[Stanowisko / Position ]:[Stanowisko / Position ]],0)))</f>
        <v>-2</v>
      </c>
      <c r="FJ108" s="343">
        <f>IF(INDEX(tab_MinKomp[Dyspozycyjność / Verfügbarkeit],MATCH($B107,tab_MinKomp[[Stanowisko / Position ]:[Stanowisko / Position ]],0))="n/a","n/a",FJ107-INDEX(tab_MinKomp[Dyspozycyjność / Verfügbarkeit],MATCH($B107,tab_MinKomp[[Stanowisko / Position ]:[Stanowisko / Position ]],0)))</f>
        <v>-2</v>
      </c>
      <c r="FK108" s="343">
        <f>IF(INDEX(tab_MinKomp[Zaangażowanie / 
Engagement],MATCH($B107,tab_MinKomp[[Stanowisko / Position ]:[Stanowisko / Position ]],0))="n/a","n/a",FK107-INDEX(tab_MinKomp[Zaangażowanie / 
Engagement],MATCH($B107,tab_MinKomp[[Stanowisko / Position ]:[Stanowisko / Position ]],0)))</f>
        <v>-2</v>
      </c>
      <c r="FL108" s="343">
        <f>IF(INDEX(tab_MinKomp[Planowanie strategiczne / Strategische Planung],MATCH($B107,tab_MinKomp[[Stanowisko / Position ]:[Stanowisko / Position ]],0))="n/a","n/a",FL107-INDEX(tab_MinKomp[Planowanie strategiczne / Strategische Planung],MATCH($B107,tab_MinKomp[[Stanowisko / Position ]:[Stanowisko / Position ]],0)))</f>
        <v>-2</v>
      </c>
      <c r="FM108" s="343">
        <f>IF(INDEX(tab_MinKomp[Konsekwentne i dynamiczne działanie],MATCH($B107,tab_MinKomp[[Stanowisko / Position ]:[Stanowisko / Position ]],0))="n/a","n/a",FM107-INDEX(tab_MinKomp[Konsekwentne i dynamiczne działanie],MATCH($B107,tab_MinKomp[[Stanowisko / Position ]:[Stanowisko / Position ]],0)))</f>
        <v>-2</v>
      </c>
      <c r="FN108" s="343">
        <f>IF(INDEX(tab_MinKomp[Elastyczność w działaniu],MATCH($B107,tab_MinKomp[[Stanowisko / Position ]:[Stanowisko / Position ]],0))="n/a","n/a",FN107-INDEX(tab_MinKomp[Elastyczność w działaniu],MATCH($B107,tab_MinKomp[[Stanowisko / Position ]:[Stanowisko / Position ]],0)))</f>
        <v>-2</v>
      </c>
      <c r="FO108" s="343">
        <f>IF(INDEX(tab_MinKomp[Komunikatywność],MATCH($B107,tab_MinKomp[[Stanowisko / Position ]:[Stanowisko / Position ]],0))="n/a","n/a",FO107-INDEX(tab_MinKomp[Komunikatywność],MATCH($B107,tab_MinKomp[[Stanowisko / Position ]:[Stanowisko / Position ]],0)))</f>
        <v>-2</v>
      </c>
      <c r="FP108" s="342">
        <f>IF(INDEX(tab_MinKomp[Motywowanie i budowanie zaangażowania zespołu],MATCH($B107,tab_MinKomp[[Stanowisko / Position ]:[Stanowisko / Position ]],0))="n/a","n/a",FP107-INDEX(tab_MinKomp[Motywowanie i budowanie zaangażowania zespołu],MATCH($B107,tab_MinKomp[[Stanowisko / Position ]:[Stanowisko / Position ]],0)))</f>
        <v>-2</v>
      </c>
      <c r="FQ108" s="346" t="str">
        <f>IFERROR(IF(INDEX(tab_MinKomp[BRAK / Keine],MATCH($B107,tab_MinKomp[[Stanowisko / Position ]:[Stanowisko / Position ]],0))="n/a","n/a",INDEX(tab_MinKomp[BRAK / Keine],MATCH($B107,tab_MinKomp[[Stanowisko / Position ]:[Stanowisko / Position ]],0))-FQ107),"")</f>
        <v>n/a</v>
      </c>
      <c r="FR108" s="343" t="str">
        <f>IF(INDEX(tab_MinKomp[MINIMUM 1 ROK / min. 1 Jahr],MATCH($B107,tab_MinKomp[[Stanowisko / Position ]:[Stanowisko / Position ]],0))="n/a","n/a",INDEX(tab_MinKomp[MINIMUM 1 ROK / min. 1 Jahr],MATCH($B107,tab_MinKomp[[Stanowisko / Position ]:[Stanowisko / Position ]],0)))</f>
        <v>x</v>
      </c>
      <c r="FS108" s="343" t="str">
        <f>IF(INDEX(tab_MinKomp[MINIMUM 2 LATA / min. 2 Jahre],MATCH($B107,tab_MinKomp[[Stanowisko / Position ]:[Stanowisko / Position ]],0))="n/a","n/a",INDEX(tab_MinKomp[MINIMUM 2 LATA / min. 2 Jahre],MATCH($B107,tab_MinKomp[[Stanowisko / Position ]:[Stanowisko / Position ]],0)))</f>
        <v>n/a</v>
      </c>
      <c r="FT108" s="343" t="str">
        <f>IF(INDEX(tab_MinKomp[MINIMUM 3 LATA / min. 3 Jahre],MATCH($B107,tab_MinKomp[[Stanowisko / Position ]:[Stanowisko / Position ]],0))="n/a","n/a",INDEX(tab_MinKomp[MINIMUM 3 LATA / min. 3 Jahre],MATCH($B107,tab_MinKomp[[Stanowisko / Position ]:[Stanowisko / Position ]],0)))</f>
        <v>n/a</v>
      </c>
      <c r="FU108" s="343" t="str">
        <f>IF(INDEX(tab_MinKomp[MINIMUM 4 LATA / min. 4 Jahre],MATCH($B107,tab_MinKomp[[Stanowisko / Position ]:[Stanowisko / Position ]],0))="n/a","n/a",INDEX(tab_MinKomp[MINIMUM 4 LATA / min. 4 Jahre],MATCH($B107,tab_MinKomp[[Stanowisko / Position ]:[Stanowisko / Position ]],0)))</f>
        <v>n/a</v>
      </c>
      <c r="FV108" s="347" t="str">
        <f>IF(INDEX(tab_MinKomp[MINIMUM 5 LAT / min. 5 Jahre],MATCH($B107,tab_MinKomp[[Stanowisko / Position ]:[Stanowisko / Position ]],0))="n/a","n/a",INDEX(tab_MinKomp[MINIMUM 5 LAT / min. 5 Jahre],MATCH($B107,tab_MinKomp[[Stanowisko / Position ]:[Stanowisko / Position ]],0)))</f>
        <v>n/a</v>
      </c>
      <c r="FW108" s="346" t="str">
        <f>IF(INDEX(tab_MinKomp[BRAK / Keine9],MATCH($B107,tab_MinKomp[[Stanowisko / Position ]:[Stanowisko / Position ]],0))="n/a","n/a",INDEX(tab_MinKomp[BRAK / Keine9],MATCH($B107,tab_MinKomp[[Stanowisko / Position ]:[Stanowisko / Position ]],0)))</f>
        <v>n/a</v>
      </c>
      <c r="FX108" s="343" t="str">
        <f>IF(INDEX(tab_MinKomp[ZAWODOWE / Berufsausbildung],MATCH($B107,tab_MinKomp[[Stanowisko / Position ]:[Stanowisko / Position ]],0))="n/a","n/a",INDEX(tab_MinKomp[ZAWODOWE / Berufsausbildung],MATCH($B107,tab_MinKomp[[Stanowisko / Position ]:[Stanowisko / Position ]],0)))</f>
        <v>x</v>
      </c>
      <c r="FY108" s="343" t="str">
        <f>IF(INDEX(tab_MinKomp[ŚREDNIE OGÓLNE / Abitur allgemeine],MATCH($B107,tab_MinKomp[[Stanowisko / Position ]:[Stanowisko / Position ]],0))="n/a","n/a",INDEX(tab_MinKomp[ŚREDNIE OGÓLNE / Abitur allgemeine],MATCH($B107,tab_MinKomp[[Stanowisko / Position ]:[Stanowisko / Position ]],0)))</f>
        <v>n/a</v>
      </c>
      <c r="FZ108" s="343" t="str">
        <f>IF(INDEX(tab_MinKomp[ŚREDNIE KIERUNKOWE / berufliches Gymnasium],MATCH($B107,tab_MinKomp[[Stanowisko / Position ]:[Stanowisko / Position ]],0))="n/a","n/a",INDEX(tab_MinKomp[ŚREDNIE KIERUNKOWE / berufliches Gymnasium],MATCH($B107,tab_MinKomp[[Stanowisko / Position ]:[Stanowisko / Position ]],0)))</f>
        <v>n/a</v>
      </c>
      <c r="GA108" s="343" t="str">
        <f>IF(INDEX(tab_MinKomp[WYŻSZE OGÓLNE / Hochschule allgemeine],MATCH($B107,tab_MinKomp[[Stanowisko / Position ]:[Stanowisko / Position ]],0))="n/a","n/a",INDEX(tab_MinKomp[WYŻSZE OGÓLNE / Hochschule allgemeine],MATCH($B107,tab_MinKomp[[Stanowisko / Position ]:[Stanowisko / Position ]],0)))</f>
        <v>n/a</v>
      </c>
      <c r="GB108" s="347" t="str">
        <f>IF(INDEX(tab_MinKomp[WYŻSZE KIERUNKOWE / Hochschule berufliche],MATCH($B107,tab_MinKomp[[Stanowisko / Position ]:[Stanowisko / Position ]],0))="n/a","n/a",INDEX(tab_MinKomp[WYŻSZE KIERUNKOWE / Hochschule berufliche],MATCH($B107,tab_MinKomp[[Stanowisko / Position ]:[Stanowisko / Position ]],0)))</f>
        <v>n/a</v>
      </c>
      <c r="GC108" s="346" t="str">
        <f>IF(INDEX(tab_MinKomp[PIERWSZA POMOC / Erste Hilfe],MATCH($B107,tab_MinKomp[[Stanowisko / Position ]:[Stanowisko / Position ]],0))="n/a","n/a",INDEX(tab_MinKomp[PIERWSZA POMOC / Erste Hilfe],MATCH($B107,tab_MinKomp[[Stanowisko / Position ]:[Stanowisko / Position ]],0)))</f>
        <v>x</v>
      </c>
      <c r="GD108" s="343" t="str">
        <f>IF(INDEX(tab_MinKomp[Specjalista BHP / BHP Spezialist],MATCH($B107,tab_MinKomp[[Stanowisko / Position ]:[Stanowisko / Position ]],0))="n/a","n/a",INDEX(tab_MinKomp[Specjalista BHP / BHP Spezialist],MATCH($B107,tab_MinKomp[[Stanowisko / Position ]:[Stanowisko / Position ]],0)))</f>
        <v>n/a</v>
      </c>
      <c r="GE108" s="343" t="str">
        <f>IF(INDEX(tab_MinKomp[Inspektor ochrony PPOŻ / Brandschutzinspektor],MATCH($B107,tab_MinKomp[[Stanowisko / Position ]:[Stanowisko / Position ]],0))="n/a","n/a",INDEX(tab_MinKomp[Inspektor ochrony PPOŻ / Brandschutzinspektor],MATCH($B107,tab_MinKomp[[Stanowisko / Position ]:[Stanowisko / Position ]],0)))</f>
        <v>n/a</v>
      </c>
      <c r="GF108" s="343" t="str">
        <f>IF(INDEX(tab_MinKomp[WÓZKI JEZDNIOWE / Gebelstapler],MATCH($B107,tab_MinKomp[[Stanowisko / Position ]:[Stanowisko / Position ]],0))="n/a","n/a",INDEX(tab_MinKomp[WÓZKI JEZDNIOWE / Gebelstapler],MATCH($B107,tab_MinKomp[[Stanowisko / Position ]:[Stanowisko / Position ]],0)))</f>
        <v>x</v>
      </c>
      <c r="GG108" s="343" t="str">
        <f>IF(INDEX(tab_MinKomp[SEP],MATCH($B107,tab_MinKomp[[Stanowisko / Position ]:[Stanowisko / Position ]],0))="n/a","n/a",INDEX(tab_MinKomp[SEP],MATCH($B107,tab_MinKomp[[Stanowisko / Position ]:[Stanowisko / Position ]],0)))</f>
        <v>n/a</v>
      </c>
      <c r="GH108" s="343" t="str">
        <f>IF(INDEX(tab_MinKomp[SEP  DOZÓR / SEP Aufsicht],MATCH($B107,tab_MinKomp[[Stanowisko / Position ]:[Stanowisko / Position ]],0))="n/a","n/a",INDEX(tab_MinKomp[SEP  DOZÓR / SEP Aufsicht],MATCH($B107,tab_MinKomp[[Stanowisko / Position ]:[Stanowisko / Position ]],0)))</f>
        <v>n/a</v>
      </c>
      <c r="GI108" s="343" t="str">
        <f>IF(INDEX(tab_MinKomp[PODNOŚNIKI / Hebevorrichtung],MATCH($B107,tab_MinKomp[[Stanowisko / Position ]:[Stanowisko / Position ]],0))="n/a","n/a",INDEX(tab_MinKomp[PODNOŚNIKI / Hebevorrichtung],MATCH($B107,tab_MinKomp[[Stanowisko / Position ]:[Stanowisko / Position ]],0)))</f>
        <v>n/a</v>
      </c>
      <c r="GJ108" s="343" t="str">
        <f>IF(INDEX(tab_MinKomp[SUWNICE / Laufkran],MATCH($B107,tab_MinKomp[[Stanowisko / Position ]:[Stanowisko / Position ]],0))="n/a","n/a",INDEX(tab_MinKomp[SUWNICE / Laufkran],MATCH($B107,tab_MinKomp[[Stanowisko / Position ]:[Stanowisko / Position ]],0)))</f>
        <v>n/a</v>
      </c>
      <c r="GK108" s="347" t="str">
        <f>IF(INDEX(tab_MinKomp[WYSOKOŚCIOWE / Höhenberechtigungen],MATCH($B107,tab_MinKomp[[Stanowisko / Position ]:[Stanowisko / Position ]],0))="n/a","n/a",INDEX(tab_MinKomp[WYSOKOŚCIOWE / Höhenberechtigungen],MATCH($B107,tab_MinKomp[[Stanowisko / Position ]:[Stanowisko / Position ]],0)))</f>
        <v>n/a</v>
      </c>
      <c r="GL108" s="320">
        <f>SUM(G108:FP108)/(GL107-(SUM(G108:FP108)))</f>
        <v>-1</v>
      </c>
    </row>
    <row r="109" spans="1:194" ht="28.35" customHeight="1" x14ac:dyDescent="0.25">
      <c r="A109" s="138" t="s">
        <v>185</v>
      </c>
      <c r="B109" s="135" t="s">
        <v>581</v>
      </c>
      <c r="C109" s="135" t="s">
        <v>558</v>
      </c>
      <c r="D109" s="138">
        <v>1609</v>
      </c>
      <c r="E109" s="563" t="s">
        <v>741</v>
      </c>
      <c r="F109" s="307" t="s">
        <v>165</v>
      </c>
      <c r="G109" s="308">
        <v>1</v>
      </c>
      <c r="H109" s="308">
        <v>1</v>
      </c>
      <c r="I109" s="308"/>
      <c r="J109" s="308"/>
      <c r="K109" s="308"/>
      <c r="L109" s="308"/>
      <c r="M109" s="308" t="s">
        <v>176</v>
      </c>
      <c r="N109" s="308" t="s">
        <v>176</v>
      </c>
      <c r="O109" s="308">
        <v>1</v>
      </c>
      <c r="P109" s="308">
        <v>1</v>
      </c>
      <c r="Q109" s="308" t="s">
        <v>176</v>
      </c>
      <c r="R109" s="308" t="s">
        <v>176</v>
      </c>
      <c r="S109" s="308" t="s">
        <v>176</v>
      </c>
      <c r="T109" s="308"/>
      <c r="U109" s="308" t="s">
        <v>176</v>
      </c>
      <c r="V109" s="308" t="s">
        <v>176</v>
      </c>
      <c r="W109" s="308" t="s">
        <v>176</v>
      </c>
      <c r="X109" s="308" t="s">
        <v>176</v>
      </c>
      <c r="Y109" s="308" t="s">
        <v>176</v>
      </c>
      <c r="Z109" s="308" t="s">
        <v>176</v>
      </c>
      <c r="AA109" s="308" t="s">
        <v>176</v>
      </c>
      <c r="AB109" s="308" t="s">
        <v>176</v>
      </c>
      <c r="AC109" s="308" t="s">
        <v>176</v>
      </c>
      <c r="AD109" s="308" t="s">
        <v>176</v>
      </c>
      <c r="AE109" s="308" t="s">
        <v>176</v>
      </c>
      <c r="AF109" s="308" t="s">
        <v>176</v>
      </c>
      <c r="AG109" s="308" t="s">
        <v>176</v>
      </c>
      <c r="AH109" s="308" t="s">
        <v>176</v>
      </c>
      <c r="AI109" s="308" t="s">
        <v>176</v>
      </c>
      <c r="AJ109" s="308" t="s">
        <v>176</v>
      </c>
      <c r="AK109" s="308" t="s">
        <v>176</v>
      </c>
      <c r="AL109" s="308" t="s">
        <v>176</v>
      </c>
      <c r="AM109" s="308" t="s">
        <v>176</v>
      </c>
      <c r="AN109" s="308" t="s">
        <v>176</v>
      </c>
      <c r="AO109" s="308"/>
      <c r="AP109" s="308" t="s">
        <v>176</v>
      </c>
      <c r="AQ109" s="308"/>
      <c r="AR109" s="308" t="s">
        <v>176</v>
      </c>
      <c r="AS109" s="308" t="s">
        <v>176</v>
      </c>
      <c r="AT109" s="308" t="s">
        <v>176</v>
      </c>
      <c r="AU109" s="308"/>
      <c r="AV109" s="308">
        <v>1</v>
      </c>
      <c r="AW109" s="308"/>
      <c r="AX109" s="308" t="s">
        <v>176</v>
      </c>
      <c r="AY109" s="308" t="s">
        <v>176</v>
      </c>
      <c r="AZ109" s="308" t="s">
        <v>176</v>
      </c>
      <c r="BA109" s="308"/>
      <c r="BB109" s="308"/>
      <c r="BC109" s="308" t="s">
        <v>176</v>
      </c>
      <c r="BD109" s="308" t="s">
        <v>176</v>
      </c>
      <c r="BE109" s="308" t="s">
        <v>176</v>
      </c>
      <c r="BF109" s="308" t="s">
        <v>176</v>
      </c>
      <c r="BG109" s="308" t="s">
        <v>176</v>
      </c>
      <c r="BH109" s="308" t="s">
        <v>176</v>
      </c>
      <c r="BI109" s="308" t="s">
        <v>176</v>
      </c>
      <c r="BJ109" s="308" t="s">
        <v>176</v>
      </c>
      <c r="BK109" s="308" t="s">
        <v>176</v>
      </c>
      <c r="BL109" s="308" t="s">
        <v>176</v>
      </c>
      <c r="BM109" s="308">
        <v>1</v>
      </c>
      <c r="BN109" s="308" t="s">
        <v>176</v>
      </c>
      <c r="BO109" s="308" t="s">
        <v>176</v>
      </c>
      <c r="BP109" s="308" t="s">
        <v>176</v>
      </c>
      <c r="BQ109" s="308" t="s">
        <v>176</v>
      </c>
      <c r="BR109" s="308" t="s">
        <v>176</v>
      </c>
      <c r="BS109" s="308"/>
      <c r="BT109" s="308" t="s">
        <v>176</v>
      </c>
      <c r="BU109" s="308">
        <v>2</v>
      </c>
      <c r="BV109" s="308">
        <v>1</v>
      </c>
      <c r="BW109" s="308" t="s">
        <v>176</v>
      </c>
      <c r="BX109" s="308" t="s">
        <v>176</v>
      </c>
      <c r="BY109" s="308" t="s">
        <v>176</v>
      </c>
      <c r="BZ109" s="308" t="s">
        <v>176</v>
      </c>
      <c r="CA109" s="308" t="s">
        <v>176</v>
      </c>
      <c r="CB109" s="308" t="s">
        <v>176</v>
      </c>
      <c r="CC109" s="308" t="s">
        <v>176</v>
      </c>
      <c r="CD109" s="308" t="s">
        <v>176</v>
      </c>
      <c r="CE109" s="308" t="s">
        <v>176</v>
      </c>
      <c r="CF109" s="308" t="s">
        <v>176</v>
      </c>
      <c r="CG109" s="308"/>
      <c r="CH109" s="308" t="s">
        <v>176</v>
      </c>
      <c r="CI109" s="308" t="s">
        <v>176</v>
      </c>
      <c r="CJ109" s="308" t="s">
        <v>176</v>
      </c>
      <c r="CK109" s="308" t="s">
        <v>176</v>
      </c>
      <c r="CL109" s="308" t="s">
        <v>176</v>
      </c>
      <c r="CM109" s="308"/>
      <c r="CN109" s="308"/>
      <c r="CO109" s="308"/>
      <c r="CP109" s="308">
        <v>1</v>
      </c>
      <c r="CQ109" s="308" t="s">
        <v>176</v>
      </c>
      <c r="CR109" s="308" t="s">
        <v>176</v>
      </c>
      <c r="CS109" s="308" t="s">
        <v>176</v>
      </c>
      <c r="CT109" s="308" t="s">
        <v>176</v>
      </c>
      <c r="CU109" s="308" t="s">
        <v>176</v>
      </c>
      <c r="CV109" s="308" t="s">
        <v>176</v>
      </c>
      <c r="CW109" s="308" t="s">
        <v>176</v>
      </c>
      <c r="CX109" s="308" t="s">
        <v>176</v>
      </c>
      <c r="CY109" s="308" t="s">
        <v>176</v>
      </c>
      <c r="CZ109" s="308" t="s">
        <v>176</v>
      </c>
      <c r="DA109" s="308" t="s">
        <v>176</v>
      </c>
      <c r="DB109" s="308" t="s">
        <v>176</v>
      </c>
      <c r="DC109" s="308" t="s">
        <v>176</v>
      </c>
      <c r="DD109" s="308" t="s">
        <v>176</v>
      </c>
      <c r="DE109" s="308" t="s">
        <v>176</v>
      </c>
      <c r="DF109" s="308" t="s">
        <v>176</v>
      </c>
      <c r="DG109" s="308" t="s">
        <v>176</v>
      </c>
      <c r="DH109" s="308" t="s">
        <v>176</v>
      </c>
      <c r="DI109" s="308" t="s">
        <v>176</v>
      </c>
      <c r="DJ109" s="308" t="s">
        <v>176</v>
      </c>
      <c r="DK109" s="308" t="s">
        <v>176</v>
      </c>
      <c r="DL109" s="308" t="s">
        <v>176</v>
      </c>
      <c r="DM109" s="308" t="s">
        <v>176</v>
      </c>
      <c r="DN109" s="308" t="s">
        <v>176</v>
      </c>
      <c r="DO109" s="308" t="s">
        <v>176</v>
      </c>
      <c r="DP109" s="308" t="s">
        <v>176</v>
      </c>
      <c r="DQ109" s="308" t="s">
        <v>176</v>
      </c>
      <c r="DR109" s="308" t="s">
        <v>176</v>
      </c>
      <c r="DS109" s="308" t="s">
        <v>176</v>
      </c>
      <c r="DT109" s="308" t="s">
        <v>176</v>
      </c>
      <c r="DU109" s="308" t="s">
        <v>176</v>
      </c>
      <c r="DV109" s="306" t="s">
        <v>176</v>
      </c>
      <c r="DW109" s="306" t="s">
        <v>176</v>
      </c>
      <c r="DX109" s="306" t="s">
        <v>176</v>
      </c>
      <c r="DY109" s="308" t="s">
        <v>176</v>
      </c>
      <c r="DZ109" s="308" t="s">
        <v>176</v>
      </c>
      <c r="EA109" s="308" t="s">
        <v>176</v>
      </c>
      <c r="EB109" s="308" t="s">
        <v>176</v>
      </c>
      <c r="EC109" s="308" t="s">
        <v>176</v>
      </c>
      <c r="ED109" s="308" t="s">
        <v>176</v>
      </c>
      <c r="EE109" s="308" t="s">
        <v>176</v>
      </c>
      <c r="EF109" s="308" t="s">
        <v>176</v>
      </c>
      <c r="EG109" s="308" t="s">
        <v>176</v>
      </c>
      <c r="EH109" s="308" t="s">
        <v>176</v>
      </c>
      <c r="EI109" s="308" t="s">
        <v>176</v>
      </c>
      <c r="EJ109" s="308" t="s">
        <v>176</v>
      </c>
      <c r="EK109" s="308" t="s">
        <v>176</v>
      </c>
      <c r="EL109" s="308" t="s">
        <v>176</v>
      </c>
      <c r="EM109" s="308" t="s">
        <v>176</v>
      </c>
      <c r="EN109" s="308" t="s">
        <v>176</v>
      </c>
      <c r="EO109" s="308" t="s">
        <v>176</v>
      </c>
      <c r="EP109" s="308" t="s">
        <v>176</v>
      </c>
      <c r="EQ109" s="308" t="s">
        <v>176</v>
      </c>
      <c r="ER109" s="308" t="s">
        <v>176</v>
      </c>
      <c r="ES109" s="308" t="s">
        <v>176</v>
      </c>
      <c r="ET109" s="308" t="s">
        <v>176</v>
      </c>
      <c r="EU109" s="308" t="s">
        <v>176</v>
      </c>
      <c r="EV109" s="308" t="s">
        <v>176</v>
      </c>
      <c r="EW109" s="308" t="s">
        <v>176</v>
      </c>
      <c r="EX109" s="308" t="s">
        <v>176</v>
      </c>
      <c r="EY109" s="308"/>
      <c r="EZ109" s="308"/>
      <c r="FA109" s="308"/>
      <c r="FB109" s="308" t="s">
        <v>176</v>
      </c>
      <c r="FC109" s="308" t="s">
        <v>176</v>
      </c>
      <c r="FD109" s="308"/>
      <c r="FE109" s="308">
        <v>2</v>
      </c>
      <c r="FF109" s="308">
        <v>1</v>
      </c>
      <c r="FG109" s="308">
        <v>1</v>
      </c>
      <c r="FH109" s="308">
        <v>1</v>
      </c>
      <c r="FI109" s="308">
        <v>1</v>
      </c>
      <c r="FJ109" s="308">
        <v>1</v>
      </c>
      <c r="FK109" s="308">
        <v>1</v>
      </c>
      <c r="FL109" s="308">
        <v>1</v>
      </c>
      <c r="FM109" s="308">
        <v>1</v>
      </c>
      <c r="FN109" s="308">
        <v>1</v>
      </c>
      <c r="FO109" s="308">
        <v>2</v>
      </c>
      <c r="FP109" s="308">
        <v>1</v>
      </c>
      <c r="FQ109" s="308" t="s">
        <v>176</v>
      </c>
      <c r="FR109" s="308" t="s">
        <v>176</v>
      </c>
      <c r="FS109" s="308" t="s">
        <v>387</v>
      </c>
      <c r="FT109" s="308" t="s">
        <v>176</v>
      </c>
      <c r="FU109" s="308" t="s">
        <v>176</v>
      </c>
      <c r="FV109" s="308" t="s">
        <v>176</v>
      </c>
      <c r="FW109" s="308" t="s">
        <v>176</v>
      </c>
      <c r="FX109" s="308" t="s">
        <v>176</v>
      </c>
      <c r="FY109" s="308" t="s">
        <v>176</v>
      </c>
      <c r="FZ109" s="308" t="s">
        <v>176</v>
      </c>
      <c r="GA109" s="308" t="s">
        <v>176</v>
      </c>
      <c r="GB109" s="308" t="s">
        <v>176</v>
      </c>
      <c r="GC109" s="308" t="s">
        <v>176</v>
      </c>
      <c r="GD109" s="308" t="s">
        <v>176</v>
      </c>
      <c r="GE109" s="308" t="s">
        <v>176</v>
      </c>
      <c r="GF109" s="308" t="s">
        <v>176</v>
      </c>
      <c r="GG109" s="308" t="s">
        <v>176</v>
      </c>
      <c r="GH109" s="308" t="s">
        <v>176</v>
      </c>
      <c r="GI109" s="308" t="s">
        <v>176</v>
      </c>
      <c r="GJ109" s="308" t="s">
        <v>176</v>
      </c>
      <c r="GK109" s="308" t="s">
        <v>176</v>
      </c>
      <c r="GL109" s="311">
        <f>SUM(G109:FP109)</f>
        <v>24</v>
      </c>
    </row>
    <row r="110" spans="1:194" ht="28.35" customHeight="1" thickBot="1" x14ac:dyDescent="0.3">
      <c r="A110" s="138" t="s">
        <v>185</v>
      </c>
      <c r="B110" s="135" t="s">
        <v>581</v>
      </c>
      <c r="C110" s="135" t="s">
        <v>558</v>
      </c>
      <c r="D110" s="138">
        <v>1609</v>
      </c>
      <c r="E110" s="564"/>
      <c r="F110" s="312" t="s">
        <v>166</v>
      </c>
      <c r="G110" s="341">
        <f>IF(INDEX(tab_MinKomp[Przepisy BHP / BHP Vorschriften],MATCH($B109,tab_MinKomp[[Stanowisko / Position ]:[Stanowisko / Position ]],0))="n/a","n/a",G109-INDEX(tab_MinKomp[Przepisy BHP / BHP Vorschriften],MATCH($B109,tab_MinKomp[[Stanowisko / Position ]:[Stanowisko / Position ]],0)))</f>
        <v>-1</v>
      </c>
      <c r="H110" s="342">
        <f>IF(INDEX(tab_MinKomp[Przepisy PPOŻ / Brandschutzbestimmungen],MATCH($B109,tab_MinKomp[[Stanowisko / Position ]:[Stanowisko / Position ]],0))="n/a","n/a",H109-INDEX(tab_MinKomp[Przepisy PPOŻ / Brandschutzbestimmungen],MATCH($B109,tab_MinKomp[[Stanowisko / Position ]:[Stanowisko / Position ]],0)))</f>
        <v>-1</v>
      </c>
      <c r="I110" s="342">
        <f>IF(INDEX(tab_MinKomp[Ryzyko zawodowe na stanowiskach pracyv/ Berufliche Risiken an Arbeitsstellen],MATCH($B109,tab_MinKomp[[Stanowisko / Position ]:[Stanowisko / Position ]],0))="n/a","n/a",I109-INDEX(tab_MinKomp[Ryzyko zawodowe na stanowiskach pracyv/ Berufliche Risiken an Arbeitsstellen],MATCH($B109,tab_MinKomp[[Stanowisko / Position ]:[Stanowisko / Position ]],0)))</f>
        <v>-1</v>
      </c>
      <c r="J110" s="342">
        <f>IF(INDEX(tab_MinKomp[Gospodarka substancjami niebezpiecznymi / Gefahrstoffmanagement],MATCH($B109,tab_MinKomp[[Stanowisko / Position ]:[Stanowisko / Position ]],0))="n/a","n/a",J109-INDEX(tab_MinKomp[Gospodarka substancjami niebezpiecznymi / Gefahrstoffmanagement],MATCH($B109,tab_MinKomp[[Stanowisko / Position ]:[Stanowisko / Position ]],0)))</f>
        <v>-1</v>
      </c>
      <c r="K110" s="342">
        <f>IF(INDEX(tab_MinKomp[Gospodarka odpadami / Abfallwirtschaft],MATCH($B109,tab_MinKomp[[Stanowisko / Position ]:[Stanowisko / Position ]],0))="n/a","n/a",K109-INDEX(tab_MinKomp[Gospodarka odpadami / Abfallwirtschaft],MATCH($B109,tab_MinKomp[[Stanowisko / Position ]:[Stanowisko / Position ]],0)))</f>
        <v>-1</v>
      </c>
      <c r="L110" s="343">
        <f>IF(INDEX(tab_MinKomp[Przepisy kodeksu pracy / Bestimmungen des Arbeitsgesetzes],MATCH($B109,tab_MinKomp[[Stanowisko / Position ]:[Stanowisko / Position ]],0))="n/a","n/a",L109-INDEX(tab_MinKomp[Przepisy kodeksu pracy / Bestimmungen des Arbeitsgesetzes],MATCH($B109,tab_MinKomp[[Stanowisko / Position ]:[Stanowisko / Position ]],0)))</f>
        <v>-1</v>
      </c>
      <c r="M110" s="344" t="str">
        <f>IF(INDEX(tab_MinKomp[Przepisy o ub.społ. ZUS  / Sozialversicherungsvorschriften],MATCH($B109,tab_MinKomp[[Stanowisko / Position ]:[Stanowisko / Position ]],0))="n/a","n/a",M109-INDEX(tab_MinKomp[Przepisy o ub.społ. ZUS  / Sozialversicherungsvorschriften],MATCH($B109,tab_MinKomp[[Stanowisko / Position ]:[Stanowisko / Position ]],0)))</f>
        <v>n/a</v>
      </c>
      <c r="N110" s="343" t="str">
        <f>IF(INDEX(tab_MinKomp[PRZEPISY O PDOF /persönlich Einkommensteuergesetz ],MATCH($B109,tab_MinKomp[[Stanowisko / Position ]:[Stanowisko / Position ]],0))="n/a","n/a",N109-INDEX(tab_MinKomp[PRZEPISY O PDOF /persönlich Einkommensteuergesetz ],MATCH($B109,tab_MinKomp[[Stanowisko / Position ]:[Stanowisko / Position ]],0)))</f>
        <v>n/a</v>
      </c>
      <c r="O110" s="343">
        <f>IF(INDEX(tab_MinKomp[Regulamin pracy / Arbeitsordnung],MATCH($B109,tab_MinKomp[[Stanowisko / Position ]:[Stanowisko / Position ]],0))="n/a","n/a",O109-INDEX(tab_MinKomp[Regulamin pracy / Arbeitsordnung],MATCH($B109,tab_MinKomp[[Stanowisko / Position ]:[Stanowisko / Position ]],0)))</f>
        <v>0</v>
      </c>
      <c r="P110" s="343">
        <f>IF(INDEX(tab_MinKomp[Regulamin wynagradzania / Vergütungsordnung],MATCH($B109,tab_MinKomp[[Stanowisko / Position ]:[Stanowisko / Position ]],0))="n/a","n/a",P109-INDEX(tab_MinKomp[Regulamin wynagradzania / Vergütungsordnung],MATCH($B109,tab_MinKomp[[Stanowisko / Position ]:[Stanowisko / Position ]],0)))</f>
        <v>0</v>
      </c>
      <c r="Q110" s="343" t="str">
        <f>IF(INDEX(tab_MinKomp[System R2PŁATNIK PRO: Płace / Lohnabrechnung],MATCH($B109,tab_MinKomp[[Stanowisko / Position ]:[Stanowisko / Position ]],0))="n/a","n/a",Q109-INDEX(tab_MinKomp[System R2PŁATNIK PRO: Płace / Lohnabrechnung],MATCH($B109,tab_MinKomp[[Stanowisko / Position ]:[Stanowisko / Position ]],0)))</f>
        <v>n/a</v>
      </c>
      <c r="R110" s="343" t="str">
        <f>IF(INDEX(tab_MinKomp[SystemR2PŁATNIK PRO: KADRY / Personaldaten],MATCH($B109,tab_MinKomp[[Stanowisko / Position ]:[Stanowisko / Position ]],0))="n/a","n/a",R109-INDEX(tab_MinKomp[SystemR2PŁATNIK PRO: KADRY / Personaldaten],MATCH($B109,tab_MinKomp[[Stanowisko / Position ]:[Stanowisko / Position ]],0)))</f>
        <v>n/a</v>
      </c>
      <c r="S110" s="343" t="str">
        <f>IF(INDEX(tab_MinKomp[SYSTEM R2PŁATNIK PRO: zarządzanie pracownikami / Arbeitsverwaltung],MATCH($B109,tab_MinKomp[[Stanowisko / Position ]:[Stanowisko / Position ]],0))="n/a","n/a",S109-INDEX(tab_MinKomp[SYSTEM R2PŁATNIK PRO: zarządzanie pracownikami / Arbeitsverwaltung],MATCH($B109,tab_MinKomp[[Stanowisko / Position ]:[Stanowisko / Position ]],0)))</f>
        <v>n/a</v>
      </c>
      <c r="T110" s="343">
        <f>IF(INDEX(tab_MinKomp[Doradztwo, wsparcie personalne / Personalberatung und Unterstützung],MATCH($B109,tab_MinKomp[[Stanowisko / Position ]:[Stanowisko / Position ]],0))="n/a","n/a",T109-INDEX(tab_MinKomp[Doradztwo, wsparcie personalne / Personalberatung und Unterstützung],MATCH($B109,tab_MinKomp[[Stanowisko / Position ]:[Stanowisko / Position ]],0)))</f>
        <v>-1</v>
      </c>
      <c r="U110" s="343" t="str">
        <f>IF(INDEX(tab_MinKomp[Przepisy o podatku VAT / MwSt.- Gesetz],MATCH($B109,tab_MinKomp[[Stanowisko / Position ]:[Stanowisko / Position ]],0))="n/a","n/a",U109-INDEX(tab_MinKomp[Przepisy o podatku VAT / MwSt.- Gesetz],MATCH($B109,tab_MinKomp[[Stanowisko / Position ]:[Stanowisko / Position ]],0)))</f>
        <v>n/a</v>
      </c>
      <c r="V110" s="343" t="str">
        <f>IF(INDEX(tab_MinKomp[PrzepisyPDOP / geschäftlich Einkommensteuergesetz],MATCH($B109,tab_MinKomp[[Stanowisko / Position ]:[Stanowisko / Position ]],0))="n/a","n/a",V109-INDEX(tab_MinKomp[PrzepisyPDOP / geschäftlich Einkommensteuergesetz],MATCH($B109,tab_MinKomp[[Stanowisko / Position ]:[Stanowisko / Position ]],0)))</f>
        <v>n/a</v>
      </c>
      <c r="W110" s="343" t="str">
        <f>IF(INDEX(tab_MinKomp[System BAAN / FINANSE (FIBU)],MATCH($B109,tab_MinKomp[[Stanowisko / Position ]:[Stanowisko / Position ]],0))="n/a","n/a",W109-INDEX(tab_MinKomp[System BAAN / FINANSE (FIBU)],MATCH($B109,tab_MinKomp[[Stanowisko / Position ]:[Stanowisko / Position ]],0)))</f>
        <v>n/a</v>
      </c>
      <c r="X110" s="343" t="str">
        <f>IF(INDEX(tab_MinKomp[Systemy pomocnicze / Hilfssysteme(STOCKPROGRAM, KALK2000 etc.)],MATCH($B109,tab_MinKomp[[Stanowisko / Position ]:[Stanowisko / Position ]],0))="n/a","n/a",X109-INDEX(tab_MinKomp[Systemy pomocnicze / Hilfssysteme(STOCKPROGRAM, KALK2000 etc.)],MATCH($B109,tab_MinKomp[[Stanowisko / Position ]:[Stanowisko / Position ]],0)))</f>
        <v>n/a</v>
      </c>
      <c r="Y110" s="343" t="str">
        <f>IF(INDEX(tab_MinKomp[Polityka rachunkowości / Buchführungspolitik],MATCH($B109,tab_MinKomp[[Stanowisko / Position ]:[Stanowisko / Position ]],0))="n/a","n/a",Y109-INDEX(tab_MinKomp[Polityka rachunkowości / Buchführungspolitik],MATCH($B109,tab_MinKomp[[Stanowisko / Position ]:[Stanowisko / Position ]],0)))</f>
        <v>n/a</v>
      </c>
      <c r="Z110" s="343" t="str">
        <f>IF(INDEX(tab_MinKomp[Ustawa o rachunkowości / Rechnungslegungsgesetz],MATCH($B109,tab_MinKomp[[Stanowisko / Position ]:[Stanowisko / Position ]],0))="n/a","n/a",Z109-INDEX(tab_MinKomp[Ustawa o rachunkowości / Rechnungslegungsgesetz],MATCH($B109,tab_MinKomp[[Stanowisko / Position ]:[Stanowisko / Position ]],0)))</f>
        <v>n/a</v>
      </c>
      <c r="AA110" s="343" t="str">
        <f>IF(INDEX(tab_MinKomp[WORKFLOW - TS-100],MATCH($B109,tab_MinKomp[[Stanowisko / Position ]:[Stanowisko / Position ]],0))="n/a","n/a",AA109-INDEX(tab_MinKomp[WORKFLOW - TS-100],MATCH($B109,tab_MinKomp[[Stanowisko / Position ]:[Stanowisko / Position ]],0)))</f>
        <v>n/a</v>
      </c>
      <c r="AB110" s="343" t="str">
        <f>IF(INDEX(tab_MinKomp[WORKFLOW - SFMS],MATCH($B109,tab_MinKomp[[Stanowisko / Position ]:[Stanowisko / Position ]],0))="n/a","n/a",AB109-INDEX(tab_MinKomp[WORKFLOW - SFMS],MATCH($B109,tab_MinKomp[[Stanowisko / Position ]:[Stanowisko / Position ]],0)))</f>
        <v>n/a</v>
      </c>
      <c r="AC110" s="343" t="str">
        <f>IF(INDEX(tab_MinKomp[System ISO 9001:2015],MATCH($B109,tab_MinKomp[[Stanowisko / Position ]:[Stanowisko / Position ]],0))="n/a","n/a",AC109-INDEX(tab_MinKomp[System ISO 9001:2015],MATCH($B109,tab_MinKomp[[Stanowisko / Position ]:[Stanowisko / Position ]],0)))</f>
        <v>n/a</v>
      </c>
      <c r="AD110" s="343" t="str">
        <f>IF(INDEX(tab_MinKomp[System IATF 16949:2016],MATCH($B109,tab_MinKomp[[Stanowisko / Position ]:[Stanowisko / Position ]],0))="n/a","n/a",AD109-INDEX(tab_MinKomp[System IATF 16949:2016],MATCH($B109,tab_MinKomp[[Stanowisko / Position ]:[Stanowisko / Position ]],0)))</f>
        <v>n/a</v>
      </c>
      <c r="AE110" s="343" t="str">
        <f>IF(INDEX(tab_MinKomp[System ISO 14001:2015],MATCH($B109,tab_MinKomp[[Stanowisko / Position ]:[Stanowisko / Position ]],0))="n/a","n/a",AE109-INDEX(tab_MinKomp[System ISO 14001:2015],MATCH($B109,tab_MinKomp[[Stanowisko / Position ]:[Stanowisko / Position ]],0)))</f>
        <v>n/a</v>
      </c>
      <c r="AF110" s="343" t="str">
        <f>IF(INDEX(tab_MinKomp[System PN-N 18001:2004 / ISO 45001:2018],MATCH($B109,tab_MinKomp[[Stanowisko / Position ]:[Stanowisko / Position ]],0))="n/a","n/a",AF109-INDEX(tab_MinKomp[System PN-N 18001:2004 / ISO 45001:2018],MATCH($B109,tab_MinKomp[[Stanowisko / Position ]:[Stanowisko / Position ]],0)))</f>
        <v>n/a</v>
      </c>
      <c r="AG110" s="343" t="str">
        <f>IF(INDEX(tab_MinKomp[Wymagania VDA 6.3 Process / Forderungen],MATCH($B109,tab_MinKomp[[Stanowisko / Position ]:[Stanowisko / Position ]],0))="n/a","n/a",AG109-INDEX(tab_MinKomp[Wymagania VDA 6.3 Process / Forderungen],MATCH($B109,tab_MinKomp[[Stanowisko / Position ]:[Stanowisko / Position ]],0)))</f>
        <v>n/a</v>
      </c>
      <c r="AH110" s="343" t="str">
        <f>IF(INDEX(tab_MinKomp[Wymagania VDA 6.5 Product / Forderungen],MATCH($B109,tab_MinKomp[[Stanowisko / Position ]:[Stanowisko / Position ]],0))="n/a","n/a",AH109-INDEX(tab_MinKomp[Wymagania VDA 6.5 Product / Forderungen],MATCH($B109,tab_MinKomp[[Stanowisko / Position ]:[Stanowisko / Position ]],0)))</f>
        <v>n/a</v>
      </c>
      <c r="AI110" s="343" t="str">
        <f>IF(INDEX(tab_MinKomp[PSCR (VW Product Safety &amp; Conformity Representative)],MATCH($B109,tab_MinKomp[[Stanowisko / Position ]:[Stanowisko / Position ]],0))="n/a","n/a",AI109-INDEX(tab_MinKomp[PSCR (VW Product Safety &amp; Conformity Representative)],MATCH($B109,tab_MinKomp[[Stanowisko / Position ]:[Stanowisko / Position ]],0)))</f>
        <v>n/a</v>
      </c>
      <c r="AJ110" s="343" t="str">
        <f>IF(INDEX(tab_MinKomp[Auditor systemu ISO 17025:2018],MATCH($B109,tab_MinKomp[[Stanowisko / Position ]:[Stanowisko / Position ]],0))="n/a","n/a",AJ109-INDEX(tab_MinKomp[Auditor systemu ISO 17025:2018],MATCH($B109,tab_MinKomp[[Stanowisko / Position ]:[Stanowisko / Position ]],0)))</f>
        <v>n/a</v>
      </c>
      <c r="AK110" s="343" t="str">
        <f>IF(INDEX(tab_MinKomp[Pełnomocnik systemu / Systemvertreter],MATCH($B109,tab_MinKomp[[Stanowisko / Position ]:[Stanowisko / Position ]],0))="n/a","n/a",AK109-INDEX(tab_MinKomp[Pełnomocnik systemu / Systemvertreter],MATCH($B109,tab_MinKomp[[Stanowisko / Position ]:[Stanowisko / Position ]],0)))</f>
        <v>n/a</v>
      </c>
      <c r="AL110" s="343" t="str">
        <f>IF(INDEX(tab_MinKomp[Polityka Etyczna - Compliance],MATCH($B109,tab_MinKomp[[Stanowisko / Position ]:[Stanowisko / Position ]],0))="n/a","n/a",AL109-INDEX(tab_MinKomp[Polityka Etyczna - Compliance],MATCH($B109,tab_MinKomp[[Stanowisko / Position ]:[Stanowisko / Position ]],0)))</f>
        <v>n/a</v>
      </c>
      <c r="AM110" s="343" t="str">
        <f>IF(INDEX(tab_MinKomp[WDRAŻANIE NOWYCH PROJEKTÓW/ PROCEDURA CTM],MATCH($B109,tab_MinKomp[[Stanowisko / Position ]:[Stanowisko / Position ]],0))="n/a","n/a",AM109-INDEX(tab_MinKomp[WDRAŻANIE NOWYCH PROJEKTÓW/ PROCEDURA CTM],MATCH($B109,tab_MinKomp[[Stanowisko / Position ]:[Stanowisko / Position ]],0)))</f>
        <v>n/a</v>
      </c>
      <c r="AN110" s="343" t="str">
        <f>IF(INDEX(tab_MinKomp[KAMIENIE MILOWE MSL/PIFF],MATCH($B109,tab_MinKomp[[Stanowisko / Position ]:[Stanowisko / Position ]],0))="n/a","n/a",AN109-INDEX(tab_MinKomp[KAMIENIE MILOWE MSL/PIFF],MATCH($B109,tab_MinKomp[[Stanowisko / Position ]:[Stanowisko / Position ]],0)))</f>
        <v>n/a</v>
      </c>
      <c r="AO110" s="343">
        <f>IF(INDEX(tab_MinKomp[CP],MATCH($B109,tab_MinKomp[[Stanowisko / Position ]:[Stanowisko / Position ]],0))="n/a","n/a",AO109-INDEX(tab_MinKomp[CP],MATCH($B109,tab_MinKomp[[Stanowisko / Position ]:[Stanowisko / Position ]],0)))</f>
        <v>-2</v>
      </c>
      <c r="AP110" s="343" t="str">
        <f>IF(INDEX(tab_MinKomp[FMEA],MATCH($B109,tab_MinKomp[[Stanowisko / Position ]:[Stanowisko / Position ]],0))="n/a","n/a",AP109-INDEX(tab_MinKomp[FMEA],MATCH($B109,tab_MinKomp[[Stanowisko / Position ]:[Stanowisko / Position ]],0)))</f>
        <v>n/a</v>
      </c>
      <c r="AQ110" s="343">
        <f>IF(INDEX(tab_MinKomp[FLOW CHART],MATCH($B109,tab_MinKomp[[Stanowisko / Position ]:[Stanowisko / Position ]],0))="n/a","n/a",AQ109-INDEX(tab_MinKomp[FLOW CHART],MATCH($B109,tab_MinKomp[[Stanowisko / Position ]:[Stanowisko / Position ]],0)))</f>
        <v>-1</v>
      </c>
      <c r="AR110" s="343" t="str">
        <f>IF(INDEX(tab_MinKomp[APQP],MATCH($B109,tab_MinKomp[[Stanowisko / Position ]:[Stanowisko / Position ]],0))="n/a","n/a",AR109-INDEX(tab_MinKomp[APQP],MATCH($B109,tab_MinKomp[[Stanowisko / Position ]:[Stanowisko / Position ]],0)))</f>
        <v>n/a</v>
      </c>
      <c r="AS110" s="343" t="str">
        <f>IF(INDEX(tab_MinKomp[MSA],MATCH($B109,tab_MinKomp[[Stanowisko / Position ]:[Stanowisko / Position ]],0))="n/a","n/a",AS109-INDEX(tab_MinKomp[MSA],MATCH($B109,tab_MinKomp[[Stanowisko / Position ]:[Stanowisko / Position ]],0)))</f>
        <v>n/a</v>
      </c>
      <c r="AT110" s="343" t="str">
        <f>IF(INDEX(tab_MinKomp[SPC],MATCH($B109,tab_MinKomp[[Stanowisko / Position ]:[Stanowisko / Position ]],0))="n/a","n/a",AT109-INDEX(tab_MinKomp[SPC],MATCH($B109,tab_MinKomp[[Stanowisko / Position ]:[Stanowisko / Position ]],0)))</f>
        <v>n/a</v>
      </c>
      <c r="AU110" s="343">
        <f>IF(INDEX(tab_MinKomp[CSR (SPECYFICZNE WYMAGANIA KLIENTA)],MATCH($B109,tab_MinKomp[[Stanowisko / Position ]:[Stanowisko / Position ]],0))="n/a","n/a",AU109-INDEX(tab_MinKomp[CSR (SPECYFICZNE WYMAGANIA KLIENTA)],MATCH($B109,tab_MinKomp[[Stanowisko / Position ]:[Stanowisko / Position ]],0)))</f>
        <v>-1</v>
      </c>
      <c r="AV110" s="343">
        <f>IF(INDEX(tab_MinKomp[5S],MATCH($B109,tab_MinKomp[[Stanowisko / Position ]:[Stanowisko / Position ]],0))="n/a","n/a",AV109-INDEX(tab_MinKomp[5S],MATCH($B109,tab_MinKomp[[Stanowisko / Position ]:[Stanowisko / Position ]],0)))</f>
        <v>0</v>
      </c>
      <c r="AW110" s="343">
        <f>IF(INDEX(tab_MinKomp[LEAN MANAGEMENT],MATCH($B109,tab_MinKomp[[Stanowisko / Position ]:[Stanowisko / Position ]],0))="n/a","n/a",AW109-INDEX(tab_MinKomp[LEAN MANAGEMENT],MATCH($B109,tab_MinKomp[[Stanowisko / Position ]:[Stanowisko / Position ]],0)))</f>
        <v>-1</v>
      </c>
      <c r="AX110" s="343" t="str">
        <f>IF(INDEX(tab_MinKomp[5R],MATCH($B109,tab_MinKomp[[Stanowisko / Position ]:[Stanowisko / Position ]],0))="n/a","n/a",AX109-INDEX(tab_MinKomp[5R],MATCH($B109,tab_MinKomp[[Stanowisko / Position ]:[Stanowisko / Position ]],0)))</f>
        <v>n/a</v>
      </c>
      <c r="AY110" s="343" t="str">
        <f>IF(INDEX(tab_MinKomp[Six Sigma],MATCH($B109,tab_MinKomp[[Stanowisko / Position ]:[Stanowisko / Position ]],0))="n/a","n/a",AY109-INDEX(tab_MinKomp[Six Sigma],MATCH($B109,tab_MinKomp[[Stanowisko / Position ]:[Stanowisko / Position ]],0)))</f>
        <v>n/a</v>
      </c>
      <c r="AZ110" s="343" t="str">
        <f>IF(INDEX(tab_MinKomp[System BAAN / Distribution &amp; Supply Chain],MATCH($B109,tab_MinKomp[[Stanowisko / Position ]:[Stanowisko / Position ]],0))="n/a","n/a",AZ109-INDEX(tab_MinKomp[System BAAN / Distribution &amp; Supply Chain],MATCH($B109,tab_MinKomp[[Stanowisko / Position ]:[Stanowisko / Position ]],0)))</f>
        <v>n/a</v>
      </c>
      <c r="BA110" s="343">
        <f>IF(INDEX(tab_MinKomp[Gospodarka magazynowa / Lagerverwaltung],MATCH($B109,tab_MinKomp[[Stanowisko / Position ]:[Stanowisko / Position ]],0))="n/a","n/a",BA109-INDEX(tab_MinKomp[Gospodarka magazynowa / Lagerverwaltung],MATCH($B109,tab_MinKomp[[Stanowisko / Position ]:[Stanowisko / Position ]],0)))</f>
        <v>-1</v>
      </c>
      <c r="BB110" s="343">
        <f>IF(INDEX(tab_MinKomp[Inwentaryzacja - organizacja i przebieg / Inventurprozess],MATCH($B109,tab_MinKomp[[Stanowisko / Position ]:[Stanowisko / Position ]],0))="n/a","n/a",BB109-INDEX(tab_MinKomp[Inwentaryzacja - organizacja i przebieg / Inventurprozess],MATCH($B109,tab_MinKomp[[Stanowisko / Position ]:[Stanowisko / Position ]],0)))</f>
        <v>-1</v>
      </c>
      <c r="BC110" s="343" t="str">
        <f>IF(INDEX(tab_MinKomp[Organizacja dostaw / Versorgungsorganisation],MATCH($B109,tab_MinKomp[[Stanowisko / Position ]:[Stanowisko / Position ]],0))="n/a","n/a",BC109-INDEX(tab_MinKomp[Organizacja dostaw / Versorgungsorganisation],MATCH($B109,tab_MinKomp[[Stanowisko / Position ]:[Stanowisko / Position ]],0)))</f>
        <v>n/a</v>
      </c>
      <c r="BD110" s="343" t="str">
        <f>IF(INDEX(tab_MinKomp[Organizacja wysyłek / Organisation von Lieferungen],MATCH($B109,tab_MinKomp[[Stanowisko / Position ]:[Stanowisko / Position ]],0))="n/a","n/a",BD109-INDEX(tab_MinKomp[Organizacja wysyłek / Organisation von Lieferungen],MATCH($B109,tab_MinKomp[[Stanowisko / Position ]:[Stanowisko / Position ]],0)))</f>
        <v>n/a</v>
      </c>
      <c r="BE110" s="343" t="str">
        <f>IF(INDEX(tab_MinKomp[Analiza magazynowa - Program Polen.mdb / Inventuranalyse],MATCH($B109,tab_MinKomp[[Stanowisko / Position ]:[Stanowisko / Position ]],0))="n/a","n/a",BE109-INDEX(tab_MinKomp[Analiza magazynowa - Program Polen.mdb / Inventuranalyse],MATCH($B109,tab_MinKomp[[Stanowisko / Position ]:[Stanowisko / Position ]],0)))</f>
        <v>n/a</v>
      </c>
      <c r="BF110" s="315" t="str">
        <f>IF(INDEX(tab_MinKomp[MMOG (Materials Management Operations Guidelines)],MATCH($B109,tab_MinKomp[[Stanowisko / Position ]:[Stanowisko / Position ]],0))="n/a","n/a",BF109-INDEX(tab_MinKomp[MMOG (Materials Management Operations Guidelines)],MATCH($B109,tab_MinKomp[[Stanowisko / Position ]:[Stanowisko / Position ]],0)))</f>
        <v>n/a</v>
      </c>
      <c r="BG110" s="315" t="str">
        <f>IF(INDEX(tab_MinKomp[GPP],MATCH($B109,tab_MinKomp[[Stanowisko / Position ]:[Stanowisko / Position ]],0))="n/a","n/a",BG109-INDEX(tab_MinKomp[GPP],MATCH($B109,tab_MinKomp[[Stanowisko / Position ]:[Stanowisko / Position ]],0)))</f>
        <v>n/a</v>
      </c>
      <c r="BH110" s="315" t="str">
        <f>IF(INDEX(tab_MinKomp[AIAG (Automotive Industry Action Group)],MATCH($B109,tab_MinKomp[[Stanowisko / Position ]:[Stanowisko / Position ]],0))="n/a","n/a",BH109-INDEX(tab_MinKomp[AIAG (Automotive Industry Action Group)],MATCH($B109,tab_MinKomp[[Stanowisko / Position ]:[Stanowisko / Position ]],0)))</f>
        <v>n/a</v>
      </c>
      <c r="BI110" s="315" t="str">
        <f>IF(INDEX(tab_MinKomp[Super-G disputes],MATCH($B109,tab_MinKomp[[Stanowisko / Position ]:[Stanowisko / Position ]],0))="n/a","n/a",BI109-INDEX(tab_MinKomp[Super-G disputes],MATCH($B109,tab_MinKomp[[Stanowisko / Position ]:[Stanowisko / Position ]],0)))</f>
        <v>n/a</v>
      </c>
      <c r="BJ110" s="315" t="str">
        <f>IF(INDEX(tab_MinKomp[CMMS3/eDDL (Direct Data Link)],MATCH($B109,tab_MinKomp[[Stanowisko / Position ]:[Stanowisko / Position ]],0))="n/a","n/a",BJ109-INDEX(tab_MinKomp[CMMS3/eDDL (Direct Data Link)],MATCH($B109,tab_MinKomp[[Stanowisko / Position ]:[Stanowisko / Position ]],0)))</f>
        <v>n/a</v>
      </c>
      <c r="BK110" s="315" t="str">
        <f>IF(INDEX(tab_MinKomp[MP&amp;L (Material Planning and Logistics)],MATCH($B109,tab_MinKomp[[Stanowisko / Position ]:[Stanowisko / Position ]],0))="n/a","n/a",BK109-INDEX(tab_MinKomp[MP&amp;L (Material Planning and Logistics)],MATCH($B109,tab_MinKomp[[Stanowisko / Position ]:[Stanowisko / Position ]],0)))</f>
        <v>n/a</v>
      </c>
      <c r="BL110" s="315" t="str">
        <f>IF(INDEX(tab_MinKomp[Supplier delivery rating],MATCH($B109,tab_MinKomp[[Stanowisko / Position ]:[Stanowisko / Position ]],0))="n/a","n/a",BL109-INDEX(tab_MinKomp[Supplier delivery rating],MATCH($B109,tab_MinKomp[[Stanowisko / Position ]:[Stanowisko / Position ]],0)))</f>
        <v>n/a</v>
      </c>
      <c r="BM110" s="343">
        <f>IF(INDEX(tab_MinKomp[Planowanie produkcji / Produktionsplanung],MATCH($B109,tab_MinKomp[[Stanowisko / Position ]:[Stanowisko / Position ]],0))="n/a","n/a",BM109-INDEX(tab_MinKomp[Planowanie produkcji / Produktionsplanung],MATCH($B109,tab_MinKomp[[Stanowisko / Position ]:[Stanowisko / Position ]],0)))</f>
        <v>-2</v>
      </c>
      <c r="BN110" s="343" t="str">
        <f>IF(INDEX(tab_MinKomp[Obsługa maszyn Engel / Engel Maschinenbedienung],MATCH($B109,tab_MinKomp[[Stanowisko / Position ]:[Stanowisko / Position ]],0))="n/a","n/a",BN109-INDEX(tab_MinKomp[Obsługa maszyn Engel / Engel Maschinenbedienung],MATCH($B109,tab_MinKomp[[Stanowisko / Position ]:[Stanowisko / Position ]],0)))</f>
        <v>n/a</v>
      </c>
      <c r="BO110" s="343" t="str">
        <f>IF(INDEX(tab_MinKomp[Obsługa maszyn KVT / KVT Maschinenbedienung],MATCH($B109,tab_MinKomp[[Stanowisko / Position ]:[Stanowisko / Position ]],0))="n/a","n/a",BO109-INDEX(tab_MinKomp[Obsługa maszyn KVT / KVT Maschinenbedienung],MATCH($B109,tab_MinKomp[[Stanowisko / Position ]:[Stanowisko / Position ]],0)))</f>
        <v>n/a</v>
      </c>
      <c r="BP110" s="343" t="str">
        <f>IF(INDEX(tab_MinKomp[Obsługa maszyn KVT / KVT Maschinenbedienung],MATCH($B109,tab_MinKomp[[Stanowisko / Position ]:[Stanowisko / Position ]],0))="n/a","n/a",BP109-INDEX(tab_MinKomp[Obsługa maszyn KVT / KVT Maschinenbedienung],MATCH($B109,tab_MinKomp[[Stanowisko / Position ]:[Stanowisko / Position ]],0)))</f>
        <v>n/a</v>
      </c>
      <c r="BQ110" s="343" t="str">
        <f>IF(INDEX(tab_MinKomp[Obsługa maszyn ASL / ASL Maschinenbedienung],MATCH($B109,tab_MinKomp[[Stanowisko / Position ]:[Stanowisko / Position ]],0))="n/a","n/a",BQ109-INDEX(tab_MinKomp[Obsługa maszyn ASL / ASL Maschinenbedienung],MATCH($B109,tab_MinKomp[[Stanowisko / Position ]:[Stanowisko / Position ]],0)))</f>
        <v>n/a</v>
      </c>
      <c r="BR110" s="343" t="str">
        <f>IF(INDEX(tab_MinKomp[Obsługa maszyn Branson / Branson Maschinenbedienung],MATCH($B109,tab_MinKomp[[Stanowisko / Position ]:[Stanowisko / Position ]],0))="n/a","n/a",BR109-INDEX(tab_MinKomp[Obsługa maszyn Branson / Branson Maschinenbedienung],MATCH($B109,tab_MinKomp[[Stanowisko / Position ]:[Stanowisko / Position ]],0)))</f>
        <v>n/a</v>
      </c>
      <c r="BS110" s="343">
        <f>IF(INDEX(tab_MinKomp[Obsługa maszyn Novapax / Novapax Maschinenbedienung],MATCH($B109,tab_MinKomp[[Stanowisko / Position ]:[Stanowisko / Position ]],0))="n/a","n/a",BS109-INDEX(tab_MinKomp[Obsługa maszyn Novapax / Novapax Maschinenbedienung],MATCH($B109,tab_MinKomp[[Stanowisko / Position ]:[Stanowisko / Position ]],0)))</f>
        <v>-3</v>
      </c>
      <c r="BT110" s="343" t="str">
        <f>IF(INDEX(tab_MinKomp[Obsługa maszyn Piovan / Piovan Maschinenbedienung],MATCH($B109,tab_MinKomp[[Stanowisko / Position ]:[Stanowisko / Position ]],0))="n/a","n/a",BT109-INDEX(tab_MinKomp[Obsługa maszyn Piovan / Piovan Maschinenbedienung],MATCH($B109,tab_MinKomp[[Stanowisko / Position ]:[Stanowisko / Position ]],0)))</f>
        <v>n/a</v>
      </c>
      <c r="BU110" s="343">
        <f>IF(INDEX(tab_MinKomp[Obsługa maszyn Novapax / Novapax Maschinenbedienung],MATCH($B109,tab_MinKomp[[Stanowisko / Position ]:[Stanowisko / Position ]],0))="n/a","n/a",BU109-INDEX(tab_MinKomp[Obsługa maszyn Novapax / Novapax Maschinenbedienung],MATCH($B109,tab_MinKomp[[Stanowisko / Position ]:[Stanowisko / Position ]],0)))</f>
        <v>-1</v>
      </c>
      <c r="BV110" s="343">
        <f>IF(INDEX(tab_MinKomp[Eliminacja awarii / Beseitigung von Ausfällen],MATCH($B109,tab_MinKomp[[Stanowisko / Position ]:[Stanowisko / Position ]],0))="n/a","n/a",BV109-INDEX(tab_MinKomp[Eliminacja awarii / Beseitigung von Ausfällen],MATCH($B109,tab_MinKomp[[Stanowisko / Position ]:[Stanowisko / Position ]],0)))</f>
        <v>-2</v>
      </c>
      <c r="BW110" s="343" t="str">
        <f>IF(INDEX(tab_MinKomp[Informatyka ogólna (techniczne i systemowe) / Allgemeine IT (Technik und System)],MATCH($B109,tab_MinKomp[[Stanowisko / Position ]:[Stanowisko / Position ]],0))="n/a","n/a",BW109-INDEX(tab_MinKomp[Informatyka ogólna (techniczne i systemowe) / Allgemeine IT (Technik und System)],MATCH($B109,tab_MinKomp[[Stanowisko / Position ]:[Stanowisko / Position ]],0)))</f>
        <v>n/a</v>
      </c>
      <c r="BX110" s="343" t="str">
        <f>IF(INDEX(tab_MinKomp[Sieci komputerowe / Computernetzwerke],MATCH($B109,tab_MinKomp[[Stanowisko / Position ]:[Stanowisko / Position ]],0))="n/a","n/a",BX109-INDEX(tab_MinKomp[Sieci komputerowe / Computernetzwerke],MATCH($B109,tab_MinKomp[[Stanowisko / Position ]:[Stanowisko / Position ]],0)))</f>
        <v>n/a</v>
      </c>
      <c r="BY110" s="343" t="str">
        <f>IF(INDEX(tab_MinKomp[Hardware (komputery PC, drukarki biurowe i etykietowe, telefonia stacjonarna i mobilna) (PC, Drucker, Telefpne, Handys)],MATCH($B109,tab_MinKomp[[Stanowisko / Position ]:[Stanowisko / Position ]],0))="n/a","n/a",BY109-INDEX(tab_MinKomp[Hardware (komputery PC, drukarki biurowe i etykietowe, telefonia stacjonarna i mobilna) (PC, Drucker, Telefpne, Handys)],MATCH($B109,tab_MinKomp[[Stanowisko / Position ]:[Stanowisko / Position ]],0)))</f>
        <v>n/a</v>
      </c>
      <c r="BZ110" s="343" t="str">
        <f>IF(INDEX(tab_MinKomp[Software &amp; Systems (MS Office, MS Remote Desktop)],MATCH($B109,tab_MinKomp[[Stanowisko / Position ]:[Stanowisko / Position ]],0))="n/a","n/a",BZ109-INDEX(tab_MinKomp[Software &amp; Systems (MS Office, MS Remote Desktop)],MATCH($B109,tab_MinKomp[[Stanowisko / Position ]:[Stanowisko / Position ]],0)))</f>
        <v>n/a</v>
      </c>
      <c r="CA110" s="343" t="str">
        <f>IF(INDEX(tab_MinKomp[Programowanie obiektowe (PHP) / Objektprogrammierung],MATCH($B109,tab_MinKomp[[Stanowisko / Position ]:[Stanowisko / Position ]],0))="n/a","n/a",CA109-INDEX(tab_MinKomp[Programowanie obiektowe (PHP) / Objektprogrammierung],MATCH($B109,tab_MinKomp[[Stanowisko / Position ]:[Stanowisko / Position ]],0)))</f>
        <v>n/a</v>
      </c>
      <c r="CB110" s="343" t="str">
        <f>IF(INDEX(tab_MinKomp[Scrum],MATCH($B109,tab_MinKomp[[Stanowisko / Position ]:[Stanowisko / Position ]],0))="n/a","n/a",CB109-INDEX(tab_MinKomp[Scrum],MATCH($B109,tab_MinKomp[[Stanowisko / Position ]:[Stanowisko / Position ]],0)))</f>
        <v>n/a</v>
      </c>
      <c r="CC110" s="343" t="str">
        <f>IF(INDEX(tab_MinKomp[SQL (MySQL)],MATCH($B109,tab_MinKomp[[Stanowisko / Position ]:[Stanowisko / Position ]],0))="n/a","n/a",CC109-INDEX(tab_MinKomp[SQL (MySQL)],MATCH($B109,tab_MinKomp[[Stanowisko / Position ]:[Stanowisko / Position ]],0)))</f>
        <v>n/a</v>
      </c>
      <c r="CD110" s="343" t="str">
        <f>IF(INDEX(tab_MinKomp[Javascript],MATCH($B109,tab_MinKomp[[Stanowisko / Position ]:[Stanowisko / Position ]],0))="n/a","n/a",CD109-INDEX(tab_MinKomp[Javascript],MATCH($B109,tab_MinKomp[[Stanowisko / Position ]:[Stanowisko / Position ]],0)))</f>
        <v>n/a</v>
      </c>
      <c r="CE110" s="343" t="str">
        <f>IF(INDEX(tab_MinKomp[Joomla],MATCH($B109,tab_MinKomp[[Stanowisko / Position ]:[Stanowisko / Position ]],0))="n/a","n/a",CE109-INDEX(tab_MinKomp[Joomla],MATCH($B109,tab_MinKomp[[Stanowisko / Position ]:[Stanowisko / Position ]],0)))</f>
        <v>n/a</v>
      </c>
      <c r="CF110" s="343" t="str">
        <f>IF(INDEX(tab_MinKomp[Bash],MATCH($B109,tab_MinKomp[[Stanowisko / Position ]:[Stanowisko / Position ]],0))="n/a","n/a",CF109-INDEX(tab_MinKomp[Bash],MATCH($B109,tab_MinKomp[[Stanowisko / Position ]:[Stanowisko / Position ]],0)))</f>
        <v>n/a</v>
      </c>
      <c r="CG110" s="343">
        <f>IF(INDEX(tab_MinKomp[Systemy MES (HYDRA / SFMS)],MATCH($B109,tab_MinKomp[[Stanowisko / Position ]:[Stanowisko / Position ]],0))="n/a","n/a",CG109-INDEX(tab_MinKomp[Systemy MES (HYDRA / SFMS)],MATCH($B109,tab_MinKomp[[Stanowisko / Position ]:[Stanowisko / Position ]],0)))</f>
        <v>-2</v>
      </c>
      <c r="CH110" s="343" t="str">
        <f>IF(INDEX(tab_MinKomp[HTML / CSS],MATCH($B109,tab_MinKomp[[Stanowisko / Position ]:[Stanowisko / Position ]],0))="n/a","n/a",CH109-INDEX(tab_MinKomp[HTML / CSS],MATCH($B109,tab_MinKomp[[Stanowisko / Position ]:[Stanowisko / Position ]],0)))</f>
        <v>n/a</v>
      </c>
      <c r="CI110" s="343" t="str">
        <f>IF(INDEX(tab_MinKomp[SYSTEM PR],MATCH($B109,tab_MinKomp[[Stanowisko / Position ]:[Stanowisko / Position ]],0))="n/a","n/a",CI109-INDEX(tab_MinKomp[SYSTEM PR],MATCH($B109,tab_MinKomp[[Stanowisko / Position ]:[Stanowisko / Position ]],0)))</f>
        <v>n/a</v>
      </c>
      <c r="CJ110" s="343" t="str">
        <f>IF(INDEX(tab_MinKomp[System Einkauf XP / EBA],MATCH($B109,tab_MinKomp[[Stanowisko / Position ]:[Stanowisko / Position ]],0))="n/a","n/a",CJ109-INDEX(tab_MinKomp[System Einkauf XP / EBA],MATCH($B109,tab_MinKomp[[Stanowisko / Position ]:[Stanowisko / Position ]],0)))</f>
        <v>n/a</v>
      </c>
      <c r="CK110" s="343" t="str">
        <f>IF(INDEX(tab_MinKomp[Techniki negocjacyjne / Verhandlungstechniken],MATCH($B109,tab_MinKomp[[Stanowisko / Position ]:[Stanowisko / Position ]],0))="n/a","n/a",CK109-INDEX(tab_MinKomp[Techniki negocjacyjne / Verhandlungstechniken],MATCH($B109,tab_MinKomp[[Stanowisko / Position ]:[Stanowisko / Position ]],0)))</f>
        <v>n/a</v>
      </c>
      <c r="CL110" s="343" t="str">
        <f>IF(INDEX(tab_MinKomp[Znajomość rynku branżowego / Kenntnis des Industrie Marktes],MATCH($B109,tab_MinKomp[[Stanowisko / Position ]:[Stanowisko / Position ]],0))="n/a","n/a",CL109-INDEX(tab_MinKomp[Znajomość rynku branżowego / Kenntnis des Industrie Marktes],MATCH($B109,tab_MinKomp[[Stanowisko / Position ]:[Stanowisko / Position ]],0)))</f>
        <v>n/a</v>
      </c>
      <c r="CM110" s="343">
        <f>IF(INDEX(tab_MinKomp[RAPORTY 8D / 8D Berichten],MATCH($B109,tab_MinKomp[[Stanowisko / Position ]:[Stanowisko / Position ]],0))="n/a","n/a",CM109-INDEX(tab_MinKomp[RAPORTY 8D / 8D Berichten],MATCH($B109,tab_MinKomp[[Stanowisko / Position ]:[Stanowisko / Position ]],0)))</f>
        <v>-1</v>
      </c>
      <c r="CN110" s="343">
        <f>IF(INDEX(tab_MinKomp[NARZĘDZIA JAKOŚCIOWE (5WHY, Ishikawa, etc) / QS-Werkzeuge],MATCH($B109,tab_MinKomp[[Stanowisko / Position ]:[Stanowisko / Position ]],0))="n/a","n/a",CN109-INDEX(tab_MinKomp[NARZĘDZIA JAKOŚCIOWE (5WHY, Ishikawa, etc) / QS-Werkzeuge],MATCH($B109,tab_MinKomp[[Stanowisko / Position ]:[Stanowisko / Position ]],0)))</f>
        <v>-1</v>
      </c>
      <c r="CO110" s="343">
        <f>IF(INDEX(tab_MinKomp[PDCA],MATCH($B109,tab_MinKomp[[Stanowisko / Position ]:[Stanowisko / Position ]],0))="n/a","n/a",CO109-INDEX(tab_MinKomp[PDCA],MATCH($B109,tab_MinKomp[[Stanowisko / Position ]:[Stanowisko / Position ]],0)))</f>
        <v>-1</v>
      </c>
      <c r="CP110" s="343">
        <f>IF(INDEX(tab_MinKomp[Pareto],MATCH($B109,tab_MinKomp[[Stanowisko / Position ]:[Stanowisko / Position ]],0))="n/a","n/a",CP109-INDEX(tab_MinKomp[Pareto],MATCH($B109,tab_MinKomp[[Stanowisko / Position ]:[Stanowisko / Position ]],0)))</f>
        <v>-1</v>
      </c>
      <c r="CQ110" s="343" t="str">
        <f>IF(INDEX(tab_MinKomp[PPAP/PSW],MATCH($B109,tab_MinKomp[[Stanowisko / Position ]:[Stanowisko / Position ]],0))="n/a","n/a",CQ109-INDEX(tab_MinKomp[PPAP/PSW],MATCH($B109,tab_MinKomp[[Stanowisko / Position ]:[Stanowisko / Position ]],0)))</f>
        <v>n/a</v>
      </c>
      <c r="CR110" s="343" t="str">
        <f>IF(INDEX(tab_MinKomp[SUPPLIER MANAGEMENT],MATCH($B109,tab_MinKomp[[Stanowisko / Position ]:[Stanowisko / Position ]],0))="n/a","n/a",CR109-INDEX(tab_MinKomp[SUPPLIER MANAGEMENT],MATCH($B109,tab_MinKomp[[Stanowisko / Position ]:[Stanowisko / Position ]],0)))</f>
        <v>n/a</v>
      </c>
      <c r="CS110" s="343" t="str">
        <f>IF(INDEX(tab_MinKomp[OBSŁUGA PORTALI KLIENTA / Kundenportale],MATCH($B109,tab_MinKomp[[Stanowisko / Position ]:[Stanowisko / Position ]],0))="n/a","n/a",CS109-INDEX(tab_MinKomp[OBSŁUGA PORTALI KLIENTA / Kundenportale],MATCH($B109,tab_MinKomp[[Stanowisko / Position ]:[Stanowisko / Position ]],0)))</f>
        <v>n/a</v>
      </c>
      <c r="CT110" s="343" t="str">
        <f>IF(INDEX(tab_MinKomp[Obsługa systemu BABTECQ / BABTECQ System],MATCH($B109,tab_MinKomp[[Stanowisko / Position ]:[Stanowisko / Position ]],0))="n/a","n/a",CT109-INDEX(tab_MinKomp[Obsługa systemu BABTECQ / BABTECQ System],MATCH($B109,tab_MinKomp[[Stanowisko / Position ]:[Stanowisko / Position ]],0)))</f>
        <v>n/a</v>
      </c>
      <c r="CU110" s="343" t="str">
        <f>IF(INDEX(tab_MinKomp[Rysunek techniczny / technische Zeichnung],MATCH($B109,tab_MinKomp[[Stanowisko / Position ]:[Stanowisko / Position ]],0))="n/a","n/a",CU109-INDEX(tab_MinKomp[Rysunek techniczny / technische Zeichnung],MATCH($B109,tab_MinKomp[[Stanowisko / Position ]:[Stanowisko / Position ]],0)))</f>
        <v>n/a</v>
      </c>
      <c r="CV110" s="343" t="str">
        <f>IF(INDEX(tab_MinKomp[Kalibracja / Kalibrierung],MATCH($B109,tab_MinKomp[[Stanowisko / Position ]:[Stanowisko / Position ]],0))="n/a","n/a",CV109-INDEX(tab_MinKomp[Kalibracja / Kalibrierung],MATCH($B109,tab_MinKomp[[Stanowisko / Position ]:[Stanowisko / Position ]],0)))</f>
        <v>n/a</v>
      </c>
      <c r="CW110" s="343" t="str">
        <f>IF(INDEX(tab_MinKomp[Rekwalifikacja / Requalifizierung],MATCH($B109,tab_MinKomp[[Stanowisko / Position ]:[Stanowisko / Position ]],0))="n/a","n/a",CW109-INDEX(tab_MinKomp[Rekwalifikacja / Requalifizierung],MATCH($B109,tab_MinKomp[[Stanowisko / Position ]:[Stanowisko / Position ]],0)))</f>
        <v>n/a</v>
      </c>
      <c r="CX110" s="315" t="str">
        <f>IF(INDEX(tab_MinKomp[CMM - Contura Zeiss],MATCH($B109,tab_MinKomp[[Stanowisko / Position ]:[Stanowisko / Position ]],0))="n/a","n/a",CX109-INDEX(tab_MinKomp[CMM - Contura Zeiss],MATCH($B109,tab_MinKomp[[Stanowisko / Position ]:[Stanowisko / Position ]],0)))</f>
        <v>n/a</v>
      </c>
      <c r="CY110" s="315" t="str">
        <f>IF(INDEX(tab_MinKomp[CMM - Contura Zeiss],MATCH($B109,tab_MinKomp[[Stanowisko / Position ]:[Stanowisko / Position ]],0))="n/a","n/a",CY109-INDEX(tab_MinKomp[CMM - Contura Zeiss],MATCH($B109,tab_MinKomp[[Stanowisko / Position ]:[Stanowisko / Position ]],0)))</f>
        <v>n/a</v>
      </c>
      <c r="CZ110" s="315" t="str">
        <f>IF(INDEX(tab_MinKomp[CMM - Contura Zeiss],MATCH($B109,tab_MinKomp[[Stanowisko / Position ]:[Stanowisko / Position ]],0))="n/a","n/a",CZ109-INDEX(tab_MinKomp[CMM - Contura Zeiss],MATCH($B109,tab_MinKomp[[Stanowisko / Position ]:[Stanowisko / Position ]],0)))</f>
        <v>n/a</v>
      </c>
      <c r="DA110" s="315" t="str">
        <f>IF(INDEX(tab_MinKomp[CMM - Contura Zeiss],MATCH($B109,tab_MinKomp[[Stanowisko / Position ]:[Stanowisko / Position ]],0))="n/a","n/a",DA109-INDEX(tab_MinKomp[CMM - Contura Zeiss],MATCH($B109,tab_MinKomp[[Stanowisko / Position ]:[Stanowisko / Position ]],0)))</f>
        <v>n/a</v>
      </c>
      <c r="DB110" s="315" t="str">
        <f>IF(INDEX(tab_MinKomp[CMM - Contura Zeiss],MATCH($B109,tab_MinKomp[[Stanowisko / Position ]:[Stanowisko / Position ]],0))="n/a","n/a",DB109-INDEX(tab_MinKomp[CMM - Contura Zeiss],MATCH($B109,tab_MinKomp[[Stanowisko / Position ]:[Stanowisko / Position ]],0)))</f>
        <v>n/a</v>
      </c>
      <c r="DC110" s="315" t="str">
        <f>IF(INDEX(tab_MinKomp[CMM - Contura Zeiss],MATCH($B109,tab_MinKomp[[Stanowisko / Position ]:[Stanowisko / Position ]],0))="n/a","n/a",DC109-INDEX(tab_MinKomp[CMM - Contura Zeiss],MATCH($B109,tab_MinKomp[[Stanowisko / Position ]:[Stanowisko / Position ]],0)))</f>
        <v>n/a</v>
      </c>
      <c r="DD110" s="315" t="str">
        <f>IF(INDEX(tab_MinKomp[Pisanie programów / Programme schreiben],MATCH($B109,tab_MinKomp[[Stanowisko / Position ]:[Stanowisko / Position ]],0))="n/a","n/a",DD109-INDEX(tab_MinKomp[Pisanie programów / Programme schreiben],MATCH($B109,tab_MinKomp[[Stanowisko / Position ]:[Stanowisko / Position ]],0)))</f>
        <v>n/a</v>
      </c>
      <c r="DE110" s="315" t="str">
        <f>IF(INDEX(tab_MinKomp[CMM - Contura Zeiss],MATCH($B109,tab_MinKomp[[Stanowisko / Position ]:[Stanowisko / Position ]],0))="n/a","n/a",DE109-INDEX(tab_MinKomp[CMM - Contura Zeiss],MATCH($B109,tab_MinKomp[[Stanowisko / Position ]:[Stanowisko / Position ]],0)))</f>
        <v>n/a</v>
      </c>
      <c r="DF110" s="315" t="str">
        <f>IF(INDEX(tab_MinKomp[CMM - Contura Zeiss],MATCH($B109,tab_MinKomp[[Stanowisko / Position ]:[Stanowisko / Position ]],0))="n/a","n/a",DF109-INDEX(tab_MinKomp[CMM - Contura Zeiss],MATCH($B109,tab_MinKomp[[Stanowisko / Position ]:[Stanowisko / Position ]],0)))</f>
        <v>n/a</v>
      </c>
      <c r="DG110" s="315" t="str">
        <f>IF(INDEX(tab_MinKomp[CMM - Contura Zeiss],MATCH($B109,tab_MinKomp[[Stanowisko / Position ]:[Stanowisko / Position ]],0))="n/a","n/a",DG109-INDEX(tab_MinKomp[CMM - Contura Zeiss],MATCH($B109,tab_MinKomp[[Stanowisko / Position ]:[Stanowisko / Position ]],0)))</f>
        <v>n/a</v>
      </c>
      <c r="DH110" s="315" t="str">
        <f>IF(INDEX(tab_MinKomp[CMM - Contura Zeiss],MATCH($B109,tab_MinKomp[[Stanowisko / Position ]:[Stanowisko / Position ]],0))="n/a","n/a",DH109-INDEX(tab_MinKomp[CMM - Contura Zeiss],MATCH($B109,tab_MinKomp[[Stanowisko / Position ]:[Stanowisko / Position ]],0)))</f>
        <v>n/a</v>
      </c>
      <c r="DI110" s="315" t="str">
        <f>IF(INDEX(tab_MinKomp[CMM - Contura Zeiss],MATCH($B109,tab_MinKomp[[Stanowisko / Position ]:[Stanowisko / Position ]],0))="n/a","n/a",DI109-INDEX(tab_MinKomp[CMM - Contura Zeiss],MATCH($B109,tab_MinKomp[[Stanowisko / Position ]:[Stanowisko / Position ]],0)))</f>
        <v>n/a</v>
      </c>
      <c r="DJ110" s="315" t="str">
        <f>IF(INDEX(tab_MinKomp[CMM - Contura Zeiss],MATCH($B109,tab_MinKomp[[Stanowisko / Position ]:[Stanowisko / Position ]],0))="n/a","n/a",DJ109-INDEX(tab_MinKomp[CMM - Contura Zeiss],MATCH($B109,tab_MinKomp[[Stanowisko / Position ]:[Stanowisko / Position ]],0)))</f>
        <v>n/a</v>
      </c>
      <c r="DK110" s="315" t="str">
        <f>IF(INDEX(tab_MinKomp[Pisanie programów / Programme schreiben],MATCH($B109,tab_MinKomp[[Stanowisko / Position ]:[Stanowisko / Position ]],0))="n/a","n/a",DK109-INDEX(tab_MinKomp[Pisanie programów / Programme schreiben],MATCH($B109,tab_MinKomp[[Stanowisko / Position ]:[Stanowisko / Position ]],0)))</f>
        <v>n/a</v>
      </c>
      <c r="DL110" s="315" t="str">
        <f>IF(INDEX(tab_MinKomp[CMM - Contura Zeiss],MATCH($B109,tab_MinKomp[[Stanowisko / Position ]:[Stanowisko / Position ]],0))="n/a","n/a",DL109-INDEX(tab_MinKomp[CMM - Contura Zeiss],MATCH($B109,tab_MinKomp[[Stanowisko / Position ]:[Stanowisko / Position ]],0)))</f>
        <v>n/a</v>
      </c>
      <c r="DM110" s="315" t="str">
        <f>IF(INDEX(tab_MinKomp[CMM - Contura Zeiss],MATCH($B109,tab_MinKomp[[Stanowisko / Position ]:[Stanowisko / Position ]],0))="n/a","n/a",DM109-INDEX(tab_MinKomp[CMM - Contura Zeiss],MATCH($B109,tab_MinKomp[[Stanowisko / Position ]:[Stanowisko / Position ]],0)))</f>
        <v>n/a</v>
      </c>
      <c r="DN110" s="315" t="str">
        <f>IF(INDEX(tab_MinKomp[CMM - Contura Zeiss],MATCH($B109,tab_MinKomp[[Stanowisko / Position ]:[Stanowisko / Position ]],0))="n/a","n/a",DN109-INDEX(tab_MinKomp[CMM - Contura Zeiss],MATCH($B109,tab_MinKomp[[Stanowisko / Position ]:[Stanowisko / Position ]],0)))</f>
        <v>n/a</v>
      </c>
      <c r="DO110" s="315" t="str">
        <f>IF(INDEX(tab_MinKomp[CMM - Contura Zeiss],MATCH($B109,tab_MinKomp[[Stanowisko / Position ]:[Stanowisko / Position ]],0))="n/a","n/a",DO109-INDEX(tab_MinKomp[CMM - Contura Zeiss],MATCH($B109,tab_MinKomp[[Stanowisko / Position ]:[Stanowisko / Position ]],0)))</f>
        <v>n/a</v>
      </c>
      <c r="DP110" s="315" t="str">
        <f>IF(INDEX(tab_MinKomp[CMM - Contura Zeiss],MATCH($B109,tab_MinKomp[[Stanowisko / Position ]:[Stanowisko / Position ]],0))="n/a","n/a",DP109-INDEX(tab_MinKomp[CMM - Contura Zeiss],MATCH($B109,tab_MinKomp[[Stanowisko / Position ]:[Stanowisko / Position ]],0)))</f>
        <v>n/a</v>
      </c>
      <c r="DQ110" s="315" t="str">
        <f>IF(INDEX(tab_MinKomp[CMM - Contura Zeiss],MATCH($B109,tab_MinKomp[[Stanowisko / Position ]:[Stanowisko / Position ]],0))="n/a","n/a",DQ109-INDEX(tab_MinKomp[CMM - Contura Zeiss],MATCH($B109,tab_MinKomp[[Stanowisko / Position ]:[Stanowisko / Position ]],0)))</f>
        <v>n/a</v>
      </c>
      <c r="DR110" s="315" t="str">
        <f>IF(INDEX(tab_MinKomp[Pisanie programów / Programme schreiben],MATCH($B109,tab_MinKomp[[Stanowisko / Position ]:[Stanowisko / Position ]],0))="n/a","n/a",DR109-INDEX(tab_MinKomp[Pisanie programów / Programme schreiben],MATCH($B109,tab_MinKomp[[Stanowisko / Position ]:[Stanowisko / Position ]],0)))</f>
        <v>n/a</v>
      </c>
      <c r="DS110" s="315" t="str">
        <f>IF(INDEX(tab_MinKomp[CMM - Contura Zeiss],MATCH($B109,tab_MinKomp[[Stanowisko / Position ]:[Stanowisko / Position ]],0))="n/a","n/a",DS109-INDEX(tab_MinKomp[CMM - Contura Zeiss],MATCH($B109,tab_MinKomp[[Stanowisko / Position ]:[Stanowisko / Position ]],0)))</f>
        <v>n/a</v>
      </c>
      <c r="DT110" s="315" t="str">
        <f>IF(INDEX(tab_MinKomp[CMM - Contura Zeiss],MATCH($B109,tab_MinKomp[[Stanowisko / Position ]:[Stanowisko / Position ]],0))="n/a","n/a",DT109-INDEX(tab_MinKomp[CMM - Contura Zeiss],MATCH($B109,tab_MinKomp[[Stanowisko / Position ]:[Stanowisko / Position ]],0)))</f>
        <v>n/a</v>
      </c>
      <c r="DU110" s="315" t="str">
        <f>IF(INDEX(tab_MinKomp[CMM - Contura Zeiss],MATCH($B109,tab_MinKomp[[Stanowisko / Position ]:[Stanowisko / Position ]],0))="n/a","n/a",DU109-INDEX(tab_MinKomp[CMM - Contura Zeiss],MATCH($B109,tab_MinKomp[[Stanowisko / Position ]:[Stanowisko / Position ]],0)))</f>
        <v>n/a</v>
      </c>
      <c r="DV110" s="315" t="str">
        <f>IF(INDEX(tab_MinKomp[CMM - Contura Zeiss],MATCH($B109,tab_MinKomp[[Stanowisko / Position ]:[Stanowisko / Position ]],0))="n/a","n/a",DV109-INDEX(tab_MinKomp[CMM - Contura Zeiss],MATCH($B109,tab_MinKomp[[Stanowisko / Position ]:[Stanowisko / Position ]],0)))</f>
        <v>n/a</v>
      </c>
      <c r="DW110" s="315" t="str">
        <f>IF(INDEX(tab_MinKomp[CMM - Contura Zeiss],MATCH($B109,tab_MinKomp[[Stanowisko / Position ]:[Stanowisko / Position ]],0))="n/a","n/a",DW109-INDEX(tab_MinKomp[CMM - Contura Zeiss],MATCH($B109,tab_MinKomp[[Stanowisko / Position ]:[Stanowisko / Position ]],0)))</f>
        <v>n/a</v>
      </c>
      <c r="DX110" s="315" t="str">
        <f>IF(INDEX(tab_MinKomp[CMM - Contura Zeiss],MATCH($B109,tab_MinKomp[[Stanowisko / Position ]:[Stanowisko / Position ]],0))="n/a","n/a",DX109-INDEX(tab_MinKomp[CMM - Contura Zeiss],MATCH($B109,tab_MinKomp[[Stanowisko / Position ]:[Stanowisko / Position ]],0)))</f>
        <v>n/a</v>
      </c>
      <c r="DY110" s="343" t="str">
        <f>IF(INDEX(tab_MinKomp[Konserwacja Rep],MATCH($B109,tab_MinKomp[[Stanowisko / Position ]:[Stanowisko / Position ]],0))="n/a","n/a",DY109-INDEX(tab_MinKomp[Konserwacja Rep],MATCH($B109,tab_MinKomp[[Stanowisko / Position ]:[Stanowisko / Position ]],0)))</f>
        <v>n/a</v>
      </c>
      <c r="DZ110" s="343" t="str">
        <f>IF(INDEX(tab_MinKomp[[Konserwacja Engel ]],MATCH($B109,tab_MinKomp[[Stanowisko / Position ]:[Stanowisko / Position ]],0))="n/a","n/a",DZ109-INDEX(tab_MinKomp[[Konserwacja Engel ]],MATCH($B109,tab_MinKomp[[Stanowisko / Position ]:[Stanowisko / Position ]],0)))</f>
        <v>n/a</v>
      </c>
      <c r="EA110" s="343" t="str">
        <f>IF(INDEX(tab_MinKomp[Konserwacja B 50],MATCH($B109,tab_MinKomp[[Stanowisko / Position ]:[Stanowisko / Position ]],0))="n/a","n/a",EA109-INDEX(tab_MinKomp[Konserwacja B 50],MATCH($B109,tab_MinKomp[[Stanowisko / Position ]:[Stanowisko / Position ]],0)))</f>
        <v>n/a</v>
      </c>
      <c r="EB110" s="343" t="str">
        <f>IF(INDEX(tab_MinKomp[[Konserwacja EOL ]],MATCH($B109,tab_MinKomp[[Stanowisko / Position ]:[Stanowisko / Position ]],0))="n/a","n/a",EB109-INDEX(tab_MinKomp[[Konserwacja EOL ]],MATCH($B109,tab_MinKomp[[Stanowisko / Position ]:[Stanowisko / Position ]],0)))</f>
        <v>n/a</v>
      </c>
      <c r="EC110" s="343" t="str">
        <f>IF(INDEX(tab_MinKomp[Konserwacja Branson],MATCH($B109,tab_MinKomp[[Stanowisko / Position ]:[Stanowisko / Position ]],0))="n/a","n/a",EC109-INDEX(tab_MinKomp[Konserwacja Branson],MATCH($B109,tab_MinKomp[[Stanowisko / Position ]:[Stanowisko / Position ]],0)))</f>
        <v>n/a</v>
      </c>
      <c r="ED110" s="343" t="str">
        <f>IF(INDEX(tab_MinKomp[Konserwacja coolery],MATCH($B109,tab_MinKomp[[Stanowisko / Position ]:[Stanowisko / Position ]],0))="n/a","n/a",ED109-INDEX(tab_MinKomp[Konserwacja coolery],MATCH($B109,tab_MinKomp[[Stanowisko / Position ]:[Stanowisko / Position ]],0)))</f>
        <v>n/a</v>
      </c>
      <c r="EE110" s="343" t="str">
        <f>IF(INDEX(tab_MinKomp[Konserwacja piecy],MATCH($B109,tab_MinKomp[[Stanowisko / Position ]:[Stanowisko / Position ]],0))="n/a","n/a",EE109-INDEX(tab_MinKomp[Konserwacja piecy],MATCH($B109,tab_MinKomp[[Stanowisko / Position ]:[Stanowisko / Position ]],0)))</f>
        <v>n/a</v>
      </c>
      <c r="EF110" s="343" t="str">
        <f>IF(INDEX(tab_MinKomp[Rysunek techniczny- czytanie],MATCH($B109,tab_MinKomp[[Stanowisko / Position ]:[Stanowisko / Position ]],0))="n/a","n/a",EF109-INDEX(tab_MinKomp[Rysunek techniczny- czytanie],MATCH($B109,tab_MinKomp[[Stanowisko / Position ]:[Stanowisko / Position ]],0)))</f>
        <v>n/a</v>
      </c>
      <c r="EG110" s="343" t="str">
        <f>IF(INDEX(tab_MinKomp[Elektryka],MATCH($B109,tab_MinKomp[[Stanowisko / Position ]:[Stanowisko / Position ]],0))="n/a","n/a",EG109-INDEX(tab_MinKomp[Elektryka],MATCH($B109,tab_MinKomp[[Stanowisko / Position ]:[Stanowisko / Position ]],0)))</f>
        <v>n/a</v>
      </c>
      <c r="EH110" s="343" t="str">
        <f>IF(INDEX(tab_MinKomp[Pneumatyka],MATCH($B109,tab_MinKomp[[Stanowisko / Position ]:[Stanowisko / Position ]],0))="n/a","n/a",EH109-INDEX(tab_MinKomp[Pneumatyka],MATCH($B109,tab_MinKomp[[Stanowisko / Position ]:[Stanowisko / Position ]],0)))</f>
        <v>n/a</v>
      </c>
      <c r="EI110" s="343" t="str">
        <f>IF(INDEX(tab_MinKomp[[Hydraulika ]],MATCH($B109,tab_MinKomp[[Stanowisko / Position ]:[Stanowisko / Position ]],0))="n/a","n/a",EI109-INDEX(tab_MinKomp[[Hydraulika ]],MATCH($B109,tab_MinKomp[[Stanowisko / Position ]:[Stanowisko / Position ]],0)))</f>
        <v>n/a</v>
      </c>
      <c r="EJ110" s="343" t="str">
        <f>IF(INDEX(tab_MinKomp[Podciśnienie],MATCH($B109,tab_MinKomp[[Stanowisko / Position ]:[Stanowisko / Position ]],0))="n/a","n/a",EJ109-INDEX(tab_MinKomp[Podciśnienie],MATCH($B109,tab_MinKomp[[Stanowisko / Position ]:[Stanowisko / Position ]],0)))</f>
        <v>n/a</v>
      </c>
      <c r="EK110" s="343" t="str">
        <f>IF(INDEX(tab_MinKomp[Usuwanie awarii],MATCH($B109,tab_MinKomp[[Stanowisko / Position ]:[Stanowisko / Position ]],0))="n/a","n/a",EK109-INDEX(tab_MinKomp[Usuwanie awarii],MATCH($B109,tab_MinKomp[[Stanowisko / Position ]:[Stanowisko / Position ]],0)))</f>
        <v>n/a</v>
      </c>
      <c r="EL110" s="343" t="str">
        <f>IF(INDEX(tab_MinKomp[Obsługa robotów],MATCH($B109,tab_MinKomp[[Stanowisko / Position ]:[Stanowisko / Position ]],0))="n/a","n/a",EL109-INDEX(tab_MinKomp[Obsługa robotów],MATCH($B109,tab_MinKomp[[Stanowisko / Position ]:[Stanowisko / Position ]],0)))</f>
        <v>n/a</v>
      </c>
      <c r="EM110" s="343" t="str">
        <f>IF(INDEX(tab_MinKomp[Obsługa sterowania maszyny],MATCH($B109,tab_MinKomp[[Stanowisko / Position ]:[Stanowisko / Position ]],0))="n/a","n/a",EM109-INDEX(tab_MinKomp[Obsługa sterowania maszyny],MATCH($B109,tab_MinKomp[[Stanowisko / Position ]:[Stanowisko / Position ]],0)))</f>
        <v>n/a</v>
      </c>
      <c r="EN110" s="343" t="str">
        <f>IF(INDEX(tab_MinKomp[Usuwanie przyczyn żródłowych],MATCH($B109,tab_MinKomp[[Stanowisko / Position ]:[Stanowisko / Position ]],0))="n/a","n/a",EN109-INDEX(tab_MinKomp[Usuwanie przyczyn żródłowych],MATCH($B109,tab_MinKomp[[Stanowisko / Position ]:[Stanowisko / Position ]],0)))</f>
        <v>n/a</v>
      </c>
      <c r="EO110" s="343" t="str">
        <f>IF(INDEX(tab_MinKomp[Cmms stosowanie],MATCH($B109,tab_MinKomp[[Stanowisko / Position ]:[Stanowisko / Position ]],0))="n/a","n/a",EO109-INDEX(tab_MinKomp[Cmms stosowanie],MATCH($B109,tab_MinKomp[[Stanowisko / Position ]:[Stanowisko / Position ]],0)))</f>
        <v>n/a</v>
      </c>
      <c r="EP110" s="343" t="str">
        <f>IF(INDEX(tab_MinKomp[[Czyszczenie form gumowych ]],MATCH($B109,tab_MinKomp[[Stanowisko / Position ]:[Stanowisko / Position ]],0))="n/a","n/a",EP109-INDEX(tab_MinKomp[[Czyszczenie form gumowych ]],MATCH($B109,tab_MinKomp[[Stanowisko / Position ]:[Stanowisko / Position ]],0)))</f>
        <v>n/a</v>
      </c>
      <c r="EQ110" s="343" t="str">
        <f>IF(INDEX(tab_MinKomp[Czyszczenie form plastikowych],MATCH($B109,tab_MinKomp[[Stanowisko / Position ]:[Stanowisko / Position ]],0))="n/a","n/a",EQ109-INDEX(tab_MinKomp[Czyszczenie form plastikowych],MATCH($B109,tab_MinKomp[[Stanowisko / Position ]:[Stanowisko / Position ]],0)))</f>
        <v>n/a</v>
      </c>
      <c r="ER110" s="343" t="str">
        <f>IF(INDEX(tab_MinKomp[Wymiana form plastik],MATCH($B109,tab_MinKomp[[Stanowisko / Position ]:[Stanowisko / Position ]],0))="n/a","n/a",ER109-INDEX(tab_MinKomp[Wymiana form plastik],MATCH($B109,tab_MinKomp[[Stanowisko / Position ]:[Stanowisko / Position ]],0)))</f>
        <v>n/a</v>
      </c>
      <c r="ES110" s="343" t="str">
        <f>IF(INDEX(tab_MinKomp[Wymiana form guma],MATCH($B109,tab_MinKomp[[Stanowisko / Position ]:[Stanowisko / Position ]],0))="n/a","n/a",ES109-INDEX(tab_MinKomp[Wymiana form guma],MATCH($B109,tab_MinKomp[[Stanowisko / Position ]:[Stanowisko / Position ]],0)))</f>
        <v>n/a</v>
      </c>
      <c r="ET110" s="343" t="str">
        <f>IF(INDEX(tab_MinKomp[Konserwacja KK],MATCH($B109,tab_MinKomp[[Stanowisko / Position ]:[Stanowisko / Position ]],0))="n/a","n/a",ET109-INDEX(tab_MinKomp[Konserwacja KK],MATCH($B109,tab_MinKomp[[Stanowisko / Position ]:[Stanowisko / Position ]],0)))</f>
        <v>n/a</v>
      </c>
      <c r="EU110" s="343" t="str">
        <f>IF(INDEX(tab_MinKomp[Konserwacja form guma],MATCH($B109,tab_MinKomp[[Stanowisko / Position ]:[Stanowisko / Position ]],0))="n/a","n/a",EU109-INDEX(tab_MinKomp[Konserwacja form guma],MATCH($B109,tab_MinKomp[[Stanowisko / Position ]:[Stanowisko / Position ]],0)))</f>
        <v>n/a</v>
      </c>
      <c r="EV110" s="343" t="str">
        <f>IF(INDEX(tab_MinKomp[Konserwacja form plastiki],MATCH($B109,tab_MinKomp[[Stanowisko / Position ]:[Stanowisko / Position ]],0))="n/a","n/a",EV109-INDEX(tab_MinKomp[Konserwacja form plastiki],MATCH($B109,tab_MinKomp[[Stanowisko / Position ]:[Stanowisko / Position ]],0)))</f>
        <v>n/a</v>
      </c>
      <c r="EW110" s="330" t="str">
        <f>IF(INDEX(tab_MinKomp[Konserwacja form plastiki],MATCH($B109,tab_MinKomp[[Stanowisko / Position ]:[Stanowisko / Position ]],0))="n/a","n/a",EW109-INDEX(tab_MinKomp[Konserwacja form plastiki],MATCH($B109,tab_MinKomp[[Stanowisko / Position ]:[Stanowisko / Position ]],0)))</f>
        <v>n/a</v>
      </c>
      <c r="EX110" s="343" t="str">
        <f>IF(INDEX(tab_MinKomp[Konserwacja Gorącego Kanału],MATCH($B109,tab_MinKomp[[Stanowisko / Position ]:[Stanowisko / Position ]],0))="n/a","n/a",EX109-INDEX(tab_MinKomp[Konserwacja Gorącego Kanału],MATCH($B109,tab_MinKomp[[Stanowisko / Position ]:[Stanowisko / Position ]],0)))</f>
        <v>n/a</v>
      </c>
      <c r="EY110" s="343">
        <f>IF(INDEX(tab_MinKomp[MS Office (Excel)],MATCH($B109,tab_MinKomp[[Stanowisko / Position ]:[Stanowisko / Position ]],0))="n/a","n/a",EY109-INDEX(tab_MinKomp[MS Office (Excel)],MATCH($B109,tab_MinKomp[[Stanowisko / Position ]:[Stanowisko / Position ]],0)))</f>
        <v>-1</v>
      </c>
      <c r="EZ110" s="343">
        <f>IF(INDEX(tab_MinKomp[MS Office (Word)],MATCH($B109,tab_MinKomp[[Stanowisko / Position ]:[Stanowisko / Position ]],0))="n/a","n/a",EZ109-INDEX(tab_MinKomp[MS Office (Word)],MATCH($B109,tab_MinKomp[[Stanowisko / Position ]:[Stanowisko / Position ]],0)))</f>
        <v>-1</v>
      </c>
      <c r="FA110" s="343">
        <f>IF(INDEX(tab_MinKomp[MS Office (Power Point)],MATCH($B109,tab_MinKomp[[Stanowisko / Position ]:[Stanowisko / Position ]],0))="n/a","n/a",FA109-INDEX(tab_MinKomp[MS Office (Power Point)],MATCH($B109,tab_MinKomp[[Stanowisko / Position ]:[Stanowisko / Position ]],0)))</f>
        <v>-1</v>
      </c>
      <c r="FB110" s="343" t="str">
        <f>IF(INDEX(tab_MinKomp[Język angielski / Englisch],MATCH($B109,tab_MinKomp[[Stanowisko / Position ]:[Stanowisko / Position ]],0))="n/a","n/a",FB109-INDEX(tab_MinKomp[Język angielski / Englisch],MATCH($B109,tab_MinKomp[[Stanowisko / Position ]:[Stanowisko / Position ]],0)))</f>
        <v>n/a</v>
      </c>
      <c r="FC110" s="343" t="str">
        <f>IF(INDEX(tab_MinKomp[Język niemiecki / Deutsch],MATCH($B109,tab_MinKomp[[Stanowisko / Position ]:[Stanowisko / Position ]],0))="n/a","n/a",FC109-INDEX(tab_MinKomp[Język niemiecki / Deutsch],MATCH($B109,tab_MinKomp[[Stanowisko / Position ]:[Stanowisko / Position ]],0)))</f>
        <v>n/a</v>
      </c>
      <c r="FD110" s="343">
        <f>IF(INDEX(tab_MinKomp[Zarządzanie dokumentacją procesową / Process dokumentation management],MATCH($B109,tab_MinKomp[[Stanowisko / Position ]:[Stanowisko / Position ]],0))="n/a","n/a",FD109-INDEX(tab_MinKomp[Zarządzanie dokumentacją procesową / Process dokumentation management],MATCH($B109,tab_MinKomp[[Stanowisko / Position ]:[Stanowisko / Position ]],0)))</f>
        <v>-2</v>
      </c>
      <c r="FE110" s="343">
        <f>IF(INDEX(tab_MinKomp[Znajomość procesów z obszaru / Kenntiss der prozesse in dem Bereich],MATCH($B109,tab_MinKomp[[Stanowisko / Position ]:[Stanowisko / Position ]],0))="n/a","n/a",FE109-INDEX(tab_MinKomp[Znajomość procesów z obszaru / Kenntiss der prozesse in dem Bereich],MATCH($B109,tab_MinKomp[[Stanowisko / Position ]:[Stanowisko / Position ]],0)))</f>
        <v>0</v>
      </c>
      <c r="FF110" s="343">
        <f>IF(INDEX(tab_MinKomp[optymalizacja procesów / Prozessoptymalisierung],MATCH($B109,tab_MinKomp[[Stanowisko / Position ]:[Stanowisko / Position ]],0))="n/a","n/a",FF109-INDEX(tab_MinKomp[optymalizacja procesów / Prozessoptymalisierung],MATCH($B109,tab_MinKomp[[Stanowisko / Position ]:[Stanowisko / Position ]],0)))</f>
        <v>-1</v>
      </c>
      <c r="FG110" s="343">
        <f>IF(INDEX(tab_MinKomp[Umiejętności szkoleniowe / Trainingsfähigkeiten],MATCH($B109,tab_MinKomp[[Stanowisko / Position ]:[Stanowisko / Position ]],0))="n/a","n/a",FG109-INDEX(tab_MinKomp[Umiejętności szkoleniowe / Trainingsfähigkeiten],MATCH($B109,tab_MinKomp[[Stanowisko / Position ]:[Stanowisko / Position ]],0)))</f>
        <v>-1</v>
      </c>
      <c r="FH110" s="343">
        <f>IF(INDEX(tab_MinKomp[Analityczne myślenie, podejście / Analitysches Denken, Einstellung],MATCH($B109,tab_MinKomp[[Stanowisko / Position ]:[Stanowisko / Position ]],0))="n/a","n/a",FH109-INDEX(tab_MinKomp[Analityczne myślenie, podejście / Analitysches Denken, Einstellung],MATCH($B109,tab_MinKomp[[Stanowisko / Position ]:[Stanowisko / Position ]],0)))</f>
        <v>-1</v>
      </c>
      <c r="FI110" s="343">
        <f>IF(INDEX(tab_MinKomp[Dokładność, precyzja w dzialaniu / Genauigkeit, Präzision in die Arbeit],MATCH($B109,tab_MinKomp[[Stanowisko / Position ]:[Stanowisko / Position ]],0))="n/a","n/a",FI109-INDEX(tab_MinKomp[Dokładność, precyzja w dzialaniu / Genauigkeit, Präzision in die Arbeit],MATCH($B109,tab_MinKomp[[Stanowisko / Position ]:[Stanowisko / Position ]],0)))</f>
        <v>-1</v>
      </c>
      <c r="FJ110" s="343">
        <f>IF(INDEX(tab_MinKomp[Dyspozycyjność / Verfügbarkeit],MATCH($B109,tab_MinKomp[[Stanowisko / Position ]:[Stanowisko / Position ]],0))="n/a","n/a",FJ109-INDEX(tab_MinKomp[Dyspozycyjność / Verfügbarkeit],MATCH($B109,tab_MinKomp[[Stanowisko / Position ]:[Stanowisko / Position ]],0)))</f>
        <v>-1</v>
      </c>
      <c r="FK110" s="343">
        <f>IF(INDEX(tab_MinKomp[Zaangażowanie / 
Engagement],MATCH($B109,tab_MinKomp[[Stanowisko / Position ]:[Stanowisko / Position ]],0))="n/a","n/a",FK109-INDEX(tab_MinKomp[Zaangażowanie / 
Engagement],MATCH($B109,tab_MinKomp[[Stanowisko / Position ]:[Stanowisko / Position ]],0)))</f>
        <v>-1</v>
      </c>
      <c r="FL110" s="343">
        <f>IF(INDEX(tab_MinKomp[Planowanie strategiczne / Strategische Planung],MATCH($B109,tab_MinKomp[[Stanowisko / Position ]:[Stanowisko / Position ]],0))="n/a","n/a",FL109-INDEX(tab_MinKomp[Planowanie strategiczne / Strategische Planung],MATCH($B109,tab_MinKomp[[Stanowisko / Position ]:[Stanowisko / Position ]],0)))</f>
        <v>-1</v>
      </c>
      <c r="FM110" s="343">
        <f>IF(INDEX(tab_MinKomp[Konsekwentne i dynamiczne działanie],MATCH($B109,tab_MinKomp[[Stanowisko / Position ]:[Stanowisko / Position ]],0))="n/a","n/a",FM109-INDEX(tab_MinKomp[Konsekwentne i dynamiczne działanie],MATCH($B109,tab_MinKomp[[Stanowisko / Position ]:[Stanowisko / Position ]],0)))</f>
        <v>-1</v>
      </c>
      <c r="FN110" s="343">
        <f>IF(INDEX(tab_MinKomp[Elastyczność w działaniu],MATCH($B109,tab_MinKomp[[Stanowisko / Position ]:[Stanowisko / Position ]],0))="n/a","n/a",FN109-INDEX(tab_MinKomp[Elastyczność w działaniu],MATCH($B109,tab_MinKomp[[Stanowisko / Position ]:[Stanowisko / Position ]],0)))</f>
        <v>-1</v>
      </c>
      <c r="FO110" s="343">
        <f>IF(INDEX(tab_MinKomp[Komunikatywność],MATCH($B109,tab_MinKomp[[Stanowisko / Position ]:[Stanowisko / Position ]],0))="n/a","n/a",FO109-INDEX(tab_MinKomp[Komunikatywność],MATCH($B109,tab_MinKomp[[Stanowisko / Position ]:[Stanowisko / Position ]],0)))</f>
        <v>0</v>
      </c>
      <c r="FP110" s="342">
        <f>IF(INDEX(tab_MinKomp[Motywowanie i budowanie zaangażowania zespołu],MATCH($B109,tab_MinKomp[[Stanowisko / Position ]:[Stanowisko / Position ]],0))="n/a","n/a",FP109-INDEX(tab_MinKomp[Motywowanie i budowanie zaangażowania zespołu],MATCH($B109,tab_MinKomp[[Stanowisko / Position ]:[Stanowisko / Position ]],0)))</f>
        <v>-1</v>
      </c>
      <c r="FQ110" s="346" t="str">
        <f>IFERROR(IF(INDEX(tab_MinKomp[BRAK / Keine],MATCH($B109,tab_MinKomp[[Stanowisko / Position ]:[Stanowisko / Position ]],0))="n/a","n/a",INDEX(tab_MinKomp[BRAK / Keine],MATCH($B109,tab_MinKomp[[Stanowisko / Position ]:[Stanowisko / Position ]],0))-FQ109),"")</f>
        <v>n/a</v>
      </c>
      <c r="FR110" s="343" t="str">
        <f>IF(INDEX(tab_MinKomp[MINIMUM 1 ROK / min. 1 Jahr],MATCH($B109,tab_MinKomp[[Stanowisko / Position ]:[Stanowisko / Position ]],0))="n/a","n/a",INDEX(tab_MinKomp[MINIMUM 1 ROK / min. 1 Jahr],MATCH($B109,tab_MinKomp[[Stanowisko / Position ]:[Stanowisko / Position ]],0)))</f>
        <v>x</v>
      </c>
      <c r="FS110" s="343" t="str">
        <f>IF(INDEX(tab_MinKomp[MINIMUM 2 LATA / min. 2 Jahre],MATCH($B109,tab_MinKomp[[Stanowisko / Position ]:[Stanowisko / Position ]],0))="n/a","n/a",INDEX(tab_MinKomp[MINIMUM 2 LATA / min. 2 Jahre],MATCH($B109,tab_MinKomp[[Stanowisko / Position ]:[Stanowisko / Position ]],0)))</f>
        <v>n/a</v>
      </c>
      <c r="FT110" s="343" t="str">
        <f>IF(INDEX(tab_MinKomp[MINIMUM 3 LATA / min. 3 Jahre],MATCH($B109,tab_MinKomp[[Stanowisko / Position ]:[Stanowisko / Position ]],0))="n/a","n/a",INDEX(tab_MinKomp[MINIMUM 3 LATA / min. 3 Jahre],MATCH($B109,tab_MinKomp[[Stanowisko / Position ]:[Stanowisko / Position ]],0)))</f>
        <v>n/a</v>
      </c>
      <c r="FU110" s="343" t="str">
        <f>IF(INDEX(tab_MinKomp[MINIMUM 4 LATA / min. 4 Jahre],MATCH($B109,tab_MinKomp[[Stanowisko / Position ]:[Stanowisko / Position ]],0))="n/a","n/a",INDEX(tab_MinKomp[MINIMUM 4 LATA / min. 4 Jahre],MATCH($B109,tab_MinKomp[[Stanowisko / Position ]:[Stanowisko / Position ]],0)))</f>
        <v>n/a</v>
      </c>
      <c r="FV110" s="347" t="str">
        <f>IF(INDEX(tab_MinKomp[MINIMUM 5 LAT / min. 5 Jahre],MATCH($B109,tab_MinKomp[[Stanowisko / Position ]:[Stanowisko / Position ]],0))="n/a","n/a",INDEX(tab_MinKomp[MINIMUM 5 LAT / min. 5 Jahre],MATCH($B109,tab_MinKomp[[Stanowisko / Position ]:[Stanowisko / Position ]],0)))</f>
        <v>n/a</v>
      </c>
      <c r="FW110" s="346" t="str">
        <f>IF(INDEX(tab_MinKomp[BRAK / Keine9],MATCH($B109,tab_MinKomp[[Stanowisko / Position ]:[Stanowisko / Position ]],0))="n/a","n/a",INDEX(tab_MinKomp[BRAK / Keine9],MATCH($B109,tab_MinKomp[[Stanowisko / Position ]:[Stanowisko / Position ]],0)))</f>
        <v>n/a</v>
      </c>
      <c r="FX110" s="343" t="str">
        <f>IF(INDEX(tab_MinKomp[ZAWODOWE / Berufsausbildung],MATCH($B109,tab_MinKomp[[Stanowisko / Position ]:[Stanowisko / Position ]],0))="n/a","n/a",INDEX(tab_MinKomp[ZAWODOWE / Berufsausbildung],MATCH($B109,tab_MinKomp[[Stanowisko / Position ]:[Stanowisko / Position ]],0)))</f>
        <v>x</v>
      </c>
      <c r="FY110" s="343" t="str">
        <f>IF(INDEX(tab_MinKomp[ŚREDNIE OGÓLNE / Abitur allgemeine],MATCH($B109,tab_MinKomp[[Stanowisko / Position ]:[Stanowisko / Position ]],0))="n/a","n/a",INDEX(tab_MinKomp[ŚREDNIE OGÓLNE / Abitur allgemeine],MATCH($B109,tab_MinKomp[[Stanowisko / Position ]:[Stanowisko / Position ]],0)))</f>
        <v>n/a</v>
      </c>
      <c r="FZ110" s="343" t="str">
        <f>IF(INDEX(tab_MinKomp[ŚREDNIE KIERUNKOWE / berufliches Gymnasium],MATCH($B109,tab_MinKomp[[Stanowisko / Position ]:[Stanowisko / Position ]],0))="n/a","n/a",INDEX(tab_MinKomp[ŚREDNIE KIERUNKOWE / berufliches Gymnasium],MATCH($B109,tab_MinKomp[[Stanowisko / Position ]:[Stanowisko / Position ]],0)))</f>
        <v>n/a</v>
      </c>
      <c r="GA110" s="343" t="str">
        <f>IF(INDEX(tab_MinKomp[WYŻSZE OGÓLNE / Hochschule allgemeine],MATCH($B109,tab_MinKomp[[Stanowisko / Position ]:[Stanowisko / Position ]],0))="n/a","n/a",INDEX(tab_MinKomp[WYŻSZE OGÓLNE / Hochschule allgemeine],MATCH($B109,tab_MinKomp[[Stanowisko / Position ]:[Stanowisko / Position ]],0)))</f>
        <v>n/a</v>
      </c>
      <c r="GB110" s="347" t="str">
        <f>IF(INDEX(tab_MinKomp[WYŻSZE KIERUNKOWE / Hochschule berufliche],MATCH($B109,tab_MinKomp[[Stanowisko / Position ]:[Stanowisko / Position ]],0))="n/a","n/a",INDEX(tab_MinKomp[WYŻSZE KIERUNKOWE / Hochschule berufliche],MATCH($B109,tab_MinKomp[[Stanowisko / Position ]:[Stanowisko / Position ]],0)))</f>
        <v>n/a</v>
      </c>
      <c r="GC110" s="346" t="str">
        <f>IF(INDEX(tab_MinKomp[PIERWSZA POMOC / Erste Hilfe],MATCH($B109,tab_MinKomp[[Stanowisko / Position ]:[Stanowisko / Position ]],0))="n/a","n/a",INDEX(tab_MinKomp[PIERWSZA POMOC / Erste Hilfe],MATCH($B109,tab_MinKomp[[Stanowisko / Position ]:[Stanowisko / Position ]],0)))</f>
        <v>x</v>
      </c>
      <c r="GD110" s="343" t="str">
        <f>IF(INDEX(tab_MinKomp[Specjalista BHP / BHP Spezialist],MATCH($B109,tab_MinKomp[[Stanowisko / Position ]:[Stanowisko / Position ]],0))="n/a","n/a",INDEX(tab_MinKomp[Specjalista BHP / BHP Spezialist],MATCH($B109,tab_MinKomp[[Stanowisko / Position ]:[Stanowisko / Position ]],0)))</f>
        <v>n/a</v>
      </c>
      <c r="GE110" s="343" t="str">
        <f>IF(INDEX(tab_MinKomp[Inspektor ochrony PPOŻ / Brandschutzinspektor],MATCH($B109,tab_MinKomp[[Stanowisko / Position ]:[Stanowisko / Position ]],0))="n/a","n/a",INDEX(tab_MinKomp[Inspektor ochrony PPOŻ / Brandschutzinspektor],MATCH($B109,tab_MinKomp[[Stanowisko / Position ]:[Stanowisko / Position ]],0)))</f>
        <v>n/a</v>
      </c>
      <c r="GF110" s="343" t="str">
        <f>IF(INDEX(tab_MinKomp[WÓZKI JEZDNIOWE / Gebelstapler],MATCH($B109,tab_MinKomp[[Stanowisko / Position ]:[Stanowisko / Position ]],0))="n/a","n/a",INDEX(tab_MinKomp[WÓZKI JEZDNIOWE / Gebelstapler],MATCH($B109,tab_MinKomp[[Stanowisko / Position ]:[Stanowisko / Position ]],0)))</f>
        <v>x</v>
      </c>
      <c r="GG110" s="343" t="str">
        <f>IF(INDEX(tab_MinKomp[SEP],MATCH($B109,tab_MinKomp[[Stanowisko / Position ]:[Stanowisko / Position ]],0))="n/a","n/a",INDEX(tab_MinKomp[SEP],MATCH($B109,tab_MinKomp[[Stanowisko / Position ]:[Stanowisko / Position ]],0)))</f>
        <v>n/a</v>
      </c>
      <c r="GH110" s="343" t="str">
        <f>IF(INDEX(tab_MinKomp[SEP  DOZÓR / SEP Aufsicht],MATCH($B109,tab_MinKomp[[Stanowisko / Position ]:[Stanowisko / Position ]],0))="n/a","n/a",INDEX(tab_MinKomp[SEP  DOZÓR / SEP Aufsicht],MATCH($B109,tab_MinKomp[[Stanowisko / Position ]:[Stanowisko / Position ]],0)))</f>
        <v>n/a</v>
      </c>
      <c r="GI110" s="343" t="str">
        <f>IF(INDEX(tab_MinKomp[PODNOŚNIKI / Hebevorrichtung],MATCH($B109,tab_MinKomp[[Stanowisko / Position ]:[Stanowisko / Position ]],0))="n/a","n/a",INDEX(tab_MinKomp[PODNOŚNIKI / Hebevorrichtung],MATCH($B109,tab_MinKomp[[Stanowisko / Position ]:[Stanowisko / Position ]],0)))</f>
        <v>n/a</v>
      </c>
      <c r="GJ110" s="343" t="str">
        <f>IF(INDEX(tab_MinKomp[SUWNICE / Laufkran],MATCH($B109,tab_MinKomp[[Stanowisko / Position ]:[Stanowisko / Position ]],0))="n/a","n/a",INDEX(tab_MinKomp[SUWNICE / Laufkran],MATCH($B109,tab_MinKomp[[Stanowisko / Position ]:[Stanowisko / Position ]],0)))</f>
        <v>n/a</v>
      </c>
      <c r="GK110" s="347" t="str">
        <f>IF(INDEX(tab_MinKomp[WYSOKOŚCIOWE / Höhenberechtigungen],MATCH($B109,tab_MinKomp[[Stanowisko / Position ]:[Stanowisko / Position ]],0))="n/a","n/a",INDEX(tab_MinKomp[WYSOKOŚCIOWE / Höhenberechtigungen],MATCH($B109,tab_MinKomp[[Stanowisko / Position ]:[Stanowisko / Position ]],0)))</f>
        <v>n/a</v>
      </c>
      <c r="GL110" s="320">
        <f>SUM(G110:FP110)/(GL109-(SUM(G110:FP110)))</f>
        <v>-0.64179104477611937</v>
      </c>
    </row>
    <row r="111" spans="1:194" ht="28.35" customHeight="1" x14ac:dyDescent="0.25">
      <c r="A111" s="135" t="s">
        <v>178</v>
      </c>
      <c r="B111" s="135" t="s">
        <v>581</v>
      </c>
      <c r="C111" s="135" t="s">
        <v>229</v>
      </c>
      <c r="D111" s="135">
        <v>1217</v>
      </c>
      <c r="E111" s="563" t="s">
        <v>236</v>
      </c>
      <c r="F111" s="307" t="s">
        <v>165</v>
      </c>
      <c r="G111" s="308">
        <v>2</v>
      </c>
      <c r="H111" s="308">
        <v>2</v>
      </c>
      <c r="I111" s="308">
        <v>1</v>
      </c>
      <c r="J111" s="308">
        <v>1</v>
      </c>
      <c r="K111" s="308">
        <v>1</v>
      </c>
      <c r="L111" s="308">
        <v>1</v>
      </c>
      <c r="M111" s="308" t="s">
        <v>176</v>
      </c>
      <c r="N111" s="308" t="s">
        <v>176</v>
      </c>
      <c r="O111" s="308">
        <v>1</v>
      </c>
      <c r="P111" s="308">
        <v>1</v>
      </c>
      <c r="Q111" s="308" t="s">
        <v>176</v>
      </c>
      <c r="R111" s="308" t="s">
        <v>176</v>
      </c>
      <c r="S111" s="308" t="s">
        <v>176</v>
      </c>
      <c r="T111" s="308">
        <v>1</v>
      </c>
      <c r="U111" s="308" t="s">
        <v>176</v>
      </c>
      <c r="V111" s="308" t="s">
        <v>176</v>
      </c>
      <c r="W111" s="308" t="s">
        <v>176</v>
      </c>
      <c r="X111" s="308" t="s">
        <v>176</v>
      </c>
      <c r="Y111" s="308" t="s">
        <v>176</v>
      </c>
      <c r="Z111" s="308" t="s">
        <v>176</v>
      </c>
      <c r="AA111" s="308" t="s">
        <v>176</v>
      </c>
      <c r="AB111" s="308" t="s">
        <v>176</v>
      </c>
      <c r="AC111" s="308" t="s">
        <v>176</v>
      </c>
      <c r="AD111" s="308" t="s">
        <v>176</v>
      </c>
      <c r="AE111" s="308" t="s">
        <v>176</v>
      </c>
      <c r="AF111" s="308" t="s">
        <v>176</v>
      </c>
      <c r="AG111" s="308" t="s">
        <v>176</v>
      </c>
      <c r="AH111" s="308" t="s">
        <v>176</v>
      </c>
      <c r="AI111" s="308" t="s">
        <v>176</v>
      </c>
      <c r="AJ111" s="308" t="s">
        <v>176</v>
      </c>
      <c r="AK111" s="308" t="s">
        <v>176</v>
      </c>
      <c r="AL111" s="308">
        <v>2</v>
      </c>
      <c r="AM111" s="308" t="s">
        <v>176</v>
      </c>
      <c r="AN111" s="308" t="s">
        <v>176</v>
      </c>
      <c r="AO111" s="308">
        <v>1</v>
      </c>
      <c r="AP111" s="308" t="s">
        <v>176</v>
      </c>
      <c r="AQ111" s="308">
        <v>1</v>
      </c>
      <c r="AR111" s="308" t="s">
        <v>176</v>
      </c>
      <c r="AS111" s="308" t="s">
        <v>176</v>
      </c>
      <c r="AT111" s="308" t="s">
        <v>176</v>
      </c>
      <c r="AU111" s="308">
        <v>1</v>
      </c>
      <c r="AV111" s="308">
        <v>1</v>
      </c>
      <c r="AW111" s="308">
        <v>1</v>
      </c>
      <c r="AX111" s="308" t="s">
        <v>176</v>
      </c>
      <c r="AY111" s="308" t="s">
        <v>176</v>
      </c>
      <c r="AZ111" s="308" t="s">
        <v>176</v>
      </c>
      <c r="BA111" s="308">
        <v>1</v>
      </c>
      <c r="BB111" s="308">
        <v>1</v>
      </c>
      <c r="BC111" s="308" t="s">
        <v>176</v>
      </c>
      <c r="BD111" s="308" t="s">
        <v>176</v>
      </c>
      <c r="BE111" s="308" t="s">
        <v>176</v>
      </c>
      <c r="BF111" s="308" t="s">
        <v>176</v>
      </c>
      <c r="BG111" s="308" t="s">
        <v>176</v>
      </c>
      <c r="BH111" s="308" t="s">
        <v>176</v>
      </c>
      <c r="BI111" s="308" t="s">
        <v>176</v>
      </c>
      <c r="BJ111" s="308" t="s">
        <v>176</v>
      </c>
      <c r="BK111" s="308" t="s">
        <v>176</v>
      </c>
      <c r="BL111" s="308" t="s">
        <v>176</v>
      </c>
      <c r="BM111" s="308">
        <v>3</v>
      </c>
      <c r="BN111" s="308" t="s">
        <v>176</v>
      </c>
      <c r="BO111" s="308" t="s">
        <v>176</v>
      </c>
      <c r="BP111" s="308" t="s">
        <v>176</v>
      </c>
      <c r="BQ111" s="308" t="s">
        <v>176</v>
      </c>
      <c r="BR111" s="308" t="s">
        <v>176</v>
      </c>
      <c r="BS111" s="308">
        <v>3</v>
      </c>
      <c r="BT111" s="308" t="s">
        <v>176</v>
      </c>
      <c r="BU111" s="308">
        <v>3</v>
      </c>
      <c r="BV111" s="308">
        <v>3</v>
      </c>
      <c r="BW111" s="308" t="s">
        <v>176</v>
      </c>
      <c r="BX111" s="308" t="s">
        <v>176</v>
      </c>
      <c r="BY111" s="308" t="s">
        <v>176</v>
      </c>
      <c r="BZ111" s="308" t="s">
        <v>176</v>
      </c>
      <c r="CA111" s="308" t="s">
        <v>176</v>
      </c>
      <c r="CB111" s="308" t="s">
        <v>176</v>
      </c>
      <c r="CC111" s="308" t="s">
        <v>176</v>
      </c>
      <c r="CD111" s="308" t="s">
        <v>176</v>
      </c>
      <c r="CE111" s="308" t="s">
        <v>176</v>
      </c>
      <c r="CF111" s="308" t="s">
        <v>176</v>
      </c>
      <c r="CG111" s="308">
        <v>2</v>
      </c>
      <c r="CH111" s="308" t="s">
        <v>176</v>
      </c>
      <c r="CI111" s="308" t="s">
        <v>176</v>
      </c>
      <c r="CJ111" s="308" t="s">
        <v>176</v>
      </c>
      <c r="CK111" s="308" t="s">
        <v>176</v>
      </c>
      <c r="CL111" s="308" t="s">
        <v>176</v>
      </c>
      <c r="CM111" s="308">
        <v>1</v>
      </c>
      <c r="CN111" s="308">
        <v>1</v>
      </c>
      <c r="CO111" s="308">
        <v>1</v>
      </c>
      <c r="CP111" s="308">
        <v>2</v>
      </c>
      <c r="CQ111" s="308" t="s">
        <v>176</v>
      </c>
      <c r="CR111" s="308" t="s">
        <v>176</v>
      </c>
      <c r="CS111" s="308" t="s">
        <v>176</v>
      </c>
      <c r="CT111" s="308" t="s">
        <v>176</v>
      </c>
      <c r="CU111" s="308" t="s">
        <v>176</v>
      </c>
      <c r="CV111" s="308" t="s">
        <v>176</v>
      </c>
      <c r="CW111" s="308" t="s">
        <v>176</v>
      </c>
      <c r="CX111" s="308" t="s">
        <v>176</v>
      </c>
      <c r="CY111" s="308" t="s">
        <v>176</v>
      </c>
      <c r="CZ111" s="308" t="s">
        <v>176</v>
      </c>
      <c r="DA111" s="308" t="s">
        <v>176</v>
      </c>
      <c r="DB111" s="308" t="s">
        <v>176</v>
      </c>
      <c r="DC111" s="308" t="s">
        <v>176</v>
      </c>
      <c r="DD111" s="308" t="s">
        <v>176</v>
      </c>
      <c r="DE111" s="308" t="s">
        <v>176</v>
      </c>
      <c r="DF111" s="308" t="s">
        <v>176</v>
      </c>
      <c r="DG111" s="308" t="s">
        <v>176</v>
      </c>
      <c r="DH111" s="308" t="s">
        <v>176</v>
      </c>
      <c r="DI111" s="308" t="s">
        <v>176</v>
      </c>
      <c r="DJ111" s="308" t="s">
        <v>176</v>
      </c>
      <c r="DK111" s="308" t="s">
        <v>176</v>
      </c>
      <c r="DL111" s="308" t="s">
        <v>176</v>
      </c>
      <c r="DM111" s="308" t="s">
        <v>176</v>
      </c>
      <c r="DN111" s="308" t="s">
        <v>176</v>
      </c>
      <c r="DO111" s="308" t="s">
        <v>176</v>
      </c>
      <c r="DP111" s="308" t="s">
        <v>176</v>
      </c>
      <c r="DQ111" s="308" t="s">
        <v>176</v>
      </c>
      <c r="DR111" s="308" t="s">
        <v>176</v>
      </c>
      <c r="DS111" s="308" t="s">
        <v>176</v>
      </c>
      <c r="DT111" s="308" t="s">
        <v>176</v>
      </c>
      <c r="DU111" s="308" t="s">
        <v>176</v>
      </c>
      <c r="DV111" s="306" t="s">
        <v>176</v>
      </c>
      <c r="DW111" s="306" t="s">
        <v>176</v>
      </c>
      <c r="DX111" s="306" t="s">
        <v>176</v>
      </c>
      <c r="DY111" s="308" t="s">
        <v>176</v>
      </c>
      <c r="DZ111" s="308" t="s">
        <v>176</v>
      </c>
      <c r="EA111" s="308" t="s">
        <v>176</v>
      </c>
      <c r="EB111" s="308" t="s">
        <v>176</v>
      </c>
      <c r="EC111" s="308" t="s">
        <v>176</v>
      </c>
      <c r="ED111" s="308" t="s">
        <v>176</v>
      </c>
      <c r="EE111" s="308" t="s">
        <v>176</v>
      </c>
      <c r="EF111" s="308" t="s">
        <v>176</v>
      </c>
      <c r="EG111" s="308" t="s">
        <v>176</v>
      </c>
      <c r="EH111" s="308" t="s">
        <v>176</v>
      </c>
      <c r="EI111" s="308" t="s">
        <v>176</v>
      </c>
      <c r="EJ111" s="308" t="s">
        <v>176</v>
      </c>
      <c r="EK111" s="308" t="s">
        <v>176</v>
      </c>
      <c r="EL111" s="308" t="s">
        <v>176</v>
      </c>
      <c r="EM111" s="308" t="s">
        <v>176</v>
      </c>
      <c r="EN111" s="308" t="s">
        <v>176</v>
      </c>
      <c r="EO111" s="308" t="s">
        <v>176</v>
      </c>
      <c r="EP111" s="308" t="s">
        <v>176</v>
      </c>
      <c r="EQ111" s="308" t="s">
        <v>176</v>
      </c>
      <c r="ER111" s="308" t="s">
        <v>176</v>
      </c>
      <c r="ES111" s="308" t="s">
        <v>176</v>
      </c>
      <c r="ET111" s="308" t="s">
        <v>176</v>
      </c>
      <c r="EU111" s="308" t="s">
        <v>176</v>
      </c>
      <c r="EV111" s="308" t="s">
        <v>176</v>
      </c>
      <c r="EW111" s="308" t="s">
        <v>176</v>
      </c>
      <c r="EX111" s="308" t="s">
        <v>176</v>
      </c>
      <c r="EY111" s="308">
        <v>1</v>
      </c>
      <c r="EZ111" s="308">
        <v>1</v>
      </c>
      <c r="FA111" s="308">
        <v>1</v>
      </c>
      <c r="FB111" s="308" t="s">
        <v>176</v>
      </c>
      <c r="FC111" s="308" t="s">
        <v>176</v>
      </c>
      <c r="FD111" s="308">
        <v>2</v>
      </c>
      <c r="FE111" s="308">
        <v>2</v>
      </c>
      <c r="FF111" s="308">
        <v>2</v>
      </c>
      <c r="FG111" s="308">
        <v>2</v>
      </c>
      <c r="FH111" s="308">
        <v>2</v>
      </c>
      <c r="FI111" s="308">
        <v>2</v>
      </c>
      <c r="FJ111" s="308">
        <v>2</v>
      </c>
      <c r="FK111" s="308">
        <v>2</v>
      </c>
      <c r="FL111" s="308">
        <v>1</v>
      </c>
      <c r="FM111" s="308">
        <v>2</v>
      </c>
      <c r="FN111" s="308">
        <v>2</v>
      </c>
      <c r="FO111" s="308">
        <v>2</v>
      </c>
      <c r="FP111" s="308">
        <v>1</v>
      </c>
      <c r="FQ111" s="308" t="s">
        <v>176</v>
      </c>
      <c r="FR111" s="308" t="s">
        <v>176</v>
      </c>
      <c r="FS111" s="308" t="s">
        <v>387</v>
      </c>
      <c r="FT111" s="308" t="s">
        <v>176</v>
      </c>
      <c r="FU111" s="308" t="s">
        <v>176</v>
      </c>
      <c r="FV111" s="308" t="s">
        <v>176</v>
      </c>
      <c r="FW111" s="308" t="s">
        <v>176</v>
      </c>
      <c r="FX111" s="308" t="s">
        <v>176</v>
      </c>
      <c r="FY111" s="308" t="s">
        <v>387</v>
      </c>
      <c r="FZ111" s="308" t="s">
        <v>176</v>
      </c>
      <c r="GA111" s="308" t="s">
        <v>176</v>
      </c>
      <c r="GB111" s="308" t="s">
        <v>176</v>
      </c>
      <c r="GC111" s="308" t="s">
        <v>176</v>
      </c>
      <c r="GD111" s="308" t="s">
        <v>387</v>
      </c>
      <c r="GE111" s="308" t="s">
        <v>176</v>
      </c>
      <c r="GF111" s="308" t="s">
        <v>176</v>
      </c>
      <c r="GG111" s="308" t="s">
        <v>387</v>
      </c>
      <c r="GH111" s="308" t="s">
        <v>176</v>
      </c>
      <c r="GI111" s="308" t="s">
        <v>176</v>
      </c>
      <c r="GJ111" s="308" t="s">
        <v>176</v>
      </c>
      <c r="GK111" s="308" t="s">
        <v>176</v>
      </c>
      <c r="GL111" s="311">
        <f>SUM(G111:FP111)</f>
        <v>66</v>
      </c>
    </row>
    <row r="112" spans="1:194" ht="26.25" customHeight="1" thickBot="1" x14ac:dyDescent="0.3">
      <c r="A112" s="138" t="str">
        <f>A111</f>
        <v>Prod.-Q-5</v>
      </c>
      <c r="B112" s="138" t="str">
        <f>B111</f>
        <v>Teamleder zespołu produkcji</v>
      </c>
      <c r="C112" s="138" t="str">
        <f>C111</f>
        <v>KW</v>
      </c>
      <c r="D112" s="138">
        <f>D111</f>
        <v>1217</v>
      </c>
      <c r="E112" s="564"/>
      <c r="F112" s="312" t="s">
        <v>166</v>
      </c>
      <c r="G112" s="341">
        <f>IF(INDEX(tab_MinKomp[Przepisy BHP / BHP Vorschriften],MATCH($B111,tab_MinKomp[[Stanowisko / Position ]:[Stanowisko / Position ]],0))="n/a","n/a",G111-INDEX(tab_MinKomp[Przepisy BHP / BHP Vorschriften],MATCH($B111,tab_MinKomp[[Stanowisko / Position ]:[Stanowisko / Position ]],0)))</f>
        <v>0</v>
      </c>
      <c r="H112" s="342">
        <f>IF(INDEX(tab_MinKomp[Przepisy PPOŻ / Brandschutzbestimmungen],MATCH($B111,tab_MinKomp[[Stanowisko / Position ]:[Stanowisko / Position ]],0))="n/a","n/a",H111-INDEX(tab_MinKomp[Przepisy PPOŻ / Brandschutzbestimmungen],MATCH($B111,tab_MinKomp[[Stanowisko / Position ]:[Stanowisko / Position ]],0)))</f>
        <v>0</v>
      </c>
      <c r="I112" s="342">
        <f>IF(INDEX(tab_MinKomp[Ryzyko zawodowe na stanowiskach pracyv/ Berufliche Risiken an Arbeitsstellen],MATCH($B111,tab_MinKomp[[Stanowisko / Position ]:[Stanowisko / Position ]],0))="n/a","n/a",I111-INDEX(tab_MinKomp[Ryzyko zawodowe na stanowiskach pracyv/ Berufliche Risiken an Arbeitsstellen],MATCH($B111,tab_MinKomp[[Stanowisko / Position ]:[Stanowisko / Position ]],0)))</f>
        <v>0</v>
      </c>
      <c r="J112" s="342">
        <f>IF(INDEX(tab_MinKomp[Gospodarka substancjami niebezpiecznymi / Gefahrstoffmanagement],MATCH($B111,tab_MinKomp[[Stanowisko / Position ]:[Stanowisko / Position ]],0))="n/a","n/a",J111-INDEX(tab_MinKomp[Gospodarka substancjami niebezpiecznymi / Gefahrstoffmanagement],MATCH($B111,tab_MinKomp[[Stanowisko / Position ]:[Stanowisko / Position ]],0)))</f>
        <v>0</v>
      </c>
      <c r="K112" s="342">
        <f>IF(INDEX(tab_MinKomp[Gospodarka odpadami / Abfallwirtschaft],MATCH($B111,tab_MinKomp[[Stanowisko / Position ]:[Stanowisko / Position ]],0))="n/a","n/a",K111-INDEX(tab_MinKomp[Gospodarka odpadami / Abfallwirtschaft],MATCH($B111,tab_MinKomp[[Stanowisko / Position ]:[Stanowisko / Position ]],0)))</f>
        <v>0</v>
      </c>
      <c r="L112" s="343">
        <f>IF(INDEX(tab_MinKomp[Przepisy kodeksu pracy / Bestimmungen des Arbeitsgesetzes],MATCH($B111,tab_MinKomp[[Stanowisko / Position ]:[Stanowisko / Position ]],0))="n/a","n/a",L111-INDEX(tab_MinKomp[Przepisy kodeksu pracy / Bestimmungen des Arbeitsgesetzes],MATCH($B111,tab_MinKomp[[Stanowisko / Position ]:[Stanowisko / Position ]],0)))</f>
        <v>0</v>
      </c>
      <c r="M112" s="344" t="str">
        <f>IF(INDEX(tab_MinKomp[Przepisy o ub.społ. ZUS  / Sozialversicherungsvorschriften],MATCH($B111,tab_MinKomp[[Stanowisko / Position ]:[Stanowisko / Position ]],0))="n/a","n/a",M111-INDEX(tab_MinKomp[Przepisy o ub.społ. ZUS  / Sozialversicherungsvorschriften],MATCH($B111,tab_MinKomp[[Stanowisko / Position ]:[Stanowisko / Position ]],0)))</f>
        <v>n/a</v>
      </c>
      <c r="N112" s="343" t="str">
        <f>IF(INDEX(tab_MinKomp[PRZEPISY O PDOF /persönlich Einkommensteuergesetz ],MATCH($B111,tab_MinKomp[[Stanowisko / Position ]:[Stanowisko / Position ]],0))="n/a","n/a",N111-INDEX(tab_MinKomp[PRZEPISY O PDOF /persönlich Einkommensteuergesetz ],MATCH($B111,tab_MinKomp[[Stanowisko / Position ]:[Stanowisko / Position ]],0)))</f>
        <v>n/a</v>
      </c>
      <c r="O112" s="343">
        <f>IF(INDEX(tab_MinKomp[Regulamin pracy / Arbeitsordnung],MATCH($B111,tab_MinKomp[[Stanowisko / Position ]:[Stanowisko / Position ]],0))="n/a","n/a",O111-INDEX(tab_MinKomp[Regulamin pracy / Arbeitsordnung],MATCH($B111,tab_MinKomp[[Stanowisko / Position ]:[Stanowisko / Position ]],0)))</f>
        <v>0</v>
      </c>
      <c r="P112" s="343">
        <f>IF(INDEX(tab_MinKomp[Regulamin wynagradzania / Vergütungsordnung],MATCH($B111,tab_MinKomp[[Stanowisko / Position ]:[Stanowisko / Position ]],0))="n/a","n/a",P111-INDEX(tab_MinKomp[Regulamin wynagradzania / Vergütungsordnung],MATCH($B111,tab_MinKomp[[Stanowisko / Position ]:[Stanowisko / Position ]],0)))</f>
        <v>0</v>
      </c>
      <c r="Q112" s="343" t="str">
        <f>IF(INDEX(tab_MinKomp[System R2PŁATNIK PRO: Płace / Lohnabrechnung],MATCH($B111,tab_MinKomp[[Stanowisko / Position ]:[Stanowisko / Position ]],0))="n/a","n/a",Q111-INDEX(tab_MinKomp[System R2PŁATNIK PRO: Płace / Lohnabrechnung],MATCH($B111,tab_MinKomp[[Stanowisko / Position ]:[Stanowisko / Position ]],0)))</f>
        <v>n/a</v>
      </c>
      <c r="R112" s="343" t="str">
        <f>IF(INDEX(tab_MinKomp[SystemR2PŁATNIK PRO: KADRY / Personaldaten],MATCH($B111,tab_MinKomp[[Stanowisko / Position ]:[Stanowisko / Position ]],0))="n/a","n/a",R111-INDEX(tab_MinKomp[SystemR2PŁATNIK PRO: KADRY / Personaldaten],MATCH($B111,tab_MinKomp[[Stanowisko / Position ]:[Stanowisko / Position ]],0)))</f>
        <v>n/a</v>
      </c>
      <c r="S112" s="343" t="str">
        <f>IF(INDEX(tab_MinKomp[SYSTEM R2PŁATNIK PRO: zarządzanie pracownikami / Arbeitsverwaltung],MATCH($B111,tab_MinKomp[[Stanowisko / Position ]:[Stanowisko / Position ]],0))="n/a","n/a",S111-INDEX(tab_MinKomp[SYSTEM R2PŁATNIK PRO: zarządzanie pracownikami / Arbeitsverwaltung],MATCH($B111,tab_MinKomp[[Stanowisko / Position ]:[Stanowisko / Position ]],0)))</f>
        <v>n/a</v>
      </c>
      <c r="T112" s="343">
        <f>IF(INDEX(tab_MinKomp[Doradztwo, wsparcie personalne / Personalberatung und Unterstützung],MATCH($B111,tab_MinKomp[[Stanowisko / Position ]:[Stanowisko / Position ]],0))="n/a","n/a",T111-INDEX(tab_MinKomp[Doradztwo, wsparcie personalne / Personalberatung und Unterstützung],MATCH($B111,tab_MinKomp[[Stanowisko / Position ]:[Stanowisko / Position ]],0)))</f>
        <v>0</v>
      </c>
      <c r="U112" s="343" t="str">
        <f>IF(INDEX(tab_MinKomp[Przepisy o podatku VAT / MwSt.- Gesetz],MATCH($B111,tab_MinKomp[[Stanowisko / Position ]:[Stanowisko / Position ]],0))="n/a","n/a",U111-INDEX(tab_MinKomp[Przepisy o podatku VAT / MwSt.- Gesetz],MATCH($B111,tab_MinKomp[[Stanowisko / Position ]:[Stanowisko / Position ]],0)))</f>
        <v>n/a</v>
      </c>
      <c r="V112" s="343" t="str">
        <f>IF(INDEX(tab_MinKomp[PrzepisyPDOP / geschäftlich Einkommensteuergesetz],MATCH($B111,tab_MinKomp[[Stanowisko / Position ]:[Stanowisko / Position ]],0))="n/a","n/a",V111-INDEX(tab_MinKomp[PrzepisyPDOP / geschäftlich Einkommensteuergesetz],MATCH($B111,tab_MinKomp[[Stanowisko / Position ]:[Stanowisko / Position ]],0)))</f>
        <v>n/a</v>
      </c>
      <c r="W112" s="343" t="str">
        <f>IF(INDEX(tab_MinKomp[System BAAN / FINANSE (FIBU)],MATCH($B111,tab_MinKomp[[Stanowisko / Position ]:[Stanowisko / Position ]],0))="n/a","n/a",W111-INDEX(tab_MinKomp[System BAAN / FINANSE (FIBU)],MATCH($B111,tab_MinKomp[[Stanowisko / Position ]:[Stanowisko / Position ]],0)))</f>
        <v>n/a</v>
      </c>
      <c r="X112" s="343" t="str">
        <f>IF(INDEX(tab_MinKomp[Systemy pomocnicze / Hilfssysteme(STOCKPROGRAM, KALK2000 etc.)],MATCH($B111,tab_MinKomp[[Stanowisko / Position ]:[Stanowisko / Position ]],0))="n/a","n/a",X111-INDEX(tab_MinKomp[Systemy pomocnicze / Hilfssysteme(STOCKPROGRAM, KALK2000 etc.)],MATCH($B111,tab_MinKomp[[Stanowisko / Position ]:[Stanowisko / Position ]],0)))</f>
        <v>n/a</v>
      </c>
      <c r="Y112" s="343" t="str">
        <f>IF(INDEX(tab_MinKomp[Polityka rachunkowości / Buchführungspolitik],MATCH($B111,tab_MinKomp[[Stanowisko / Position ]:[Stanowisko / Position ]],0))="n/a","n/a",Y111-INDEX(tab_MinKomp[Polityka rachunkowości / Buchführungspolitik],MATCH($B111,tab_MinKomp[[Stanowisko / Position ]:[Stanowisko / Position ]],0)))</f>
        <v>n/a</v>
      </c>
      <c r="Z112" s="343" t="str">
        <f>IF(INDEX(tab_MinKomp[Ustawa o rachunkowości / Rechnungslegungsgesetz],MATCH($B111,tab_MinKomp[[Stanowisko / Position ]:[Stanowisko / Position ]],0))="n/a","n/a",Z111-INDEX(tab_MinKomp[Ustawa o rachunkowości / Rechnungslegungsgesetz],MATCH($B111,tab_MinKomp[[Stanowisko / Position ]:[Stanowisko / Position ]],0)))</f>
        <v>n/a</v>
      </c>
      <c r="AA112" s="343" t="str">
        <f>IF(INDEX(tab_MinKomp[WORKFLOW - TS-100],MATCH($B111,tab_MinKomp[[Stanowisko / Position ]:[Stanowisko / Position ]],0))="n/a","n/a",AA111-INDEX(tab_MinKomp[WORKFLOW - TS-100],MATCH($B111,tab_MinKomp[[Stanowisko / Position ]:[Stanowisko / Position ]],0)))</f>
        <v>n/a</v>
      </c>
      <c r="AB112" s="343" t="str">
        <f>IF(INDEX(tab_MinKomp[WORKFLOW - SFMS],MATCH($B111,tab_MinKomp[[Stanowisko / Position ]:[Stanowisko / Position ]],0))="n/a","n/a",AB111-INDEX(tab_MinKomp[WORKFLOW - SFMS],MATCH($B111,tab_MinKomp[[Stanowisko / Position ]:[Stanowisko / Position ]],0)))</f>
        <v>n/a</v>
      </c>
      <c r="AC112" s="343" t="str">
        <f>IF(INDEX(tab_MinKomp[System ISO 9001:2015],MATCH($B111,tab_MinKomp[[Stanowisko / Position ]:[Stanowisko / Position ]],0))="n/a","n/a",AC111-INDEX(tab_MinKomp[System ISO 9001:2015],MATCH($B111,tab_MinKomp[[Stanowisko / Position ]:[Stanowisko / Position ]],0)))</f>
        <v>n/a</v>
      </c>
      <c r="AD112" s="343" t="str">
        <f>IF(INDEX(tab_MinKomp[System IATF 16949:2016],MATCH($B111,tab_MinKomp[[Stanowisko / Position ]:[Stanowisko / Position ]],0))="n/a","n/a",AD111-INDEX(tab_MinKomp[System IATF 16949:2016],MATCH($B111,tab_MinKomp[[Stanowisko / Position ]:[Stanowisko / Position ]],0)))</f>
        <v>n/a</v>
      </c>
      <c r="AE112" s="343" t="str">
        <f>IF(INDEX(tab_MinKomp[System ISO 14001:2015],MATCH($B111,tab_MinKomp[[Stanowisko / Position ]:[Stanowisko / Position ]],0))="n/a","n/a",AE111-INDEX(tab_MinKomp[System ISO 14001:2015],MATCH($B111,tab_MinKomp[[Stanowisko / Position ]:[Stanowisko / Position ]],0)))</f>
        <v>n/a</v>
      </c>
      <c r="AF112" s="343" t="str">
        <f>IF(INDEX(tab_MinKomp[System PN-N 18001:2004 / ISO 45001:2018],MATCH($B111,tab_MinKomp[[Stanowisko / Position ]:[Stanowisko / Position ]],0))="n/a","n/a",AF111-INDEX(tab_MinKomp[System PN-N 18001:2004 / ISO 45001:2018],MATCH($B111,tab_MinKomp[[Stanowisko / Position ]:[Stanowisko / Position ]],0)))</f>
        <v>n/a</v>
      </c>
      <c r="AG112" s="343" t="str">
        <f>IF(INDEX(tab_MinKomp[Wymagania VDA 6.3 Process / Forderungen],MATCH($B111,tab_MinKomp[[Stanowisko / Position ]:[Stanowisko / Position ]],0))="n/a","n/a",AG111-INDEX(tab_MinKomp[Wymagania VDA 6.3 Process / Forderungen],MATCH($B111,tab_MinKomp[[Stanowisko / Position ]:[Stanowisko / Position ]],0)))</f>
        <v>n/a</v>
      </c>
      <c r="AH112" s="343" t="str">
        <f>IF(INDEX(tab_MinKomp[Wymagania VDA 6.5 Product / Forderungen],MATCH($B111,tab_MinKomp[[Stanowisko / Position ]:[Stanowisko / Position ]],0))="n/a","n/a",AH111-INDEX(tab_MinKomp[Wymagania VDA 6.5 Product / Forderungen],MATCH($B111,tab_MinKomp[[Stanowisko / Position ]:[Stanowisko / Position ]],0)))</f>
        <v>n/a</v>
      </c>
      <c r="AI112" s="343" t="str">
        <f>IF(INDEX(tab_MinKomp[PSCR (VW Product Safety &amp; Conformity Representative)],MATCH($B111,tab_MinKomp[[Stanowisko / Position ]:[Stanowisko / Position ]],0))="n/a","n/a",AI111-INDEX(tab_MinKomp[PSCR (VW Product Safety &amp; Conformity Representative)],MATCH($B111,tab_MinKomp[[Stanowisko / Position ]:[Stanowisko / Position ]],0)))</f>
        <v>n/a</v>
      </c>
      <c r="AJ112" s="343" t="str">
        <f>IF(INDEX(tab_MinKomp[Auditor systemu ISO 17025:2018],MATCH($B111,tab_MinKomp[[Stanowisko / Position ]:[Stanowisko / Position ]],0))="n/a","n/a",AJ111-INDEX(tab_MinKomp[Auditor systemu ISO 17025:2018],MATCH($B111,tab_MinKomp[[Stanowisko / Position ]:[Stanowisko / Position ]],0)))</f>
        <v>n/a</v>
      </c>
      <c r="AK112" s="343" t="str">
        <f>IF(INDEX(tab_MinKomp[Pełnomocnik systemu / Systemvertreter],MATCH($B111,tab_MinKomp[[Stanowisko / Position ]:[Stanowisko / Position ]],0))="n/a","n/a",AK111-INDEX(tab_MinKomp[Pełnomocnik systemu / Systemvertreter],MATCH($B111,tab_MinKomp[[Stanowisko / Position ]:[Stanowisko / Position ]],0)))</f>
        <v>n/a</v>
      </c>
      <c r="AL112" s="343" t="str">
        <f>IF(INDEX(tab_MinKomp[Polityka Etyczna - Compliance],MATCH($B111,tab_MinKomp[[Stanowisko / Position ]:[Stanowisko / Position ]],0))="n/a","n/a",AL111-INDEX(tab_MinKomp[Polityka Etyczna - Compliance],MATCH($B111,tab_MinKomp[[Stanowisko / Position ]:[Stanowisko / Position ]],0)))</f>
        <v>n/a</v>
      </c>
      <c r="AM112" s="343" t="str">
        <f>IF(INDEX(tab_MinKomp[WDRAŻANIE NOWYCH PROJEKTÓW/ PROCEDURA CTM],MATCH($B111,tab_MinKomp[[Stanowisko / Position ]:[Stanowisko / Position ]],0))="n/a","n/a",AM111-INDEX(tab_MinKomp[WDRAŻANIE NOWYCH PROJEKTÓW/ PROCEDURA CTM],MATCH($B111,tab_MinKomp[[Stanowisko / Position ]:[Stanowisko / Position ]],0)))</f>
        <v>n/a</v>
      </c>
      <c r="AN112" s="343" t="str">
        <f>IF(INDEX(tab_MinKomp[KAMIENIE MILOWE MSL/PIFF],MATCH($B111,tab_MinKomp[[Stanowisko / Position ]:[Stanowisko / Position ]],0))="n/a","n/a",AN111-INDEX(tab_MinKomp[KAMIENIE MILOWE MSL/PIFF],MATCH($B111,tab_MinKomp[[Stanowisko / Position ]:[Stanowisko / Position ]],0)))</f>
        <v>n/a</v>
      </c>
      <c r="AO112" s="343">
        <f>IF(INDEX(tab_MinKomp[CP],MATCH($B111,tab_MinKomp[[Stanowisko / Position ]:[Stanowisko / Position ]],0))="n/a","n/a",AO111-INDEX(tab_MinKomp[CP],MATCH($B111,tab_MinKomp[[Stanowisko / Position ]:[Stanowisko / Position ]],0)))</f>
        <v>-1</v>
      </c>
      <c r="AP112" s="343" t="str">
        <f>IF(INDEX(tab_MinKomp[FMEA],MATCH($B111,tab_MinKomp[[Stanowisko / Position ]:[Stanowisko / Position ]],0))="n/a","n/a",AP111-INDEX(tab_MinKomp[FMEA],MATCH($B111,tab_MinKomp[[Stanowisko / Position ]:[Stanowisko / Position ]],0)))</f>
        <v>n/a</v>
      </c>
      <c r="AQ112" s="343">
        <f>IF(INDEX(tab_MinKomp[FLOW CHART],MATCH($B111,tab_MinKomp[[Stanowisko / Position ]:[Stanowisko / Position ]],0))="n/a","n/a",AQ111-INDEX(tab_MinKomp[FLOW CHART],MATCH($B111,tab_MinKomp[[Stanowisko / Position ]:[Stanowisko / Position ]],0)))</f>
        <v>0</v>
      </c>
      <c r="AR112" s="343" t="str">
        <f>IF(INDEX(tab_MinKomp[APQP],MATCH($B111,tab_MinKomp[[Stanowisko / Position ]:[Stanowisko / Position ]],0))="n/a","n/a",AR111-INDEX(tab_MinKomp[APQP],MATCH($B111,tab_MinKomp[[Stanowisko / Position ]:[Stanowisko / Position ]],0)))</f>
        <v>n/a</v>
      </c>
      <c r="AS112" s="343" t="str">
        <f>IF(INDEX(tab_MinKomp[MSA],MATCH($B111,tab_MinKomp[[Stanowisko / Position ]:[Stanowisko / Position ]],0))="n/a","n/a",AS111-INDEX(tab_MinKomp[MSA],MATCH($B111,tab_MinKomp[[Stanowisko / Position ]:[Stanowisko / Position ]],0)))</f>
        <v>n/a</v>
      </c>
      <c r="AT112" s="343" t="str">
        <f>IF(INDEX(tab_MinKomp[SPC],MATCH($B111,tab_MinKomp[[Stanowisko / Position ]:[Stanowisko / Position ]],0))="n/a","n/a",AT111-INDEX(tab_MinKomp[SPC],MATCH($B111,tab_MinKomp[[Stanowisko / Position ]:[Stanowisko / Position ]],0)))</f>
        <v>n/a</v>
      </c>
      <c r="AU112" s="343">
        <f>IF(INDEX(tab_MinKomp[CSR (SPECYFICZNE WYMAGANIA KLIENTA)],MATCH($B111,tab_MinKomp[[Stanowisko / Position ]:[Stanowisko / Position ]],0))="n/a","n/a",AU111-INDEX(tab_MinKomp[CSR (SPECYFICZNE WYMAGANIA KLIENTA)],MATCH($B111,tab_MinKomp[[Stanowisko / Position ]:[Stanowisko / Position ]],0)))</f>
        <v>0</v>
      </c>
      <c r="AV112" s="343">
        <f>IF(INDEX(tab_MinKomp[5S],MATCH($B111,tab_MinKomp[[Stanowisko / Position ]:[Stanowisko / Position ]],0))="n/a","n/a",AV111-INDEX(tab_MinKomp[5S],MATCH($B111,tab_MinKomp[[Stanowisko / Position ]:[Stanowisko / Position ]],0)))</f>
        <v>0</v>
      </c>
      <c r="AW112" s="343">
        <f>IF(INDEX(tab_MinKomp[LEAN MANAGEMENT],MATCH($B111,tab_MinKomp[[Stanowisko / Position ]:[Stanowisko / Position ]],0))="n/a","n/a",AW111-INDEX(tab_MinKomp[LEAN MANAGEMENT],MATCH($B111,tab_MinKomp[[Stanowisko / Position ]:[Stanowisko / Position ]],0)))</f>
        <v>0</v>
      </c>
      <c r="AX112" s="343" t="str">
        <f>IF(INDEX(tab_MinKomp[5R],MATCH($B111,tab_MinKomp[[Stanowisko / Position ]:[Stanowisko / Position ]],0))="n/a","n/a",AX111-INDEX(tab_MinKomp[5R],MATCH($B111,tab_MinKomp[[Stanowisko / Position ]:[Stanowisko / Position ]],0)))</f>
        <v>n/a</v>
      </c>
      <c r="AY112" s="343" t="str">
        <f>IF(INDEX(tab_MinKomp[Six Sigma],MATCH($B111,tab_MinKomp[[Stanowisko / Position ]:[Stanowisko / Position ]],0))="n/a","n/a",AY111-INDEX(tab_MinKomp[Six Sigma],MATCH($B111,tab_MinKomp[[Stanowisko / Position ]:[Stanowisko / Position ]],0)))</f>
        <v>n/a</v>
      </c>
      <c r="AZ112" s="343" t="str">
        <f>IF(INDEX(tab_MinKomp[System BAAN / Distribution &amp; Supply Chain],MATCH($B111,tab_MinKomp[[Stanowisko / Position ]:[Stanowisko / Position ]],0))="n/a","n/a",AZ111-INDEX(tab_MinKomp[System BAAN / Distribution &amp; Supply Chain],MATCH($B111,tab_MinKomp[[Stanowisko / Position ]:[Stanowisko / Position ]],0)))</f>
        <v>n/a</v>
      </c>
      <c r="BA112" s="343">
        <f>IF(INDEX(tab_MinKomp[Gospodarka magazynowa / Lagerverwaltung],MATCH($B111,tab_MinKomp[[Stanowisko / Position ]:[Stanowisko / Position ]],0))="n/a","n/a",BA111-INDEX(tab_MinKomp[Gospodarka magazynowa / Lagerverwaltung],MATCH($B111,tab_MinKomp[[Stanowisko / Position ]:[Stanowisko / Position ]],0)))</f>
        <v>0</v>
      </c>
      <c r="BB112" s="343">
        <f>IF(INDEX(tab_MinKomp[Inwentaryzacja - organizacja i przebieg / Inventurprozess],MATCH($B111,tab_MinKomp[[Stanowisko / Position ]:[Stanowisko / Position ]],0))="n/a","n/a",BB111-INDEX(tab_MinKomp[Inwentaryzacja - organizacja i przebieg / Inventurprozess],MATCH($B111,tab_MinKomp[[Stanowisko / Position ]:[Stanowisko / Position ]],0)))</f>
        <v>0</v>
      </c>
      <c r="BC112" s="343" t="str">
        <f>IF(INDEX(tab_MinKomp[Organizacja dostaw / Versorgungsorganisation],MATCH($B111,tab_MinKomp[[Stanowisko / Position ]:[Stanowisko / Position ]],0))="n/a","n/a",BC111-INDEX(tab_MinKomp[Organizacja dostaw / Versorgungsorganisation],MATCH($B111,tab_MinKomp[[Stanowisko / Position ]:[Stanowisko / Position ]],0)))</f>
        <v>n/a</v>
      </c>
      <c r="BD112" s="343" t="str">
        <f>IF(INDEX(tab_MinKomp[Organizacja wysyłek / Organisation von Lieferungen],MATCH($B111,tab_MinKomp[[Stanowisko / Position ]:[Stanowisko / Position ]],0))="n/a","n/a",BD111-INDEX(tab_MinKomp[Organizacja wysyłek / Organisation von Lieferungen],MATCH($B111,tab_MinKomp[[Stanowisko / Position ]:[Stanowisko / Position ]],0)))</f>
        <v>n/a</v>
      </c>
      <c r="BE112" s="343" t="str">
        <f>IF(INDEX(tab_MinKomp[Analiza magazynowa - Program Polen.mdb / Inventuranalyse],MATCH($B111,tab_MinKomp[[Stanowisko / Position ]:[Stanowisko / Position ]],0))="n/a","n/a",BE111-INDEX(tab_MinKomp[Analiza magazynowa - Program Polen.mdb / Inventuranalyse],MATCH($B111,tab_MinKomp[[Stanowisko / Position ]:[Stanowisko / Position ]],0)))</f>
        <v>n/a</v>
      </c>
      <c r="BF112" s="315" t="str">
        <f>IF(INDEX(tab_MinKomp[MMOG (Materials Management Operations Guidelines)],MATCH($B111,tab_MinKomp[[Stanowisko / Position ]:[Stanowisko / Position ]],0))="n/a","n/a",BF111-INDEX(tab_MinKomp[MMOG (Materials Management Operations Guidelines)],MATCH($B111,tab_MinKomp[[Stanowisko / Position ]:[Stanowisko / Position ]],0)))</f>
        <v>n/a</v>
      </c>
      <c r="BG112" s="315" t="str">
        <f>IF(INDEX(tab_MinKomp[GPP],MATCH($B111,tab_MinKomp[[Stanowisko / Position ]:[Stanowisko / Position ]],0))="n/a","n/a",BG111-INDEX(tab_MinKomp[GPP],MATCH($B111,tab_MinKomp[[Stanowisko / Position ]:[Stanowisko / Position ]],0)))</f>
        <v>n/a</v>
      </c>
      <c r="BH112" s="315" t="str">
        <f>IF(INDEX(tab_MinKomp[AIAG (Automotive Industry Action Group)],MATCH($B111,tab_MinKomp[[Stanowisko / Position ]:[Stanowisko / Position ]],0))="n/a","n/a",BH111-INDEX(tab_MinKomp[AIAG (Automotive Industry Action Group)],MATCH($B111,tab_MinKomp[[Stanowisko / Position ]:[Stanowisko / Position ]],0)))</f>
        <v>n/a</v>
      </c>
      <c r="BI112" s="315" t="str">
        <f>IF(INDEX(tab_MinKomp[Super-G disputes],MATCH($B111,tab_MinKomp[[Stanowisko / Position ]:[Stanowisko / Position ]],0))="n/a","n/a",BI111-INDEX(tab_MinKomp[Super-G disputes],MATCH($B111,tab_MinKomp[[Stanowisko / Position ]:[Stanowisko / Position ]],0)))</f>
        <v>n/a</v>
      </c>
      <c r="BJ112" s="315" t="str">
        <f>IF(INDEX(tab_MinKomp[CMMS3/eDDL (Direct Data Link)],MATCH($B111,tab_MinKomp[[Stanowisko / Position ]:[Stanowisko / Position ]],0))="n/a","n/a",BJ111-INDEX(tab_MinKomp[CMMS3/eDDL (Direct Data Link)],MATCH($B111,tab_MinKomp[[Stanowisko / Position ]:[Stanowisko / Position ]],0)))</f>
        <v>n/a</v>
      </c>
      <c r="BK112" s="315" t="str">
        <f>IF(INDEX(tab_MinKomp[MP&amp;L (Material Planning and Logistics)],MATCH($B111,tab_MinKomp[[Stanowisko / Position ]:[Stanowisko / Position ]],0))="n/a","n/a",BK111-INDEX(tab_MinKomp[MP&amp;L (Material Planning and Logistics)],MATCH($B111,tab_MinKomp[[Stanowisko / Position ]:[Stanowisko / Position ]],0)))</f>
        <v>n/a</v>
      </c>
      <c r="BL112" s="315" t="str">
        <f>IF(INDEX(tab_MinKomp[Supplier delivery rating],MATCH($B111,tab_MinKomp[[Stanowisko / Position ]:[Stanowisko / Position ]],0))="n/a","n/a",BL111-INDEX(tab_MinKomp[Supplier delivery rating],MATCH($B111,tab_MinKomp[[Stanowisko / Position ]:[Stanowisko / Position ]],0)))</f>
        <v>n/a</v>
      </c>
      <c r="BM112" s="343">
        <f>IF(INDEX(tab_MinKomp[Planowanie produkcji / Produktionsplanung],MATCH($B111,tab_MinKomp[[Stanowisko / Position ]:[Stanowisko / Position ]],0))="n/a","n/a",BM111-INDEX(tab_MinKomp[Planowanie produkcji / Produktionsplanung],MATCH($B111,tab_MinKomp[[Stanowisko / Position ]:[Stanowisko / Position ]],0)))</f>
        <v>0</v>
      </c>
      <c r="BN112" s="343" t="str">
        <f>IF(INDEX(tab_MinKomp[Obsługa maszyn Engel / Engel Maschinenbedienung],MATCH($B111,tab_MinKomp[[Stanowisko / Position ]:[Stanowisko / Position ]],0))="n/a","n/a",BN111-INDEX(tab_MinKomp[Obsługa maszyn Engel / Engel Maschinenbedienung],MATCH($B111,tab_MinKomp[[Stanowisko / Position ]:[Stanowisko / Position ]],0)))</f>
        <v>n/a</v>
      </c>
      <c r="BO112" s="343" t="str">
        <f>IF(INDEX(tab_MinKomp[Obsługa maszyn KVT / KVT Maschinenbedienung],MATCH($B111,tab_MinKomp[[Stanowisko / Position ]:[Stanowisko / Position ]],0))="n/a","n/a",BO111-INDEX(tab_MinKomp[Obsługa maszyn KVT / KVT Maschinenbedienung],MATCH($B111,tab_MinKomp[[Stanowisko / Position ]:[Stanowisko / Position ]],0)))</f>
        <v>n/a</v>
      </c>
      <c r="BP112" s="343" t="str">
        <f>IF(INDEX(tab_MinKomp[Obsługa maszyn KVT / KVT Maschinenbedienung],MATCH($B111,tab_MinKomp[[Stanowisko / Position ]:[Stanowisko / Position ]],0))="n/a","n/a",BP111-INDEX(tab_MinKomp[Obsługa maszyn KVT / KVT Maschinenbedienung],MATCH($B111,tab_MinKomp[[Stanowisko / Position ]:[Stanowisko / Position ]],0)))</f>
        <v>n/a</v>
      </c>
      <c r="BQ112" s="343" t="str">
        <f>IF(INDEX(tab_MinKomp[Obsługa maszyn ASL / ASL Maschinenbedienung],MATCH($B111,tab_MinKomp[[Stanowisko / Position ]:[Stanowisko / Position ]],0))="n/a","n/a",BQ111-INDEX(tab_MinKomp[Obsługa maszyn ASL / ASL Maschinenbedienung],MATCH($B111,tab_MinKomp[[Stanowisko / Position ]:[Stanowisko / Position ]],0)))</f>
        <v>n/a</v>
      </c>
      <c r="BR112" s="343" t="str">
        <f>IF(INDEX(tab_MinKomp[Obsługa maszyn Branson / Branson Maschinenbedienung],MATCH($B111,tab_MinKomp[[Stanowisko / Position ]:[Stanowisko / Position ]],0))="n/a","n/a",BR111-INDEX(tab_MinKomp[Obsługa maszyn Branson / Branson Maschinenbedienung],MATCH($B111,tab_MinKomp[[Stanowisko / Position ]:[Stanowisko / Position ]],0)))</f>
        <v>n/a</v>
      </c>
      <c r="BS112" s="343">
        <f>IF(INDEX(tab_MinKomp[Obsługa maszyn Novapax / Novapax Maschinenbedienung],MATCH($B111,tab_MinKomp[[Stanowisko / Position ]:[Stanowisko / Position ]],0))="n/a","n/a",BS111-INDEX(tab_MinKomp[Obsługa maszyn Novapax / Novapax Maschinenbedienung],MATCH($B111,tab_MinKomp[[Stanowisko / Position ]:[Stanowisko / Position ]],0)))</f>
        <v>0</v>
      </c>
      <c r="BT112" s="343" t="str">
        <f>IF(INDEX(tab_MinKomp[Obsługa maszyn Piovan / Piovan Maschinenbedienung],MATCH($B111,tab_MinKomp[[Stanowisko / Position ]:[Stanowisko / Position ]],0))="n/a","n/a",BT111-INDEX(tab_MinKomp[Obsługa maszyn Piovan / Piovan Maschinenbedienung],MATCH($B111,tab_MinKomp[[Stanowisko / Position ]:[Stanowisko / Position ]],0)))</f>
        <v>n/a</v>
      </c>
      <c r="BU112" s="343">
        <f>IF(INDEX(tab_MinKomp[Obsługa maszyn Novapax / Novapax Maschinenbedienung],MATCH($B111,tab_MinKomp[[Stanowisko / Position ]:[Stanowisko / Position ]],0))="n/a","n/a",BU111-INDEX(tab_MinKomp[Obsługa maszyn Novapax / Novapax Maschinenbedienung],MATCH($B111,tab_MinKomp[[Stanowisko / Position ]:[Stanowisko / Position ]],0)))</f>
        <v>0</v>
      </c>
      <c r="BV112" s="343">
        <f>IF(INDEX(tab_MinKomp[Eliminacja awarii / Beseitigung von Ausfällen],MATCH($B111,tab_MinKomp[[Stanowisko / Position ]:[Stanowisko / Position ]],0))="n/a","n/a",BV111-INDEX(tab_MinKomp[Eliminacja awarii / Beseitigung von Ausfällen],MATCH($B111,tab_MinKomp[[Stanowisko / Position ]:[Stanowisko / Position ]],0)))</f>
        <v>0</v>
      </c>
      <c r="BW112" s="343" t="str">
        <f>IF(INDEX(tab_MinKomp[Informatyka ogólna (techniczne i systemowe) / Allgemeine IT (Technik und System)],MATCH($B111,tab_MinKomp[[Stanowisko / Position ]:[Stanowisko / Position ]],0))="n/a","n/a",BW111-INDEX(tab_MinKomp[Informatyka ogólna (techniczne i systemowe) / Allgemeine IT (Technik und System)],MATCH($B111,tab_MinKomp[[Stanowisko / Position ]:[Stanowisko / Position ]],0)))</f>
        <v>n/a</v>
      </c>
      <c r="BX112" s="343" t="str">
        <f>IF(INDEX(tab_MinKomp[Sieci komputerowe / Computernetzwerke],MATCH($B111,tab_MinKomp[[Stanowisko / Position ]:[Stanowisko / Position ]],0))="n/a","n/a",BX111-INDEX(tab_MinKomp[Sieci komputerowe / Computernetzwerke],MATCH($B111,tab_MinKomp[[Stanowisko / Position ]:[Stanowisko / Position ]],0)))</f>
        <v>n/a</v>
      </c>
      <c r="BY112" s="343" t="str">
        <f>IF(INDEX(tab_MinKomp[Hardware (komputery PC, drukarki biurowe i etykietowe, telefonia stacjonarna i mobilna) (PC, Drucker, Telefpne, Handys)],MATCH($B111,tab_MinKomp[[Stanowisko / Position ]:[Stanowisko / Position ]],0))="n/a","n/a",BY111-INDEX(tab_MinKomp[Hardware (komputery PC, drukarki biurowe i etykietowe, telefonia stacjonarna i mobilna) (PC, Drucker, Telefpne, Handys)],MATCH($B111,tab_MinKomp[[Stanowisko / Position ]:[Stanowisko / Position ]],0)))</f>
        <v>n/a</v>
      </c>
      <c r="BZ112" s="343" t="str">
        <f>IF(INDEX(tab_MinKomp[Software &amp; Systems (MS Office, MS Remote Desktop)],MATCH($B111,tab_MinKomp[[Stanowisko / Position ]:[Stanowisko / Position ]],0))="n/a","n/a",BZ111-INDEX(tab_MinKomp[Software &amp; Systems (MS Office, MS Remote Desktop)],MATCH($B111,tab_MinKomp[[Stanowisko / Position ]:[Stanowisko / Position ]],0)))</f>
        <v>n/a</v>
      </c>
      <c r="CA112" s="343" t="str">
        <f>IF(INDEX(tab_MinKomp[Programowanie obiektowe (PHP) / Objektprogrammierung],MATCH($B111,tab_MinKomp[[Stanowisko / Position ]:[Stanowisko / Position ]],0))="n/a","n/a",CA111-INDEX(tab_MinKomp[Programowanie obiektowe (PHP) / Objektprogrammierung],MATCH($B111,tab_MinKomp[[Stanowisko / Position ]:[Stanowisko / Position ]],0)))</f>
        <v>n/a</v>
      </c>
      <c r="CB112" s="343" t="str">
        <f>IF(INDEX(tab_MinKomp[Scrum],MATCH($B111,tab_MinKomp[[Stanowisko / Position ]:[Stanowisko / Position ]],0))="n/a","n/a",CB111-INDEX(tab_MinKomp[Scrum],MATCH($B111,tab_MinKomp[[Stanowisko / Position ]:[Stanowisko / Position ]],0)))</f>
        <v>n/a</v>
      </c>
      <c r="CC112" s="343" t="str">
        <f>IF(INDEX(tab_MinKomp[SQL (MySQL)],MATCH($B111,tab_MinKomp[[Stanowisko / Position ]:[Stanowisko / Position ]],0))="n/a","n/a",CC111-INDEX(tab_MinKomp[SQL (MySQL)],MATCH($B111,tab_MinKomp[[Stanowisko / Position ]:[Stanowisko / Position ]],0)))</f>
        <v>n/a</v>
      </c>
      <c r="CD112" s="343" t="str">
        <f>IF(INDEX(tab_MinKomp[Javascript],MATCH($B111,tab_MinKomp[[Stanowisko / Position ]:[Stanowisko / Position ]],0))="n/a","n/a",CD111-INDEX(tab_MinKomp[Javascript],MATCH($B111,tab_MinKomp[[Stanowisko / Position ]:[Stanowisko / Position ]],0)))</f>
        <v>n/a</v>
      </c>
      <c r="CE112" s="343" t="str">
        <f>IF(INDEX(tab_MinKomp[Joomla],MATCH($B111,tab_MinKomp[[Stanowisko / Position ]:[Stanowisko / Position ]],0))="n/a","n/a",CE111-INDEX(tab_MinKomp[Joomla],MATCH($B111,tab_MinKomp[[Stanowisko / Position ]:[Stanowisko / Position ]],0)))</f>
        <v>n/a</v>
      </c>
      <c r="CF112" s="343" t="str">
        <f>IF(INDEX(tab_MinKomp[Bash],MATCH($B111,tab_MinKomp[[Stanowisko / Position ]:[Stanowisko / Position ]],0))="n/a","n/a",CF111-INDEX(tab_MinKomp[Bash],MATCH($B111,tab_MinKomp[[Stanowisko / Position ]:[Stanowisko / Position ]],0)))</f>
        <v>n/a</v>
      </c>
      <c r="CG112" s="343">
        <f>IF(INDEX(tab_MinKomp[Systemy MES (HYDRA / SFMS)],MATCH($B111,tab_MinKomp[[Stanowisko / Position ]:[Stanowisko / Position ]],0))="n/a","n/a",CG111-INDEX(tab_MinKomp[Systemy MES (HYDRA / SFMS)],MATCH($B111,tab_MinKomp[[Stanowisko / Position ]:[Stanowisko / Position ]],0)))</f>
        <v>0</v>
      </c>
      <c r="CH112" s="343" t="str">
        <f>IF(INDEX(tab_MinKomp[HTML / CSS],MATCH($B111,tab_MinKomp[[Stanowisko / Position ]:[Stanowisko / Position ]],0))="n/a","n/a",CH111-INDEX(tab_MinKomp[HTML / CSS],MATCH($B111,tab_MinKomp[[Stanowisko / Position ]:[Stanowisko / Position ]],0)))</f>
        <v>n/a</v>
      </c>
      <c r="CI112" s="343" t="str">
        <f>IF(INDEX(tab_MinKomp[SYSTEM PR],MATCH($B111,tab_MinKomp[[Stanowisko / Position ]:[Stanowisko / Position ]],0))="n/a","n/a",CI111-INDEX(tab_MinKomp[SYSTEM PR],MATCH($B111,tab_MinKomp[[Stanowisko / Position ]:[Stanowisko / Position ]],0)))</f>
        <v>n/a</v>
      </c>
      <c r="CJ112" s="343" t="str">
        <f>IF(INDEX(tab_MinKomp[System Einkauf XP / EBA],MATCH($B111,tab_MinKomp[[Stanowisko / Position ]:[Stanowisko / Position ]],0))="n/a","n/a",CJ111-INDEX(tab_MinKomp[System Einkauf XP / EBA],MATCH($B111,tab_MinKomp[[Stanowisko / Position ]:[Stanowisko / Position ]],0)))</f>
        <v>n/a</v>
      </c>
      <c r="CK112" s="343" t="str">
        <f>IF(INDEX(tab_MinKomp[Techniki negocjacyjne / Verhandlungstechniken],MATCH($B111,tab_MinKomp[[Stanowisko / Position ]:[Stanowisko / Position ]],0))="n/a","n/a",CK111-INDEX(tab_MinKomp[Techniki negocjacyjne / Verhandlungstechniken],MATCH($B111,tab_MinKomp[[Stanowisko / Position ]:[Stanowisko / Position ]],0)))</f>
        <v>n/a</v>
      </c>
      <c r="CL112" s="343" t="str">
        <f>IF(INDEX(tab_MinKomp[Znajomość rynku branżowego / Kenntnis des Industrie Marktes],MATCH($B111,tab_MinKomp[[Stanowisko / Position ]:[Stanowisko / Position ]],0))="n/a","n/a",CL111-INDEX(tab_MinKomp[Znajomość rynku branżowego / Kenntnis des Industrie Marktes],MATCH($B111,tab_MinKomp[[Stanowisko / Position ]:[Stanowisko / Position ]],0)))</f>
        <v>n/a</v>
      </c>
      <c r="CM112" s="343">
        <f>IF(INDEX(tab_MinKomp[RAPORTY 8D / 8D Berichten],MATCH($B111,tab_MinKomp[[Stanowisko / Position ]:[Stanowisko / Position ]],0))="n/a","n/a",CM111-INDEX(tab_MinKomp[RAPORTY 8D / 8D Berichten],MATCH($B111,tab_MinKomp[[Stanowisko / Position ]:[Stanowisko / Position ]],0)))</f>
        <v>0</v>
      </c>
      <c r="CN112" s="343">
        <f>IF(INDEX(tab_MinKomp[NARZĘDZIA JAKOŚCIOWE (5WHY, Ishikawa, etc) / QS-Werkzeuge],MATCH($B111,tab_MinKomp[[Stanowisko / Position ]:[Stanowisko / Position ]],0))="n/a","n/a",CN111-INDEX(tab_MinKomp[NARZĘDZIA JAKOŚCIOWE (5WHY, Ishikawa, etc) / QS-Werkzeuge],MATCH($B111,tab_MinKomp[[Stanowisko / Position ]:[Stanowisko / Position ]],0)))</f>
        <v>0</v>
      </c>
      <c r="CO112" s="343">
        <f>IF(INDEX(tab_MinKomp[PDCA],MATCH($B111,tab_MinKomp[[Stanowisko / Position ]:[Stanowisko / Position ]],0))="n/a","n/a",CO111-INDEX(tab_MinKomp[PDCA],MATCH($B111,tab_MinKomp[[Stanowisko / Position ]:[Stanowisko / Position ]],0)))</f>
        <v>0</v>
      </c>
      <c r="CP112" s="343">
        <f>IF(INDEX(tab_MinKomp[Pareto],MATCH($B111,tab_MinKomp[[Stanowisko / Position ]:[Stanowisko / Position ]],0))="n/a","n/a",CP111-INDEX(tab_MinKomp[Pareto],MATCH($B111,tab_MinKomp[[Stanowisko / Position ]:[Stanowisko / Position ]],0)))</f>
        <v>0</v>
      </c>
      <c r="CQ112" s="343" t="str">
        <f>IF(INDEX(tab_MinKomp[PPAP/PSW],MATCH($B111,tab_MinKomp[[Stanowisko / Position ]:[Stanowisko / Position ]],0))="n/a","n/a",CQ111-INDEX(tab_MinKomp[PPAP/PSW],MATCH($B111,tab_MinKomp[[Stanowisko / Position ]:[Stanowisko / Position ]],0)))</f>
        <v>n/a</v>
      </c>
      <c r="CR112" s="343" t="str">
        <f>IF(INDEX(tab_MinKomp[SUPPLIER MANAGEMENT],MATCH($B111,tab_MinKomp[[Stanowisko / Position ]:[Stanowisko / Position ]],0))="n/a","n/a",CR111-INDEX(tab_MinKomp[SUPPLIER MANAGEMENT],MATCH($B111,tab_MinKomp[[Stanowisko / Position ]:[Stanowisko / Position ]],0)))</f>
        <v>n/a</v>
      </c>
      <c r="CS112" s="343" t="str">
        <f>IF(INDEX(tab_MinKomp[OBSŁUGA PORTALI KLIENTA / Kundenportale],MATCH($B111,tab_MinKomp[[Stanowisko / Position ]:[Stanowisko / Position ]],0))="n/a","n/a",CS111-INDEX(tab_MinKomp[OBSŁUGA PORTALI KLIENTA / Kundenportale],MATCH($B111,tab_MinKomp[[Stanowisko / Position ]:[Stanowisko / Position ]],0)))</f>
        <v>n/a</v>
      </c>
      <c r="CT112" s="343" t="str">
        <f>IF(INDEX(tab_MinKomp[Obsługa systemu BABTECQ / BABTECQ System],MATCH($B111,tab_MinKomp[[Stanowisko / Position ]:[Stanowisko / Position ]],0))="n/a","n/a",CT111-INDEX(tab_MinKomp[Obsługa systemu BABTECQ / BABTECQ System],MATCH($B111,tab_MinKomp[[Stanowisko / Position ]:[Stanowisko / Position ]],0)))</f>
        <v>n/a</v>
      </c>
      <c r="CU112" s="343" t="str">
        <f>IF(INDEX(tab_MinKomp[Rysunek techniczny / technische Zeichnung],MATCH($B111,tab_MinKomp[[Stanowisko / Position ]:[Stanowisko / Position ]],0))="n/a","n/a",CU111-INDEX(tab_MinKomp[Rysunek techniczny / technische Zeichnung],MATCH($B111,tab_MinKomp[[Stanowisko / Position ]:[Stanowisko / Position ]],0)))</f>
        <v>n/a</v>
      </c>
      <c r="CV112" s="343" t="str">
        <f>IF(INDEX(tab_MinKomp[Kalibracja / Kalibrierung],MATCH($B111,tab_MinKomp[[Stanowisko / Position ]:[Stanowisko / Position ]],0))="n/a","n/a",CV111-INDEX(tab_MinKomp[Kalibracja / Kalibrierung],MATCH($B111,tab_MinKomp[[Stanowisko / Position ]:[Stanowisko / Position ]],0)))</f>
        <v>n/a</v>
      </c>
      <c r="CW112" s="343" t="str">
        <f>IF(INDEX(tab_MinKomp[Rekwalifikacja / Requalifizierung],MATCH($B111,tab_MinKomp[[Stanowisko / Position ]:[Stanowisko / Position ]],0))="n/a","n/a",CW111-INDEX(tab_MinKomp[Rekwalifikacja / Requalifizierung],MATCH($B111,tab_MinKomp[[Stanowisko / Position ]:[Stanowisko / Position ]],0)))</f>
        <v>n/a</v>
      </c>
      <c r="CX112" s="315" t="str">
        <f>IF(INDEX(tab_MinKomp[CMM - Contura Zeiss],MATCH($B111,tab_MinKomp[[Stanowisko / Position ]:[Stanowisko / Position ]],0))="n/a","n/a",CX111-INDEX(tab_MinKomp[CMM - Contura Zeiss],MATCH($B111,tab_MinKomp[[Stanowisko / Position ]:[Stanowisko / Position ]],0)))</f>
        <v>n/a</v>
      </c>
      <c r="CY112" s="315" t="str">
        <f>IF(INDEX(tab_MinKomp[CMM - Contura Zeiss],MATCH($B111,tab_MinKomp[[Stanowisko / Position ]:[Stanowisko / Position ]],0))="n/a","n/a",CY111-INDEX(tab_MinKomp[CMM - Contura Zeiss],MATCH($B111,tab_MinKomp[[Stanowisko / Position ]:[Stanowisko / Position ]],0)))</f>
        <v>n/a</v>
      </c>
      <c r="CZ112" s="315" t="str">
        <f>IF(INDEX(tab_MinKomp[CMM - Contura Zeiss],MATCH($B111,tab_MinKomp[[Stanowisko / Position ]:[Stanowisko / Position ]],0))="n/a","n/a",CZ111-INDEX(tab_MinKomp[CMM - Contura Zeiss],MATCH($B111,tab_MinKomp[[Stanowisko / Position ]:[Stanowisko / Position ]],0)))</f>
        <v>n/a</v>
      </c>
      <c r="DA112" s="315" t="str">
        <f>IF(INDEX(tab_MinKomp[CMM - Contura Zeiss],MATCH($B111,tab_MinKomp[[Stanowisko / Position ]:[Stanowisko / Position ]],0))="n/a","n/a",DA111-INDEX(tab_MinKomp[CMM - Contura Zeiss],MATCH($B111,tab_MinKomp[[Stanowisko / Position ]:[Stanowisko / Position ]],0)))</f>
        <v>n/a</v>
      </c>
      <c r="DB112" s="315" t="str">
        <f>IF(INDEX(tab_MinKomp[CMM - Contura Zeiss],MATCH($B111,tab_MinKomp[[Stanowisko / Position ]:[Stanowisko / Position ]],0))="n/a","n/a",DB111-INDEX(tab_MinKomp[CMM - Contura Zeiss],MATCH($B111,tab_MinKomp[[Stanowisko / Position ]:[Stanowisko / Position ]],0)))</f>
        <v>n/a</v>
      </c>
      <c r="DC112" s="315" t="str">
        <f>IF(INDEX(tab_MinKomp[CMM - Contura Zeiss],MATCH($B111,tab_MinKomp[[Stanowisko / Position ]:[Stanowisko / Position ]],0))="n/a","n/a",DC111-INDEX(tab_MinKomp[CMM - Contura Zeiss],MATCH($B111,tab_MinKomp[[Stanowisko / Position ]:[Stanowisko / Position ]],0)))</f>
        <v>n/a</v>
      </c>
      <c r="DD112" s="315" t="str">
        <f>IF(INDEX(tab_MinKomp[Pisanie programów / Programme schreiben],MATCH($B111,tab_MinKomp[[Stanowisko / Position ]:[Stanowisko / Position ]],0))="n/a","n/a",DD111-INDEX(tab_MinKomp[Pisanie programów / Programme schreiben],MATCH($B111,tab_MinKomp[[Stanowisko / Position ]:[Stanowisko / Position ]],0)))</f>
        <v>n/a</v>
      </c>
      <c r="DE112" s="315" t="str">
        <f>IF(INDEX(tab_MinKomp[CMM - Contura Zeiss],MATCH($B111,tab_MinKomp[[Stanowisko / Position ]:[Stanowisko / Position ]],0))="n/a","n/a",DE111-INDEX(tab_MinKomp[CMM - Contura Zeiss],MATCH($B111,tab_MinKomp[[Stanowisko / Position ]:[Stanowisko / Position ]],0)))</f>
        <v>n/a</v>
      </c>
      <c r="DF112" s="315" t="str">
        <f>IF(INDEX(tab_MinKomp[CMM - Contura Zeiss],MATCH($B111,tab_MinKomp[[Stanowisko / Position ]:[Stanowisko / Position ]],0))="n/a","n/a",DF111-INDEX(tab_MinKomp[CMM - Contura Zeiss],MATCH($B111,tab_MinKomp[[Stanowisko / Position ]:[Stanowisko / Position ]],0)))</f>
        <v>n/a</v>
      </c>
      <c r="DG112" s="315" t="str">
        <f>IF(INDEX(tab_MinKomp[CMM - Contura Zeiss],MATCH($B111,tab_MinKomp[[Stanowisko / Position ]:[Stanowisko / Position ]],0))="n/a","n/a",DG111-INDEX(tab_MinKomp[CMM - Contura Zeiss],MATCH($B111,tab_MinKomp[[Stanowisko / Position ]:[Stanowisko / Position ]],0)))</f>
        <v>n/a</v>
      </c>
      <c r="DH112" s="315" t="str">
        <f>IF(INDEX(tab_MinKomp[CMM - Contura Zeiss],MATCH($B111,tab_MinKomp[[Stanowisko / Position ]:[Stanowisko / Position ]],0))="n/a","n/a",DH111-INDEX(tab_MinKomp[CMM - Contura Zeiss],MATCH($B111,tab_MinKomp[[Stanowisko / Position ]:[Stanowisko / Position ]],0)))</f>
        <v>n/a</v>
      </c>
      <c r="DI112" s="315" t="str">
        <f>IF(INDEX(tab_MinKomp[CMM - Contura Zeiss],MATCH($B111,tab_MinKomp[[Stanowisko / Position ]:[Stanowisko / Position ]],0))="n/a","n/a",DI111-INDEX(tab_MinKomp[CMM - Contura Zeiss],MATCH($B111,tab_MinKomp[[Stanowisko / Position ]:[Stanowisko / Position ]],0)))</f>
        <v>n/a</v>
      </c>
      <c r="DJ112" s="315" t="str">
        <f>IF(INDEX(tab_MinKomp[CMM - Contura Zeiss],MATCH($B111,tab_MinKomp[[Stanowisko / Position ]:[Stanowisko / Position ]],0))="n/a","n/a",DJ111-INDEX(tab_MinKomp[CMM - Contura Zeiss],MATCH($B111,tab_MinKomp[[Stanowisko / Position ]:[Stanowisko / Position ]],0)))</f>
        <v>n/a</v>
      </c>
      <c r="DK112" s="315" t="str">
        <f>IF(INDEX(tab_MinKomp[Pisanie programów / Programme schreiben],MATCH($B111,tab_MinKomp[[Stanowisko / Position ]:[Stanowisko / Position ]],0))="n/a","n/a",DK111-INDEX(tab_MinKomp[Pisanie programów / Programme schreiben],MATCH($B111,tab_MinKomp[[Stanowisko / Position ]:[Stanowisko / Position ]],0)))</f>
        <v>n/a</v>
      </c>
      <c r="DL112" s="315" t="str">
        <f>IF(INDEX(tab_MinKomp[CMM - Contura Zeiss],MATCH($B111,tab_MinKomp[[Stanowisko / Position ]:[Stanowisko / Position ]],0))="n/a","n/a",DL111-INDEX(tab_MinKomp[CMM - Contura Zeiss],MATCH($B111,tab_MinKomp[[Stanowisko / Position ]:[Stanowisko / Position ]],0)))</f>
        <v>n/a</v>
      </c>
      <c r="DM112" s="315" t="str">
        <f>IF(INDEX(tab_MinKomp[CMM - Contura Zeiss],MATCH($B111,tab_MinKomp[[Stanowisko / Position ]:[Stanowisko / Position ]],0))="n/a","n/a",DM111-INDEX(tab_MinKomp[CMM - Contura Zeiss],MATCH($B111,tab_MinKomp[[Stanowisko / Position ]:[Stanowisko / Position ]],0)))</f>
        <v>n/a</v>
      </c>
      <c r="DN112" s="315" t="str">
        <f>IF(INDEX(tab_MinKomp[CMM - Contura Zeiss],MATCH($B111,tab_MinKomp[[Stanowisko / Position ]:[Stanowisko / Position ]],0))="n/a","n/a",DN111-INDEX(tab_MinKomp[CMM - Contura Zeiss],MATCH($B111,tab_MinKomp[[Stanowisko / Position ]:[Stanowisko / Position ]],0)))</f>
        <v>n/a</v>
      </c>
      <c r="DO112" s="315" t="str">
        <f>IF(INDEX(tab_MinKomp[CMM - Contura Zeiss],MATCH($B111,tab_MinKomp[[Stanowisko / Position ]:[Stanowisko / Position ]],0))="n/a","n/a",DO111-INDEX(tab_MinKomp[CMM - Contura Zeiss],MATCH($B111,tab_MinKomp[[Stanowisko / Position ]:[Stanowisko / Position ]],0)))</f>
        <v>n/a</v>
      </c>
      <c r="DP112" s="315" t="str">
        <f>IF(INDEX(tab_MinKomp[CMM - Contura Zeiss],MATCH($B111,tab_MinKomp[[Stanowisko / Position ]:[Stanowisko / Position ]],0))="n/a","n/a",DP111-INDEX(tab_MinKomp[CMM - Contura Zeiss],MATCH($B111,tab_MinKomp[[Stanowisko / Position ]:[Stanowisko / Position ]],0)))</f>
        <v>n/a</v>
      </c>
      <c r="DQ112" s="315" t="str">
        <f>IF(INDEX(tab_MinKomp[CMM - Contura Zeiss],MATCH($B111,tab_MinKomp[[Stanowisko / Position ]:[Stanowisko / Position ]],0))="n/a","n/a",DQ111-INDEX(tab_MinKomp[CMM - Contura Zeiss],MATCH($B111,tab_MinKomp[[Stanowisko / Position ]:[Stanowisko / Position ]],0)))</f>
        <v>n/a</v>
      </c>
      <c r="DR112" s="315" t="str">
        <f>IF(INDEX(tab_MinKomp[Pisanie programów / Programme schreiben],MATCH($B111,tab_MinKomp[[Stanowisko / Position ]:[Stanowisko / Position ]],0))="n/a","n/a",DR111-INDEX(tab_MinKomp[Pisanie programów / Programme schreiben],MATCH($B111,tab_MinKomp[[Stanowisko / Position ]:[Stanowisko / Position ]],0)))</f>
        <v>n/a</v>
      </c>
      <c r="DS112" s="315" t="str">
        <f>IF(INDEX(tab_MinKomp[CMM - Contura Zeiss],MATCH($B111,tab_MinKomp[[Stanowisko / Position ]:[Stanowisko / Position ]],0))="n/a","n/a",DS111-INDEX(tab_MinKomp[CMM - Contura Zeiss],MATCH($B111,tab_MinKomp[[Stanowisko / Position ]:[Stanowisko / Position ]],0)))</f>
        <v>n/a</v>
      </c>
      <c r="DT112" s="315" t="str">
        <f>IF(INDEX(tab_MinKomp[CMM - Contura Zeiss],MATCH($B111,tab_MinKomp[[Stanowisko / Position ]:[Stanowisko / Position ]],0))="n/a","n/a",DT111-INDEX(tab_MinKomp[CMM - Contura Zeiss],MATCH($B111,tab_MinKomp[[Stanowisko / Position ]:[Stanowisko / Position ]],0)))</f>
        <v>n/a</v>
      </c>
      <c r="DU112" s="315" t="str">
        <f>IF(INDEX(tab_MinKomp[CMM - Contura Zeiss],MATCH($B111,tab_MinKomp[[Stanowisko / Position ]:[Stanowisko / Position ]],0))="n/a","n/a",DU111-INDEX(tab_MinKomp[CMM - Contura Zeiss],MATCH($B111,tab_MinKomp[[Stanowisko / Position ]:[Stanowisko / Position ]],0)))</f>
        <v>n/a</v>
      </c>
      <c r="DV112" s="315" t="str">
        <f>IF(INDEX(tab_MinKomp[CMM - Contura Zeiss],MATCH($B111,tab_MinKomp[[Stanowisko / Position ]:[Stanowisko / Position ]],0))="n/a","n/a",DV111-INDEX(tab_MinKomp[CMM - Contura Zeiss],MATCH($B111,tab_MinKomp[[Stanowisko / Position ]:[Stanowisko / Position ]],0)))</f>
        <v>n/a</v>
      </c>
      <c r="DW112" s="315" t="str">
        <f>IF(INDEX(tab_MinKomp[CMM - Contura Zeiss],MATCH($B111,tab_MinKomp[[Stanowisko / Position ]:[Stanowisko / Position ]],0))="n/a","n/a",DW111-INDEX(tab_MinKomp[CMM - Contura Zeiss],MATCH($B111,tab_MinKomp[[Stanowisko / Position ]:[Stanowisko / Position ]],0)))</f>
        <v>n/a</v>
      </c>
      <c r="DX112" s="315" t="str">
        <f>IF(INDEX(tab_MinKomp[CMM - Contura Zeiss],MATCH($B111,tab_MinKomp[[Stanowisko / Position ]:[Stanowisko / Position ]],0))="n/a","n/a",DX111-INDEX(tab_MinKomp[CMM - Contura Zeiss],MATCH($B111,tab_MinKomp[[Stanowisko / Position ]:[Stanowisko / Position ]],0)))</f>
        <v>n/a</v>
      </c>
      <c r="DY112" s="343" t="str">
        <f>IF(INDEX(tab_MinKomp[Konserwacja Rep],MATCH($B111,tab_MinKomp[[Stanowisko / Position ]:[Stanowisko / Position ]],0))="n/a","n/a",DY111-INDEX(tab_MinKomp[Konserwacja Rep],MATCH($B111,tab_MinKomp[[Stanowisko / Position ]:[Stanowisko / Position ]],0)))</f>
        <v>n/a</v>
      </c>
      <c r="DZ112" s="343" t="str">
        <f>IF(INDEX(tab_MinKomp[[Konserwacja Engel ]],MATCH($B111,tab_MinKomp[[Stanowisko / Position ]:[Stanowisko / Position ]],0))="n/a","n/a",DZ111-INDEX(tab_MinKomp[[Konserwacja Engel ]],MATCH($B111,tab_MinKomp[[Stanowisko / Position ]:[Stanowisko / Position ]],0)))</f>
        <v>n/a</v>
      </c>
      <c r="EA112" s="343" t="str">
        <f>IF(INDEX(tab_MinKomp[Konserwacja B 50],MATCH($B111,tab_MinKomp[[Stanowisko / Position ]:[Stanowisko / Position ]],0))="n/a","n/a",EA111-INDEX(tab_MinKomp[Konserwacja B 50],MATCH($B111,tab_MinKomp[[Stanowisko / Position ]:[Stanowisko / Position ]],0)))</f>
        <v>n/a</v>
      </c>
      <c r="EB112" s="343" t="str">
        <f>IF(INDEX(tab_MinKomp[[Konserwacja EOL ]],MATCH($B111,tab_MinKomp[[Stanowisko / Position ]:[Stanowisko / Position ]],0))="n/a","n/a",EB111-INDEX(tab_MinKomp[[Konserwacja EOL ]],MATCH($B111,tab_MinKomp[[Stanowisko / Position ]:[Stanowisko / Position ]],0)))</f>
        <v>n/a</v>
      </c>
      <c r="EC112" s="343" t="str">
        <f>IF(INDEX(tab_MinKomp[Konserwacja Branson],MATCH($B111,tab_MinKomp[[Stanowisko / Position ]:[Stanowisko / Position ]],0))="n/a","n/a",EC111-INDEX(tab_MinKomp[Konserwacja Branson],MATCH($B111,tab_MinKomp[[Stanowisko / Position ]:[Stanowisko / Position ]],0)))</f>
        <v>n/a</v>
      </c>
      <c r="ED112" s="343" t="str">
        <f>IF(INDEX(tab_MinKomp[Konserwacja coolery],MATCH($B111,tab_MinKomp[[Stanowisko / Position ]:[Stanowisko / Position ]],0))="n/a","n/a",ED111-INDEX(tab_MinKomp[Konserwacja coolery],MATCH($B111,tab_MinKomp[[Stanowisko / Position ]:[Stanowisko / Position ]],0)))</f>
        <v>n/a</v>
      </c>
      <c r="EE112" s="343" t="str">
        <f>IF(INDEX(tab_MinKomp[Konserwacja piecy],MATCH($B111,tab_MinKomp[[Stanowisko / Position ]:[Stanowisko / Position ]],0))="n/a","n/a",EE111-INDEX(tab_MinKomp[Konserwacja piecy],MATCH($B111,tab_MinKomp[[Stanowisko / Position ]:[Stanowisko / Position ]],0)))</f>
        <v>n/a</v>
      </c>
      <c r="EF112" s="343" t="str">
        <f>IF(INDEX(tab_MinKomp[Rysunek techniczny- czytanie],MATCH($B111,tab_MinKomp[[Stanowisko / Position ]:[Stanowisko / Position ]],0))="n/a","n/a",EF111-INDEX(tab_MinKomp[Rysunek techniczny- czytanie],MATCH($B111,tab_MinKomp[[Stanowisko / Position ]:[Stanowisko / Position ]],0)))</f>
        <v>n/a</v>
      </c>
      <c r="EG112" s="343" t="str">
        <f>IF(INDEX(tab_MinKomp[Elektryka],MATCH($B111,tab_MinKomp[[Stanowisko / Position ]:[Stanowisko / Position ]],0))="n/a","n/a",EG111-INDEX(tab_MinKomp[Elektryka],MATCH($B111,tab_MinKomp[[Stanowisko / Position ]:[Stanowisko / Position ]],0)))</f>
        <v>n/a</v>
      </c>
      <c r="EH112" s="343" t="str">
        <f>IF(INDEX(tab_MinKomp[Pneumatyka],MATCH($B111,tab_MinKomp[[Stanowisko / Position ]:[Stanowisko / Position ]],0))="n/a","n/a",EH111-INDEX(tab_MinKomp[Pneumatyka],MATCH($B111,tab_MinKomp[[Stanowisko / Position ]:[Stanowisko / Position ]],0)))</f>
        <v>n/a</v>
      </c>
      <c r="EI112" s="343" t="str">
        <f>IF(INDEX(tab_MinKomp[[Hydraulika ]],MATCH($B111,tab_MinKomp[[Stanowisko / Position ]:[Stanowisko / Position ]],0))="n/a","n/a",EI111-INDEX(tab_MinKomp[[Hydraulika ]],MATCH($B111,tab_MinKomp[[Stanowisko / Position ]:[Stanowisko / Position ]],0)))</f>
        <v>n/a</v>
      </c>
      <c r="EJ112" s="343" t="str">
        <f>IF(INDEX(tab_MinKomp[Podciśnienie],MATCH($B111,tab_MinKomp[[Stanowisko / Position ]:[Stanowisko / Position ]],0))="n/a","n/a",EJ111-INDEX(tab_MinKomp[Podciśnienie],MATCH($B111,tab_MinKomp[[Stanowisko / Position ]:[Stanowisko / Position ]],0)))</f>
        <v>n/a</v>
      </c>
      <c r="EK112" s="343" t="str">
        <f>IF(INDEX(tab_MinKomp[Usuwanie awarii],MATCH($B111,tab_MinKomp[[Stanowisko / Position ]:[Stanowisko / Position ]],0))="n/a","n/a",EK111-INDEX(tab_MinKomp[Usuwanie awarii],MATCH($B111,tab_MinKomp[[Stanowisko / Position ]:[Stanowisko / Position ]],0)))</f>
        <v>n/a</v>
      </c>
      <c r="EL112" s="343" t="str">
        <f>IF(INDEX(tab_MinKomp[Obsługa robotów],MATCH($B111,tab_MinKomp[[Stanowisko / Position ]:[Stanowisko / Position ]],0))="n/a","n/a",EL111-INDEX(tab_MinKomp[Obsługa robotów],MATCH($B111,tab_MinKomp[[Stanowisko / Position ]:[Stanowisko / Position ]],0)))</f>
        <v>n/a</v>
      </c>
      <c r="EM112" s="343" t="str">
        <f>IF(INDEX(tab_MinKomp[Obsługa sterowania maszyny],MATCH($B111,tab_MinKomp[[Stanowisko / Position ]:[Stanowisko / Position ]],0))="n/a","n/a",EM111-INDEX(tab_MinKomp[Obsługa sterowania maszyny],MATCH($B111,tab_MinKomp[[Stanowisko / Position ]:[Stanowisko / Position ]],0)))</f>
        <v>n/a</v>
      </c>
      <c r="EN112" s="343" t="str">
        <f>IF(INDEX(tab_MinKomp[Usuwanie przyczyn żródłowych],MATCH($B111,tab_MinKomp[[Stanowisko / Position ]:[Stanowisko / Position ]],0))="n/a","n/a",EN111-INDEX(tab_MinKomp[Usuwanie przyczyn żródłowych],MATCH($B111,tab_MinKomp[[Stanowisko / Position ]:[Stanowisko / Position ]],0)))</f>
        <v>n/a</v>
      </c>
      <c r="EO112" s="343" t="str">
        <f>IF(INDEX(tab_MinKomp[Cmms stosowanie],MATCH($B111,tab_MinKomp[[Stanowisko / Position ]:[Stanowisko / Position ]],0))="n/a","n/a",EO111-INDEX(tab_MinKomp[Cmms stosowanie],MATCH($B111,tab_MinKomp[[Stanowisko / Position ]:[Stanowisko / Position ]],0)))</f>
        <v>n/a</v>
      </c>
      <c r="EP112" s="343" t="str">
        <f>IF(INDEX(tab_MinKomp[[Czyszczenie form gumowych ]],MATCH($B111,tab_MinKomp[[Stanowisko / Position ]:[Stanowisko / Position ]],0))="n/a","n/a",EP111-INDEX(tab_MinKomp[[Czyszczenie form gumowych ]],MATCH($B111,tab_MinKomp[[Stanowisko / Position ]:[Stanowisko / Position ]],0)))</f>
        <v>n/a</v>
      </c>
      <c r="EQ112" s="343" t="str">
        <f>IF(INDEX(tab_MinKomp[Czyszczenie form plastikowych],MATCH($B111,tab_MinKomp[[Stanowisko / Position ]:[Stanowisko / Position ]],0))="n/a","n/a",EQ111-INDEX(tab_MinKomp[Czyszczenie form plastikowych],MATCH($B111,tab_MinKomp[[Stanowisko / Position ]:[Stanowisko / Position ]],0)))</f>
        <v>n/a</v>
      </c>
      <c r="ER112" s="343" t="str">
        <f>IF(INDEX(tab_MinKomp[Wymiana form plastik],MATCH($B111,tab_MinKomp[[Stanowisko / Position ]:[Stanowisko / Position ]],0))="n/a","n/a",ER111-INDEX(tab_MinKomp[Wymiana form plastik],MATCH($B111,tab_MinKomp[[Stanowisko / Position ]:[Stanowisko / Position ]],0)))</f>
        <v>n/a</v>
      </c>
      <c r="ES112" s="343" t="str">
        <f>IF(INDEX(tab_MinKomp[Wymiana form guma],MATCH($B111,tab_MinKomp[[Stanowisko / Position ]:[Stanowisko / Position ]],0))="n/a","n/a",ES111-INDEX(tab_MinKomp[Wymiana form guma],MATCH($B111,tab_MinKomp[[Stanowisko / Position ]:[Stanowisko / Position ]],0)))</f>
        <v>n/a</v>
      </c>
      <c r="ET112" s="343" t="str">
        <f>IF(INDEX(tab_MinKomp[Konserwacja KK],MATCH($B111,tab_MinKomp[[Stanowisko / Position ]:[Stanowisko / Position ]],0))="n/a","n/a",ET111-INDEX(tab_MinKomp[Konserwacja KK],MATCH($B111,tab_MinKomp[[Stanowisko / Position ]:[Stanowisko / Position ]],0)))</f>
        <v>n/a</v>
      </c>
      <c r="EU112" s="343" t="str">
        <f>IF(INDEX(tab_MinKomp[Konserwacja form guma],MATCH($B111,tab_MinKomp[[Stanowisko / Position ]:[Stanowisko / Position ]],0))="n/a","n/a",EU111-INDEX(tab_MinKomp[Konserwacja form guma],MATCH($B111,tab_MinKomp[[Stanowisko / Position ]:[Stanowisko / Position ]],0)))</f>
        <v>n/a</v>
      </c>
      <c r="EV112" s="343" t="str">
        <f>IF(INDEX(tab_MinKomp[Konserwacja form plastiki],MATCH($B111,tab_MinKomp[[Stanowisko / Position ]:[Stanowisko / Position ]],0))="n/a","n/a",EV111-INDEX(tab_MinKomp[Konserwacja form plastiki],MATCH($B111,tab_MinKomp[[Stanowisko / Position ]:[Stanowisko / Position ]],0)))</f>
        <v>n/a</v>
      </c>
      <c r="EW112" s="330" t="str">
        <f>IF(INDEX(tab_MinKomp[Konserwacja form plastiki],MATCH($B111,tab_MinKomp[[Stanowisko / Position ]:[Stanowisko / Position ]],0))="n/a","n/a",EW111-INDEX(tab_MinKomp[Konserwacja form plastiki],MATCH($B111,tab_MinKomp[[Stanowisko / Position ]:[Stanowisko / Position ]],0)))</f>
        <v>n/a</v>
      </c>
      <c r="EX112" s="343" t="str">
        <f>IF(INDEX(tab_MinKomp[Konserwacja Gorącego Kanału],MATCH($B111,tab_MinKomp[[Stanowisko / Position ]:[Stanowisko / Position ]],0))="n/a","n/a",EX111-INDEX(tab_MinKomp[Konserwacja Gorącego Kanału],MATCH($B111,tab_MinKomp[[Stanowisko / Position ]:[Stanowisko / Position ]],0)))</f>
        <v>n/a</v>
      </c>
      <c r="EY112" s="343">
        <f>IF(INDEX(tab_MinKomp[MS Office (Excel)],MATCH($B111,tab_MinKomp[[Stanowisko / Position ]:[Stanowisko / Position ]],0))="n/a","n/a",EY111-INDEX(tab_MinKomp[MS Office (Excel)],MATCH($B111,tab_MinKomp[[Stanowisko / Position ]:[Stanowisko / Position ]],0)))</f>
        <v>0</v>
      </c>
      <c r="EZ112" s="343">
        <f>IF(INDEX(tab_MinKomp[MS Office (Word)],MATCH($B111,tab_MinKomp[[Stanowisko / Position ]:[Stanowisko / Position ]],0))="n/a","n/a",EZ111-INDEX(tab_MinKomp[MS Office (Word)],MATCH($B111,tab_MinKomp[[Stanowisko / Position ]:[Stanowisko / Position ]],0)))</f>
        <v>0</v>
      </c>
      <c r="FA112" s="343">
        <f>IF(INDEX(tab_MinKomp[MS Office (Power Point)],MATCH($B111,tab_MinKomp[[Stanowisko / Position ]:[Stanowisko / Position ]],0))="n/a","n/a",FA111-INDEX(tab_MinKomp[MS Office (Power Point)],MATCH($B111,tab_MinKomp[[Stanowisko / Position ]:[Stanowisko / Position ]],0)))</f>
        <v>0</v>
      </c>
      <c r="FB112" s="343" t="str">
        <f>IF(INDEX(tab_MinKomp[Język angielski / Englisch],MATCH($B111,tab_MinKomp[[Stanowisko / Position ]:[Stanowisko / Position ]],0))="n/a","n/a",FB111-INDEX(tab_MinKomp[Język angielski / Englisch],MATCH($B111,tab_MinKomp[[Stanowisko / Position ]:[Stanowisko / Position ]],0)))</f>
        <v>n/a</v>
      </c>
      <c r="FC112" s="343" t="str">
        <f>IF(INDEX(tab_MinKomp[Język niemiecki / Deutsch],MATCH($B111,tab_MinKomp[[Stanowisko / Position ]:[Stanowisko / Position ]],0))="n/a","n/a",FC111-INDEX(tab_MinKomp[Język niemiecki / Deutsch],MATCH($B111,tab_MinKomp[[Stanowisko / Position ]:[Stanowisko / Position ]],0)))</f>
        <v>n/a</v>
      </c>
      <c r="FD112" s="343">
        <f>IF(INDEX(tab_MinKomp[Zarządzanie dokumentacją procesową / Process dokumentation management],MATCH($B111,tab_MinKomp[[Stanowisko / Position ]:[Stanowisko / Position ]],0))="n/a","n/a",FD111-INDEX(tab_MinKomp[Zarządzanie dokumentacją procesową / Process dokumentation management],MATCH($B111,tab_MinKomp[[Stanowisko / Position ]:[Stanowisko / Position ]],0)))</f>
        <v>0</v>
      </c>
      <c r="FE112" s="343">
        <f>IF(INDEX(tab_MinKomp[Znajomość procesów z obszaru / Kenntiss der prozesse in dem Bereich],MATCH($B111,tab_MinKomp[[Stanowisko / Position ]:[Stanowisko / Position ]],0))="n/a","n/a",FE111-INDEX(tab_MinKomp[Znajomość procesów z obszaru / Kenntiss der prozesse in dem Bereich],MATCH($B111,tab_MinKomp[[Stanowisko / Position ]:[Stanowisko / Position ]],0)))</f>
        <v>0</v>
      </c>
      <c r="FF112" s="343">
        <f>IF(INDEX(tab_MinKomp[optymalizacja procesów / Prozessoptymalisierung],MATCH($B111,tab_MinKomp[[Stanowisko / Position ]:[Stanowisko / Position ]],0))="n/a","n/a",FF111-INDEX(tab_MinKomp[optymalizacja procesów / Prozessoptymalisierung],MATCH($B111,tab_MinKomp[[Stanowisko / Position ]:[Stanowisko / Position ]],0)))</f>
        <v>0</v>
      </c>
      <c r="FG112" s="343">
        <f>IF(INDEX(tab_MinKomp[Umiejętności szkoleniowe / Trainingsfähigkeiten],MATCH($B111,tab_MinKomp[[Stanowisko / Position ]:[Stanowisko / Position ]],0))="n/a","n/a",FG111-INDEX(tab_MinKomp[Umiejętności szkoleniowe / Trainingsfähigkeiten],MATCH($B111,tab_MinKomp[[Stanowisko / Position ]:[Stanowisko / Position ]],0)))</f>
        <v>0</v>
      </c>
      <c r="FH112" s="343">
        <f>IF(INDEX(tab_MinKomp[Analityczne myślenie, podejście / Analitysches Denken, Einstellung],MATCH($B111,tab_MinKomp[[Stanowisko / Position ]:[Stanowisko / Position ]],0))="n/a","n/a",FH111-INDEX(tab_MinKomp[Analityczne myślenie, podejście / Analitysches Denken, Einstellung],MATCH($B111,tab_MinKomp[[Stanowisko / Position ]:[Stanowisko / Position ]],0)))</f>
        <v>0</v>
      </c>
      <c r="FI112" s="343">
        <f>IF(INDEX(tab_MinKomp[Dokładność, precyzja w dzialaniu / Genauigkeit, Präzision in die Arbeit],MATCH($B111,tab_MinKomp[[Stanowisko / Position ]:[Stanowisko / Position ]],0))="n/a","n/a",FI111-INDEX(tab_MinKomp[Dokładność, precyzja w dzialaniu / Genauigkeit, Präzision in die Arbeit],MATCH($B111,tab_MinKomp[[Stanowisko / Position ]:[Stanowisko / Position ]],0)))</f>
        <v>0</v>
      </c>
      <c r="FJ112" s="343">
        <f>IF(INDEX(tab_MinKomp[Dyspozycyjność / Verfügbarkeit],MATCH($B111,tab_MinKomp[[Stanowisko / Position ]:[Stanowisko / Position ]],0))="n/a","n/a",FJ111-INDEX(tab_MinKomp[Dyspozycyjność / Verfügbarkeit],MATCH($B111,tab_MinKomp[[Stanowisko / Position ]:[Stanowisko / Position ]],0)))</f>
        <v>0</v>
      </c>
      <c r="FK112" s="343">
        <f>IF(INDEX(tab_MinKomp[Zaangażowanie / 
Engagement],MATCH($B111,tab_MinKomp[[Stanowisko / Position ]:[Stanowisko / Position ]],0))="n/a","n/a",FK111-INDEX(tab_MinKomp[Zaangażowanie / 
Engagement],MATCH($B111,tab_MinKomp[[Stanowisko / Position ]:[Stanowisko / Position ]],0)))</f>
        <v>0</v>
      </c>
      <c r="FL112" s="343">
        <f>IF(INDEX(tab_MinKomp[Planowanie strategiczne / Strategische Planung],MATCH($B111,tab_MinKomp[[Stanowisko / Position ]:[Stanowisko / Position ]],0))="n/a","n/a",FL111-INDEX(tab_MinKomp[Planowanie strategiczne / Strategische Planung],MATCH($B111,tab_MinKomp[[Stanowisko / Position ]:[Stanowisko / Position ]],0)))</f>
        <v>-1</v>
      </c>
      <c r="FM112" s="343">
        <f>IF(INDEX(tab_MinKomp[Konsekwentne i dynamiczne działanie],MATCH($B111,tab_MinKomp[[Stanowisko / Position ]:[Stanowisko / Position ]],0))="n/a","n/a",FM111-INDEX(tab_MinKomp[Konsekwentne i dynamiczne działanie],MATCH($B111,tab_MinKomp[[Stanowisko / Position ]:[Stanowisko / Position ]],0)))</f>
        <v>0</v>
      </c>
      <c r="FN112" s="343">
        <f>IF(INDEX(tab_MinKomp[Elastyczność w działaniu],MATCH($B111,tab_MinKomp[[Stanowisko / Position ]:[Stanowisko / Position ]],0))="n/a","n/a",FN111-INDEX(tab_MinKomp[Elastyczność w działaniu],MATCH($B111,tab_MinKomp[[Stanowisko / Position ]:[Stanowisko / Position ]],0)))</f>
        <v>0</v>
      </c>
      <c r="FO112" s="343">
        <f>IF(INDEX(tab_MinKomp[Komunikatywność],MATCH($B111,tab_MinKomp[[Stanowisko / Position ]:[Stanowisko / Position ]],0))="n/a","n/a",FO111-INDEX(tab_MinKomp[Komunikatywność],MATCH($B111,tab_MinKomp[[Stanowisko / Position ]:[Stanowisko / Position ]],0)))</f>
        <v>0</v>
      </c>
      <c r="FP112" s="342">
        <f>IF(INDEX(tab_MinKomp[Motywowanie i budowanie zaangażowania zespołu],MATCH($B111,tab_MinKomp[[Stanowisko / Position ]:[Stanowisko / Position ]],0))="n/a","n/a",FP111-INDEX(tab_MinKomp[Motywowanie i budowanie zaangażowania zespołu],MATCH($B111,tab_MinKomp[[Stanowisko / Position ]:[Stanowisko / Position ]],0)))</f>
        <v>-1</v>
      </c>
      <c r="FQ112" s="346" t="str">
        <f>IFERROR(IF(INDEX(tab_MinKomp[BRAK / Keine],MATCH($B111,tab_MinKomp[[Stanowisko / Position ]:[Stanowisko / Position ]],0))="n/a","n/a",INDEX(tab_MinKomp[BRAK / Keine],MATCH($B111,tab_MinKomp[[Stanowisko / Position ]:[Stanowisko / Position ]],0))-FQ111),"")</f>
        <v>n/a</v>
      </c>
      <c r="FR112" s="343" t="str">
        <f>IF(INDEX(tab_MinKomp[MINIMUM 1 ROK / min. 1 Jahr],MATCH($B111,tab_MinKomp[[Stanowisko / Position ]:[Stanowisko / Position ]],0))="n/a","n/a",INDEX(tab_MinKomp[MINIMUM 1 ROK / min. 1 Jahr],MATCH($B111,tab_MinKomp[[Stanowisko / Position ]:[Stanowisko / Position ]],0)))</f>
        <v>x</v>
      </c>
      <c r="FS112" s="343" t="str">
        <f>IF(INDEX(tab_MinKomp[MINIMUM 2 LATA / min. 2 Jahre],MATCH($B111,tab_MinKomp[[Stanowisko / Position ]:[Stanowisko / Position ]],0))="n/a","n/a",INDEX(tab_MinKomp[MINIMUM 2 LATA / min. 2 Jahre],MATCH($B111,tab_MinKomp[[Stanowisko / Position ]:[Stanowisko / Position ]],0)))</f>
        <v>n/a</v>
      </c>
      <c r="FT112" s="343" t="str">
        <f>IF(INDEX(tab_MinKomp[MINIMUM 3 LATA / min. 3 Jahre],MATCH($B111,tab_MinKomp[[Stanowisko / Position ]:[Stanowisko / Position ]],0))="n/a","n/a",INDEX(tab_MinKomp[MINIMUM 3 LATA / min. 3 Jahre],MATCH($B111,tab_MinKomp[[Stanowisko / Position ]:[Stanowisko / Position ]],0)))</f>
        <v>n/a</v>
      </c>
      <c r="FU112" s="343" t="str">
        <f>IF(INDEX(tab_MinKomp[MINIMUM 4 LATA / min. 4 Jahre],MATCH($B111,tab_MinKomp[[Stanowisko / Position ]:[Stanowisko / Position ]],0))="n/a","n/a",INDEX(tab_MinKomp[MINIMUM 4 LATA / min. 4 Jahre],MATCH($B111,tab_MinKomp[[Stanowisko / Position ]:[Stanowisko / Position ]],0)))</f>
        <v>n/a</v>
      </c>
      <c r="FV112" s="347" t="str">
        <f>IF(INDEX(tab_MinKomp[MINIMUM 5 LAT / min. 5 Jahre],MATCH($B111,tab_MinKomp[[Stanowisko / Position ]:[Stanowisko / Position ]],0))="n/a","n/a",INDEX(tab_MinKomp[MINIMUM 5 LAT / min. 5 Jahre],MATCH($B111,tab_MinKomp[[Stanowisko / Position ]:[Stanowisko / Position ]],0)))</f>
        <v>n/a</v>
      </c>
      <c r="FW112" s="346" t="str">
        <f>IF(INDEX(tab_MinKomp[BRAK / Keine9],MATCH($B111,tab_MinKomp[[Stanowisko / Position ]:[Stanowisko / Position ]],0))="n/a","n/a",INDEX(tab_MinKomp[BRAK / Keine9],MATCH($B111,tab_MinKomp[[Stanowisko / Position ]:[Stanowisko / Position ]],0)))</f>
        <v>n/a</v>
      </c>
      <c r="FX112" s="343" t="str">
        <f>IF(INDEX(tab_MinKomp[ZAWODOWE / Berufsausbildung],MATCH($B111,tab_MinKomp[[Stanowisko / Position ]:[Stanowisko / Position ]],0))="n/a","n/a",INDEX(tab_MinKomp[ZAWODOWE / Berufsausbildung],MATCH($B111,tab_MinKomp[[Stanowisko / Position ]:[Stanowisko / Position ]],0)))</f>
        <v>x</v>
      </c>
      <c r="FY112" s="343" t="str">
        <f>IF(INDEX(tab_MinKomp[ŚREDNIE OGÓLNE / Abitur allgemeine],MATCH($B111,tab_MinKomp[[Stanowisko / Position ]:[Stanowisko / Position ]],0))="n/a","n/a",INDEX(tab_MinKomp[ŚREDNIE OGÓLNE / Abitur allgemeine],MATCH($B111,tab_MinKomp[[Stanowisko / Position ]:[Stanowisko / Position ]],0)))</f>
        <v>n/a</v>
      </c>
      <c r="FZ112" s="343" t="str">
        <f>IF(INDEX(tab_MinKomp[ŚREDNIE KIERUNKOWE / berufliches Gymnasium],MATCH($B111,tab_MinKomp[[Stanowisko / Position ]:[Stanowisko / Position ]],0))="n/a","n/a",INDEX(tab_MinKomp[ŚREDNIE KIERUNKOWE / berufliches Gymnasium],MATCH($B111,tab_MinKomp[[Stanowisko / Position ]:[Stanowisko / Position ]],0)))</f>
        <v>n/a</v>
      </c>
      <c r="GA112" s="343" t="str">
        <f>IF(INDEX(tab_MinKomp[WYŻSZE OGÓLNE / Hochschule allgemeine],MATCH($B111,tab_MinKomp[[Stanowisko / Position ]:[Stanowisko / Position ]],0))="n/a","n/a",INDEX(tab_MinKomp[WYŻSZE OGÓLNE / Hochschule allgemeine],MATCH($B111,tab_MinKomp[[Stanowisko / Position ]:[Stanowisko / Position ]],0)))</f>
        <v>n/a</v>
      </c>
      <c r="GB112" s="347" t="str">
        <f>IF(INDEX(tab_MinKomp[WYŻSZE KIERUNKOWE / Hochschule berufliche],MATCH($B111,tab_MinKomp[[Stanowisko / Position ]:[Stanowisko / Position ]],0))="n/a","n/a",INDEX(tab_MinKomp[WYŻSZE KIERUNKOWE / Hochschule berufliche],MATCH($B111,tab_MinKomp[[Stanowisko / Position ]:[Stanowisko / Position ]],0)))</f>
        <v>n/a</v>
      </c>
      <c r="GC112" s="346" t="str">
        <f>IF(INDEX(tab_MinKomp[PIERWSZA POMOC / Erste Hilfe],MATCH($B111,tab_MinKomp[[Stanowisko / Position ]:[Stanowisko / Position ]],0))="n/a","n/a",INDEX(tab_MinKomp[PIERWSZA POMOC / Erste Hilfe],MATCH($B111,tab_MinKomp[[Stanowisko / Position ]:[Stanowisko / Position ]],0)))</f>
        <v>x</v>
      </c>
      <c r="GD112" s="343" t="str">
        <f>IF(INDEX(tab_MinKomp[Specjalista BHP / BHP Spezialist],MATCH($B111,tab_MinKomp[[Stanowisko / Position ]:[Stanowisko / Position ]],0))="n/a","n/a",INDEX(tab_MinKomp[Specjalista BHP / BHP Spezialist],MATCH($B111,tab_MinKomp[[Stanowisko / Position ]:[Stanowisko / Position ]],0)))</f>
        <v>n/a</v>
      </c>
      <c r="GE112" s="343" t="str">
        <f>IF(INDEX(tab_MinKomp[Inspektor ochrony PPOŻ / Brandschutzinspektor],MATCH($B111,tab_MinKomp[[Stanowisko / Position ]:[Stanowisko / Position ]],0))="n/a","n/a",INDEX(tab_MinKomp[Inspektor ochrony PPOŻ / Brandschutzinspektor],MATCH($B111,tab_MinKomp[[Stanowisko / Position ]:[Stanowisko / Position ]],0)))</f>
        <v>n/a</v>
      </c>
      <c r="GF112" s="343" t="str">
        <f>IF(INDEX(tab_MinKomp[WÓZKI JEZDNIOWE / Gebelstapler],MATCH($B111,tab_MinKomp[[Stanowisko / Position ]:[Stanowisko / Position ]],0))="n/a","n/a",INDEX(tab_MinKomp[WÓZKI JEZDNIOWE / Gebelstapler],MATCH($B111,tab_MinKomp[[Stanowisko / Position ]:[Stanowisko / Position ]],0)))</f>
        <v>x</v>
      </c>
      <c r="GG112" s="343" t="str">
        <f>IF(INDEX(tab_MinKomp[SEP],MATCH($B111,tab_MinKomp[[Stanowisko / Position ]:[Stanowisko / Position ]],0))="n/a","n/a",INDEX(tab_MinKomp[SEP],MATCH($B111,tab_MinKomp[[Stanowisko / Position ]:[Stanowisko / Position ]],0)))</f>
        <v>n/a</v>
      </c>
      <c r="GH112" s="343" t="str">
        <f>IF(INDEX(tab_MinKomp[SEP  DOZÓR / SEP Aufsicht],MATCH($B111,tab_MinKomp[[Stanowisko / Position ]:[Stanowisko / Position ]],0))="n/a","n/a",INDEX(tab_MinKomp[SEP  DOZÓR / SEP Aufsicht],MATCH($B111,tab_MinKomp[[Stanowisko / Position ]:[Stanowisko / Position ]],0)))</f>
        <v>n/a</v>
      </c>
      <c r="GI112" s="343" t="str">
        <f>IF(INDEX(tab_MinKomp[PODNOŚNIKI / Hebevorrichtung],MATCH($B111,tab_MinKomp[[Stanowisko / Position ]:[Stanowisko / Position ]],0))="n/a","n/a",INDEX(tab_MinKomp[PODNOŚNIKI / Hebevorrichtung],MATCH($B111,tab_MinKomp[[Stanowisko / Position ]:[Stanowisko / Position ]],0)))</f>
        <v>n/a</v>
      </c>
      <c r="GJ112" s="343" t="str">
        <f>IF(INDEX(tab_MinKomp[SUWNICE / Laufkran],MATCH($B111,tab_MinKomp[[Stanowisko / Position ]:[Stanowisko / Position ]],0))="n/a","n/a",INDEX(tab_MinKomp[SUWNICE / Laufkran],MATCH($B111,tab_MinKomp[[Stanowisko / Position ]:[Stanowisko / Position ]],0)))</f>
        <v>n/a</v>
      </c>
      <c r="GK112" s="347" t="str">
        <f>IF(INDEX(tab_MinKomp[WYSOKOŚCIOWE / Höhenberechtigungen],MATCH($B111,tab_MinKomp[[Stanowisko / Position ]:[Stanowisko / Position ]],0))="n/a","n/a",INDEX(tab_MinKomp[WYSOKOŚCIOWE / Höhenberechtigungen],MATCH($B111,tab_MinKomp[[Stanowisko / Position ]:[Stanowisko / Position ]],0)))</f>
        <v>n/a</v>
      </c>
      <c r="GL112" s="320">
        <f>SUM(G112:FP112)/(GL111-(SUM(G112:FP112)))</f>
        <v>-4.3478260869565216E-2</v>
      </c>
    </row>
    <row r="113" spans="1:195" ht="23.25" customHeight="1" x14ac:dyDescent="0.25">
      <c r="A113" s="135" t="s">
        <v>267</v>
      </c>
      <c r="B113" s="135" t="s">
        <v>193</v>
      </c>
      <c r="C113" s="135" t="s">
        <v>750</v>
      </c>
      <c r="D113" s="135">
        <v>267</v>
      </c>
      <c r="E113" s="565" t="s">
        <v>606</v>
      </c>
      <c r="F113" s="307" t="s">
        <v>165</v>
      </c>
      <c r="G113" s="308">
        <v>2</v>
      </c>
      <c r="H113" s="308">
        <v>2</v>
      </c>
      <c r="I113" s="308">
        <v>2</v>
      </c>
      <c r="J113" s="308">
        <v>1</v>
      </c>
      <c r="K113" s="308">
        <v>2</v>
      </c>
      <c r="L113" s="308">
        <v>1</v>
      </c>
      <c r="M113" s="308" t="s">
        <v>176</v>
      </c>
      <c r="N113" s="308" t="s">
        <v>176</v>
      </c>
      <c r="O113" s="308">
        <v>1</v>
      </c>
      <c r="P113" s="308">
        <v>1</v>
      </c>
      <c r="Q113" s="308" t="s">
        <v>176</v>
      </c>
      <c r="R113" s="308" t="s">
        <v>176</v>
      </c>
      <c r="S113" s="308" t="s">
        <v>176</v>
      </c>
      <c r="T113" s="308" t="s">
        <v>176</v>
      </c>
      <c r="U113" s="308" t="s">
        <v>176</v>
      </c>
      <c r="V113" s="308" t="s">
        <v>176</v>
      </c>
      <c r="W113" s="308" t="s">
        <v>176</v>
      </c>
      <c r="X113" s="308" t="s">
        <v>176</v>
      </c>
      <c r="Y113" s="308" t="s">
        <v>176</v>
      </c>
      <c r="Z113" s="308" t="s">
        <v>176</v>
      </c>
      <c r="AA113" s="308" t="s">
        <v>176</v>
      </c>
      <c r="AB113" s="308" t="s">
        <v>176</v>
      </c>
      <c r="AC113" s="308">
        <v>1</v>
      </c>
      <c r="AD113" s="308">
        <v>1</v>
      </c>
      <c r="AE113" s="308">
        <v>1</v>
      </c>
      <c r="AF113" s="308">
        <v>1</v>
      </c>
      <c r="AG113" s="308">
        <v>1</v>
      </c>
      <c r="AH113" s="308">
        <v>1</v>
      </c>
      <c r="AI113" s="308" t="s">
        <v>176</v>
      </c>
      <c r="AJ113" s="308" t="s">
        <v>176</v>
      </c>
      <c r="AK113" s="308" t="s">
        <v>176</v>
      </c>
      <c r="AL113" s="308">
        <v>1</v>
      </c>
      <c r="AM113" s="308" t="s">
        <v>176</v>
      </c>
      <c r="AN113" s="308" t="s">
        <v>176</v>
      </c>
      <c r="AO113" s="308">
        <v>1</v>
      </c>
      <c r="AP113" s="308">
        <v>1</v>
      </c>
      <c r="AQ113" s="308">
        <v>1</v>
      </c>
      <c r="AR113" s="308" t="s">
        <v>176</v>
      </c>
      <c r="AS113" s="308">
        <v>1</v>
      </c>
      <c r="AT113" s="308">
        <v>1</v>
      </c>
      <c r="AU113" s="308">
        <v>1</v>
      </c>
      <c r="AV113" s="308">
        <v>2</v>
      </c>
      <c r="AW113" s="308">
        <v>1</v>
      </c>
      <c r="AX113" s="308">
        <v>1</v>
      </c>
      <c r="AY113" s="308" t="s">
        <v>176</v>
      </c>
      <c r="AZ113" s="308" t="s">
        <v>176</v>
      </c>
      <c r="BA113" s="308" t="s">
        <v>176</v>
      </c>
      <c r="BB113" s="308" t="s">
        <v>176</v>
      </c>
      <c r="BC113" s="308" t="s">
        <v>176</v>
      </c>
      <c r="BD113" s="308" t="s">
        <v>176</v>
      </c>
      <c r="BE113" s="308" t="s">
        <v>176</v>
      </c>
      <c r="BF113" s="308" t="s">
        <v>176</v>
      </c>
      <c r="BG113" s="308" t="s">
        <v>176</v>
      </c>
      <c r="BH113" s="308" t="s">
        <v>176</v>
      </c>
      <c r="BI113" s="308" t="s">
        <v>176</v>
      </c>
      <c r="BJ113" s="308" t="s">
        <v>176</v>
      </c>
      <c r="BK113" s="308" t="s">
        <v>176</v>
      </c>
      <c r="BL113" s="308" t="s">
        <v>176</v>
      </c>
      <c r="BM113" s="308" t="s">
        <v>176</v>
      </c>
      <c r="BN113" s="308" t="s">
        <v>176</v>
      </c>
      <c r="BO113" s="308" t="s">
        <v>176</v>
      </c>
      <c r="BP113" s="308" t="s">
        <v>176</v>
      </c>
      <c r="BQ113" s="308" t="s">
        <v>176</v>
      </c>
      <c r="BR113" s="308" t="s">
        <v>176</v>
      </c>
      <c r="BS113" s="308" t="s">
        <v>176</v>
      </c>
      <c r="BT113" s="308" t="s">
        <v>176</v>
      </c>
      <c r="BU113" s="308" t="s">
        <v>176</v>
      </c>
      <c r="BV113" s="308" t="s">
        <v>176</v>
      </c>
      <c r="BW113" s="308" t="s">
        <v>176</v>
      </c>
      <c r="BX113" s="308" t="s">
        <v>176</v>
      </c>
      <c r="BY113" s="308" t="s">
        <v>176</v>
      </c>
      <c r="BZ113" s="308" t="s">
        <v>176</v>
      </c>
      <c r="CA113" s="308" t="s">
        <v>176</v>
      </c>
      <c r="CB113" s="308" t="s">
        <v>176</v>
      </c>
      <c r="CC113" s="308" t="s">
        <v>176</v>
      </c>
      <c r="CD113" s="308" t="s">
        <v>176</v>
      </c>
      <c r="CE113" s="308" t="s">
        <v>176</v>
      </c>
      <c r="CF113" s="308" t="s">
        <v>176</v>
      </c>
      <c r="CG113" s="308" t="s">
        <v>176</v>
      </c>
      <c r="CH113" s="308" t="s">
        <v>176</v>
      </c>
      <c r="CI113" s="308" t="s">
        <v>176</v>
      </c>
      <c r="CJ113" s="308" t="s">
        <v>176</v>
      </c>
      <c r="CK113" s="308" t="s">
        <v>176</v>
      </c>
      <c r="CL113" s="308" t="s">
        <v>176</v>
      </c>
      <c r="CM113" s="308">
        <v>1</v>
      </c>
      <c r="CN113" s="308">
        <v>1</v>
      </c>
      <c r="CO113" s="308">
        <v>1</v>
      </c>
      <c r="CP113" s="308">
        <v>2</v>
      </c>
      <c r="CQ113" s="308">
        <v>2</v>
      </c>
      <c r="CR113" s="308" t="s">
        <v>176</v>
      </c>
      <c r="CS113" s="308" t="s">
        <v>176</v>
      </c>
      <c r="CT113" s="308">
        <v>1</v>
      </c>
      <c r="CU113" s="308">
        <v>2</v>
      </c>
      <c r="CV113" s="308" t="s">
        <v>176</v>
      </c>
      <c r="CW113" s="308" t="s">
        <v>176</v>
      </c>
      <c r="CX113" s="308" t="s">
        <v>176</v>
      </c>
      <c r="CY113" s="308" t="s">
        <v>176</v>
      </c>
      <c r="CZ113" s="308" t="s">
        <v>176</v>
      </c>
      <c r="DA113" s="308" t="s">
        <v>176</v>
      </c>
      <c r="DB113" s="308" t="s">
        <v>176</v>
      </c>
      <c r="DC113" s="308" t="s">
        <v>176</v>
      </c>
      <c r="DD113" s="308" t="s">
        <v>176</v>
      </c>
      <c r="DE113" s="308" t="s">
        <v>176</v>
      </c>
      <c r="DF113" s="308" t="s">
        <v>176</v>
      </c>
      <c r="DG113" s="308" t="s">
        <v>176</v>
      </c>
      <c r="DH113" s="308" t="s">
        <v>176</v>
      </c>
      <c r="DI113" s="308" t="s">
        <v>176</v>
      </c>
      <c r="DJ113" s="308" t="s">
        <v>176</v>
      </c>
      <c r="DK113" s="308" t="s">
        <v>176</v>
      </c>
      <c r="DL113" s="308" t="s">
        <v>176</v>
      </c>
      <c r="DM113" s="308" t="s">
        <v>176</v>
      </c>
      <c r="DN113" s="308" t="s">
        <v>176</v>
      </c>
      <c r="DO113" s="308" t="s">
        <v>176</v>
      </c>
      <c r="DP113" s="308" t="s">
        <v>176</v>
      </c>
      <c r="DQ113" s="308" t="s">
        <v>176</v>
      </c>
      <c r="DR113" s="308" t="s">
        <v>176</v>
      </c>
      <c r="DS113" s="308" t="s">
        <v>176</v>
      </c>
      <c r="DT113" s="308" t="s">
        <v>176</v>
      </c>
      <c r="DU113" s="308" t="s">
        <v>176</v>
      </c>
      <c r="DV113" s="308" t="s">
        <v>176</v>
      </c>
      <c r="DW113" s="308" t="s">
        <v>176</v>
      </c>
      <c r="DX113" s="308" t="s">
        <v>176</v>
      </c>
      <c r="DY113" s="308" t="s">
        <v>176</v>
      </c>
      <c r="DZ113" s="308" t="s">
        <v>176</v>
      </c>
      <c r="EA113" s="308" t="s">
        <v>176</v>
      </c>
      <c r="EB113" s="308" t="s">
        <v>176</v>
      </c>
      <c r="EC113" s="308" t="s">
        <v>176</v>
      </c>
      <c r="ED113" s="308" t="s">
        <v>176</v>
      </c>
      <c r="EE113" s="308" t="s">
        <v>176</v>
      </c>
      <c r="EF113" s="308" t="s">
        <v>176</v>
      </c>
      <c r="EG113" s="308" t="s">
        <v>176</v>
      </c>
      <c r="EH113" s="308" t="s">
        <v>176</v>
      </c>
      <c r="EI113" s="308" t="s">
        <v>176</v>
      </c>
      <c r="EJ113" s="308" t="s">
        <v>176</v>
      </c>
      <c r="EK113" s="308" t="s">
        <v>176</v>
      </c>
      <c r="EL113" s="308" t="s">
        <v>176</v>
      </c>
      <c r="EM113" s="308" t="s">
        <v>176</v>
      </c>
      <c r="EN113" s="308" t="s">
        <v>176</v>
      </c>
      <c r="EO113" s="308" t="s">
        <v>176</v>
      </c>
      <c r="EP113" s="308" t="s">
        <v>176</v>
      </c>
      <c r="EQ113" s="308" t="s">
        <v>176</v>
      </c>
      <c r="ER113" s="308" t="s">
        <v>176</v>
      </c>
      <c r="ES113" s="308" t="s">
        <v>176</v>
      </c>
      <c r="ET113" s="308" t="s">
        <v>176</v>
      </c>
      <c r="EU113" s="308" t="s">
        <v>176</v>
      </c>
      <c r="EV113" s="308" t="s">
        <v>176</v>
      </c>
      <c r="EW113" s="308" t="s">
        <v>176</v>
      </c>
      <c r="EX113" s="308" t="s">
        <v>176</v>
      </c>
      <c r="EY113" s="308">
        <v>1</v>
      </c>
      <c r="EZ113" s="308">
        <v>1</v>
      </c>
      <c r="FA113" s="308">
        <v>1</v>
      </c>
      <c r="FB113" s="308" t="s">
        <v>176</v>
      </c>
      <c r="FC113" s="308" t="s">
        <v>176</v>
      </c>
      <c r="FD113" s="308">
        <v>2</v>
      </c>
      <c r="FE113" s="308">
        <v>2</v>
      </c>
      <c r="FF113" s="308" t="s">
        <v>176</v>
      </c>
      <c r="FG113" s="308">
        <v>2</v>
      </c>
      <c r="FH113" s="308">
        <v>2</v>
      </c>
      <c r="FI113" s="308">
        <v>2</v>
      </c>
      <c r="FJ113" s="308">
        <v>2</v>
      </c>
      <c r="FK113" s="308">
        <v>2</v>
      </c>
      <c r="FL113" s="308" t="s">
        <v>176</v>
      </c>
      <c r="FM113" s="308" t="s">
        <v>176</v>
      </c>
      <c r="FN113" s="308" t="s">
        <v>176</v>
      </c>
      <c r="FO113" s="308">
        <v>2</v>
      </c>
      <c r="FP113" s="308" t="s">
        <v>176</v>
      </c>
      <c r="FQ113" s="308" t="s">
        <v>176</v>
      </c>
      <c r="FR113" s="308" t="s">
        <v>160</v>
      </c>
      <c r="FS113" s="308" t="s">
        <v>176</v>
      </c>
      <c r="FT113" s="308" t="s">
        <v>176</v>
      </c>
      <c r="FU113" s="308" t="s">
        <v>176</v>
      </c>
      <c r="FV113" s="308" t="s">
        <v>176</v>
      </c>
      <c r="FW113" s="308" t="s">
        <v>176</v>
      </c>
      <c r="FX113" s="308" t="s">
        <v>160</v>
      </c>
      <c r="FY113" s="308" t="s">
        <v>176</v>
      </c>
      <c r="FZ113" s="308" t="s">
        <v>176</v>
      </c>
      <c r="GA113" s="308" t="s">
        <v>176</v>
      </c>
      <c r="GB113" s="308" t="s">
        <v>176</v>
      </c>
      <c r="GC113" s="308" t="s">
        <v>176</v>
      </c>
      <c r="GD113" s="308" t="s">
        <v>176</v>
      </c>
      <c r="GE113" s="308" t="s">
        <v>176</v>
      </c>
      <c r="GF113" s="308" t="s">
        <v>176</v>
      </c>
      <c r="GG113" s="308" t="s">
        <v>176</v>
      </c>
      <c r="GH113" s="308" t="s">
        <v>176</v>
      </c>
      <c r="GI113" s="308" t="s">
        <v>176</v>
      </c>
      <c r="GJ113" s="308" t="s">
        <v>176</v>
      </c>
      <c r="GK113" s="308" t="s">
        <v>176</v>
      </c>
      <c r="GL113" s="311">
        <f>SUM(G113:FP113)</f>
        <v>58</v>
      </c>
    </row>
    <row r="114" spans="1:195" ht="22.5" customHeight="1" thickBot="1" x14ac:dyDescent="0.3">
      <c r="A114" s="138" t="str">
        <f>A113</f>
        <v>Jakość-Quality Kontrola</v>
      </c>
      <c r="B114" s="138" t="str">
        <f>B113</f>
        <v>Inspektor jakości</v>
      </c>
      <c r="C114" s="135" t="s">
        <v>750</v>
      </c>
      <c r="D114" s="138">
        <f>D113</f>
        <v>267</v>
      </c>
      <c r="E114" s="566" t="str">
        <f>E113</f>
        <v>Zawalich Ewelina</v>
      </c>
      <c r="F114" s="312" t="s">
        <v>166</v>
      </c>
      <c r="G114" s="313">
        <f>IF(INDEX(tab_MinKomp[Przepisy BHP / BHP Vorschriften],MATCH($B113,tab_MinKomp[[Stanowisko / Position ]:[Stanowisko / Position ]],0))="n/a","n/a",G113-INDEX(tab_MinKomp[Przepisy BHP / BHP Vorschriften],MATCH($B113,tab_MinKomp[[Stanowisko / Position ]:[Stanowisko / Position ]],0)))</f>
        <v>0</v>
      </c>
      <c r="H114" s="314">
        <f>IF(INDEX(tab_MinKomp[Przepisy PPOŻ / Brandschutzbestimmungen],MATCH($B113,tab_MinKomp[[Stanowisko / Position ]:[Stanowisko / Position ]],0))="n/a","n/a",H113-INDEX(tab_MinKomp[Przepisy PPOŻ / Brandschutzbestimmungen],MATCH($B113,tab_MinKomp[[Stanowisko / Position ]:[Stanowisko / Position ]],0)))</f>
        <v>0</v>
      </c>
      <c r="I114" s="314">
        <f>IF(INDEX(tab_MinKomp[Ryzyko zawodowe na stanowiskach pracyv/ Berufliche Risiken an Arbeitsstellen],MATCH($B113,tab_MinKomp[[Stanowisko / Position ]:[Stanowisko / Position ]],0))="n/a","n/a",I113-INDEX(tab_MinKomp[Ryzyko zawodowe na stanowiskach pracyv/ Berufliche Risiken an Arbeitsstellen],MATCH($B113,tab_MinKomp[[Stanowisko / Position ]:[Stanowisko / Position ]],0)))</f>
        <v>0</v>
      </c>
      <c r="J114" s="314">
        <f>IF(INDEX(tab_MinKomp[Gospodarka substancjami niebezpiecznymi / Gefahrstoffmanagement],MATCH($B113,tab_MinKomp[[Stanowisko / Position ]:[Stanowisko / Position ]],0))="n/a","n/a",J113-INDEX(tab_MinKomp[Gospodarka substancjami niebezpiecznymi / Gefahrstoffmanagement],MATCH($B113,tab_MinKomp[[Stanowisko / Position ]:[Stanowisko / Position ]],0)))</f>
        <v>0</v>
      </c>
      <c r="K114" s="314">
        <f>IF(INDEX(tab_MinKomp[Gospodarka odpadami / Abfallwirtschaft],MATCH($B113,tab_MinKomp[[Stanowisko / Position ]:[Stanowisko / Position ]],0))="n/a","n/a",K113-INDEX(tab_MinKomp[Gospodarka odpadami / Abfallwirtschaft],MATCH($B113,tab_MinKomp[[Stanowisko / Position ]:[Stanowisko / Position ]],0)))</f>
        <v>0</v>
      </c>
      <c r="L114" s="315">
        <f>IF(INDEX(tab_MinKomp[Przepisy kodeksu pracy / Bestimmungen des Arbeitsgesetzes],MATCH($B113,tab_MinKomp[[Stanowisko / Position ]:[Stanowisko / Position ]],0))="n/a","n/a",L113-INDEX(tab_MinKomp[Przepisy kodeksu pracy / Bestimmungen des Arbeitsgesetzes],MATCH($B113,tab_MinKomp[[Stanowisko / Position ]:[Stanowisko / Position ]],0)))</f>
        <v>0</v>
      </c>
      <c r="M114" s="316" t="str">
        <f>IF(INDEX(tab_MinKomp[Przepisy o ub.społ. ZUS  / Sozialversicherungsvorschriften],MATCH($B113,tab_MinKomp[[Stanowisko / Position ]:[Stanowisko / Position ]],0))="n/a","n/a",M113-INDEX(tab_MinKomp[Przepisy o ub.społ. ZUS  / Sozialversicherungsvorschriften],MATCH($B113,tab_MinKomp[[Stanowisko / Position ]:[Stanowisko / Position ]],0)))</f>
        <v>n/a</v>
      </c>
      <c r="N114" s="315" t="str">
        <f>IF(INDEX(tab_MinKomp[PRZEPISY O PDOF /persönlich Einkommensteuergesetz ],MATCH($B113,tab_MinKomp[[Stanowisko / Position ]:[Stanowisko / Position ]],0))="n/a","n/a",N113-INDEX(tab_MinKomp[PRZEPISY O PDOF /persönlich Einkommensteuergesetz ],MATCH($B113,tab_MinKomp[[Stanowisko / Position ]:[Stanowisko / Position ]],0)))</f>
        <v>n/a</v>
      </c>
      <c r="O114" s="315">
        <f>IF(INDEX(tab_MinKomp[Regulamin pracy / Arbeitsordnung],MATCH($B113,tab_MinKomp[[Stanowisko / Position ]:[Stanowisko / Position ]],0))="n/a","n/a",O113-INDEX(tab_MinKomp[Regulamin pracy / Arbeitsordnung],MATCH($B113,tab_MinKomp[[Stanowisko / Position ]:[Stanowisko / Position ]],0)))</f>
        <v>0</v>
      </c>
      <c r="P114" s="315">
        <f>IF(INDEX(tab_MinKomp[Regulamin wynagradzania / Vergütungsordnung],MATCH($B113,tab_MinKomp[[Stanowisko / Position ]:[Stanowisko / Position ]],0))="n/a","n/a",P113-INDEX(tab_MinKomp[Regulamin wynagradzania / Vergütungsordnung],MATCH($B113,tab_MinKomp[[Stanowisko / Position ]:[Stanowisko / Position ]],0)))</f>
        <v>0</v>
      </c>
      <c r="Q114" s="315" t="str">
        <f>IF(INDEX(tab_MinKomp[System R2PŁATNIK PRO: Płace / Lohnabrechnung],MATCH($B113,tab_MinKomp[[Stanowisko / Position ]:[Stanowisko / Position ]],0))="n/a","n/a",Q113-INDEX(tab_MinKomp[System R2PŁATNIK PRO: Płace / Lohnabrechnung],MATCH($B113,tab_MinKomp[[Stanowisko / Position ]:[Stanowisko / Position ]],0)))</f>
        <v>n/a</v>
      </c>
      <c r="R114" s="315" t="str">
        <f>IF(INDEX(tab_MinKomp[SystemR2PŁATNIK PRO: KADRY / Personaldaten],MATCH($B113,tab_MinKomp[[Stanowisko / Position ]:[Stanowisko / Position ]],0))="n/a","n/a",R113-INDEX(tab_MinKomp[SystemR2PŁATNIK PRO: KADRY / Personaldaten],MATCH($B113,tab_MinKomp[[Stanowisko / Position ]:[Stanowisko / Position ]],0)))</f>
        <v>n/a</v>
      </c>
      <c r="S114" s="315" t="str">
        <f>IF(INDEX(tab_MinKomp[SYSTEM R2PŁATNIK PRO: zarządzanie pracownikami / Arbeitsverwaltung],MATCH($B113,tab_MinKomp[[Stanowisko / Position ]:[Stanowisko / Position ]],0))="n/a","n/a",S113-INDEX(tab_MinKomp[SYSTEM R2PŁATNIK PRO: zarządzanie pracownikami / Arbeitsverwaltung],MATCH($B113,tab_MinKomp[[Stanowisko / Position ]:[Stanowisko / Position ]],0)))</f>
        <v>n/a</v>
      </c>
      <c r="T114" s="315" t="str">
        <f>IF(INDEX(tab_MinKomp[Doradztwo, wsparcie personalne / Personalberatung und Unterstützung],MATCH($B113,tab_MinKomp[[Stanowisko / Position ]:[Stanowisko / Position ]],0))="n/a","n/a",T113-INDEX(tab_MinKomp[Doradztwo, wsparcie personalne / Personalberatung und Unterstützung],MATCH($B113,tab_MinKomp[[Stanowisko / Position ]:[Stanowisko / Position ]],0)))</f>
        <v>n/a</v>
      </c>
      <c r="U114" s="315" t="str">
        <f>IF(INDEX(tab_MinKomp[Przepisy o podatku VAT / MwSt.- Gesetz],MATCH($B113,tab_MinKomp[[Stanowisko / Position ]:[Stanowisko / Position ]],0))="n/a","n/a",U113-INDEX(tab_MinKomp[Przepisy o podatku VAT / MwSt.- Gesetz],MATCH($B113,tab_MinKomp[[Stanowisko / Position ]:[Stanowisko / Position ]],0)))</f>
        <v>n/a</v>
      </c>
      <c r="V114" s="315" t="str">
        <f>IF(INDEX(tab_MinKomp[PrzepisyPDOP / geschäftlich Einkommensteuergesetz],MATCH($B113,tab_MinKomp[[Stanowisko / Position ]:[Stanowisko / Position ]],0))="n/a","n/a",V113-INDEX(tab_MinKomp[PrzepisyPDOP / geschäftlich Einkommensteuergesetz],MATCH($B113,tab_MinKomp[[Stanowisko / Position ]:[Stanowisko / Position ]],0)))</f>
        <v>n/a</v>
      </c>
      <c r="W114" s="315" t="str">
        <f>IF(INDEX(tab_MinKomp[System BAAN / FINANSE (FIBU)],MATCH($B113,tab_MinKomp[[Stanowisko / Position ]:[Stanowisko / Position ]],0))="n/a","n/a",W113-INDEX(tab_MinKomp[System BAAN / FINANSE (FIBU)],MATCH($B113,tab_MinKomp[[Stanowisko / Position ]:[Stanowisko / Position ]],0)))</f>
        <v>n/a</v>
      </c>
      <c r="X114" s="315" t="str">
        <f>IF(INDEX(tab_MinKomp[Systemy pomocnicze / Hilfssysteme(STOCKPROGRAM, KALK2000 etc.)],MATCH($B113,tab_MinKomp[[Stanowisko / Position ]:[Stanowisko / Position ]],0))="n/a","n/a",X113-INDEX(tab_MinKomp[Systemy pomocnicze / Hilfssysteme(STOCKPROGRAM, KALK2000 etc.)],MATCH($B113,tab_MinKomp[[Stanowisko / Position ]:[Stanowisko / Position ]],0)))</f>
        <v>n/a</v>
      </c>
      <c r="Y114" s="315" t="str">
        <f>IF(INDEX(tab_MinKomp[Polityka rachunkowości / Buchführungspolitik],MATCH($B113,tab_MinKomp[[Stanowisko / Position ]:[Stanowisko / Position ]],0))="n/a","n/a",Y113-INDEX(tab_MinKomp[Polityka rachunkowości / Buchführungspolitik],MATCH($B113,tab_MinKomp[[Stanowisko / Position ]:[Stanowisko / Position ]],0)))</f>
        <v>n/a</v>
      </c>
      <c r="Z114" s="315" t="str">
        <f>IF(INDEX(tab_MinKomp[Ustawa o rachunkowości / Rechnungslegungsgesetz],MATCH($B113,tab_MinKomp[[Stanowisko / Position ]:[Stanowisko / Position ]],0))="n/a","n/a",Z113-INDEX(tab_MinKomp[Ustawa o rachunkowości / Rechnungslegungsgesetz],MATCH($B113,tab_MinKomp[[Stanowisko / Position ]:[Stanowisko / Position ]],0)))</f>
        <v>n/a</v>
      </c>
      <c r="AA114" s="315" t="str">
        <f>IF(INDEX(tab_MinKomp[WORKFLOW - TS-100],MATCH($B113,tab_MinKomp[[Stanowisko / Position ]:[Stanowisko / Position ]],0))="n/a","n/a",AA113-INDEX(tab_MinKomp[WORKFLOW - TS-100],MATCH($B113,tab_MinKomp[[Stanowisko / Position ]:[Stanowisko / Position ]],0)))</f>
        <v>n/a</v>
      </c>
      <c r="AB114" s="315" t="str">
        <f>IF(INDEX(tab_MinKomp[WORKFLOW - SFMS],MATCH($B113,tab_MinKomp[[Stanowisko / Position ]:[Stanowisko / Position ]],0))="n/a","n/a",AB113-INDEX(tab_MinKomp[WORKFLOW - SFMS],MATCH($B113,tab_MinKomp[[Stanowisko / Position ]:[Stanowisko / Position ]],0)))</f>
        <v>n/a</v>
      </c>
      <c r="AC114" s="315">
        <f>IF(INDEX(tab_MinKomp[System ISO 9001:2015],MATCH($B113,tab_MinKomp[[Stanowisko / Position ]:[Stanowisko / Position ]],0))="n/a","n/a",AC113-INDEX(tab_MinKomp[System ISO 9001:2015],MATCH($B113,tab_MinKomp[[Stanowisko / Position ]:[Stanowisko / Position ]],0)))</f>
        <v>0</v>
      </c>
      <c r="AD114" s="315">
        <f>IF(INDEX(tab_MinKomp[System IATF 16949:2016],MATCH($B113,tab_MinKomp[[Stanowisko / Position ]:[Stanowisko / Position ]],0))="n/a","n/a",AD113-INDEX(tab_MinKomp[System IATF 16949:2016],MATCH($B113,tab_MinKomp[[Stanowisko / Position ]:[Stanowisko / Position ]],0)))</f>
        <v>0</v>
      </c>
      <c r="AE114" s="315">
        <f>IF(INDEX(tab_MinKomp[System ISO 14001:2015],MATCH($B113,tab_MinKomp[[Stanowisko / Position ]:[Stanowisko / Position ]],0))="n/a","n/a",AE113-INDEX(tab_MinKomp[System ISO 14001:2015],MATCH($B113,tab_MinKomp[[Stanowisko / Position ]:[Stanowisko / Position ]],0)))</f>
        <v>0</v>
      </c>
      <c r="AF114" s="315">
        <f>IF(INDEX(tab_MinKomp[System PN-N 18001:2004 / ISO 45001:2018],MATCH($B113,tab_MinKomp[[Stanowisko / Position ]:[Stanowisko / Position ]],0))="n/a","n/a",AF113-INDEX(tab_MinKomp[System PN-N 18001:2004 / ISO 45001:2018],MATCH($B113,tab_MinKomp[[Stanowisko / Position ]:[Stanowisko / Position ]],0)))</f>
        <v>0</v>
      </c>
      <c r="AG114" s="315">
        <f>IF(INDEX(tab_MinKomp[Wymagania VDA 6.3 Process / Forderungen],MATCH($B113,tab_MinKomp[[Stanowisko / Position ]:[Stanowisko / Position ]],0))="n/a","n/a",AG113-INDEX(tab_MinKomp[Wymagania VDA 6.3 Process / Forderungen],MATCH($B113,tab_MinKomp[[Stanowisko / Position ]:[Stanowisko / Position ]],0)))</f>
        <v>0</v>
      </c>
      <c r="AH114" s="315">
        <f>IF(INDEX(tab_MinKomp[Wymagania VDA 6.5 Product / Forderungen],MATCH($B113,tab_MinKomp[[Stanowisko / Position ]:[Stanowisko / Position ]],0))="n/a","n/a",AH113-INDEX(tab_MinKomp[Wymagania VDA 6.5 Product / Forderungen],MATCH($B113,tab_MinKomp[[Stanowisko / Position ]:[Stanowisko / Position ]],0)))</f>
        <v>0</v>
      </c>
      <c r="AI114" s="315" t="str">
        <f>IF(INDEX(tab_MinKomp[PSCR (VW Product Safety &amp; Conformity Representative)],MATCH($B113,tab_MinKomp[[Stanowisko / Position ]:[Stanowisko / Position ]],0))="n/a","n/a",AI113-INDEX(tab_MinKomp[PSCR (VW Product Safety &amp; Conformity Representative)],MATCH($B113,tab_MinKomp[[Stanowisko / Position ]:[Stanowisko / Position ]],0)))</f>
        <v>n/a</v>
      </c>
      <c r="AJ114" s="315" t="str">
        <f>IF(INDEX(tab_MinKomp[Auditor systemu ISO 17025:2018],MATCH($B113,tab_MinKomp[[Stanowisko / Position ]:[Stanowisko / Position ]],0))="n/a","n/a",AJ113-INDEX(tab_MinKomp[Auditor systemu ISO 17025:2018],MATCH($B113,tab_MinKomp[[Stanowisko / Position ]:[Stanowisko / Position ]],0)))</f>
        <v>n/a</v>
      </c>
      <c r="AK114" s="315" t="str">
        <f>IF(INDEX(tab_MinKomp[Pełnomocnik systemu / Systemvertreter],MATCH($B113,tab_MinKomp[[Stanowisko / Position ]:[Stanowisko / Position ]],0))="n/a","n/a",AK113-INDEX(tab_MinKomp[Pełnomocnik systemu / Systemvertreter],MATCH($B113,tab_MinKomp[[Stanowisko / Position ]:[Stanowisko / Position ]],0)))</f>
        <v>n/a</v>
      </c>
      <c r="AL114" s="315">
        <v>0</v>
      </c>
      <c r="AM114" s="315" t="str">
        <f>IF(INDEX(tab_MinKomp[WDRAŻANIE NOWYCH PROJEKTÓW/ PROCEDURA CTM],MATCH($B113,tab_MinKomp[[Stanowisko / Position ]:[Stanowisko / Position ]],0))="n/a","n/a",AM113-INDEX(tab_MinKomp[WDRAŻANIE NOWYCH PROJEKTÓW/ PROCEDURA CTM],MATCH($B113,tab_MinKomp[[Stanowisko / Position ]:[Stanowisko / Position ]],0)))</f>
        <v>n/a</v>
      </c>
      <c r="AN114" s="315" t="str">
        <f>IF(INDEX(tab_MinKomp[KAMIENIE MILOWE MSL/PIFF],MATCH($B113,tab_MinKomp[[Stanowisko / Position ]:[Stanowisko / Position ]],0))="n/a","n/a",AN113-INDEX(tab_MinKomp[KAMIENIE MILOWE MSL/PIFF],MATCH($B113,tab_MinKomp[[Stanowisko / Position ]:[Stanowisko / Position ]],0)))</f>
        <v>n/a</v>
      </c>
      <c r="AO114" s="315">
        <v>1</v>
      </c>
      <c r="AP114" s="315">
        <v>1</v>
      </c>
      <c r="AQ114" s="315">
        <v>1</v>
      </c>
      <c r="AR114" s="315" t="str">
        <f>IF(INDEX(tab_MinKomp[APQP],MATCH($B113,tab_MinKomp[[Stanowisko / Position ]:[Stanowisko / Position ]],0))="n/a","n/a",AR113-INDEX(tab_MinKomp[APQP],MATCH($B113,tab_MinKomp[[Stanowisko / Position ]:[Stanowisko / Position ]],0)))</f>
        <v>n/a</v>
      </c>
      <c r="AS114" s="315">
        <v>1</v>
      </c>
      <c r="AT114" s="315">
        <v>1</v>
      </c>
      <c r="AU114" s="315">
        <v>1</v>
      </c>
      <c r="AV114" s="315">
        <v>1</v>
      </c>
      <c r="AW114" s="315">
        <v>1</v>
      </c>
      <c r="AX114" s="315">
        <v>1</v>
      </c>
      <c r="AY114" s="315" t="str">
        <f>IF(INDEX(tab_MinKomp[Six Sigma],MATCH($B113,tab_MinKomp[[Stanowisko / Position ]:[Stanowisko / Position ]],0))="n/a","n/a",AY113-INDEX(tab_MinKomp[Six Sigma],MATCH($B113,tab_MinKomp[[Stanowisko / Position ]:[Stanowisko / Position ]],0)))</f>
        <v>n/a</v>
      </c>
      <c r="AZ114" s="315" t="str">
        <f>IF(INDEX(tab_MinKomp[System BAAN / Distribution &amp; Supply Chain],MATCH($B113,tab_MinKomp[[Stanowisko / Position ]:[Stanowisko / Position ]],0))="n/a","n/a",AZ113-INDEX(tab_MinKomp[System BAAN / Distribution &amp; Supply Chain],MATCH($B113,tab_MinKomp[[Stanowisko / Position ]:[Stanowisko / Position ]],0)))</f>
        <v>n/a</v>
      </c>
      <c r="BA114" s="315" t="str">
        <f>IF(INDEX(tab_MinKomp[Gospodarka magazynowa / Lagerverwaltung],MATCH($B113,tab_MinKomp[[Stanowisko / Position ]:[Stanowisko / Position ]],0))="n/a","n/a",BA113-INDEX(tab_MinKomp[Gospodarka magazynowa / Lagerverwaltung],MATCH($B113,tab_MinKomp[[Stanowisko / Position ]:[Stanowisko / Position ]],0)))</f>
        <v>n/a</v>
      </c>
      <c r="BB114" s="315" t="str">
        <f>IF(INDEX(tab_MinKomp[Inwentaryzacja - organizacja i przebieg / Inventurprozess],MATCH($B113,tab_MinKomp[[Stanowisko / Position ]:[Stanowisko / Position ]],0))="n/a","n/a",BB113-INDEX(tab_MinKomp[Inwentaryzacja - organizacja i przebieg / Inventurprozess],MATCH($B113,tab_MinKomp[[Stanowisko / Position ]:[Stanowisko / Position ]],0)))</f>
        <v>n/a</v>
      </c>
      <c r="BC114" s="315" t="str">
        <f>IF(INDEX(tab_MinKomp[Organizacja dostaw / Versorgungsorganisation],MATCH($B113,tab_MinKomp[[Stanowisko / Position ]:[Stanowisko / Position ]],0))="n/a","n/a",BC113-INDEX(tab_MinKomp[Organizacja dostaw / Versorgungsorganisation],MATCH($B113,tab_MinKomp[[Stanowisko / Position ]:[Stanowisko / Position ]],0)))</f>
        <v>n/a</v>
      </c>
      <c r="BD114" s="315" t="str">
        <f>IF(INDEX(tab_MinKomp[Organizacja wysyłek / Organisation von Lieferungen],MATCH($B113,tab_MinKomp[[Stanowisko / Position ]:[Stanowisko / Position ]],0))="n/a","n/a",BD113-INDEX(tab_MinKomp[Organizacja wysyłek / Organisation von Lieferungen],MATCH($B113,tab_MinKomp[[Stanowisko / Position ]:[Stanowisko / Position ]],0)))</f>
        <v>n/a</v>
      </c>
      <c r="BE114" s="315" t="str">
        <f>IF(INDEX(tab_MinKomp[Analiza magazynowa - Program Polen.mdb / Inventuranalyse],MATCH($B113,tab_MinKomp[[Stanowisko / Position ]:[Stanowisko / Position ]],0))="n/a","n/a",BE113-INDEX(tab_MinKomp[Analiza magazynowa - Program Polen.mdb / Inventuranalyse],MATCH($B113,tab_MinKomp[[Stanowisko / Position ]:[Stanowisko / Position ]],0)))</f>
        <v>n/a</v>
      </c>
      <c r="BF114" s="315" t="str">
        <f>IF(INDEX(tab_MinKomp[MMOG (Materials Management Operations Guidelines)],MATCH($B113,tab_MinKomp[[Stanowisko / Position ]:[Stanowisko / Position ]],0))="n/a","n/a",BF113-INDEX(tab_MinKomp[MMOG (Materials Management Operations Guidelines)],MATCH($B113,tab_MinKomp[[Stanowisko / Position ]:[Stanowisko / Position ]],0)))</f>
        <v>n/a</v>
      </c>
      <c r="BG114" s="315" t="str">
        <f>IF(INDEX(tab_MinKomp[GPP],MATCH($B113,tab_MinKomp[[Stanowisko / Position ]:[Stanowisko / Position ]],0))="n/a","n/a",BG113-INDEX(tab_MinKomp[GPP],MATCH($B113,tab_MinKomp[[Stanowisko / Position ]:[Stanowisko / Position ]],0)))</f>
        <v>n/a</v>
      </c>
      <c r="BH114" s="315" t="str">
        <f>IF(INDEX(tab_MinKomp[AIAG (Automotive Industry Action Group)],MATCH($B113,tab_MinKomp[[Stanowisko / Position ]:[Stanowisko / Position ]],0))="n/a","n/a",BH113-INDEX(tab_MinKomp[AIAG (Automotive Industry Action Group)],MATCH($B113,tab_MinKomp[[Stanowisko / Position ]:[Stanowisko / Position ]],0)))</f>
        <v>n/a</v>
      </c>
      <c r="BI114" s="315" t="str">
        <f>IF(INDEX(tab_MinKomp[Super-G disputes],MATCH($B113,tab_MinKomp[[Stanowisko / Position ]:[Stanowisko / Position ]],0))="n/a","n/a",BI113-INDEX(tab_MinKomp[Super-G disputes],MATCH($B113,tab_MinKomp[[Stanowisko / Position ]:[Stanowisko / Position ]],0)))</f>
        <v>n/a</v>
      </c>
      <c r="BJ114" s="315" t="str">
        <f>IF(INDEX(tab_MinKomp[CMMS3/eDDL (Direct Data Link)],MATCH($B113,tab_MinKomp[[Stanowisko / Position ]:[Stanowisko / Position ]],0))="n/a","n/a",BJ113-INDEX(tab_MinKomp[CMMS3/eDDL (Direct Data Link)],MATCH($B113,tab_MinKomp[[Stanowisko / Position ]:[Stanowisko / Position ]],0)))</f>
        <v>n/a</v>
      </c>
      <c r="BK114" s="315" t="str">
        <f>IF(INDEX(tab_MinKomp[MP&amp;L (Material Planning and Logistics)],MATCH($B113,tab_MinKomp[[Stanowisko / Position ]:[Stanowisko / Position ]],0))="n/a","n/a",BK113-INDEX(tab_MinKomp[MP&amp;L (Material Planning and Logistics)],MATCH($B113,tab_MinKomp[[Stanowisko / Position ]:[Stanowisko / Position ]],0)))</f>
        <v>n/a</v>
      </c>
      <c r="BL114" s="315" t="str">
        <f>IF(INDEX(tab_MinKomp[Supplier delivery rating],MATCH($B113,tab_MinKomp[[Stanowisko / Position ]:[Stanowisko / Position ]],0))="n/a","n/a",BL113-INDEX(tab_MinKomp[Supplier delivery rating],MATCH($B113,tab_MinKomp[[Stanowisko / Position ]:[Stanowisko / Position ]],0)))</f>
        <v>n/a</v>
      </c>
      <c r="BM114" s="315" t="str">
        <f>IF(INDEX(tab_MinKomp[Planowanie produkcji / Produktionsplanung],MATCH($B113,tab_MinKomp[[Stanowisko / Position ]:[Stanowisko / Position ]],0))="n/a","n/a",BM113-INDEX(tab_MinKomp[Planowanie produkcji / Produktionsplanung],MATCH($B113,tab_MinKomp[[Stanowisko / Position ]:[Stanowisko / Position ]],0)))</f>
        <v>n/a</v>
      </c>
      <c r="BN114" s="315" t="str">
        <f>IF(INDEX(tab_MinKomp[Obsługa maszyn Engel / Engel Maschinenbedienung],MATCH($B113,tab_MinKomp[[Stanowisko / Position ]:[Stanowisko / Position ]],0))="n/a","n/a",BN113-INDEX(tab_MinKomp[Obsługa maszyn Engel / Engel Maschinenbedienung],MATCH($B113,tab_MinKomp[[Stanowisko / Position ]:[Stanowisko / Position ]],0)))</f>
        <v>n/a</v>
      </c>
      <c r="BO114" s="315" t="str">
        <f>IF(INDEX(tab_MinKomp[Obsługa maszyn Novapax / Novapax Maschinenbedienung],MATCH($B113,tab_MinKomp[[Stanowisko / Position ]:[Stanowisko / Position ]],0))="n/a","n/a",BO113-INDEX(tab_MinKomp[Obsługa maszyn Novapax / Novapax Maschinenbedienung],MATCH($B113,tab_MinKomp[[Stanowisko / Position ]:[Stanowisko / Position ]],0)))</f>
        <v>n/a</v>
      </c>
      <c r="BP114" s="315" t="str">
        <f>IF(INDEX(tab_MinKomp[Obsługa maszyn KVT / KVT Maschinenbedienung],MATCH($B113,tab_MinKomp[[Stanowisko / Position ]:[Stanowisko / Position ]],0))="n/a","n/a",BP113-INDEX(tab_MinKomp[Obsługa maszyn KVT / KVT Maschinenbedienung],MATCH($B113,tab_MinKomp[[Stanowisko / Position ]:[Stanowisko / Position ]],0)))</f>
        <v>n/a</v>
      </c>
      <c r="BQ114" s="315" t="str">
        <f>IF(INDEX(tab_MinKomp[Obsługa maszyn ASL / ASL Maschinenbedienung],MATCH($B113,tab_MinKomp[[Stanowisko / Position ]:[Stanowisko / Position ]],0))="n/a","n/a",BQ113-INDEX(tab_MinKomp[Obsługa maszyn ASL / ASL Maschinenbedienung],MATCH($B113,tab_MinKomp[[Stanowisko / Position ]:[Stanowisko / Position ]],0)))</f>
        <v>n/a</v>
      </c>
      <c r="BR114" s="315" t="str">
        <f>IF(INDEX(tab_MinKomp[Obsługa maszyn Branson / Branson Maschinenbedienung],MATCH($B113,tab_MinKomp[[Stanowisko / Position ]:[Stanowisko / Position ]],0))="n/a","n/a",BR113-INDEX(tab_MinKomp[Obsługa maszyn Branson / Branson Maschinenbedienung],MATCH($B113,tab_MinKomp[[Stanowisko / Position ]:[Stanowisko / Position ]],0)))</f>
        <v>n/a</v>
      </c>
      <c r="BS114" s="315" t="str">
        <f>IF(INDEX(tab_MinKomp[Obsługa maszyn Kamtec / Kamtec Maschinenbedienung],MATCH($B113,tab_MinKomp[[Stanowisko / Position ]:[Stanowisko / Position ]],0))="n/a","n/a",BS113-INDEX(tab_MinKomp[Obsługa maszyn Kamtec / Kamtec Maschinenbedienung],MATCH($B113,tab_MinKomp[[Stanowisko / Position ]:[Stanowisko / Position ]],0)))</f>
        <v>n/a</v>
      </c>
      <c r="BT114" s="315" t="str">
        <f>IF(INDEX(tab_MinKomp[Obsługa maszyn Piovan / Piovan Maschinenbedienung],MATCH($B113,tab_MinKomp[[Stanowisko / Position ]:[Stanowisko / Position ]],0))="n/a","n/a",BT113-INDEX(tab_MinKomp[Obsługa maszyn Piovan / Piovan Maschinenbedienung],MATCH($B113,tab_MinKomp[[Stanowisko / Position ]:[Stanowisko / Position ]],0)))</f>
        <v>n/a</v>
      </c>
      <c r="BU114" s="315" t="str">
        <f>IF(INDEX(tab_MinKomp[Obsługa maszyn REP / REP Maschinenbedienung],MATCH($B113,tab_MinKomp[[Stanowisko / Position ]:[Stanowisko / Position ]],0))="n/a","n/a",BU113-INDEX(tab_MinKomp[Obsługa maszyn REP / REP Maschinenbedienung],MATCH($B113,tab_MinKomp[[Stanowisko / Position ]:[Stanowisko / Position ]],0)))</f>
        <v>n/a</v>
      </c>
      <c r="BV114" s="315" t="str">
        <f>IF(INDEX(tab_MinKomp[Eliminacja awarii / Beseitigung von Ausfällen],MATCH($B113,tab_MinKomp[[Stanowisko / Position ]:[Stanowisko / Position ]],0))="n/a","n/a",BV113-INDEX(tab_MinKomp[Eliminacja awarii / Beseitigung von Ausfällen],MATCH($B113,tab_MinKomp[[Stanowisko / Position ]:[Stanowisko / Position ]],0)))</f>
        <v>n/a</v>
      </c>
      <c r="BW114" s="315" t="str">
        <f>IF(INDEX(tab_MinKomp[Informatyka ogólna (techniczne i systemowe) / Allgemeine IT (Technik und System)],MATCH($B113,tab_MinKomp[[Stanowisko / Position ]:[Stanowisko / Position ]],0))="n/a","n/a",BW113-INDEX(tab_MinKomp[Informatyka ogólna (techniczne i systemowe) / Allgemeine IT (Technik und System)],MATCH($B113,tab_MinKomp[[Stanowisko / Position ]:[Stanowisko / Position ]],0)))</f>
        <v>n/a</v>
      </c>
      <c r="BX114" s="315" t="str">
        <f>IF(INDEX(tab_MinKomp[Sieci komputerowe / Computernetzwerke],MATCH($B113,tab_MinKomp[[Stanowisko / Position ]:[Stanowisko / Position ]],0))="n/a","n/a",BX113-INDEX(tab_MinKomp[Sieci komputerowe / Computernetzwerke],MATCH($B113,tab_MinKomp[[Stanowisko / Position ]:[Stanowisko / Position ]],0)))</f>
        <v>n/a</v>
      </c>
      <c r="BY114" s="315" t="str">
        <f>IF(INDEX(tab_MinKomp[Hardware (komputery PC, drukarki biurowe i etykietowe, telefonia stacjonarna i mobilna) (PC, Drucker, Telefpne, Handys)],MATCH($B113,tab_MinKomp[[Stanowisko / Position ]:[Stanowisko / Position ]],0))="n/a","n/a",BY113-INDEX(tab_MinKomp[Hardware (komputery PC, drukarki biurowe i etykietowe, telefonia stacjonarna i mobilna) (PC, Drucker, Telefpne, Handys)],MATCH($B113,tab_MinKomp[[Stanowisko / Position ]:[Stanowisko / Position ]],0)))</f>
        <v>n/a</v>
      </c>
      <c r="BZ114" s="315" t="str">
        <f>IF(INDEX(tab_MinKomp[Software &amp; Systems (MS Office, MS Remote Desktop)],MATCH($B113,tab_MinKomp[[Stanowisko / Position ]:[Stanowisko / Position ]],0))="n/a","n/a",BZ113-INDEX(tab_MinKomp[Software &amp; Systems (MS Office, MS Remote Desktop)],MATCH($B113,tab_MinKomp[[Stanowisko / Position ]:[Stanowisko / Position ]],0)))</f>
        <v>n/a</v>
      </c>
      <c r="CA114" s="315" t="str">
        <f>IF(INDEX(tab_MinKomp[Programowanie obiektowe (PHP) / Objektprogrammierung],MATCH($B113,tab_MinKomp[[Stanowisko / Position ]:[Stanowisko / Position ]],0))="n/a","n/a",CA113-INDEX(tab_MinKomp[Programowanie obiektowe (PHP) / Objektprogrammierung],MATCH($B113,tab_MinKomp[[Stanowisko / Position ]:[Stanowisko / Position ]],0)))</f>
        <v>n/a</v>
      </c>
      <c r="CB114" s="315" t="str">
        <f>IF(INDEX(tab_MinKomp[Scrum],MATCH($B113,tab_MinKomp[[Stanowisko / Position ]:[Stanowisko / Position ]],0))="n/a","n/a",CB113-INDEX(tab_MinKomp[Scrum],MATCH($B113,tab_MinKomp[[Stanowisko / Position ]:[Stanowisko / Position ]],0)))</f>
        <v>n/a</v>
      </c>
      <c r="CC114" s="315" t="str">
        <f>IF(INDEX(tab_MinKomp[SQL (MySQL)],MATCH($B113,tab_MinKomp[[Stanowisko / Position ]:[Stanowisko / Position ]],0))="n/a","n/a",CC113-INDEX(tab_MinKomp[SQL (MySQL)],MATCH($B113,tab_MinKomp[[Stanowisko / Position ]:[Stanowisko / Position ]],0)))</f>
        <v>n/a</v>
      </c>
      <c r="CD114" s="315" t="str">
        <f>IF(INDEX(tab_MinKomp[Javascript],MATCH($B113,tab_MinKomp[[Stanowisko / Position ]:[Stanowisko / Position ]],0))="n/a","n/a",CD113-INDEX(tab_MinKomp[Javascript],MATCH($B113,tab_MinKomp[[Stanowisko / Position ]:[Stanowisko / Position ]],0)))</f>
        <v>n/a</v>
      </c>
      <c r="CE114" s="315" t="str">
        <f>IF(INDEX(tab_MinKomp[Joomla],MATCH($B113,tab_MinKomp[[Stanowisko / Position ]:[Stanowisko / Position ]],0))="n/a","n/a",CE113-INDEX(tab_MinKomp[Joomla],MATCH($B113,tab_MinKomp[[Stanowisko / Position ]:[Stanowisko / Position ]],0)))</f>
        <v>n/a</v>
      </c>
      <c r="CF114" s="315" t="str">
        <f>IF(INDEX(tab_MinKomp[Bash],MATCH($B113,tab_MinKomp[[Stanowisko / Position ]:[Stanowisko / Position ]],0))="n/a","n/a",CF113-INDEX(tab_MinKomp[Bash],MATCH($B113,tab_MinKomp[[Stanowisko / Position ]:[Stanowisko / Position ]],0)))</f>
        <v>n/a</v>
      </c>
      <c r="CG114" s="315" t="str">
        <f>IF(INDEX(tab_MinKomp[Systemy MES (HYDRA / SFMS)],MATCH($B113,tab_MinKomp[[Stanowisko / Position ]:[Stanowisko / Position ]],0))="n/a","n/a",CG113-INDEX(tab_MinKomp[Systemy MES (HYDRA / SFMS)],MATCH($B113,tab_MinKomp[[Stanowisko / Position ]:[Stanowisko / Position ]],0)))</f>
        <v>n/a</v>
      </c>
      <c r="CH114" s="315" t="str">
        <f>IF(INDEX(tab_MinKomp[HTML / CSS],MATCH($B113,tab_MinKomp[[Stanowisko / Position ]:[Stanowisko / Position ]],0))="n/a","n/a",CH113-INDEX(tab_MinKomp[HTML / CSS],MATCH($B113,tab_MinKomp[[Stanowisko / Position ]:[Stanowisko / Position ]],0)))</f>
        <v>n/a</v>
      </c>
      <c r="CI114" s="315" t="str">
        <f>IF(INDEX(tab_MinKomp[SYSTEM PR],MATCH($B113,tab_MinKomp[[Stanowisko / Position ]:[Stanowisko / Position ]],0))="n/a","n/a",CI113-INDEX(tab_MinKomp[SYSTEM PR],MATCH($B113,tab_MinKomp[[Stanowisko / Position ]:[Stanowisko / Position ]],0)))</f>
        <v>n/a</v>
      </c>
      <c r="CJ114" s="315" t="str">
        <f>IF(INDEX(tab_MinKomp[System Einkauf XP / EBA],MATCH($B113,tab_MinKomp[[Stanowisko / Position ]:[Stanowisko / Position ]],0))="n/a","n/a",CJ113-INDEX(tab_MinKomp[System Einkauf XP / EBA],MATCH($B113,tab_MinKomp[[Stanowisko / Position ]:[Stanowisko / Position ]],0)))</f>
        <v>n/a</v>
      </c>
      <c r="CK114" s="315" t="str">
        <f>IF(INDEX(tab_MinKomp[Techniki negocjacyjne / Verhandlungstechniken],MATCH($B113,tab_MinKomp[[Stanowisko / Position ]:[Stanowisko / Position ]],0))="n/a","n/a",CK113-INDEX(tab_MinKomp[Techniki negocjacyjne / Verhandlungstechniken],MATCH($B113,tab_MinKomp[[Stanowisko / Position ]:[Stanowisko / Position ]],0)))</f>
        <v>n/a</v>
      </c>
      <c r="CL114" s="315" t="str">
        <f>IF(INDEX(tab_MinKomp[Znajomość rynku branżowego / Kenntnis des Industrie Marktes],MATCH($B113,tab_MinKomp[[Stanowisko / Position ]:[Stanowisko / Position ]],0))="n/a","n/a",CL113-INDEX(tab_MinKomp[Znajomość rynku branżowego / Kenntnis des Industrie Marktes],MATCH($B113,tab_MinKomp[[Stanowisko / Position ]:[Stanowisko / Position ]],0)))</f>
        <v>n/a</v>
      </c>
      <c r="CM114" s="315">
        <f>IF(INDEX(tab_MinKomp[RAPORTY 8D / 8D Berichten],MATCH($B113,tab_MinKomp[[Stanowisko / Position ]:[Stanowisko / Position ]],0))="n/a","n/a",CM113-INDEX(tab_MinKomp[RAPORTY 8D / 8D Berichten],MATCH($B113,tab_MinKomp[[Stanowisko / Position ]:[Stanowisko / Position ]],0)))</f>
        <v>0</v>
      </c>
      <c r="CN114" s="315">
        <f>IF(INDEX(tab_MinKomp[NARZĘDZIA JAKOŚCIOWE (5WHY, Ishikawa, etc) / QS-Werkzeuge],MATCH($B113,tab_MinKomp[[Stanowisko / Position ]:[Stanowisko / Position ]],0))="n/a","n/a",CN113-INDEX(tab_MinKomp[NARZĘDZIA JAKOŚCIOWE (5WHY, Ishikawa, etc) / QS-Werkzeuge],MATCH($B113,tab_MinKomp[[Stanowisko / Position ]:[Stanowisko / Position ]],0)))</f>
        <v>0</v>
      </c>
      <c r="CO114" s="315">
        <f>IF(INDEX(tab_MinKomp[PDCA],MATCH($B113,tab_MinKomp[[Stanowisko / Position ]:[Stanowisko / Position ]],0))="n/a","n/a",CO113-INDEX(tab_MinKomp[PDCA],MATCH($B113,tab_MinKomp[[Stanowisko / Position ]:[Stanowisko / Position ]],0)))</f>
        <v>0</v>
      </c>
      <c r="CP114" s="315">
        <f>IF(INDEX(tab_MinKomp[Pareto],MATCH($B113,tab_MinKomp[[Stanowisko / Position ]:[Stanowisko / Position ]],0))="n/a","n/a",CP113-INDEX(tab_MinKomp[Pareto],MATCH($B113,tab_MinKomp[[Stanowisko / Position ]:[Stanowisko / Position ]],0)))</f>
        <v>0</v>
      </c>
      <c r="CQ114" s="315">
        <f>IF(INDEX(tab_MinKomp[PPAP/PSW],MATCH($B113,tab_MinKomp[[Stanowisko / Position ]:[Stanowisko / Position ]],0))="n/a","n/a",CQ113-INDEX(tab_MinKomp[PPAP/PSW],MATCH($B113,tab_MinKomp[[Stanowisko / Position ]:[Stanowisko / Position ]],0)))</f>
        <v>1</v>
      </c>
      <c r="CR114" s="315" t="str">
        <f>IF(INDEX(tab_MinKomp[SUPPLIER MANAGEMENT],MATCH($B113,tab_MinKomp[[Stanowisko / Position ]:[Stanowisko / Position ]],0))="n/a","n/a",CR113-INDEX(tab_MinKomp[SUPPLIER MANAGEMENT],MATCH($B113,tab_MinKomp[[Stanowisko / Position ]:[Stanowisko / Position ]],0)))</f>
        <v>n/a</v>
      </c>
      <c r="CS114" s="315" t="str">
        <f>IF(INDEX(tab_MinKomp[OBSŁUGA PORTALI KLIENTA / Kundenportale],MATCH($B113,tab_MinKomp[[Stanowisko / Position ]:[Stanowisko / Position ]],0))="n/a","n/a",CS113-INDEX(tab_MinKomp[OBSŁUGA PORTALI KLIENTA / Kundenportale],MATCH($B113,tab_MinKomp[[Stanowisko / Position ]:[Stanowisko / Position ]],0)))</f>
        <v>n/a</v>
      </c>
      <c r="CT114" s="315">
        <f>IF(INDEX(tab_MinKomp[Obsługa systemu BABTECQ / BABTECQ System],MATCH($B113,tab_MinKomp[[Stanowisko / Position ]:[Stanowisko / Position ]],0))="n/a","n/a",CT113-INDEX(tab_MinKomp[Obsługa systemu BABTECQ / BABTECQ System],MATCH($B113,tab_MinKomp[[Stanowisko / Position ]:[Stanowisko / Position ]],0)))</f>
        <v>0</v>
      </c>
      <c r="CU114" s="315">
        <f>IF(INDEX(tab_MinKomp[Rysunek techniczny / technische Zeichnung],MATCH($B113,tab_MinKomp[[Stanowisko / Position ]:[Stanowisko / Position ]],0))="n/a","n/a",CU113-INDEX(tab_MinKomp[Rysunek techniczny / technische Zeichnung],MATCH($B113,tab_MinKomp[[Stanowisko / Position ]:[Stanowisko / Position ]],0)))</f>
        <v>0</v>
      </c>
      <c r="CV114" s="315" t="str">
        <f>IF(INDEX(tab_MinKomp[Kalibracja / Kalibrierung],MATCH($B113,tab_MinKomp[[Stanowisko / Position ]:[Stanowisko / Position ]],0))="n/a","n/a",CV113-INDEX(tab_MinKomp[Kalibracja / Kalibrierung],MATCH($B113,tab_MinKomp[[Stanowisko / Position ]:[Stanowisko / Position ]],0)))</f>
        <v>n/a</v>
      </c>
      <c r="CW114" s="315" t="str">
        <f>IF(INDEX(tab_MinKomp[Rekwalifikacja / Requalifizierung],MATCH($B113,tab_MinKomp[[Stanowisko / Position ]:[Stanowisko / Position ]],0))="n/a","n/a",CW113-INDEX(tab_MinKomp[Rekwalifikacja / Requalifizierung],MATCH($B113,tab_MinKomp[[Stanowisko / Position ]:[Stanowisko / Position ]],0)))</f>
        <v>n/a</v>
      </c>
      <c r="CX114" s="315" t="str">
        <f>IF(INDEX(tab_MinKomp[CMM - Contura Zeiss],MATCH($B113,tab_MinKomp[[Stanowisko / Position ]:[Stanowisko / Position ]],0))="n/a","n/a",CX113-INDEX(tab_MinKomp[CMM - Contura Zeiss],MATCH($B113,tab_MinKomp[[Stanowisko / Position ]:[Stanowisko / Position ]],0)))</f>
        <v>n/a</v>
      </c>
      <c r="CY114" s="315" t="str">
        <f>IF(INDEX(tab_MinKomp[CMM - Contura Zeiss],MATCH($B113,tab_MinKomp[[Stanowisko / Position ]:[Stanowisko / Position ]],0))="n/a","n/a",CY113-INDEX(tab_MinKomp[CMM - Contura Zeiss],MATCH($B113,tab_MinKomp[[Stanowisko / Position ]:[Stanowisko / Position ]],0)))</f>
        <v>n/a</v>
      </c>
      <c r="CZ114" s="315" t="str">
        <f>IF(INDEX(tab_MinKomp[CMM - Contura Zeiss],MATCH($B113,tab_MinKomp[[Stanowisko / Position ]:[Stanowisko / Position ]],0))="n/a","n/a",CZ113-INDEX(tab_MinKomp[CMM - Contura Zeiss],MATCH($B113,tab_MinKomp[[Stanowisko / Position ]:[Stanowisko / Position ]],0)))</f>
        <v>n/a</v>
      </c>
      <c r="DA114" s="315" t="str">
        <f>IF(INDEX(tab_MinKomp[CMM - Contura Zeiss],MATCH($B113,tab_MinKomp[[Stanowisko / Position ]:[Stanowisko / Position ]],0))="n/a","n/a",DA113-INDEX(tab_MinKomp[CMM - Contura Zeiss],MATCH($B113,tab_MinKomp[[Stanowisko / Position ]:[Stanowisko / Position ]],0)))</f>
        <v>n/a</v>
      </c>
      <c r="DB114" s="315" t="str">
        <f>IF(INDEX(tab_MinKomp[CMM - Contura Zeiss],MATCH($B113,tab_MinKomp[[Stanowisko / Position ]:[Stanowisko / Position ]],0))="n/a","n/a",DB113-INDEX(tab_MinKomp[CMM - Contura Zeiss],MATCH($B113,tab_MinKomp[[Stanowisko / Position ]:[Stanowisko / Position ]],0)))</f>
        <v>n/a</v>
      </c>
      <c r="DC114" s="315" t="str">
        <f>IF(INDEX(tab_MinKomp[CMM - Contura Zeiss],MATCH($B113,tab_MinKomp[[Stanowisko / Position ]:[Stanowisko / Position ]],0))="n/a","n/a",DC113-INDEX(tab_MinKomp[CMM - Contura Zeiss],MATCH($B113,tab_MinKomp[[Stanowisko / Position ]:[Stanowisko / Position ]],0)))</f>
        <v>n/a</v>
      </c>
      <c r="DD114" s="315" t="str">
        <f>IF(INDEX(tab_MinKomp[Pisanie programów / Programme schreiben],MATCH($B113,tab_MinKomp[[Stanowisko / Position ]:[Stanowisko / Position ]],0))="n/a","n/a",DD113-INDEX(tab_MinKomp[Pisanie programów / Programme schreiben],MATCH($B113,tab_MinKomp[[Stanowisko / Position ]:[Stanowisko / Position ]],0)))</f>
        <v>n/a</v>
      </c>
      <c r="DE114" s="315" t="str">
        <f>IF(INDEX(tab_MinKomp[CMM - Contura Zeiss],MATCH($B113,tab_MinKomp[[Stanowisko / Position ]:[Stanowisko / Position ]],0))="n/a","n/a",DE113-INDEX(tab_MinKomp[CMM - Contura Zeiss],MATCH($B113,tab_MinKomp[[Stanowisko / Position ]:[Stanowisko / Position ]],0)))</f>
        <v>n/a</v>
      </c>
      <c r="DF114" s="315" t="str">
        <f>IF(INDEX(tab_MinKomp[CMM - Contura Zeiss],MATCH($B113,tab_MinKomp[[Stanowisko / Position ]:[Stanowisko / Position ]],0))="n/a","n/a",DF113-INDEX(tab_MinKomp[CMM - Contura Zeiss],MATCH($B113,tab_MinKomp[[Stanowisko / Position ]:[Stanowisko / Position ]],0)))</f>
        <v>n/a</v>
      </c>
      <c r="DG114" s="315" t="str">
        <f>IF(INDEX(tab_MinKomp[CMM - Contura Zeiss],MATCH($B113,tab_MinKomp[[Stanowisko / Position ]:[Stanowisko / Position ]],0))="n/a","n/a",DG113-INDEX(tab_MinKomp[CMM - Contura Zeiss],MATCH($B113,tab_MinKomp[[Stanowisko / Position ]:[Stanowisko / Position ]],0)))</f>
        <v>n/a</v>
      </c>
      <c r="DH114" s="315" t="str">
        <f>IF(INDEX(tab_MinKomp[CMM - Contura Zeiss],MATCH($B113,tab_MinKomp[[Stanowisko / Position ]:[Stanowisko / Position ]],0))="n/a","n/a",DH113-INDEX(tab_MinKomp[CMM - Contura Zeiss],MATCH($B113,tab_MinKomp[[Stanowisko / Position ]:[Stanowisko / Position ]],0)))</f>
        <v>n/a</v>
      </c>
      <c r="DI114" s="315" t="str">
        <f>IF(INDEX(tab_MinKomp[CMM - Contura Zeiss],MATCH($B113,tab_MinKomp[[Stanowisko / Position ]:[Stanowisko / Position ]],0))="n/a","n/a",DI113-INDEX(tab_MinKomp[CMM - Contura Zeiss],MATCH($B113,tab_MinKomp[[Stanowisko / Position ]:[Stanowisko / Position ]],0)))</f>
        <v>n/a</v>
      </c>
      <c r="DJ114" s="315" t="str">
        <f>IF(INDEX(tab_MinKomp[CMM - Contura Zeiss],MATCH($B113,tab_MinKomp[[Stanowisko / Position ]:[Stanowisko / Position ]],0))="n/a","n/a",DJ113-INDEX(tab_MinKomp[CMM - Contura Zeiss],MATCH($B113,tab_MinKomp[[Stanowisko / Position ]:[Stanowisko / Position ]],0)))</f>
        <v>n/a</v>
      </c>
      <c r="DK114" s="315" t="str">
        <f>IF(INDEX(tab_MinKomp[Pisanie programów / Programme schreiben],MATCH($B113,tab_MinKomp[[Stanowisko / Position ]:[Stanowisko / Position ]],0))="n/a","n/a",DK113-INDEX(tab_MinKomp[Pisanie programów / Programme schreiben],MATCH($B113,tab_MinKomp[[Stanowisko / Position ]:[Stanowisko / Position ]],0)))</f>
        <v>n/a</v>
      </c>
      <c r="DL114" s="315" t="str">
        <f>IF(INDEX(tab_MinKomp[CMM - Contura Zeiss],MATCH($B113,tab_MinKomp[[Stanowisko / Position ]:[Stanowisko / Position ]],0))="n/a","n/a",DL113-INDEX(tab_MinKomp[CMM - Contura Zeiss],MATCH($B113,tab_MinKomp[[Stanowisko / Position ]:[Stanowisko / Position ]],0)))</f>
        <v>n/a</v>
      </c>
      <c r="DM114" s="315" t="str">
        <f>IF(INDEX(tab_MinKomp[CMM - Contura Zeiss],MATCH($B113,tab_MinKomp[[Stanowisko / Position ]:[Stanowisko / Position ]],0))="n/a","n/a",DM113-INDEX(tab_MinKomp[CMM - Contura Zeiss],MATCH($B113,tab_MinKomp[[Stanowisko / Position ]:[Stanowisko / Position ]],0)))</f>
        <v>n/a</v>
      </c>
      <c r="DN114" s="315" t="str">
        <f>IF(INDEX(tab_MinKomp[CMM - Contura Zeiss],MATCH($B113,tab_MinKomp[[Stanowisko / Position ]:[Stanowisko / Position ]],0))="n/a","n/a",DN113-INDEX(tab_MinKomp[CMM - Contura Zeiss],MATCH($B113,tab_MinKomp[[Stanowisko / Position ]:[Stanowisko / Position ]],0)))</f>
        <v>n/a</v>
      </c>
      <c r="DO114" s="315" t="str">
        <f>IF(INDEX(tab_MinKomp[CMM - Contura Zeiss],MATCH($B113,tab_MinKomp[[Stanowisko / Position ]:[Stanowisko / Position ]],0))="n/a","n/a",DO113-INDEX(tab_MinKomp[CMM - Contura Zeiss],MATCH($B113,tab_MinKomp[[Stanowisko / Position ]:[Stanowisko / Position ]],0)))</f>
        <v>n/a</v>
      </c>
      <c r="DP114" s="315" t="str">
        <f>IF(INDEX(tab_MinKomp[CMM - Contura Zeiss],MATCH($B113,tab_MinKomp[[Stanowisko / Position ]:[Stanowisko / Position ]],0))="n/a","n/a",DP113-INDEX(tab_MinKomp[CMM - Contura Zeiss],MATCH($B113,tab_MinKomp[[Stanowisko / Position ]:[Stanowisko / Position ]],0)))</f>
        <v>n/a</v>
      </c>
      <c r="DQ114" s="315" t="str">
        <f>IF(INDEX(tab_MinKomp[CMM - Contura Zeiss],MATCH($B113,tab_MinKomp[[Stanowisko / Position ]:[Stanowisko / Position ]],0))="n/a","n/a",DQ113-INDEX(tab_MinKomp[CMM - Contura Zeiss],MATCH($B113,tab_MinKomp[[Stanowisko / Position ]:[Stanowisko / Position ]],0)))</f>
        <v>n/a</v>
      </c>
      <c r="DR114" s="315" t="str">
        <f>IF(INDEX(tab_MinKomp[Pisanie programów / Programme schreiben],MATCH($B113,tab_MinKomp[[Stanowisko / Position ]:[Stanowisko / Position ]],0))="n/a","n/a",DR113-INDEX(tab_MinKomp[Pisanie programów / Programme schreiben],MATCH($B113,tab_MinKomp[[Stanowisko / Position ]:[Stanowisko / Position ]],0)))</f>
        <v>n/a</v>
      </c>
      <c r="DS114" s="315" t="str">
        <f>IF(INDEX(tab_MinKomp[CMM - Contura Zeiss],MATCH($B113,tab_MinKomp[[Stanowisko / Position ]:[Stanowisko / Position ]],0))="n/a","n/a",DS113-INDEX(tab_MinKomp[CMM - Contura Zeiss],MATCH($B113,tab_MinKomp[[Stanowisko / Position ]:[Stanowisko / Position ]],0)))</f>
        <v>n/a</v>
      </c>
      <c r="DT114" s="315" t="str">
        <f>IF(INDEX(tab_MinKomp[CMM - Contura Zeiss],MATCH($B113,tab_MinKomp[[Stanowisko / Position ]:[Stanowisko / Position ]],0))="n/a","n/a",DT113-INDEX(tab_MinKomp[CMM - Contura Zeiss],MATCH($B113,tab_MinKomp[[Stanowisko / Position ]:[Stanowisko / Position ]],0)))</f>
        <v>n/a</v>
      </c>
      <c r="DU114" s="315" t="str">
        <f>IF(INDEX(tab_MinKomp[MSA i SPC],MATCH($B113,tab_MinKomp[[Stanowisko / Position ]:[Stanowisko / Position ]],0))="n/a","n/a",DU113-INDEX(tab_MinKomp[MSA i SPC],MATCH($B113,tab_MinKomp[[Stanowisko / Position ]:[Stanowisko / Position ]],0)))</f>
        <v>n/a</v>
      </c>
      <c r="DV114" s="315" t="str">
        <f>IF(INDEX(tab_MinKomp[Kontrola wejściowa komponentów/ Eingangskontrolle],MATCH($B113,tab_MinKomp[[Stanowisko / Position ]:[Stanowisko / Position ]],0))="n/a","n/a",DV113-INDEX(tab_MinKomp[Kontrola wejściowa komponentów/ Eingangskontrolle],MATCH($B113,tab_MinKomp[[Stanowisko / Position ]:[Stanowisko / Position ]],0)))</f>
        <v>n/a</v>
      </c>
      <c r="DW114" s="315" t="str">
        <f>IF(INDEX(tab_MinKomp[Kontrola wyjściowa produktu / Ausgangskontrolle],MATCH($B113,tab_MinKomp[[Stanowisko / Position ]:[Stanowisko / Position ]],0))="n/a","n/a",DW113-INDEX(tab_MinKomp[Kontrola wyjściowa produktu / Ausgangskontrolle],MATCH($B113,tab_MinKomp[[Stanowisko / Position ]:[Stanowisko / Position ]],0)))</f>
        <v>n/a</v>
      </c>
      <c r="DX114" s="315" t="str">
        <f>IF(INDEX(tab_MinKomp[Kontrola codzienna produkcji / Tägliche Produktionskontrolle],MATCH($B113,tab_MinKomp[[Stanowisko / Position ]:[Stanowisko / Position ]],0))="n/a","n/a",DX113-INDEX(tab_MinKomp[Kontrola codzienna produkcji / Tägliche Produktionskontrolle],MATCH($B113,tab_MinKomp[[Stanowisko / Position ]:[Stanowisko / Position ]],0)))</f>
        <v>n/a</v>
      </c>
      <c r="DY114" s="315" t="str">
        <f>IF(INDEX(tab_MinKomp[Konserwacja Rep],MATCH($B113,tab_MinKomp[[Stanowisko / Position ]:[Stanowisko / Position ]],0))="n/a","n/a",DY113-INDEX(tab_MinKomp[Konserwacja Rep],MATCH($B113,tab_MinKomp[[Stanowisko / Position ]:[Stanowisko / Position ]],0)))</f>
        <v>n/a</v>
      </c>
      <c r="DZ114" s="315" t="str">
        <f>IF(INDEX(tab_MinKomp[[Konserwacja Engel ]],MATCH($B113,tab_MinKomp[[Stanowisko / Position ]:[Stanowisko / Position ]],0))="n/a","n/a",DZ113-INDEX(tab_MinKomp[[Konserwacja Engel ]],MATCH($B113,tab_MinKomp[[Stanowisko / Position ]:[Stanowisko / Position ]],0)))</f>
        <v>n/a</v>
      </c>
      <c r="EA114" s="315" t="str">
        <f>IF(INDEX(tab_MinKomp[Konserwacja B 50],MATCH($B113,tab_MinKomp[[Stanowisko / Position ]:[Stanowisko / Position ]],0))="n/a","n/a",EA113-INDEX(tab_MinKomp[Konserwacja B 50],MATCH($B113,tab_MinKomp[[Stanowisko / Position ]:[Stanowisko / Position ]],0)))</f>
        <v>n/a</v>
      </c>
      <c r="EB114" s="315" t="str">
        <f>IF(INDEX(tab_MinKomp[[Konserwacja EOL ]],MATCH($B113,tab_MinKomp[[Stanowisko / Position ]:[Stanowisko / Position ]],0))="n/a","n/a",EB113-INDEX(tab_MinKomp[[Konserwacja EOL ]],MATCH($B113,tab_MinKomp[[Stanowisko / Position ]:[Stanowisko / Position ]],0)))</f>
        <v>n/a</v>
      </c>
      <c r="EC114" s="315" t="str">
        <f>IF(INDEX(tab_MinKomp[Konserwacja Branson],MATCH($B113,tab_MinKomp[[Stanowisko / Position ]:[Stanowisko / Position ]],0))="n/a","n/a",EC113-INDEX(tab_MinKomp[Konserwacja Branson],MATCH($B113,tab_MinKomp[[Stanowisko / Position ]:[Stanowisko / Position ]],0)))</f>
        <v>n/a</v>
      </c>
      <c r="ED114" s="315" t="str">
        <f>IF(INDEX(tab_MinKomp[Konserwacja coolery],MATCH($B113,tab_MinKomp[[Stanowisko / Position ]:[Stanowisko / Position ]],0))="n/a","n/a",ED113-INDEX(tab_MinKomp[Konserwacja coolery],MATCH($B113,tab_MinKomp[[Stanowisko / Position ]:[Stanowisko / Position ]],0)))</f>
        <v>n/a</v>
      </c>
      <c r="EE114" s="315" t="str">
        <f>IF(INDEX(tab_MinKomp[Konserwacja piecy],MATCH($B113,tab_MinKomp[[Stanowisko / Position ]:[Stanowisko / Position ]],0))="n/a","n/a",EE113-INDEX(tab_MinKomp[Konserwacja piecy],MATCH($B113,tab_MinKomp[[Stanowisko / Position ]:[Stanowisko / Position ]],0)))</f>
        <v>n/a</v>
      </c>
      <c r="EF114" s="315" t="str">
        <f>IF(INDEX(tab_MinKomp[Rysunek techniczny- czytanie],MATCH($B113,tab_MinKomp[[Stanowisko / Position ]:[Stanowisko / Position ]],0))="n/a","n/a",EF113-INDEX(tab_MinKomp[Rysunek techniczny- czytanie],MATCH($B113,tab_MinKomp[[Stanowisko / Position ]:[Stanowisko / Position ]],0)))</f>
        <v>n/a</v>
      </c>
      <c r="EG114" s="315" t="str">
        <f>IF(INDEX(tab_MinKomp[Elektryka],MATCH($B113,tab_MinKomp[[Stanowisko / Position ]:[Stanowisko / Position ]],0))="n/a","n/a",EG113-INDEX(tab_MinKomp[Elektryka],MATCH($B113,tab_MinKomp[[Stanowisko / Position ]:[Stanowisko / Position ]],0)))</f>
        <v>n/a</v>
      </c>
      <c r="EH114" s="315" t="str">
        <f>IF(INDEX(tab_MinKomp[Pneumatyka],MATCH($B113,tab_MinKomp[[Stanowisko / Position ]:[Stanowisko / Position ]],0))="n/a","n/a",EH113-INDEX(tab_MinKomp[Pneumatyka],MATCH($B113,tab_MinKomp[[Stanowisko / Position ]:[Stanowisko / Position ]],0)))</f>
        <v>n/a</v>
      </c>
      <c r="EI114" s="315" t="str">
        <f>IF(INDEX(tab_MinKomp[[Hydraulika ]],MATCH($B113,tab_MinKomp[[Stanowisko / Position ]:[Stanowisko / Position ]],0))="n/a","n/a",EI113-INDEX(tab_MinKomp[[Hydraulika ]],MATCH($B113,tab_MinKomp[[Stanowisko / Position ]:[Stanowisko / Position ]],0)))</f>
        <v>n/a</v>
      </c>
      <c r="EJ114" s="315" t="str">
        <f>IF(INDEX(tab_MinKomp[Podciśnienie],MATCH($B113,tab_MinKomp[[Stanowisko / Position ]:[Stanowisko / Position ]],0))="n/a","n/a",EJ113-INDEX(tab_MinKomp[Podciśnienie],MATCH($B113,tab_MinKomp[[Stanowisko / Position ]:[Stanowisko / Position ]],0)))</f>
        <v>n/a</v>
      </c>
      <c r="EK114" s="315" t="str">
        <f>IF(INDEX(tab_MinKomp[Usuwanie awarii],MATCH($B113,tab_MinKomp[[Stanowisko / Position ]:[Stanowisko / Position ]],0))="n/a","n/a",EK113-INDEX(tab_MinKomp[Usuwanie awarii],MATCH($B113,tab_MinKomp[[Stanowisko / Position ]:[Stanowisko / Position ]],0)))</f>
        <v>n/a</v>
      </c>
      <c r="EL114" s="315" t="str">
        <f>IF(INDEX(tab_MinKomp[Obsługa robotów],MATCH($B113,tab_MinKomp[[Stanowisko / Position ]:[Stanowisko / Position ]],0))="n/a","n/a",EL113-INDEX(tab_MinKomp[Obsługa robotów],MATCH($B113,tab_MinKomp[[Stanowisko / Position ]:[Stanowisko / Position ]],0)))</f>
        <v>n/a</v>
      </c>
      <c r="EM114" s="315" t="str">
        <f>IF(INDEX(tab_MinKomp[Obsługa sterowania maszyny],MATCH($B113,tab_MinKomp[[Stanowisko / Position ]:[Stanowisko / Position ]],0))="n/a","n/a",EM113-INDEX(tab_MinKomp[Obsługa sterowania maszyny],MATCH($B113,tab_MinKomp[[Stanowisko / Position ]:[Stanowisko / Position ]],0)))</f>
        <v>n/a</v>
      </c>
      <c r="EN114" s="315" t="str">
        <f>IF(INDEX(tab_MinKomp[Usuwanie przyczyn żródłowych],MATCH($B113,tab_MinKomp[[Stanowisko / Position ]:[Stanowisko / Position ]],0))="n/a","n/a",EN113-INDEX(tab_MinKomp[Usuwanie przyczyn żródłowych],MATCH($B113,tab_MinKomp[[Stanowisko / Position ]:[Stanowisko / Position ]],0)))</f>
        <v>n/a</v>
      </c>
      <c r="EO114" s="315" t="str">
        <f>IF(INDEX(tab_MinKomp[Cmms stosowanie],MATCH($B113,tab_MinKomp[[Stanowisko / Position ]:[Stanowisko / Position ]],0))="n/a","n/a",EO113-INDEX(tab_MinKomp[Cmms stosowanie],MATCH($B113,tab_MinKomp[[Stanowisko / Position ]:[Stanowisko / Position ]],0)))</f>
        <v>n/a</v>
      </c>
      <c r="EP114" s="315" t="str">
        <f>IF(INDEX(tab_MinKomp[[Czyszczenie form gumowych ]],MATCH($B113,tab_MinKomp[[Stanowisko / Position ]:[Stanowisko / Position ]],0))="n/a","n/a",EP113-INDEX(tab_MinKomp[[Czyszczenie form gumowych ]],MATCH($B113,tab_MinKomp[[Stanowisko / Position ]:[Stanowisko / Position ]],0)))</f>
        <v>n/a</v>
      </c>
      <c r="EQ114" s="315" t="str">
        <f>IF(INDEX(tab_MinKomp[Czyszczenie form plastikowych],MATCH($B113,tab_MinKomp[[Stanowisko / Position ]:[Stanowisko / Position ]],0))="n/a","n/a",EQ113-INDEX(tab_MinKomp[Czyszczenie form plastikowych],MATCH($B113,tab_MinKomp[[Stanowisko / Position ]:[Stanowisko / Position ]],0)))</f>
        <v>n/a</v>
      </c>
      <c r="ER114" s="315" t="str">
        <f>IF(INDEX(tab_MinKomp[Wymiana form plastik],MATCH($B113,tab_MinKomp[[Stanowisko / Position ]:[Stanowisko / Position ]],0))="n/a","n/a",ER113-INDEX(tab_MinKomp[Wymiana form plastik],MATCH($B113,tab_MinKomp[[Stanowisko / Position ]:[Stanowisko / Position ]],0)))</f>
        <v>n/a</v>
      </c>
      <c r="ES114" s="315" t="str">
        <f>IF(INDEX(tab_MinKomp[Wymiana form guma],MATCH($B113,tab_MinKomp[[Stanowisko / Position ]:[Stanowisko / Position ]],0))="n/a","n/a",ES113-INDEX(tab_MinKomp[Wymiana form guma],MATCH($B113,tab_MinKomp[[Stanowisko / Position ]:[Stanowisko / Position ]],0)))</f>
        <v>n/a</v>
      </c>
      <c r="ET114" s="315" t="str">
        <f>IF(INDEX(tab_MinKomp[Konserwacja KK],MATCH($B113,tab_MinKomp[[Stanowisko / Position ]:[Stanowisko / Position ]],0))="n/a","n/a",ET113-INDEX(tab_MinKomp[Konserwacja KK],MATCH($B113,tab_MinKomp[[Stanowisko / Position ]:[Stanowisko / Position ]],0)))</f>
        <v>n/a</v>
      </c>
      <c r="EU114" s="315" t="str">
        <f>IF(INDEX(tab_MinKomp[Konserwacja form guma],MATCH($B113,tab_MinKomp[[Stanowisko / Position ]:[Stanowisko / Position ]],0))="n/a","n/a",EU113-INDEX(tab_MinKomp[Konserwacja form guma],MATCH($B113,tab_MinKomp[[Stanowisko / Position ]:[Stanowisko / Position ]],0)))</f>
        <v>n/a</v>
      </c>
      <c r="EV114" s="315" t="str">
        <f>IF(INDEX(tab_MinKomp[Konserwacja form plastiki],MATCH($B113,tab_MinKomp[[Stanowisko / Position ]:[Stanowisko / Position ]],0))="n/a","n/a",EV113-INDEX(tab_MinKomp[Konserwacja form plastiki],MATCH($B113,tab_MinKomp[[Stanowisko / Position ]:[Stanowisko / Position ]],0)))</f>
        <v>n/a</v>
      </c>
      <c r="EW114" s="330" t="str">
        <f>IF(INDEX(tab_MinKomp[Konserwacja form plastiki],MATCH($B113,tab_MinKomp[[Stanowisko / Position ]:[Stanowisko / Position ]],0))="n/a","n/a",EW113-INDEX(tab_MinKomp[Konserwacja form plastiki],MATCH($B113,tab_MinKomp[[Stanowisko / Position ]:[Stanowisko / Position ]],0)))</f>
        <v>n/a</v>
      </c>
      <c r="EX114" s="315" t="str">
        <f>IF(INDEX(tab_MinKomp[Konserwacja Gorącego Kanału],MATCH($B113,tab_MinKomp[[Stanowisko / Position ]:[Stanowisko / Position ]],0))="n/a","n/a",EX113-INDEX(tab_MinKomp[Konserwacja Gorącego Kanału],MATCH($B113,tab_MinKomp[[Stanowisko / Position ]:[Stanowisko / Position ]],0)))</f>
        <v>n/a</v>
      </c>
      <c r="EY114" s="315">
        <f>IF(INDEX(tab_MinKomp[MS Office (Excel)],MATCH($B113,tab_MinKomp[[Stanowisko / Position ]:[Stanowisko / Position ]],0))="n/a","n/a",EY113-INDEX(tab_MinKomp[MS Office (Excel)],MATCH($B113,tab_MinKomp[[Stanowisko / Position ]:[Stanowisko / Position ]],0)))</f>
        <v>-1</v>
      </c>
      <c r="EZ114" s="315">
        <f>IF(INDEX(tab_MinKomp[MS Office (Word)],MATCH($B113,tab_MinKomp[[Stanowisko / Position ]:[Stanowisko / Position ]],0))="n/a","n/a",EZ113-INDEX(tab_MinKomp[MS Office (Word)],MATCH($B113,tab_MinKomp[[Stanowisko / Position ]:[Stanowisko / Position ]],0)))</f>
        <v>-1</v>
      </c>
      <c r="FA114" s="315">
        <f>IF(INDEX(tab_MinKomp[MS Office (Power Point)],MATCH($B113,tab_MinKomp[[Stanowisko / Position ]:[Stanowisko / Position ]],0))="n/a","n/a",FA113-INDEX(tab_MinKomp[MS Office (Power Point)],MATCH($B113,tab_MinKomp[[Stanowisko / Position ]:[Stanowisko / Position ]],0)))</f>
        <v>0</v>
      </c>
      <c r="FB114" s="315" t="str">
        <f>IF(INDEX(tab_MinKomp[Język angielski / Englisch],MATCH($B113,tab_MinKomp[[Stanowisko / Position ]:[Stanowisko / Position ]],0))="n/a","n/a",FB113-INDEX(tab_MinKomp[Język angielski / Englisch],MATCH($B113,tab_MinKomp[[Stanowisko / Position ]:[Stanowisko / Position ]],0)))</f>
        <v>n/a</v>
      </c>
      <c r="FC114" s="315" t="str">
        <f>IF(INDEX(tab_MinKomp[Język niemiecki / Deutsch],MATCH($B113,tab_MinKomp[[Stanowisko / Position ]:[Stanowisko / Position ]],0))="n/a","n/a",FC113-INDEX(tab_MinKomp[Język niemiecki / Deutsch],MATCH($B113,tab_MinKomp[[Stanowisko / Position ]:[Stanowisko / Position ]],0)))</f>
        <v>n/a</v>
      </c>
      <c r="FD114" s="315">
        <f>IF(INDEX(tab_MinKomp[Zarządzanie dokumentacją procesową / Process dokumentation management],MATCH($B113,tab_MinKomp[[Stanowisko / Position ]:[Stanowisko / Position ]],0))="n/a","n/a",FD113-INDEX(tab_MinKomp[Zarządzanie dokumentacją procesową / Process dokumentation management],MATCH($B113,tab_MinKomp[[Stanowisko / Position ]:[Stanowisko / Position ]],0)))</f>
        <v>0</v>
      </c>
      <c r="FE114" s="315">
        <f>IF(INDEX(tab_MinKomp[Znajomość procesów z obszaru / Kenntiss der prozesse in dem Bereich],MATCH($B113,tab_MinKomp[[Stanowisko / Position ]:[Stanowisko / Position ]],0))="n/a","n/a",FE113-INDEX(tab_MinKomp[Znajomość procesów z obszaru / Kenntiss der prozesse in dem Bereich],MATCH($B113,tab_MinKomp[[Stanowisko / Position ]:[Stanowisko / Position ]],0)))</f>
        <v>0</v>
      </c>
      <c r="FF114" s="315" t="str">
        <f>IF(INDEX(tab_MinKomp[optymalizacja procesów / Prozessoptymalisierung],MATCH($B113,tab_MinKomp[[Stanowisko / Position ]:[Stanowisko / Position ]],0))="n/a","n/a",FF113-INDEX(tab_MinKomp[optymalizacja procesów / Prozessoptymalisierung],MATCH($B113,tab_MinKomp[[Stanowisko / Position ]:[Stanowisko / Position ]],0)))</f>
        <v>n/a</v>
      </c>
      <c r="FG114" s="315">
        <f>IF(INDEX(tab_MinKomp[Umiejętności szkoleniowe / Trainingsfähigkeiten],MATCH($B113,tab_MinKomp[[Stanowisko / Position ]:[Stanowisko / Position ]],0))="n/a","n/a",FG113-INDEX(tab_MinKomp[Umiejętności szkoleniowe / Trainingsfähigkeiten],MATCH($B113,tab_MinKomp[[Stanowisko / Position ]:[Stanowisko / Position ]],0)))</f>
        <v>0</v>
      </c>
      <c r="FH114" s="315">
        <f>IF(INDEX(tab_MinKomp[Analityczne myślenie, podejście / Analitysches Denken, Einstellung],MATCH($B113,tab_MinKomp[[Stanowisko / Position ]:[Stanowisko / Position ]],0))="n/a","n/a",FH113-INDEX(tab_MinKomp[Analityczne myślenie, podejście / Analitysches Denken, Einstellung],MATCH($B113,tab_MinKomp[[Stanowisko / Position ]:[Stanowisko / Position ]],0)))</f>
        <v>0</v>
      </c>
      <c r="FI114" s="315">
        <f>IF(INDEX(tab_MinKomp[Dokładność, precyzja w dzialaniu / Genauigkeit, Präzision in die Arbeit],MATCH($B113,tab_MinKomp[[Stanowisko / Position ]:[Stanowisko / Position ]],0))="n/a","n/a",FI113-INDEX(tab_MinKomp[Dokładność, precyzja w dzialaniu / Genauigkeit, Präzision in die Arbeit],MATCH($B113,tab_MinKomp[[Stanowisko / Position ]:[Stanowisko / Position ]],0)))</f>
        <v>0</v>
      </c>
      <c r="FJ114" s="315">
        <f>IF(INDEX(tab_MinKomp[Dyspozycyjność / Verfügbarkeit],MATCH($B113,tab_MinKomp[[Stanowisko / Position ]:[Stanowisko / Position ]],0))="n/a","n/a",FJ113-INDEX(tab_MinKomp[Dyspozycyjność / Verfügbarkeit],MATCH($B113,tab_MinKomp[[Stanowisko / Position ]:[Stanowisko / Position ]],0)))</f>
        <v>0</v>
      </c>
      <c r="FK114" s="315">
        <f>IF(INDEX(tab_MinKomp[Zaangażowanie / 
Engagement],MATCH($B113,tab_MinKomp[[Stanowisko / Position ]:[Stanowisko / Position ]],0))="n/a","n/a",FK113-INDEX(tab_MinKomp[Zaangażowanie / 
Engagement],MATCH($B113,tab_MinKomp[[Stanowisko / Position ]:[Stanowisko / Position ]],0)))</f>
        <v>0</v>
      </c>
      <c r="FL114" s="315" t="str">
        <f>IF(INDEX(tab_MinKomp[Planowanie strategiczne / Strategische Planung],MATCH($B113,tab_MinKomp[[Stanowisko / Position ]:[Stanowisko / Position ]],0))="n/a","n/a",FL113-INDEX(tab_MinKomp[Planowanie strategiczne / Strategische Planung],MATCH($B113,tab_MinKomp[[Stanowisko / Position ]:[Stanowisko / Position ]],0)))</f>
        <v>n/a</v>
      </c>
      <c r="FM114" s="315" t="str">
        <f>IF(INDEX(tab_MinKomp[Konsekwentne i dynamiczne działanie],MATCH($B113,tab_MinKomp[[Stanowisko / Position ]:[Stanowisko / Position ]],0))="n/a","n/a",FM113-INDEX(tab_MinKomp[Konsekwentne i dynamiczne działanie],MATCH($B113,tab_MinKomp[[Stanowisko / Position ]:[Stanowisko / Position ]],0)))</f>
        <v>n/a</v>
      </c>
      <c r="FN114" s="315" t="str">
        <f>IF(INDEX(tab_MinKomp[Elastyczność w działaniu],MATCH($B113,tab_MinKomp[[Stanowisko / Position ]:[Stanowisko / Position ]],0))="n/a","n/a",FN113-INDEX(tab_MinKomp[Elastyczność w działaniu],MATCH($B113,tab_MinKomp[[Stanowisko / Position ]:[Stanowisko / Position ]],0)))</f>
        <v>n/a</v>
      </c>
      <c r="FO114" s="315">
        <f>IF(INDEX(tab_MinKomp[Komunikatywność],MATCH($B113,tab_MinKomp[[Stanowisko / Position ]:[Stanowisko / Position ]],0))="n/a","n/a",FO113-INDEX(tab_MinKomp[Komunikatywność],MATCH($B113,tab_MinKomp[[Stanowisko / Position ]:[Stanowisko / Position ]],0)))</f>
        <v>0</v>
      </c>
      <c r="FP114" s="314" t="str">
        <f>IF(INDEX(tab_MinKomp[Motywowanie i budowanie zaangażowania zespołu],MATCH($B113,tab_MinKomp[[Stanowisko / Position ]:[Stanowisko / Position ]],0))="n/a","n/a",FP113-INDEX(tab_MinKomp[Motywowanie i budowanie zaangażowania zespołu],MATCH($B113,tab_MinKomp[[Stanowisko / Position ]:[Stanowisko / Position ]],0)))</f>
        <v>n/a</v>
      </c>
      <c r="FQ114" s="318" t="str">
        <f>IFERROR(IF(INDEX(tab_MinKomp[BRAK / Keine],MATCH($B113,tab_MinKomp[[Stanowisko / Position ]:[Stanowisko / Position ]],0))="n/a","n/a",INDEX(tab_MinKomp[BRAK / Keine],MATCH($B113,tab_MinKomp[[Stanowisko / Position ]:[Stanowisko / Position ]],0))-FQ113),"")</f>
        <v>n/a</v>
      </c>
      <c r="FR114" s="315" t="str">
        <f>IF(INDEX(tab_MinKomp[MINIMUM 1 ROK / min. 1 Jahr],MATCH($B113,tab_MinKomp[[Stanowisko / Position ]:[Stanowisko / Position ]],0))="n/a","n/a",INDEX(tab_MinKomp[MINIMUM 1 ROK / min. 1 Jahr],MATCH($B113,tab_MinKomp[[Stanowisko / Position ]:[Stanowisko / Position ]],0)))</f>
        <v>X</v>
      </c>
      <c r="FS114" s="315" t="str">
        <f>IF(INDEX(tab_MinKomp[MINIMUM 2 LATA / min. 2 Jahre],MATCH($B113,tab_MinKomp[[Stanowisko / Position ]:[Stanowisko / Position ]],0))="n/a","n/a",INDEX(tab_MinKomp[MINIMUM 2 LATA / min. 2 Jahre],MATCH($B113,tab_MinKomp[[Stanowisko / Position ]:[Stanowisko / Position ]],0)))</f>
        <v>n/a</v>
      </c>
      <c r="FT114" s="315" t="str">
        <f>IF(INDEX(tab_MinKomp[MINIMUM 3 LATA / min. 3 Jahre],MATCH($B113,tab_MinKomp[[Stanowisko / Position ]:[Stanowisko / Position ]],0))="n/a","n/a",INDEX(tab_MinKomp[MINIMUM 3 LATA / min. 3 Jahre],MATCH($B113,tab_MinKomp[[Stanowisko / Position ]:[Stanowisko / Position ]],0)))</f>
        <v>n/a</v>
      </c>
      <c r="FU114" s="315" t="str">
        <f>IF(INDEX(tab_MinKomp[MINIMUM 4 LATA / min. 4 Jahre],MATCH($B113,tab_MinKomp[[Stanowisko / Position ]:[Stanowisko / Position ]],0))="n/a","n/a",INDEX(tab_MinKomp[MINIMUM 4 LATA / min. 4 Jahre],MATCH($B113,tab_MinKomp[[Stanowisko / Position ]:[Stanowisko / Position ]],0)))</f>
        <v>n/a</v>
      </c>
      <c r="FV114" s="319" t="str">
        <f>IF(INDEX(tab_MinKomp[MINIMUM 5 LAT / min. 5 Jahre],MATCH($B113,tab_MinKomp[[Stanowisko / Position ]:[Stanowisko / Position ]],0))="n/a","n/a",INDEX(tab_MinKomp[MINIMUM 5 LAT / min. 5 Jahre],MATCH($B113,tab_MinKomp[[Stanowisko / Position ]:[Stanowisko / Position ]],0)))</f>
        <v>n/a</v>
      </c>
      <c r="FW114" s="318" t="str">
        <f>IF(INDEX(tab_MinKomp[BRAK / Keine9],MATCH($B113,tab_MinKomp[[Stanowisko / Position ]:[Stanowisko / Position ]],0))="n/a","n/a",INDEX(tab_MinKomp[BRAK / Keine9],MATCH($B113,tab_MinKomp[[Stanowisko / Position ]:[Stanowisko / Position ]],0)))</f>
        <v>n/a</v>
      </c>
      <c r="FX114" s="315" t="str">
        <f>IF(INDEX(tab_MinKomp[ZAWODOWE / Berufsausbildung],MATCH($B113,tab_MinKomp[[Stanowisko / Position ]:[Stanowisko / Position ]],0))="n/a","n/a",INDEX(tab_MinKomp[ZAWODOWE / Berufsausbildung],MATCH($B113,tab_MinKomp[[Stanowisko / Position ]:[Stanowisko / Position ]],0)))</f>
        <v>X</v>
      </c>
      <c r="FY114" s="315" t="str">
        <f>IF(INDEX(tab_MinKomp[ŚREDNIE OGÓLNE / Abitur allgemeine],MATCH($B113,tab_MinKomp[[Stanowisko / Position ]:[Stanowisko / Position ]],0))="n/a","n/a",INDEX(tab_MinKomp[ŚREDNIE OGÓLNE / Abitur allgemeine],MATCH($B113,tab_MinKomp[[Stanowisko / Position ]:[Stanowisko / Position ]],0)))</f>
        <v>n/a</v>
      </c>
      <c r="FZ114" s="315" t="str">
        <f>IF(INDEX(tab_MinKomp[ŚREDNIE KIERUNKOWE / berufliches Gymnasium],MATCH($B113,tab_MinKomp[[Stanowisko / Position ]:[Stanowisko / Position ]],0))="n/a","n/a",INDEX(tab_MinKomp[ŚREDNIE KIERUNKOWE / berufliches Gymnasium],MATCH($B113,tab_MinKomp[[Stanowisko / Position ]:[Stanowisko / Position ]],0)))</f>
        <v>n/a</v>
      </c>
      <c r="GA114" s="315" t="str">
        <f>IF(INDEX(tab_MinKomp[WYŻSZE OGÓLNE / Hochschule allgemeine],MATCH($B113,tab_MinKomp[[Stanowisko / Position ]:[Stanowisko / Position ]],0))="n/a","n/a",INDEX(tab_MinKomp[WYŻSZE OGÓLNE / Hochschule allgemeine],MATCH($B113,tab_MinKomp[[Stanowisko / Position ]:[Stanowisko / Position ]],0)))</f>
        <v>n/a</v>
      </c>
      <c r="GB114" s="319" t="str">
        <f>IF(INDEX(tab_MinKomp[WYŻSZE KIERUNKOWE / Hochschule berufliche],MATCH($B113,tab_MinKomp[[Stanowisko / Position ]:[Stanowisko / Position ]],0))="n/a","n/a",INDEX(tab_MinKomp[WYŻSZE KIERUNKOWE / Hochschule berufliche],MATCH($B113,tab_MinKomp[[Stanowisko / Position ]:[Stanowisko / Position ]],0)))</f>
        <v>n/a</v>
      </c>
      <c r="GC114" s="318" t="str">
        <f>IF(INDEX(tab_MinKomp[PIERWSZA POMOC / Erste Hilfe],MATCH($B113,tab_MinKomp[[Stanowisko / Position ]:[Stanowisko / Position ]],0))="n/a","n/a",INDEX(tab_MinKomp[PIERWSZA POMOC / Erste Hilfe],MATCH($B113,tab_MinKomp[[Stanowisko / Position ]:[Stanowisko / Position ]],0)))</f>
        <v>n/a</v>
      </c>
      <c r="GD114" s="315" t="str">
        <f>IF(INDEX(tab_MinKomp[Specjalista BHP / BHP Spezialist],MATCH($B113,tab_MinKomp[[Stanowisko / Position ]:[Stanowisko / Position ]],0))="n/a","n/a",INDEX(tab_MinKomp[Specjalista BHP / BHP Spezialist],MATCH($B113,tab_MinKomp[[Stanowisko / Position ]:[Stanowisko / Position ]],0)))</f>
        <v>n/a</v>
      </c>
      <c r="GE114" s="315" t="str">
        <f>IF(INDEX(tab_MinKomp[Inspektor ochrony PPOŻ / Brandschutzinspektor],MATCH($B113,tab_MinKomp[[Stanowisko / Position ]:[Stanowisko / Position ]],0))="n/a","n/a",INDEX(tab_MinKomp[Inspektor ochrony PPOŻ / Brandschutzinspektor],MATCH($B113,tab_MinKomp[[Stanowisko / Position ]:[Stanowisko / Position ]],0)))</f>
        <v>n/a</v>
      </c>
      <c r="GF114" s="315" t="str">
        <f>IF(INDEX(tab_MinKomp[WÓZKI JEZDNIOWE / Gebelstapler],MATCH($B113,tab_MinKomp[[Stanowisko / Position ]:[Stanowisko / Position ]],0))="n/a","n/a",INDEX(tab_MinKomp[WÓZKI JEZDNIOWE / Gebelstapler],MATCH($B113,tab_MinKomp[[Stanowisko / Position ]:[Stanowisko / Position ]],0)))</f>
        <v>n/a</v>
      </c>
      <c r="GG114" s="315" t="str">
        <f>IF(INDEX(tab_MinKomp[SEP],MATCH($B113,tab_MinKomp[[Stanowisko / Position ]:[Stanowisko / Position ]],0))="n/a","n/a",INDEX(tab_MinKomp[SEP],MATCH($B113,tab_MinKomp[[Stanowisko / Position ]:[Stanowisko / Position ]],0)))</f>
        <v>n/a</v>
      </c>
      <c r="GH114" s="315" t="str">
        <f>IF(INDEX(tab_MinKomp[SEP  DOZÓR / SEP Aufsicht],MATCH($B113,tab_MinKomp[[Stanowisko / Position ]:[Stanowisko / Position ]],0))="n/a","n/a",INDEX(tab_MinKomp[SEP  DOZÓR / SEP Aufsicht],MATCH($B113,tab_MinKomp[[Stanowisko / Position ]:[Stanowisko / Position ]],0)))</f>
        <v>n/a</v>
      </c>
      <c r="GI114" s="315" t="str">
        <f>IF(INDEX(tab_MinKomp[PODNOŚNIKI / Hebevorrichtung],MATCH($B113,tab_MinKomp[[Stanowisko / Position ]:[Stanowisko / Position ]],0))="n/a","n/a",INDEX(tab_MinKomp[PODNOŚNIKI / Hebevorrichtung],MATCH($B113,tab_MinKomp[[Stanowisko / Position ]:[Stanowisko / Position ]],0)))</f>
        <v>n/a</v>
      </c>
      <c r="GJ114" s="315" t="str">
        <f>IF(INDEX(tab_MinKomp[SUWNICE / Laufkran],MATCH($B113,tab_MinKomp[[Stanowisko / Position ]:[Stanowisko / Position ]],0))="n/a","n/a",INDEX(tab_MinKomp[SUWNICE / Laufkran],MATCH($B113,tab_MinKomp[[Stanowisko / Position ]:[Stanowisko / Position ]],0)))</f>
        <v>n/a</v>
      </c>
      <c r="GK114" s="319" t="str">
        <f>IF(INDEX(tab_MinKomp[WYSOKOŚCIOWE / Höhenberechtigungen],MATCH($B113,tab_MinKomp[[Stanowisko / Position ]:[Stanowisko / Position ]],0))="n/a","n/a",INDEX(tab_MinKomp[WYSOKOŚCIOWE / Höhenberechtigungen],MATCH($B113,tab_MinKomp[[Stanowisko / Position ]:[Stanowisko / Position ]],0)))</f>
        <v>n/a</v>
      </c>
      <c r="GL114" s="320">
        <f>SUM(G114:FP114)/(GL113-(SUM(G114:FP114)))</f>
        <v>0.16</v>
      </c>
    </row>
    <row r="115" spans="1:195" s="187" customFormat="1" ht="28.35" customHeight="1" x14ac:dyDescent="0.25">
      <c r="A115" s="138" t="s">
        <v>227</v>
      </c>
      <c r="B115" s="138" t="s">
        <v>757</v>
      </c>
      <c r="C115" s="135" t="s">
        <v>766</v>
      </c>
      <c r="D115" s="138"/>
      <c r="E115" s="570" t="s">
        <v>755</v>
      </c>
      <c r="F115" s="339" t="s">
        <v>165</v>
      </c>
      <c r="G115" s="308">
        <v>2</v>
      </c>
      <c r="H115" s="308">
        <v>2</v>
      </c>
      <c r="I115" s="308">
        <v>3</v>
      </c>
      <c r="J115" s="308">
        <v>2</v>
      </c>
      <c r="K115" s="308">
        <v>2</v>
      </c>
      <c r="L115" s="308">
        <v>1</v>
      </c>
      <c r="M115" s="308" t="s">
        <v>176</v>
      </c>
      <c r="N115" s="308" t="s">
        <v>176</v>
      </c>
      <c r="O115" s="308">
        <v>2</v>
      </c>
      <c r="P115" s="308">
        <v>2</v>
      </c>
      <c r="Q115" s="308" t="s">
        <v>176</v>
      </c>
      <c r="R115" s="308" t="s">
        <v>176</v>
      </c>
      <c r="S115" s="308">
        <v>2</v>
      </c>
      <c r="T115" s="308">
        <v>2</v>
      </c>
      <c r="U115" s="308" t="s">
        <v>176</v>
      </c>
      <c r="V115" s="308" t="s">
        <v>176</v>
      </c>
      <c r="W115" s="308" t="s">
        <v>176</v>
      </c>
      <c r="X115" s="308" t="s">
        <v>176</v>
      </c>
      <c r="Y115" s="308" t="s">
        <v>176</v>
      </c>
      <c r="Z115" s="308" t="s">
        <v>176</v>
      </c>
      <c r="AA115" s="308" t="s">
        <v>176</v>
      </c>
      <c r="AB115" s="308">
        <v>2</v>
      </c>
      <c r="AC115" s="308">
        <v>3</v>
      </c>
      <c r="AD115" s="308">
        <v>3</v>
      </c>
      <c r="AE115" s="308">
        <v>3</v>
      </c>
      <c r="AF115" s="308">
        <v>3</v>
      </c>
      <c r="AG115" s="308">
        <v>3</v>
      </c>
      <c r="AH115" s="308">
        <v>3</v>
      </c>
      <c r="AI115" s="308">
        <v>1</v>
      </c>
      <c r="AJ115" s="308">
        <v>2</v>
      </c>
      <c r="AK115" s="308">
        <v>2</v>
      </c>
      <c r="AL115" s="308">
        <v>3</v>
      </c>
      <c r="AM115" s="308">
        <v>2</v>
      </c>
      <c r="AN115" s="308">
        <v>1</v>
      </c>
      <c r="AO115" s="308">
        <v>3</v>
      </c>
      <c r="AP115" s="308">
        <v>3</v>
      </c>
      <c r="AQ115" s="308">
        <v>3</v>
      </c>
      <c r="AR115" s="308">
        <v>2</v>
      </c>
      <c r="AS115" s="308">
        <v>3</v>
      </c>
      <c r="AT115" s="308">
        <v>3</v>
      </c>
      <c r="AU115" s="308">
        <v>3</v>
      </c>
      <c r="AV115" s="308">
        <v>2</v>
      </c>
      <c r="AW115" s="308">
        <v>1</v>
      </c>
      <c r="AX115" s="308">
        <v>1</v>
      </c>
      <c r="AY115" s="308">
        <v>1</v>
      </c>
      <c r="AZ115" s="308">
        <v>1</v>
      </c>
      <c r="BA115" s="308">
        <v>1</v>
      </c>
      <c r="BB115" s="308">
        <v>1</v>
      </c>
      <c r="BC115" s="308">
        <v>1</v>
      </c>
      <c r="BD115" s="308">
        <v>1</v>
      </c>
      <c r="BE115" s="308">
        <v>1</v>
      </c>
      <c r="BF115" s="308" t="s">
        <v>176</v>
      </c>
      <c r="BG115" s="308" t="s">
        <v>176</v>
      </c>
      <c r="BH115" s="308">
        <v>1</v>
      </c>
      <c r="BI115" s="308" t="s">
        <v>176</v>
      </c>
      <c r="BJ115" s="308" t="s">
        <v>176</v>
      </c>
      <c r="BK115" s="308" t="s">
        <v>176</v>
      </c>
      <c r="BL115" s="308" t="s">
        <v>176</v>
      </c>
      <c r="BM115" s="308" t="s">
        <v>176</v>
      </c>
      <c r="BN115" s="308" t="s">
        <v>176</v>
      </c>
      <c r="BO115" s="308" t="s">
        <v>176</v>
      </c>
      <c r="BP115" s="308" t="s">
        <v>176</v>
      </c>
      <c r="BQ115" s="308" t="s">
        <v>176</v>
      </c>
      <c r="BR115" s="308" t="s">
        <v>176</v>
      </c>
      <c r="BS115" s="308" t="s">
        <v>176</v>
      </c>
      <c r="BT115" s="308" t="s">
        <v>176</v>
      </c>
      <c r="BU115" s="308" t="s">
        <v>176</v>
      </c>
      <c r="BV115" s="308" t="s">
        <v>176</v>
      </c>
      <c r="BW115" s="308" t="s">
        <v>176</v>
      </c>
      <c r="BX115" s="308" t="s">
        <v>176</v>
      </c>
      <c r="BY115" s="308" t="s">
        <v>176</v>
      </c>
      <c r="BZ115" s="308" t="s">
        <v>176</v>
      </c>
      <c r="CA115" s="308" t="s">
        <v>176</v>
      </c>
      <c r="CB115" s="308" t="s">
        <v>176</v>
      </c>
      <c r="CC115" s="308" t="s">
        <v>176</v>
      </c>
      <c r="CD115" s="308" t="s">
        <v>176</v>
      </c>
      <c r="CE115" s="308" t="s">
        <v>176</v>
      </c>
      <c r="CF115" s="308" t="s">
        <v>176</v>
      </c>
      <c r="CG115" s="308">
        <v>1</v>
      </c>
      <c r="CH115" s="308" t="s">
        <v>176</v>
      </c>
      <c r="CI115" s="308">
        <v>2</v>
      </c>
      <c r="CJ115" s="308">
        <v>2</v>
      </c>
      <c r="CK115" s="308" t="s">
        <v>176</v>
      </c>
      <c r="CL115" s="308" t="s">
        <v>176</v>
      </c>
      <c r="CM115" s="308">
        <v>3</v>
      </c>
      <c r="CN115" s="308">
        <v>3</v>
      </c>
      <c r="CO115" s="308">
        <v>3</v>
      </c>
      <c r="CP115" s="308">
        <v>3</v>
      </c>
      <c r="CQ115" s="308">
        <v>3</v>
      </c>
      <c r="CR115" s="308">
        <v>3</v>
      </c>
      <c r="CS115" s="308">
        <v>3</v>
      </c>
      <c r="CT115" s="308">
        <v>3</v>
      </c>
      <c r="CU115" s="308">
        <v>2</v>
      </c>
      <c r="CV115" s="308"/>
      <c r="CW115" s="308"/>
      <c r="CX115" s="308" t="s">
        <v>176</v>
      </c>
      <c r="CY115" s="308" t="s">
        <v>176</v>
      </c>
      <c r="CZ115" s="308" t="s">
        <v>176</v>
      </c>
      <c r="DA115" s="308" t="s">
        <v>176</v>
      </c>
      <c r="DB115" s="308" t="s">
        <v>176</v>
      </c>
      <c r="DC115" s="308" t="s">
        <v>176</v>
      </c>
      <c r="DD115" s="308" t="s">
        <v>176</v>
      </c>
      <c r="DE115" s="308" t="s">
        <v>176</v>
      </c>
      <c r="DF115" s="308" t="s">
        <v>176</v>
      </c>
      <c r="DG115" s="308" t="s">
        <v>176</v>
      </c>
      <c r="DH115" s="308" t="s">
        <v>176</v>
      </c>
      <c r="DI115" s="308" t="s">
        <v>176</v>
      </c>
      <c r="DJ115" s="308" t="s">
        <v>176</v>
      </c>
      <c r="DK115" s="308" t="s">
        <v>176</v>
      </c>
      <c r="DL115" s="308" t="s">
        <v>176</v>
      </c>
      <c r="DM115" s="308" t="s">
        <v>176</v>
      </c>
      <c r="DN115" s="308" t="s">
        <v>176</v>
      </c>
      <c r="DO115" s="308" t="s">
        <v>176</v>
      </c>
      <c r="DP115" s="308" t="s">
        <v>176</v>
      </c>
      <c r="DQ115" s="308" t="s">
        <v>176</v>
      </c>
      <c r="DR115" s="308" t="s">
        <v>176</v>
      </c>
      <c r="DS115" s="308" t="s">
        <v>176</v>
      </c>
      <c r="DT115" s="308" t="s">
        <v>176</v>
      </c>
      <c r="DU115" s="308" t="s">
        <v>176</v>
      </c>
      <c r="DV115" s="308" t="s">
        <v>176</v>
      </c>
      <c r="DW115" s="308" t="s">
        <v>176</v>
      </c>
      <c r="DX115" s="308" t="s">
        <v>176</v>
      </c>
      <c r="DY115" s="308" t="s">
        <v>176</v>
      </c>
      <c r="DZ115" s="308" t="s">
        <v>176</v>
      </c>
      <c r="EA115" s="308" t="s">
        <v>176</v>
      </c>
      <c r="EB115" s="308" t="s">
        <v>176</v>
      </c>
      <c r="EC115" s="308" t="s">
        <v>176</v>
      </c>
      <c r="ED115" s="308" t="s">
        <v>176</v>
      </c>
      <c r="EE115" s="308" t="s">
        <v>176</v>
      </c>
      <c r="EF115" s="308" t="s">
        <v>176</v>
      </c>
      <c r="EG115" s="308" t="s">
        <v>176</v>
      </c>
      <c r="EH115" s="308" t="s">
        <v>176</v>
      </c>
      <c r="EI115" s="308" t="s">
        <v>176</v>
      </c>
      <c r="EJ115" s="308" t="s">
        <v>176</v>
      </c>
      <c r="EK115" s="308" t="s">
        <v>176</v>
      </c>
      <c r="EL115" s="308" t="s">
        <v>176</v>
      </c>
      <c r="EM115" s="308" t="s">
        <v>176</v>
      </c>
      <c r="EN115" s="308" t="s">
        <v>176</v>
      </c>
      <c r="EO115" s="308" t="s">
        <v>176</v>
      </c>
      <c r="EP115" s="308" t="s">
        <v>176</v>
      </c>
      <c r="EQ115" s="308" t="s">
        <v>176</v>
      </c>
      <c r="ER115" s="308" t="s">
        <v>176</v>
      </c>
      <c r="ES115" s="308" t="s">
        <v>176</v>
      </c>
      <c r="ET115" s="308" t="s">
        <v>176</v>
      </c>
      <c r="EU115" s="308" t="s">
        <v>176</v>
      </c>
      <c r="EV115" s="308" t="s">
        <v>176</v>
      </c>
      <c r="EW115" s="308" t="s">
        <v>176</v>
      </c>
      <c r="EX115" s="308" t="s">
        <v>176</v>
      </c>
      <c r="EY115" s="308">
        <v>2</v>
      </c>
      <c r="EZ115" s="308">
        <v>2</v>
      </c>
      <c r="FA115" s="308">
        <v>2</v>
      </c>
      <c r="FB115" s="308">
        <v>2</v>
      </c>
      <c r="FC115" s="308" t="s">
        <v>176</v>
      </c>
      <c r="FD115" s="308">
        <v>2</v>
      </c>
      <c r="FE115" s="308">
        <v>3</v>
      </c>
      <c r="FF115" s="308">
        <v>2</v>
      </c>
      <c r="FG115" s="308">
        <v>3</v>
      </c>
      <c r="FH115" s="308">
        <v>2</v>
      </c>
      <c r="FI115" s="308">
        <v>2</v>
      </c>
      <c r="FJ115" s="308">
        <v>3</v>
      </c>
      <c r="FK115" s="308">
        <v>3</v>
      </c>
      <c r="FL115" s="308">
        <v>2</v>
      </c>
      <c r="FM115" s="308">
        <v>2</v>
      </c>
      <c r="FN115" s="308">
        <v>2</v>
      </c>
      <c r="FO115" s="308">
        <v>3</v>
      </c>
      <c r="FP115" s="308">
        <v>2</v>
      </c>
      <c r="FQ115" s="308" t="s">
        <v>387</v>
      </c>
      <c r="FR115" s="308" t="s">
        <v>176</v>
      </c>
      <c r="FS115" s="308" t="s">
        <v>176</v>
      </c>
      <c r="FT115" s="308" t="s">
        <v>176</v>
      </c>
      <c r="FU115" s="308" t="s">
        <v>176</v>
      </c>
      <c r="FV115" s="308" t="s">
        <v>176</v>
      </c>
      <c r="FW115" s="308" t="s">
        <v>176</v>
      </c>
      <c r="FX115" s="308" t="s">
        <v>176</v>
      </c>
      <c r="FY115" s="308" t="s">
        <v>176</v>
      </c>
      <c r="FZ115" s="308" t="s">
        <v>176</v>
      </c>
      <c r="GA115" s="308" t="s">
        <v>160</v>
      </c>
      <c r="GB115" s="308" t="s">
        <v>176</v>
      </c>
      <c r="GC115" s="308" t="s">
        <v>176</v>
      </c>
      <c r="GD115" s="308" t="s">
        <v>176</v>
      </c>
      <c r="GE115" s="308" t="s">
        <v>176</v>
      </c>
      <c r="GF115" s="308" t="s">
        <v>176</v>
      </c>
      <c r="GG115" s="308" t="s">
        <v>176</v>
      </c>
      <c r="GH115" s="308" t="s">
        <v>176</v>
      </c>
      <c r="GI115" s="308" t="s">
        <v>176</v>
      </c>
      <c r="GJ115" s="308" t="s">
        <v>176</v>
      </c>
      <c r="GK115" s="308" t="s">
        <v>176</v>
      </c>
      <c r="GL115" s="479">
        <f>SUM(G115:FP115)</f>
        <v>153</v>
      </c>
      <c r="GM115" s="132"/>
    </row>
    <row r="116" spans="1:195" s="187" customFormat="1" ht="28.35" customHeight="1" thickBot="1" x14ac:dyDescent="0.3">
      <c r="A116" s="138" t="s">
        <v>227</v>
      </c>
      <c r="B116" s="138" t="str">
        <f>B115</f>
        <v>Ekspert ds. Jakości</v>
      </c>
      <c r="C116" s="135" t="s">
        <v>766</v>
      </c>
      <c r="D116" s="138">
        <f>D115</f>
        <v>0</v>
      </c>
      <c r="E116" s="566" t="str">
        <f>E115</f>
        <v>Gołębiowski Paweł</v>
      </c>
      <c r="F116" s="312" t="s">
        <v>166</v>
      </c>
      <c r="G116" s="313">
        <f>IF(INDEX(tab_MinKomp[Przepisy BHP / BHP Vorschriften],MATCH($B115,tab_MinKomp[[Stanowisko / Position ]:[Stanowisko / Position ]],0))="n/a","n/a",G115-INDEX(tab_MinKomp[Przepisy BHP / BHP Vorschriften],MATCH($B115,tab_MinKomp[[Stanowisko / Position ]:[Stanowisko / Position ]],0)))</f>
        <v>0</v>
      </c>
      <c r="H116" s="314">
        <f>IF(INDEX(tab_MinKomp[Przepisy PPOŻ / Brandschutzbestimmungen],MATCH($B115,tab_MinKomp[[Stanowisko / Position ]:[Stanowisko / Position ]],0))="n/a","n/a",H115-INDEX(tab_MinKomp[Przepisy PPOŻ / Brandschutzbestimmungen],MATCH($B115,tab_MinKomp[[Stanowisko / Position ]:[Stanowisko / Position ]],0)))</f>
        <v>0</v>
      </c>
      <c r="I116" s="314">
        <f>IF(INDEX(tab_MinKomp[Ryzyko zawodowe na stanowiskach pracyv/ Berufliche Risiken an Arbeitsstellen],MATCH($B115,tab_MinKomp[[Stanowisko / Position ]:[Stanowisko / Position ]],0))="n/a","n/a",I115-INDEX(tab_MinKomp[Ryzyko zawodowe na stanowiskach pracyv/ Berufliche Risiken an Arbeitsstellen],MATCH($B115,tab_MinKomp[[Stanowisko / Position ]:[Stanowisko / Position ]],0)))</f>
        <v>1</v>
      </c>
      <c r="J116" s="314">
        <f>IF(INDEX(tab_MinKomp[Gospodarka substancjami niebezpiecznymi / Gefahrstoffmanagement],MATCH($B115,tab_MinKomp[[Stanowisko / Position ]:[Stanowisko / Position ]],0))="n/a","n/a",J115-INDEX(tab_MinKomp[Gospodarka substancjami niebezpiecznymi / Gefahrstoffmanagement],MATCH($B115,tab_MinKomp[[Stanowisko / Position ]:[Stanowisko / Position ]],0)))</f>
        <v>0</v>
      </c>
      <c r="K116" s="314">
        <f>IF(INDEX(tab_MinKomp[Gospodarka odpadami / Abfallwirtschaft],MATCH($B115,tab_MinKomp[[Stanowisko / Position ]:[Stanowisko / Position ]],0))="n/a","n/a",K115-INDEX(tab_MinKomp[Gospodarka odpadami / Abfallwirtschaft],MATCH($B115,tab_MinKomp[[Stanowisko / Position ]:[Stanowisko / Position ]],0)))</f>
        <v>0</v>
      </c>
      <c r="L116" s="315">
        <f>IF(INDEX(tab_MinKomp[Przepisy kodeksu pracy / Bestimmungen des Arbeitsgesetzes],MATCH($B115,tab_MinKomp[[Stanowisko / Position ]:[Stanowisko / Position ]],0))="n/a","n/a",L115-INDEX(tab_MinKomp[Przepisy kodeksu pracy / Bestimmungen des Arbeitsgesetzes],MATCH($B115,tab_MinKomp[[Stanowisko / Position ]:[Stanowisko / Position ]],0)))</f>
        <v>0</v>
      </c>
      <c r="M116" s="316" t="str">
        <f>IF(INDEX(tab_MinKomp[Przepisy o ub.społ. ZUS  / Sozialversicherungsvorschriften],MATCH($B115,tab_MinKomp[[Stanowisko / Position ]:[Stanowisko / Position ]],0))="n/a","n/a",M115-INDEX(tab_MinKomp[Przepisy o ub.społ. ZUS  / Sozialversicherungsvorschriften],MATCH($B115,tab_MinKomp[[Stanowisko / Position ]:[Stanowisko / Position ]],0)))</f>
        <v>n/a</v>
      </c>
      <c r="N116" s="315" t="str">
        <f>IF(INDEX(tab_MinKomp[PRZEPISY O PDOF /persönlich Einkommensteuergesetz ],MATCH($B115,tab_MinKomp[[Stanowisko / Position ]:[Stanowisko / Position ]],0))="n/a","n/a",N115-INDEX(tab_MinKomp[PRZEPISY O PDOF /persönlich Einkommensteuergesetz ],MATCH($B115,tab_MinKomp[[Stanowisko / Position ]:[Stanowisko / Position ]],0)))</f>
        <v>n/a</v>
      </c>
      <c r="O116" s="315">
        <f>IF(INDEX(tab_MinKomp[Regulamin pracy / Arbeitsordnung],MATCH($B115,tab_MinKomp[[Stanowisko / Position ]:[Stanowisko / Position ]],0))="n/a","n/a",O115-INDEX(tab_MinKomp[Regulamin pracy / Arbeitsordnung],MATCH($B115,tab_MinKomp[[Stanowisko / Position ]:[Stanowisko / Position ]],0)))</f>
        <v>0</v>
      </c>
      <c r="P116" s="315">
        <f>IF(INDEX(tab_MinKomp[Regulamin wynagradzania / Vergütungsordnung],MATCH($B115,tab_MinKomp[[Stanowisko / Position ]:[Stanowisko / Position ]],0))="n/a","n/a",P115-INDEX(tab_MinKomp[Regulamin wynagradzania / Vergütungsordnung],MATCH($B115,tab_MinKomp[[Stanowisko / Position ]:[Stanowisko / Position ]],0)))</f>
        <v>0</v>
      </c>
      <c r="Q116" s="315" t="str">
        <f>IF(INDEX(tab_MinKomp[System R2PŁATNIK PRO: Płace / Lohnabrechnung],MATCH($B115,tab_MinKomp[[Stanowisko / Position ]:[Stanowisko / Position ]],0))="n/a","n/a",Q115-INDEX(tab_MinKomp[System R2PŁATNIK PRO: Płace / Lohnabrechnung],MATCH($B115,tab_MinKomp[[Stanowisko / Position ]:[Stanowisko / Position ]],0)))</f>
        <v>n/a</v>
      </c>
      <c r="R116" s="315" t="str">
        <f>IF(INDEX(tab_MinKomp[SystemR2PŁATNIK PRO: KADRY / Personaldaten],MATCH($B115,tab_MinKomp[[Stanowisko / Position ]:[Stanowisko / Position ]],0))="n/a","n/a",R115-INDEX(tab_MinKomp[SystemR2PŁATNIK PRO: KADRY / Personaldaten],MATCH($B115,tab_MinKomp[[Stanowisko / Position ]:[Stanowisko / Position ]],0)))</f>
        <v>n/a</v>
      </c>
      <c r="S116" s="315">
        <f>IF(INDEX(tab_MinKomp[SYSTEM R2PŁATNIK PRO: zarządzanie pracownikami / Arbeitsverwaltung],MATCH($B115,tab_MinKomp[[Stanowisko / Position ]:[Stanowisko / Position ]],0))="n/a","n/a",S115-INDEX(tab_MinKomp[SYSTEM R2PŁATNIK PRO: zarządzanie pracownikami / Arbeitsverwaltung],MATCH($B115,tab_MinKomp[[Stanowisko / Position ]:[Stanowisko / Position ]],0)))</f>
        <v>0</v>
      </c>
      <c r="T116" s="315">
        <f>IF(INDEX(tab_MinKomp[Doradztwo, wsparcie personalne / Personalberatung und Unterstützung],MATCH($B115,tab_MinKomp[[Stanowisko / Position ]:[Stanowisko / Position ]],0))="n/a","n/a",T115-INDEX(tab_MinKomp[Doradztwo, wsparcie personalne / Personalberatung und Unterstützung],MATCH($B115,tab_MinKomp[[Stanowisko / Position ]:[Stanowisko / Position ]],0)))</f>
        <v>0</v>
      </c>
      <c r="U116" s="315" t="str">
        <f>IF(INDEX(tab_MinKomp[Przepisy o podatku VAT / MwSt.- Gesetz],MATCH($B115,tab_MinKomp[[Stanowisko / Position ]:[Stanowisko / Position ]],0))="n/a","n/a",U115-INDEX(tab_MinKomp[Przepisy o podatku VAT / MwSt.- Gesetz],MATCH($B115,tab_MinKomp[[Stanowisko / Position ]:[Stanowisko / Position ]],0)))</f>
        <v>n/a</v>
      </c>
      <c r="V116" s="315" t="str">
        <f>IF(INDEX(tab_MinKomp[PrzepisyPDOP / geschäftlich Einkommensteuergesetz],MATCH($B115,tab_MinKomp[[Stanowisko / Position ]:[Stanowisko / Position ]],0))="n/a","n/a",V115-INDEX(tab_MinKomp[PrzepisyPDOP / geschäftlich Einkommensteuergesetz],MATCH($B115,tab_MinKomp[[Stanowisko / Position ]:[Stanowisko / Position ]],0)))</f>
        <v>n/a</v>
      </c>
      <c r="W116" s="315" t="str">
        <f>IF(INDEX(tab_MinKomp[System BAAN / FINANSE (FIBU)],MATCH($B115,tab_MinKomp[[Stanowisko / Position ]:[Stanowisko / Position ]],0))="n/a","n/a",W115-INDEX(tab_MinKomp[System BAAN / FINANSE (FIBU)],MATCH($B115,tab_MinKomp[[Stanowisko / Position ]:[Stanowisko / Position ]],0)))</f>
        <v>n/a</v>
      </c>
      <c r="X116" s="315" t="str">
        <f>IF(INDEX(tab_MinKomp[Systemy pomocnicze / Hilfssysteme(STOCKPROGRAM, KALK2000 etc.)],MATCH($B115,tab_MinKomp[[Stanowisko / Position ]:[Stanowisko / Position ]],0))="n/a","n/a",X115-INDEX(tab_MinKomp[Systemy pomocnicze / Hilfssysteme(STOCKPROGRAM, KALK2000 etc.)],MATCH($B115,tab_MinKomp[[Stanowisko / Position ]:[Stanowisko / Position ]],0)))</f>
        <v>n/a</v>
      </c>
      <c r="Y116" s="315" t="str">
        <f>IF(INDEX(tab_MinKomp[Polityka rachunkowości / Buchführungspolitik],MATCH($B115,tab_MinKomp[[Stanowisko / Position ]:[Stanowisko / Position ]],0))="n/a","n/a",Y115-INDEX(tab_MinKomp[Polityka rachunkowości / Buchführungspolitik],MATCH($B115,tab_MinKomp[[Stanowisko / Position ]:[Stanowisko / Position ]],0)))</f>
        <v>n/a</v>
      </c>
      <c r="Z116" s="315" t="str">
        <f>IF(INDEX(tab_MinKomp[Ustawa o rachunkowości / Rechnungslegungsgesetz],MATCH($B115,tab_MinKomp[[Stanowisko / Position ]:[Stanowisko / Position ]],0))="n/a","n/a",Z115-INDEX(tab_MinKomp[Ustawa o rachunkowości / Rechnungslegungsgesetz],MATCH($B115,tab_MinKomp[[Stanowisko / Position ]:[Stanowisko / Position ]],0)))</f>
        <v>n/a</v>
      </c>
      <c r="AA116" s="315" t="str">
        <f>IF(INDEX(tab_MinKomp[WORKFLOW - TS-100],MATCH($B115,tab_MinKomp[[Stanowisko / Position ]:[Stanowisko / Position ]],0))="n/a","n/a",AA115-INDEX(tab_MinKomp[WORKFLOW - TS-100],MATCH($B115,tab_MinKomp[[Stanowisko / Position ]:[Stanowisko / Position ]],0)))</f>
        <v>n/a</v>
      </c>
      <c r="AB116" s="315">
        <f>IF(INDEX(tab_MinKomp[WORKFLOW - SFMS],MATCH($B115,tab_MinKomp[[Stanowisko / Position ]:[Stanowisko / Position ]],0))="n/a","n/a",AB115-INDEX(tab_MinKomp[WORKFLOW - SFMS],MATCH($B115,tab_MinKomp[[Stanowisko / Position ]:[Stanowisko / Position ]],0)))</f>
        <v>0</v>
      </c>
      <c r="AC116" s="315">
        <f>IF(INDEX(tab_MinKomp[System ISO 9001:2015],MATCH($B115,tab_MinKomp[[Stanowisko / Position ]:[Stanowisko / Position ]],0))="n/a","n/a",AC115-INDEX(tab_MinKomp[System ISO 9001:2015],MATCH($B115,tab_MinKomp[[Stanowisko / Position ]:[Stanowisko / Position ]],0)))</f>
        <v>0</v>
      </c>
      <c r="AD116" s="315">
        <f>IF(INDEX(tab_MinKomp[System IATF 16949:2016],MATCH($B115,tab_MinKomp[[Stanowisko / Position ]:[Stanowisko / Position ]],0))="n/a","n/a",AD115-INDEX(tab_MinKomp[System IATF 16949:2016],MATCH($B115,tab_MinKomp[[Stanowisko / Position ]:[Stanowisko / Position ]],0)))</f>
        <v>0</v>
      </c>
      <c r="AE116" s="315">
        <f>IF(INDEX(tab_MinKomp[System ISO 14001:2015],MATCH($B115,tab_MinKomp[[Stanowisko / Position ]:[Stanowisko / Position ]],0))="n/a","n/a",AE115-INDEX(tab_MinKomp[System ISO 14001:2015],MATCH($B115,tab_MinKomp[[Stanowisko / Position ]:[Stanowisko / Position ]],0)))</f>
        <v>1</v>
      </c>
      <c r="AF116" s="315">
        <f>IF(INDEX(tab_MinKomp[System PN-N 18001:2004 / ISO 45001:2018],MATCH($B115,tab_MinKomp[[Stanowisko / Position ]:[Stanowisko / Position ]],0))="n/a","n/a",AF115-INDEX(tab_MinKomp[System PN-N 18001:2004 / ISO 45001:2018],MATCH($B115,tab_MinKomp[[Stanowisko / Position ]:[Stanowisko / Position ]],0)))</f>
        <v>1</v>
      </c>
      <c r="AG116" s="315">
        <f>IF(INDEX(tab_MinKomp[Wymagania VDA 6.3 Process / Forderungen],MATCH($B115,tab_MinKomp[[Stanowisko / Position ]:[Stanowisko / Position ]],0))="n/a","n/a",AG115-INDEX(tab_MinKomp[Wymagania VDA 6.3 Process / Forderungen],MATCH($B115,tab_MinKomp[[Stanowisko / Position ]:[Stanowisko / Position ]],0)))</f>
        <v>0</v>
      </c>
      <c r="AH116" s="315">
        <f>IF(INDEX(tab_MinKomp[Wymagania VDA 6.5 Product / Forderungen],MATCH($B115,tab_MinKomp[[Stanowisko / Position ]:[Stanowisko / Position ]],0))="n/a","n/a",AH115-INDEX(tab_MinKomp[Wymagania VDA 6.5 Product / Forderungen],MATCH($B115,tab_MinKomp[[Stanowisko / Position ]:[Stanowisko / Position ]],0)))</f>
        <v>0</v>
      </c>
      <c r="AI116" s="315">
        <f>IF(INDEX(tab_MinKomp[PSCR (VW Product Safety &amp; Conformity Representative)],MATCH($B115,tab_MinKomp[[Stanowisko / Position ]:[Stanowisko / Position ]],0))="n/a","n/a",AI115-INDEX(tab_MinKomp[PSCR (VW Product Safety &amp; Conformity Representative)],MATCH($B115,tab_MinKomp[[Stanowisko / Position ]:[Stanowisko / Position ]],0)))</f>
        <v>-1</v>
      </c>
      <c r="AJ116" s="315">
        <f>IF(INDEX(tab_MinKomp[Auditor systemu ISO 17025:2018],MATCH($B115,tab_MinKomp[[Stanowisko / Position ]:[Stanowisko / Position ]],0))="n/a","n/a",AJ115-INDEX(tab_MinKomp[Auditor systemu ISO 17025:2018],MATCH($B115,tab_MinKomp[[Stanowisko / Position ]:[Stanowisko / Position ]],0)))</f>
        <v>0</v>
      </c>
      <c r="AK116" s="315">
        <f>IF(INDEX(tab_MinKomp[Pełnomocnik systemu / Systemvertreter],MATCH($B115,tab_MinKomp[[Stanowisko / Position ]:[Stanowisko / Position ]],0))="n/a","n/a",AK115-INDEX(tab_MinKomp[Pełnomocnik systemu / Systemvertreter],MATCH($B115,tab_MinKomp[[Stanowisko / Position ]:[Stanowisko / Position ]],0)))</f>
        <v>0</v>
      </c>
      <c r="AL116" s="315">
        <f>IF(INDEX(tab_MinKomp[Polityka Etyczna - Compliance],MATCH($B115,tab_MinKomp[[Stanowisko / Position ]:[Stanowisko / Position ]],0))="n/a","n/a",AL115-INDEX(tab_MinKomp[Polityka Etyczna - Compliance],MATCH($B115,tab_MinKomp[[Stanowisko / Position ]:[Stanowisko / Position ]],0)))</f>
        <v>0</v>
      </c>
      <c r="AM116" s="315">
        <f>IF(INDEX(tab_MinKomp[WDRAŻANIE NOWYCH PROJEKTÓW/ PROCEDURA CTM],MATCH($B115,tab_MinKomp[[Stanowisko / Position ]:[Stanowisko / Position ]],0))="n/a","n/a",AM115-INDEX(tab_MinKomp[WDRAŻANIE NOWYCH PROJEKTÓW/ PROCEDURA CTM],MATCH($B115,tab_MinKomp[[Stanowisko / Position ]:[Stanowisko / Position ]],0)))</f>
        <v>0</v>
      </c>
      <c r="AN116" s="315">
        <f>IF(INDEX(tab_MinKomp[KAMIENIE MILOWE MSL/PIFF],MATCH($B115,tab_MinKomp[[Stanowisko / Position ]:[Stanowisko / Position ]],0))="n/a","n/a",AN115-INDEX(tab_MinKomp[KAMIENIE MILOWE MSL/PIFF],MATCH($B115,tab_MinKomp[[Stanowisko / Position ]:[Stanowisko / Position ]],0)))</f>
        <v>-1</v>
      </c>
      <c r="AO116" s="315">
        <f>IF(INDEX(tab_MinKomp[CP],MATCH($B115,tab_MinKomp[[Stanowisko / Position ]:[Stanowisko / Position ]],0))="n/a","n/a",AO115-INDEX(tab_MinKomp[CP],MATCH($B115,tab_MinKomp[[Stanowisko / Position ]:[Stanowisko / Position ]],0)))</f>
        <v>0</v>
      </c>
      <c r="AP116" s="315">
        <f>IF(INDEX(tab_MinKomp[FMEA],MATCH($B115,tab_MinKomp[[Stanowisko / Position ]:[Stanowisko / Position ]],0))="n/a","n/a",AP115-INDEX(tab_MinKomp[FMEA],MATCH($B115,tab_MinKomp[[Stanowisko / Position ]:[Stanowisko / Position ]],0)))</f>
        <v>0</v>
      </c>
      <c r="AQ116" s="315">
        <f>IF(INDEX(tab_MinKomp[FLOW CHART],MATCH($B115,tab_MinKomp[[Stanowisko / Position ]:[Stanowisko / Position ]],0))="n/a","n/a",AQ115-INDEX(tab_MinKomp[FLOW CHART],MATCH($B115,tab_MinKomp[[Stanowisko / Position ]:[Stanowisko / Position ]],0)))</f>
        <v>0</v>
      </c>
      <c r="AR116" s="315">
        <f>IF(INDEX(tab_MinKomp[APQP],MATCH($B115,tab_MinKomp[[Stanowisko / Position ]:[Stanowisko / Position ]],0))="n/a","n/a",AR115-INDEX(tab_MinKomp[APQP],MATCH($B115,tab_MinKomp[[Stanowisko / Position ]:[Stanowisko / Position ]],0)))</f>
        <v>-1</v>
      </c>
      <c r="AS116" s="315">
        <f>IF(INDEX(tab_MinKomp[MSA],MATCH($B115,tab_MinKomp[[Stanowisko / Position ]:[Stanowisko / Position ]],0))="n/a","n/a",AS115-INDEX(tab_MinKomp[MSA],MATCH($B115,tab_MinKomp[[Stanowisko / Position ]:[Stanowisko / Position ]],0)))</f>
        <v>0</v>
      </c>
      <c r="AT116" s="315">
        <f>IF(INDEX(tab_MinKomp[SPC],MATCH($B115,tab_MinKomp[[Stanowisko / Position ]:[Stanowisko / Position ]],0))="n/a","n/a",AT115-INDEX(tab_MinKomp[SPC],MATCH($B115,tab_MinKomp[[Stanowisko / Position ]:[Stanowisko / Position ]],0)))</f>
        <v>0</v>
      </c>
      <c r="AU116" s="315">
        <f>IF(INDEX(tab_MinKomp[CSR (SPECYFICZNE WYMAGANIA KLIENTA)],MATCH($B115,tab_MinKomp[[Stanowisko / Position ]:[Stanowisko / Position ]],0))="n/a","n/a",AU115-INDEX(tab_MinKomp[CSR (SPECYFICZNE WYMAGANIA KLIENTA)],MATCH($B115,tab_MinKomp[[Stanowisko / Position ]:[Stanowisko / Position ]],0)))</f>
        <v>0</v>
      </c>
      <c r="AV116" s="315">
        <f>IF(INDEX(tab_MinKomp[5S],MATCH($B115,tab_MinKomp[[Stanowisko / Position ]:[Stanowisko / Position ]],0))="n/a","n/a",AV115-INDEX(tab_MinKomp[5S],MATCH($B115,tab_MinKomp[[Stanowisko / Position ]:[Stanowisko / Position ]],0)))</f>
        <v>-1</v>
      </c>
      <c r="AW116" s="315">
        <f>IF(INDEX(tab_MinKomp[LEAN MANAGEMENT],MATCH($B115,tab_MinKomp[[Stanowisko / Position ]:[Stanowisko / Position ]],0))="n/a","n/a",AW115-INDEX(tab_MinKomp[LEAN MANAGEMENT],MATCH($B115,tab_MinKomp[[Stanowisko / Position ]:[Stanowisko / Position ]],0)))</f>
        <v>-2</v>
      </c>
      <c r="AX116" s="315">
        <f>IF(INDEX(tab_MinKomp[5R],MATCH($B115,tab_MinKomp[[Stanowisko / Position ]:[Stanowisko / Position ]],0))="n/a","n/a",AX115-INDEX(tab_MinKomp[5R],MATCH($B115,tab_MinKomp[[Stanowisko / Position ]:[Stanowisko / Position ]],0)))</f>
        <v>-1</v>
      </c>
      <c r="AY116" s="315">
        <f>IF(INDEX(tab_MinKomp[Six Sigma],MATCH($B115,tab_MinKomp[[Stanowisko / Position ]:[Stanowisko / Position ]],0))="n/a","n/a",AY115-INDEX(tab_MinKomp[Six Sigma],MATCH($B115,tab_MinKomp[[Stanowisko / Position ]:[Stanowisko / Position ]],0)))</f>
        <v>0</v>
      </c>
      <c r="AZ116" s="315">
        <f>IF(INDEX(tab_MinKomp[System BAAN / Distribution &amp; Supply Chain],MATCH($B115,tab_MinKomp[[Stanowisko / Position ]:[Stanowisko / Position ]],0))="n/a","n/a",AZ115-INDEX(tab_MinKomp[System BAAN / Distribution &amp; Supply Chain],MATCH($B115,tab_MinKomp[[Stanowisko / Position ]:[Stanowisko / Position ]],0)))</f>
        <v>0</v>
      </c>
      <c r="BA116" s="315">
        <f>IF(INDEX(tab_MinKomp[Gospodarka magazynowa / Lagerverwaltung],MATCH($B115,tab_MinKomp[[Stanowisko / Position ]:[Stanowisko / Position ]],0))="n/a","n/a",BA115-INDEX(tab_MinKomp[Gospodarka magazynowa / Lagerverwaltung],MATCH($B115,tab_MinKomp[[Stanowisko / Position ]:[Stanowisko / Position ]],0)))</f>
        <v>0</v>
      </c>
      <c r="BB116" s="315">
        <f>IF(INDEX(tab_MinKomp[Inwentaryzacja - organizacja i przebieg / Inventurprozess],MATCH($B115,tab_MinKomp[[Stanowisko / Position ]:[Stanowisko / Position ]],0))="n/a","n/a",BB115-INDEX(tab_MinKomp[Inwentaryzacja - organizacja i przebieg / Inventurprozess],MATCH($B115,tab_MinKomp[[Stanowisko / Position ]:[Stanowisko / Position ]],0)))</f>
        <v>0</v>
      </c>
      <c r="BC116" s="315">
        <f>IF(INDEX(tab_MinKomp[Organizacja dostaw / Versorgungsorganisation],MATCH($B115,tab_MinKomp[[Stanowisko / Position ]:[Stanowisko / Position ]],0))="n/a","n/a",BC115-INDEX(tab_MinKomp[Organizacja dostaw / Versorgungsorganisation],MATCH($B115,tab_MinKomp[[Stanowisko / Position ]:[Stanowisko / Position ]],0)))</f>
        <v>0</v>
      </c>
      <c r="BD116" s="315">
        <f>IF(INDEX(tab_MinKomp[Organizacja wysyłek / Organisation von Lieferungen],MATCH($B115,tab_MinKomp[[Stanowisko / Position ]:[Stanowisko / Position ]],0))="n/a","n/a",BD115-INDEX(tab_MinKomp[Organizacja wysyłek / Organisation von Lieferungen],MATCH($B115,tab_MinKomp[[Stanowisko / Position ]:[Stanowisko / Position ]],0)))</f>
        <v>0</v>
      </c>
      <c r="BE116" s="315">
        <f>IF(INDEX(tab_MinKomp[Analiza magazynowa - Program Polen.mdb / Inventuranalyse],MATCH($B115,tab_MinKomp[[Stanowisko / Position ]:[Stanowisko / Position ]],0))="n/a","n/a",BE115-INDEX(tab_MinKomp[Analiza magazynowa - Program Polen.mdb / Inventuranalyse],MATCH($B115,tab_MinKomp[[Stanowisko / Position ]:[Stanowisko / Position ]],0)))</f>
        <v>0</v>
      </c>
      <c r="BF116" s="315" t="str">
        <f>IF(INDEX(tab_MinKomp[MMOG (Materials Management Operations Guidelines)],MATCH($B115,tab_MinKomp[[Stanowisko / Position ]:[Stanowisko / Position ]],0))="n/a","n/a",BF115-INDEX(tab_MinKomp[MMOG (Materials Management Operations Guidelines)],MATCH($B115,tab_MinKomp[[Stanowisko / Position ]:[Stanowisko / Position ]],0)))</f>
        <v>n/a</v>
      </c>
      <c r="BG116" s="315" t="str">
        <f>IF(INDEX(tab_MinKomp[GPP],MATCH($B115,tab_MinKomp[[Stanowisko / Position ]:[Stanowisko / Position ]],0))="n/a","n/a",BG115-INDEX(tab_MinKomp[GPP],MATCH($B115,tab_MinKomp[[Stanowisko / Position ]:[Stanowisko / Position ]],0)))</f>
        <v>n/a</v>
      </c>
      <c r="BH116" s="315" t="str">
        <f>IF(INDEX(tab_MinKomp[AIAG (Automotive Industry Action Group)],MATCH($B115,tab_MinKomp[[Stanowisko / Position ]:[Stanowisko / Position ]],0))="n/a","n/a",BH115-INDEX(tab_MinKomp[AIAG (Automotive Industry Action Group)],MATCH($B115,tab_MinKomp[[Stanowisko / Position ]:[Stanowisko / Position ]],0)))</f>
        <v>n/a</v>
      </c>
      <c r="BI116" s="315" t="str">
        <f>IF(INDEX(tab_MinKomp[Super-G disputes],MATCH($B115,tab_MinKomp[[Stanowisko / Position ]:[Stanowisko / Position ]],0))="n/a","n/a",BI115-INDEX(tab_MinKomp[Super-G disputes],MATCH($B115,tab_MinKomp[[Stanowisko / Position ]:[Stanowisko / Position ]],0)))</f>
        <v>n/a</v>
      </c>
      <c r="BJ116" s="315" t="str">
        <f>IF(INDEX(tab_MinKomp[CMMS3/eDDL (Direct Data Link)],MATCH($B115,tab_MinKomp[[Stanowisko / Position ]:[Stanowisko / Position ]],0))="n/a","n/a",BJ115-INDEX(tab_MinKomp[CMMS3/eDDL (Direct Data Link)],MATCH($B115,tab_MinKomp[[Stanowisko / Position ]:[Stanowisko / Position ]],0)))</f>
        <v>n/a</v>
      </c>
      <c r="BK116" s="315" t="str">
        <f>IF(INDEX(tab_MinKomp[MP&amp;L (Material Planning and Logistics)],MATCH($B115,tab_MinKomp[[Stanowisko / Position ]:[Stanowisko / Position ]],0))="n/a","n/a",BK115-INDEX(tab_MinKomp[MP&amp;L (Material Planning and Logistics)],MATCH($B115,tab_MinKomp[[Stanowisko / Position ]:[Stanowisko / Position ]],0)))</f>
        <v>n/a</v>
      </c>
      <c r="BL116" s="315" t="str">
        <f>IF(INDEX(tab_MinKomp[Supplier delivery rating],MATCH($B115,tab_MinKomp[[Stanowisko / Position ]:[Stanowisko / Position ]],0))="n/a","n/a",BL115-INDEX(tab_MinKomp[Supplier delivery rating],MATCH($B115,tab_MinKomp[[Stanowisko / Position ]:[Stanowisko / Position ]],0)))</f>
        <v>n/a</v>
      </c>
      <c r="BM116" s="315" t="str">
        <f>IF(INDEX(tab_MinKomp[Planowanie produkcji / Produktionsplanung],MATCH($B115,tab_MinKomp[[Stanowisko / Position ]:[Stanowisko / Position ]],0))="n/a","n/a",BM115-INDEX(tab_MinKomp[Planowanie produkcji / Produktionsplanung],MATCH($B115,tab_MinKomp[[Stanowisko / Position ]:[Stanowisko / Position ]],0)))</f>
        <v>n/a</v>
      </c>
      <c r="BN116" s="315" t="str">
        <f>IF(INDEX(tab_MinKomp[Obsługa maszyn Engel / Engel Maschinenbedienung],MATCH($B115,tab_MinKomp[[Stanowisko / Position ]:[Stanowisko / Position ]],0))="n/a","n/a",BN115-INDEX(tab_MinKomp[Obsługa maszyn Engel / Engel Maschinenbedienung],MATCH($B115,tab_MinKomp[[Stanowisko / Position ]:[Stanowisko / Position ]],0)))</f>
        <v>n/a</v>
      </c>
      <c r="BO116" s="315" t="str">
        <f>IF(INDEX(tab_MinKomp[Obsługa maszyn Novapax / Novapax Maschinenbedienung],MATCH($B115,tab_MinKomp[[Stanowisko / Position ]:[Stanowisko / Position ]],0))="n/a","n/a",BO115-INDEX(tab_MinKomp[Obsługa maszyn Novapax / Novapax Maschinenbedienung],MATCH($B115,tab_MinKomp[[Stanowisko / Position ]:[Stanowisko / Position ]],0)))</f>
        <v>n/a</v>
      </c>
      <c r="BP116" s="315" t="str">
        <f>IF(INDEX(tab_MinKomp[Obsługa maszyn KVT / KVT Maschinenbedienung],MATCH($B115,tab_MinKomp[[Stanowisko / Position ]:[Stanowisko / Position ]],0))="n/a","n/a",BP115-INDEX(tab_MinKomp[Obsługa maszyn KVT / KVT Maschinenbedienung],MATCH($B115,tab_MinKomp[[Stanowisko / Position ]:[Stanowisko / Position ]],0)))</f>
        <v>n/a</v>
      </c>
      <c r="BQ116" s="315" t="str">
        <f>IF(INDEX(tab_MinKomp[Obsługa maszyn ASL / ASL Maschinenbedienung],MATCH($B115,tab_MinKomp[[Stanowisko / Position ]:[Stanowisko / Position ]],0))="n/a","n/a",BQ115-INDEX(tab_MinKomp[Obsługa maszyn ASL / ASL Maschinenbedienung],MATCH($B115,tab_MinKomp[[Stanowisko / Position ]:[Stanowisko / Position ]],0)))</f>
        <v>n/a</v>
      </c>
      <c r="BR116" s="315" t="str">
        <f>IF(INDEX(tab_MinKomp[Obsługa maszyn Branson / Branson Maschinenbedienung],MATCH($B115,tab_MinKomp[[Stanowisko / Position ]:[Stanowisko / Position ]],0))="n/a","n/a",BR115-INDEX(tab_MinKomp[Obsługa maszyn Branson / Branson Maschinenbedienung],MATCH($B115,tab_MinKomp[[Stanowisko / Position ]:[Stanowisko / Position ]],0)))</f>
        <v>n/a</v>
      </c>
      <c r="BS116" s="315" t="str">
        <f>IF(INDEX(tab_MinKomp[Obsługa maszyn Kamtec / Kamtec Maschinenbedienung],MATCH($B115,tab_MinKomp[[Stanowisko / Position ]:[Stanowisko / Position ]],0))="n/a","n/a",BS115-INDEX(tab_MinKomp[Obsługa maszyn Kamtec / Kamtec Maschinenbedienung],MATCH($B115,tab_MinKomp[[Stanowisko / Position ]:[Stanowisko / Position ]],0)))</f>
        <v>n/a</v>
      </c>
      <c r="BT116" s="315" t="str">
        <f>IF(INDEX(tab_MinKomp[Obsługa maszyn Piovan / Piovan Maschinenbedienung],MATCH($B115,tab_MinKomp[[Stanowisko / Position ]:[Stanowisko / Position ]],0))="n/a","n/a",BT115-INDEX(tab_MinKomp[Obsługa maszyn Piovan / Piovan Maschinenbedienung],MATCH($B115,tab_MinKomp[[Stanowisko / Position ]:[Stanowisko / Position ]],0)))</f>
        <v>n/a</v>
      </c>
      <c r="BU116" s="315" t="str">
        <f>IF(INDEX(tab_MinKomp[Obsługa maszyn REP / REP Maschinenbedienung],MATCH($B115,tab_MinKomp[[Stanowisko / Position ]:[Stanowisko / Position ]],0))="n/a","n/a",BU115-INDEX(tab_MinKomp[Obsługa maszyn REP / REP Maschinenbedienung],MATCH($B115,tab_MinKomp[[Stanowisko / Position ]:[Stanowisko / Position ]],0)))</f>
        <v>n/a</v>
      </c>
      <c r="BV116" s="315" t="str">
        <f>IF(INDEX(tab_MinKomp[Eliminacja awarii / Beseitigung von Ausfällen],MATCH($B115,tab_MinKomp[[Stanowisko / Position ]:[Stanowisko / Position ]],0))="n/a","n/a",BV115-INDEX(tab_MinKomp[Eliminacja awarii / Beseitigung von Ausfällen],MATCH($B115,tab_MinKomp[[Stanowisko / Position ]:[Stanowisko / Position ]],0)))</f>
        <v>n/a</v>
      </c>
      <c r="BW116" s="315" t="str">
        <f>IF(INDEX(tab_MinKomp[Informatyka ogólna (techniczne i systemowe) / Allgemeine IT (Technik und System)],MATCH($B115,tab_MinKomp[[Stanowisko / Position ]:[Stanowisko / Position ]],0))="n/a","n/a",BW115-INDEX(tab_MinKomp[Informatyka ogólna (techniczne i systemowe) / Allgemeine IT (Technik und System)],MATCH($B115,tab_MinKomp[[Stanowisko / Position ]:[Stanowisko / Position ]],0)))</f>
        <v>n/a</v>
      </c>
      <c r="BX116" s="315" t="str">
        <f>IF(INDEX(tab_MinKomp[Sieci komputerowe / Computernetzwerke],MATCH($B115,tab_MinKomp[[Stanowisko / Position ]:[Stanowisko / Position ]],0))="n/a","n/a",BX115-INDEX(tab_MinKomp[Sieci komputerowe / Computernetzwerke],MATCH($B115,tab_MinKomp[[Stanowisko / Position ]:[Stanowisko / Position ]],0)))</f>
        <v>n/a</v>
      </c>
      <c r="BY116" s="315" t="str">
        <f>IF(INDEX(tab_MinKomp[Hardware (komputery PC, drukarki biurowe i etykietowe, telefonia stacjonarna i mobilna) (PC, Drucker, Telefpne, Handys)],MATCH($B115,tab_MinKomp[[Stanowisko / Position ]:[Stanowisko / Position ]],0))="n/a","n/a",BY115-INDEX(tab_MinKomp[Hardware (komputery PC, drukarki biurowe i etykietowe, telefonia stacjonarna i mobilna) (PC, Drucker, Telefpne, Handys)],MATCH($B115,tab_MinKomp[[Stanowisko / Position ]:[Stanowisko / Position ]],0)))</f>
        <v>n/a</v>
      </c>
      <c r="BZ116" s="315" t="str">
        <f>IF(INDEX(tab_MinKomp[Software &amp; Systems (MS Office, MS Remote Desktop)],MATCH($B115,tab_MinKomp[[Stanowisko / Position ]:[Stanowisko / Position ]],0))="n/a","n/a",BZ115-INDEX(tab_MinKomp[Software &amp; Systems (MS Office, MS Remote Desktop)],MATCH($B115,tab_MinKomp[[Stanowisko / Position ]:[Stanowisko / Position ]],0)))</f>
        <v>n/a</v>
      </c>
      <c r="CA116" s="315" t="str">
        <f>IF(INDEX(tab_MinKomp[Programowanie obiektowe (PHP) / Objektprogrammierung],MATCH($B115,tab_MinKomp[[Stanowisko / Position ]:[Stanowisko / Position ]],0))="n/a","n/a",CA115-INDEX(tab_MinKomp[Programowanie obiektowe (PHP) / Objektprogrammierung],MATCH($B115,tab_MinKomp[[Stanowisko / Position ]:[Stanowisko / Position ]],0)))</f>
        <v>n/a</v>
      </c>
      <c r="CB116" s="315" t="str">
        <f>IF(INDEX(tab_MinKomp[Scrum],MATCH($B115,tab_MinKomp[[Stanowisko / Position ]:[Stanowisko / Position ]],0))="n/a","n/a",CB115-INDEX(tab_MinKomp[Scrum],MATCH($B115,tab_MinKomp[[Stanowisko / Position ]:[Stanowisko / Position ]],0)))</f>
        <v>n/a</v>
      </c>
      <c r="CC116" s="315" t="str">
        <f>IF(INDEX(tab_MinKomp[SQL (MySQL)],MATCH($B115,tab_MinKomp[[Stanowisko / Position ]:[Stanowisko / Position ]],0))="n/a","n/a",CC115-INDEX(tab_MinKomp[SQL (MySQL)],MATCH($B115,tab_MinKomp[[Stanowisko / Position ]:[Stanowisko / Position ]],0)))</f>
        <v>n/a</v>
      </c>
      <c r="CD116" s="315" t="str">
        <f>IF(INDEX(tab_MinKomp[Javascript],MATCH($B115,tab_MinKomp[[Stanowisko / Position ]:[Stanowisko / Position ]],0))="n/a","n/a",CD115-INDEX(tab_MinKomp[Javascript],MATCH($B115,tab_MinKomp[[Stanowisko / Position ]:[Stanowisko / Position ]],0)))</f>
        <v>n/a</v>
      </c>
      <c r="CE116" s="315" t="str">
        <f>IF(INDEX(tab_MinKomp[Joomla],MATCH($B115,tab_MinKomp[[Stanowisko / Position ]:[Stanowisko / Position ]],0))="n/a","n/a",CE115-INDEX(tab_MinKomp[Joomla],MATCH($B115,tab_MinKomp[[Stanowisko / Position ]:[Stanowisko / Position ]],0)))</f>
        <v>n/a</v>
      </c>
      <c r="CF116" s="315" t="str">
        <f>IF(INDEX(tab_MinKomp[Bash],MATCH($B115,tab_MinKomp[[Stanowisko / Position ]:[Stanowisko / Position ]],0))="n/a","n/a",CF115-INDEX(tab_MinKomp[Bash],MATCH($B115,tab_MinKomp[[Stanowisko / Position ]:[Stanowisko / Position ]],0)))</f>
        <v>n/a</v>
      </c>
      <c r="CG116" s="315">
        <f>IF(INDEX(tab_MinKomp[Systemy MES (HYDRA / SFMS)],MATCH($B115,tab_MinKomp[[Stanowisko / Position ]:[Stanowisko / Position ]],0))="n/a","n/a",CG115-INDEX(tab_MinKomp[Systemy MES (HYDRA / SFMS)],MATCH($B115,tab_MinKomp[[Stanowisko / Position ]:[Stanowisko / Position ]],0)))</f>
        <v>0</v>
      </c>
      <c r="CH116" s="315" t="str">
        <f>IF(INDEX(tab_MinKomp[HTML / CSS],MATCH($B115,tab_MinKomp[[Stanowisko / Position ]:[Stanowisko / Position ]],0))="n/a","n/a",CH115-INDEX(tab_MinKomp[HTML / CSS],MATCH($B115,tab_MinKomp[[Stanowisko / Position ]:[Stanowisko / Position ]],0)))</f>
        <v>n/a</v>
      </c>
      <c r="CI116" s="315">
        <f>IF(INDEX(tab_MinKomp[SYSTEM PR],MATCH($B115,tab_MinKomp[[Stanowisko / Position ]:[Stanowisko / Position ]],0))="n/a","n/a",CI115-INDEX(tab_MinKomp[SYSTEM PR],MATCH($B115,tab_MinKomp[[Stanowisko / Position ]:[Stanowisko / Position ]],0)))</f>
        <v>0</v>
      </c>
      <c r="CJ116" s="315">
        <f>IF(INDEX(tab_MinKomp[System Einkauf XP / EBA],MATCH($B115,tab_MinKomp[[Stanowisko / Position ]:[Stanowisko / Position ]],0))="n/a","n/a",CJ115-INDEX(tab_MinKomp[System Einkauf XP / EBA],MATCH($B115,tab_MinKomp[[Stanowisko / Position ]:[Stanowisko / Position ]],0)))</f>
        <v>0</v>
      </c>
      <c r="CK116" s="315" t="str">
        <f>IF(INDEX(tab_MinKomp[Techniki negocjacyjne / Verhandlungstechniken],MATCH($B115,tab_MinKomp[[Stanowisko / Position ]:[Stanowisko / Position ]],0))="n/a","n/a",CK115-INDEX(tab_MinKomp[Techniki negocjacyjne / Verhandlungstechniken],MATCH($B115,tab_MinKomp[[Stanowisko / Position ]:[Stanowisko / Position ]],0)))</f>
        <v>n/a</v>
      </c>
      <c r="CL116" s="315" t="str">
        <f>IF(INDEX(tab_MinKomp[Znajomość rynku branżowego / Kenntnis des Industrie Marktes],MATCH($B115,tab_MinKomp[[Stanowisko / Position ]:[Stanowisko / Position ]],0))="n/a","n/a",CL115-INDEX(tab_MinKomp[Znajomość rynku branżowego / Kenntnis des Industrie Marktes],MATCH($B115,tab_MinKomp[[Stanowisko / Position ]:[Stanowisko / Position ]],0)))</f>
        <v>n/a</v>
      </c>
      <c r="CM116" s="315">
        <f>IF(INDEX(tab_MinKomp[RAPORTY 8D / 8D Berichten],MATCH($B115,tab_MinKomp[[Stanowisko / Position ]:[Stanowisko / Position ]],0))="n/a","n/a",CM115-INDEX(tab_MinKomp[RAPORTY 8D / 8D Berichten],MATCH($B115,tab_MinKomp[[Stanowisko / Position ]:[Stanowisko / Position ]],0)))</f>
        <v>0</v>
      </c>
      <c r="CN116" s="315">
        <f>IF(INDEX(tab_MinKomp[NARZĘDZIA JAKOŚCIOWE (5WHY, Ishikawa, etc) / QS-Werkzeuge],MATCH($B115,tab_MinKomp[[Stanowisko / Position ]:[Stanowisko / Position ]],0))="n/a","n/a",CN115-INDEX(tab_MinKomp[NARZĘDZIA JAKOŚCIOWE (5WHY, Ishikawa, etc) / QS-Werkzeuge],MATCH($B115,tab_MinKomp[[Stanowisko / Position ]:[Stanowisko / Position ]],0)))</f>
        <v>0</v>
      </c>
      <c r="CO116" s="315">
        <f>IF(INDEX(tab_MinKomp[PDCA],MATCH($B115,tab_MinKomp[[Stanowisko / Position ]:[Stanowisko / Position ]],0))="n/a","n/a",CO115-INDEX(tab_MinKomp[PDCA],MATCH($B115,tab_MinKomp[[Stanowisko / Position ]:[Stanowisko / Position ]],0)))</f>
        <v>0</v>
      </c>
      <c r="CP116" s="315">
        <f>IF(INDEX(tab_MinKomp[Pareto],MATCH($B115,tab_MinKomp[[Stanowisko / Position ]:[Stanowisko / Position ]],0))="n/a","n/a",CP115-INDEX(tab_MinKomp[Pareto],MATCH($B115,tab_MinKomp[[Stanowisko / Position ]:[Stanowisko / Position ]],0)))</f>
        <v>0</v>
      </c>
      <c r="CQ116" s="315">
        <f>IF(INDEX(tab_MinKomp[PPAP/PSW],MATCH($B115,tab_MinKomp[[Stanowisko / Position ]:[Stanowisko / Position ]],0))="n/a","n/a",CQ115-INDEX(tab_MinKomp[PPAP/PSW],MATCH($B115,tab_MinKomp[[Stanowisko / Position ]:[Stanowisko / Position ]],0)))</f>
        <v>0</v>
      </c>
      <c r="CR116" s="315">
        <f>IF(INDEX(tab_MinKomp[SUPPLIER MANAGEMENT],MATCH($B115,tab_MinKomp[[Stanowisko / Position ]:[Stanowisko / Position ]],0))="n/a","n/a",CR115-INDEX(tab_MinKomp[SUPPLIER MANAGEMENT],MATCH($B115,tab_MinKomp[[Stanowisko / Position ]:[Stanowisko / Position ]],0)))</f>
        <v>0</v>
      </c>
      <c r="CS116" s="315">
        <f>IF(INDEX(tab_MinKomp[OBSŁUGA PORTALI KLIENTA / Kundenportale],MATCH($B115,tab_MinKomp[[Stanowisko / Position ]:[Stanowisko / Position ]],0))="n/a","n/a",CS115-INDEX(tab_MinKomp[OBSŁUGA PORTALI KLIENTA / Kundenportale],MATCH($B115,tab_MinKomp[[Stanowisko / Position ]:[Stanowisko / Position ]],0)))</f>
        <v>0</v>
      </c>
      <c r="CT116" s="315">
        <f>IF(INDEX(tab_MinKomp[Obsługa systemu BABTECQ / BABTECQ System],MATCH($B115,tab_MinKomp[[Stanowisko / Position ]:[Stanowisko / Position ]],0))="n/a","n/a",CT115-INDEX(tab_MinKomp[Obsługa systemu BABTECQ / BABTECQ System],MATCH($B115,tab_MinKomp[[Stanowisko / Position ]:[Stanowisko / Position ]],0)))</f>
        <v>0</v>
      </c>
      <c r="CU116" s="315">
        <f>IF(INDEX(tab_MinKomp[Rysunek techniczny / technische Zeichnung],MATCH($B115,tab_MinKomp[[Stanowisko / Position ]:[Stanowisko / Position ]],0))="n/a","n/a",CU115-INDEX(tab_MinKomp[Rysunek techniczny / technische Zeichnung],MATCH($B115,tab_MinKomp[[Stanowisko / Position ]:[Stanowisko / Position ]],0)))</f>
        <v>0</v>
      </c>
      <c r="CV116" s="315">
        <f>IF(INDEX(tab_MinKomp[Kalibracja / Kalibrierung],MATCH($B115,tab_MinKomp[[Stanowisko / Position ]:[Stanowisko / Position ]],0))="n/a","n/a",CV115-INDEX(tab_MinKomp[Kalibracja / Kalibrierung],MATCH($B115,tab_MinKomp[[Stanowisko / Position ]:[Stanowisko / Position ]],0)))</f>
        <v>-2</v>
      </c>
      <c r="CW116" s="315">
        <f>IF(INDEX(tab_MinKomp[Rekwalifikacja / Requalifizierung],MATCH($B115,tab_MinKomp[[Stanowisko / Position ]:[Stanowisko / Position ]],0))="n/a","n/a",CW115-INDEX(tab_MinKomp[Rekwalifikacja / Requalifizierung],MATCH($B115,tab_MinKomp[[Stanowisko / Position ]:[Stanowisko / Position ]],0)))</f>
        <v>-2</v>
      </c>
      <c r="CX116" s="315" t="str">
        <f>IF(INDEX(tab_MinKomp[CMM - Contura Zeiss],MATCH($B115,tab_MinKomp[[Stanowisko / Position ]:[Stanowisko / Position ]],0))="n/a","n/a",CX115-INDEX(tab_MinKomp[CMM - Contura Zeiss],MATCH($B115,tab_MinKomp[[Stanowisko / Position ]:[Stanowisko / Position ]],0)))</f>
        <v>n/a</v>
      </c>
      <c r="CY116" s="315" t="str">
        <f>IF(INDEX(tab_MinKomp[CMM - Contura Zeiss],MATCH($B115,tab_MinKomp[[Stanowisko / Position ]:[Stanowisko / Position ]],0))="n/a","n/a",CY115-INDEX(tab_MinKomp[CMM - Contura Zeiss],MATCH($B115,tab_MinKomp[[Stanowisko / Position ]:[Stanowisko / Position ]],0)))</f>
        <v>n/a</v>
      </c>
      <c r="CZ116" s="315" t="str">
        <f>IF(INDEX(tab_MinKomp[CMM - Contura Zeiss],MATCH($B115,tab_MinKomp[[Stanowisko / Position ]:[Stanowisko / Position ]],0))="n/a","n/a",CZ115-INDEX(tab_MinKomp[CMM - Contura Zeiss],MATCH($B115,tab_MinKomp[[Stanowisko / Position ]:[Stanowisko / Position ]],0)))</f>
        <v>n/a</v>
      </c>
      <c r="DA116" s="315" t="str">
        <f>IF(INDEX(tab_MinKomp[CMM - Contura Zeiss],MATCH($B115,tab_MinKomp[[Stanowisko / Position ]:[Stanowisko / Position ]],0))="n/a","n/a",DA115-INDEX(tab_MinKomp[CMM - Contura Zeiss],MATCH($B115,tab_MinKomp[[Stanowisko / Position ]:[Stanowisko / Position ]],0)))</f>
        <v>n/a</v>
      </c>
      <c r="DB116" s="315" t="str">
        <f>IF(INDEX(tab_MinKomp[CMM - Contura Zeiss],MATCH($B115,tab_MinKomp[[Stanowisko / Position ]:[Stanowisko / Position ]],0))="n/a","n/a",DB115-INDEX(tab_MinKomp[CMM - Contura Zeiss],MATCH($B115,tab_MinKomp[[Stanowisko / Position ]:[Stanowisko / Position ]],0)))</f>
        <v>n/a</v>
      </c>
      <c r="DC116" s="315" t="str">
        <f>IF(INDEX(tab_MinKomp[CMM - Contura Zeiss],MATCH($B115,tab_MinKomp[[Stanowisko / Position ]:[Stanowisko / Position ]],0))="n/a","n/a",DC115-INDEX(tab_MinKomp[CMM - Contura Zeiss],MATCH($B115,tab_MinKomp[[Stanowisko / Position ]:[Stanowisko / Position ]],0)))</f>
        <v>n/a</v>
      </c>
      <c r="DD116" s="315" t="str">
        <f>IF(INDEX(tab_MinKomp[Pisanie programów / Programme schreiben],MATCH($B115,tab_MinKomp[[Stanowisko / Position ]:[Stanowisko / Position ]],0))="n/a","n/a",DD115-INDEX(tab_MinKomp[Pisanie programów / Programme schreiben],MATCH($B115,tab_MinKomp[[Stanowisko / Position ]:[Stanowisko / Position ]],0)))</f>
        <v>n/a</v>
      </c>
      <c r="DE116" s="315" t="str">
        <f>IF(INDEX(tab_MinKomp[CMM - Contura Zeiss],MATCH($B115,tab_MinKomp[[Stanowisko / Position ]:[Stanowisko / Position ]],0))="n/a","n/a",DE115-INDEX(tab_MinKomp[CMM - Contura Zeiss],MATCH($B115,tab_MinKomp[[Stanowisko / Position ]:[Stanowisko / Position ]],0)))</f>
        <v>n/a</v>
      </c>
      <c r="DF116" s="315" t="str">
        <f>IF(INDEX(tab_MinKomp[CMM - Contura Zeiss],MATCH($B115,tab_MinKomp[[Stanowisko / Position ]:[Stanowisko / Position ]],0))="n/a","n/a",DF115-INDEX(tab_MinKomp[CMM - Contura Zeiss],MATCH($B115,tab_MinKomp[[Stanowisko / Position ]:[Stanowisko / Position ]],0)))</f>
        <v>n/a</v>
      </c>
      <c r="DG116" s="315" t="str">
        <f>IF(INDEX(tab_MinKomp[CMM - Contura Zeiss],MATCH($B115,tab_MinKomp[[Stanowisko / Position ]:[Stanowisko / Position ]],0))="n/a","n/a",DG115-INDEX(tab_MinKomp[CMM - Contura Zeiss],MATCH($B115,tab_MinKomp[[Stanowisko / Position ]:[Stanowisko / Position ]],0)))</f>
        <v>n/a</v>
      </c>
      <c r="DH116" s="315" t="str">
        <f>IF(INDEX(tab_MinKomp[CMM - Contura Zeiss],MATCH($B115,tab_MinKomp[[Stanowisko / Position ]:[Stanowisko / Position ]],0))="n/a","n/a",DH115-INDEX(tab_MinKomp[CMM - Contura Zeiss],MATCH($B115,tab_MinKomp[[Stanowisko / Position ]:[Stanowisko / Position ]],0)))</f>
        <v>n/a</v>
      </c>
      <c r="DI116" s="315" t="str">
        <f>IF(INDEX(tab_MinKomp[CMM - Contura Zeiss],MATCH($B115,tab_MinKomp[[Stanowisko / Position ]:[Stanowisko / Position ]],0))="n/a","n/a",DI115-INDEX(tab_MinKomp[CMM - Contura Zeiss],MATCH($B115,tab_MinKomp[[Stanowisko / Position ]:[Stanowisko / Position ]],0)))</f>
        <v>n/a</v>
      </c>
      <c r="DJ116" s="315" t="str">
        <f>IF(INDEX(tab_MinKomp[CMM - Contura Zeiss],MATCH($B115,tab_MinKomp[[Stanowisko / Position ]:[Stanowisko / Position ]],0))="n/a","n/a",DJ115-INDEX(tab_MinKomp[CMM - Contura Zeiss],MATCH($B115,tab_MinKomp[[Stanowisko / Position ]:[Stanowisko / Position ]],0)))</f>
        <v>n/a</v>
      </c>
      <c r="DK116" s="315" t="str">
        <f>IF(INDEX(tab_MinKomp[Pisanie programów / Programme schreiben],MATCH($B115,tab_MinKomp[[Stanowisko / Position ]:[Stanowisko / Position ]],0))="n/a","n/a",DK115-INDEX(tab_MinKomp[Pisanie programów / Programme schreiben],MATCH($B115,tab_MinKomp[[Stanowisko / Position ]:[Stanowisko / Position ]],0)))</f>
        <v>n/a</v>
      </c>
      <c r="DL116" s="315" t="str">
        <f>IF(INDEX(tab_MinKomp[CMM - Contura Zeiss],MATCH($B115,tab_MinKomp[[Stanowisko / Position ]:[Stanowisko / Position ]],0))="n/a","n/a",DL115-INDEX(tab_MinKomp[CMM - Contura Zeiss],MATCH($B115,tab_MinKomp[[Stanowisko / Position ]:[Stanowisko / Position ]],0)))</f>
        <v>n/a</v>
      </c>
      <c r="DM116" s="315" t="str">
        <f>IF(INDEX(tab_MinKomp[CMM - Contura Zeiss],MATCH($B115,tab_MinKomp[[Stanowisko / Position ]:[Stanowisko / Position ]],0))="n/a","n/a",DM115-INDEX(tab_MinKomp[CMM - Contura Zeiss],MATCH($B115,tab_MinKomp[[Stanowisko / Position ]:[Stanowisko / Position ]],0)))</f>
        <v>n/a</v>
      </c>
      <c r="DN116" s="315" t="str">
        <f>IF(INDEX(tab_MinKomp[CMM - Contura Zeiss],MATCH($B115,tab_MinKomp[[Stanowisko / Position ]:[Stanowisko / Position ]],0))="n/a","n/a",DN115-INDEX(tab_MinKomp[CMM - Contura Zeiss],MATCH($B115,tab_MinKomp[[Stanowisko / Position ]:[Stanowisko / Position ]],0)))</f>
        <v>n/a</v>
      </c>
      <c r="DO116" s="315" t="str">
        <f>IF(INDEX(tab_MinKomp[CMM - Contura Zeiss],MATCH($B115,tab_MinKomp[[Stanowisko / Position ]:[Stanowisko / Position ]],0))="n/a","n/a",DO115-INDEX(tab_MinKomp[CMM - Contura Zeiss],MATCH($B115,tab_MinKomp[[Stanowisko / Position ]:[Stanowisko / Position ]],0)))</f>
        <v>n/a</v>
      </c>
      <c r="DP116" s="315" t="str">
        <f>IF(INDEX(tab_MinKomp[CMM - Contura Zeiss],MATCH($B115,tab_MinKomp[[Stanowisko / Position ]:[Stanowisko / Position ]],0))="n/a","n/a",DP115-INDEX(tab_MinKomp[CMM - Contura Zeiss],MATCH($B115,tab_MinKomp[[Stanowisko / Position ]:[Stanowisko / Position ]],0)))</f>
        <v>n/a</v>
      </c>
      <c r="DQ116" s="315" t="str">
        <f>IF(INDEX(tab_MinKomp[CMM - Contura Zeiss],MATCH($B115,tab_MinKomp[[Stanowisko / Position ]:[Stanowisko / Position ]],0))="n/a","n/a",DQ115-INDEX(tab_MinKomp[CMM - Contura Zeiss],MATCH($B115,tab_MinKomp[[Stanowisko / Position ]:[Stanowisko / Position ]],0)))</f>
        <v>n/a</v>
      </c>
      <c r="DR116" s="315" t="str">
        <f>IF(INDEX(tab_MinKomp[Pisanie programów / Programme schreiben],MATCH($B115,tab_MinKomp[[Stanowisko / Position ]:[Stanowisko / Position ]],0))="n/a","n/a",DR115-INDEX(tab_MinKomp[Pisanie programów / Programme schreiben],MATCH($B115,tab_MinKomp[[Stanowisko / Position ]:[Stanowisko / Position ]],0)))</f>
        <v>n/a</v>
      </c>
      <c r="DS116" s="315" t="str">
        <f>IF(INDEX(tab_MinKomp[CMM - Contura Zeiss],MATCH($B115,tab_MinKomp[[Stanowisko / Position ]:[Stanowisko / Position ]],0))="n/a","n/a",DS115-INDEX(tab_MinKomp[CMM - Contura Zeiss],MATCH($B115,tab_MinKomp[[Stanowisko / Position ]:[Stanowisko / Position ]],0)))</f>
        <v>n/a</v>
      </c>
      <c r="DT116" s="315" t="str">
        <f>IF(INDEX(tab_MinKomp[CMM - Contura Zeiss],MATCH($B115,tab_MinKomp[[Stanowisko / Position ]:[Stanowisko / Position ]],0))="n/a","n/a",DT115-INDEX(tab_MinKomp[CMM - Contura Zeiss],MATCH($B115,tab_MinKomp[[Stanowisko / Position ]:[Stanowisko / Position ]],0)))</f>
        <v>n/a</v>
      </c>
      <c r="DU116" s="315" t="str">
        <f>IF(INDEX(tab_MinKomp[CMM - Contura Zeiss],MATCH($B115,tab_MinKomp[[Stanowisko / Position ]:[Stanowisko / Position ]],0))="n/a","n/a",DU115-INDEX(tab_MinKomp[CMM - Contura Zeiss],MATCH($B115,tab_MinKomp[[Stanowisko / Position ]:[Stanowisko / Position ]],0)))</f>
        <v>n/a</v>
      </c>
      <c r="DV116" s="315" t="str">
        <f>IF(INDEX(tab_MinKomp[CMM - Contura Zeiss],MATCH($B115,tab_MinKomp[[Stanowisko / Position ]:[Stanowisko / Position ]],0))="n/a","n/a",DV115-INDEX(tab_MinKomp[CMM - Contura Zeiss],MATCH($B115,tab_MinKomp[[Stanowisko / Position ]:[Stanowisko / Position ]],0)))</f>
        <v>n/a</v>
      </c>
      <c r="DW116" s="315" t="str">
        <f>IF(INDEX(tab_MinKomp[CMM - Contura Zeiss],MATCH($B115,tab_MinKomp[[Stanowisko / Position ]:[Stanowisko / Position ]],0))="n/a","n/a",DW115-INDEX(tab_MinKomp[CMM - Contura Zeiss],MATCH($B115,tab_MinKomp[[Stanowisko / Position ]:[Stanowisko / Position ]],0)))</f>
        <v>n/a</v>
      </c>
      <c r="DX116" s="315" t="str">
        <f>IF(INDEX(tab_MinKomp[CMM - Contura Zeiss],MATCH($B115,tab_MinKomp[[Stanowisko / Position ]:[Stanowisko / Position ]],0))="n/a","n/a",DX115-INDEX(tab_MinKomp[CMM - Contura Zeiss],MATCH($B115,tab_MinKomp[[Stanowisko / Position ]:[Stanowisko / Position ]],0)))</f>
        <v>n/a</v>
      </c>
      <c r="DY116" s="315" t="str">
        <f>IF(INDEX(tab_MinKomp[Konserwacja Rep],MATCH($B115,tab_MinKomp[[Stanowisko / Position ]:[Stanowisko / Position ]],0))="n/a","n/a",DY115-INDEX(tab_MinKomp[Konserwacja Rep],MATCH($B115,tab_MinKomp[[Stanowisko / Position ]:[Stanowisko / Position ]],0)))</f>
        <v>n/a</v>
      </c>
      <c r="DZ116" s="315" t="str">
        <f>IF(INDEX(tab_MinKomp[[Konserwacja Engel ]],MATCH($B115,tab_MinKomp[[Stanowisko / Position ]:[Stanowisko / Position ]],0))="n/a","n/a",DZ115-INDEX(tab_MinKomp[[Konserwacja Engel ]],MATCH($B115,tab_MinKomp[[Stanowisko / Position ]:[Stanowisko / Position ]],0)))</f>
        <v>n/a</v>
      </c>
      <c r="EA116" s="315" t="str">
        <f>IF(INDEX(tab_MinKomp[Konserwacja B 50],MATCH($B115,tab_MinKomp[[Stanowisko / Position ]:[Stanowisko / Position ]],0))="n/a","n/a",EA115-INDEX(tab_MinKomp[Konserwacja B 50],MATCH($B115,tab_MinKomp[[Stanowisko / Position ]:[Stanowisko / Position ]],0)))</f>
        <v>n/a</v>
      </c>
      <c r="EB116" s="315" t="str">
        <f>IF(INDEX(tab_MinKomp[[Konserwacja EOL ]],MATCH($B115,tab_MinKomp[[Stanowisko / Position ]:[Stanowisko / Position ]],0))="n/a","n/a",EB115-INDEX(tab_MinKomp[[Konserwacja EOL ]],MATCH($B115,tab_MinKomp[[Stanowisko / Position ]:[Stanowisko / Position ]],0)))</f>
        <v>n/a</v>
      </c>
      <c r="EC116" s="315" t="str">
        <f>IF(INDEX(tab_MinKomp[Konserwacja Branson],MATCH($B115,tab_MinKomp[[Stanowisko / Position ]:[Stanowisko / Position ]],0))="n/a","n/a",EC115-INDEX(tab_MinKomp[Konserwacja Branson],MATCH($B115,tab_MinKomp[[Stanowisko / Position ]:[Stanowisko / Position ]],0)))</f>
        <v>n/a</v>
      </c>
      <c r="ED116" s="315" t="str">
        <f>IF(INDEX(tab_MinKomp[Konserwacja coolery],MATCH($B115,tab_MinKomp[[Stanowisko / Position ]:[Stanowisko / Position ]],0))="n/a","n/a",ED115-INDEX(tab_MinKomp[Konserwacja coolery],MATCH($B115,tab_MinKomp[[Stanowisko / Position ]:[Stanowisko / Position ]],0)))</f>
        <v>n/a</v>
      </c>
      <c r="EE116" s="315" t="str">
        <f>IF(INDEX(tab_MinKomp[Konserwacja piecy],MATCH($B115,tab_MinKomp[[Stanowisko / Position ]:[Stanowisko / Position ]],0))="n/a","n/a",EE115-INDEX(tab_MinKomp[Konserwacja piecy],MATCH($B115,tab_MinKomp[[Stanowisko / Position ]:[Stanowisko / Position ]],0)))</f>
        <v>n/a</v>
      </c>
      <c r="EF116" s="315" t="str">
        <f>IF(INDEX(tab_MinKomp[Rysunek techniczny- czytanie],MATCH($B115,tab_MinKomp[[Stanowisko / Position ]:[Stanowisko / Position ]],0))="n/a","n/a",EF115-INDEX(tab_MinKomp[Rysunek techniczny- czytanie],MATCH($B115,tab_MinKomp[[Stanowisko / Position ]:[Stanowisko / Position ]],0)))</f>
        <v>n/a</v>
      </c>
      <c r="EG116" s="315" t="str">
        <f>IF(INDEX(tab_MinKomp[Elektryka],MATCH($B115,tab_MinKomp[[Stanowisko / Position ]:[Stanowisko / Position ]],0))="n/a","n/a",EG115-INDEX(tab_MinKomp[Elektryka],MATCH($B115,tab_MinKomp[[Stanowisko / Position ]:[Stanowisko / Position ]],0)))</f>
        <v>n/a</v>
      </c>
      <c r="EH116" s="315" t="str">
        <f>IF(INDEX(tab_MinKomp[Pneumatyka],MATCH($B115,tab_MinKomp[[Stanowisko / Position ]:[Stanowisko / Position ]],0))="n/a","n/a",EH115-INDEX(tab_MinKomp[Pneumatyka],MATCH($B115,tab_MinKomp[[Stanowisko / Position ]:[Stanowisko / Position ]],0)))</f>
        <v>n/a</v>
      </c>
      <c r="EI116" s="315" t="str">
        <f>IF(INDEX(tab_MinKomp[[Hydraulika ]],MATCH($B115,tab_MinKomp[[Stanowisko / Position ]:[Stanowisko / Position ]],0))="n/a","n/a",EI115-INDEX(tab_MinKomp[[Hydraulika ]],MATCH($B115,tab_MinKomp[[Stanowisko / Position ]:[Stanowisko / Position ]],0)))</f>
        <v>n/a</v>
      </c>
      <c r="EJ116" s="315" t="str">
        <f>IF(INDEX(tab_MinKomp[Podciśnienie],MATCH($B115,tab_MinKomp[[Stanowisko / Position ]:[Stanowisko / Position ]],0))="n/a","n/a",EJ115-INDEX(tab_MinKomp[Podciśnienie],MATCH($B115,tab_MinKomp[[Stanowisko / Position ]:[Stanowisko / Position ]],0)))</f>
        <v>n/a</v>
      </c>
      <c r="EK116" s="315" t="str">
        <f>IF(INDEX(tab_MinKomp[Usuwanie awarii],MATCH($B115,tab_MinKomp[[Stanowisko / Position ]:[Stanowisko / Position ]],0))="n/a","n/a",EK115-INDEX(tab_MinKomp[Usuwanie awarii],MATCH($B115,tab_MinKomp[[Stanowisko / Position ]:[Stanowisko / Position ]],0)))</f>
        <v>n/a</v>
      </c>
      <c r="EL116" s="315" t="str">
        <f>IF(INDEX(tab_MinKomp[Obsługa robotów],MATCH($B115,tab_MinKomp[[Stanowisko / Position ]:[Stanowisko / Position ]],0))="n/a","n/a",EL115-INDEX(tab_MinKomp[Obsługa robotów],MATCH($B115,tab_MinKomp[[Stanowisko / Position ]:[Stanowisko / Position ]],0)))</f>
        <v>n/a</v>
      </c>
      <c r="EM116" s="315" t="str">
        <f>IF(INDEX(tab_MinKomp[Obsługa sterowania maszyny],MATCH($B115,tab_MinKomp[[Stanowisko / Position ]:[Stanowisko / Position ]],0))="n/a","n/a",EM115-INDEX(tab_MinKomp[Obsługa sterowania maszyny],MATCH($B115,tab_MinKomp[[Stanowisko / Position ]:[Stanowisko / Position ]],0)))</f>
        <v>n/a</v>
      </c>
      <c r="EN116" s="315" t="str">
        <f>IF(INDEX(tab_MinKomp[Usuwanie przyczyn żródłowych],MATCH($B115,tab_MinKomp[[Stanowisko / Position ]:[Stanowisko / Position ]],0))="n/a","n/a",EN115-INDEX(tab_MinKomp[Usuwanie przyczyn żródłowych],MATCH($B115,tab_MinKomp[[Stanowisko / Position ]:[Stanowisko / Position ]],0)))</f>
        <v>n/a</v>
      </c>
      <c r="EO116" s="315" t="str">
        <f>IF(INDEX(tab_MinKomp[Cmms stosowanie],MATCH($B115,tab_MinKomp[[Stanowisko / Position ]:[Stanowisko / Position ]],0))="n/a","n/a",EO115-INDEX(tab_MinKomp[Cmms stosowanie],MATCH($B115,tab_MinKomp[[Stanowisko / Position ]:[Stanowisko / Position ]],0)))</f>
        <v>n/a</v>
      </c>
      <c r="EP116" s="315" t="str">
        <f>IF(INDEX(tab_MinKomp[[Czyszczenie form gumowych ]],MATCH($B115,tab_MinKomp[[Stanowisko / Position ]:[Stanowisko / Position ]],0))="n/a","n/a",EP115-INDEX(tab_MinKomp[[Czyszczenie form gumowych ]],MATCH($B115,tab_MinKomp[[Stanowisko / Position ]:[Stanowisko / Position ]],0)))</f>
        <v>n/a</v>
      </c>
      <c r="EQ116" s="315" t="str">
        <f>IF(INDEX(tab_MinKomp[Czyszczenie form plastikowych],MATCH($B115,tab_MinKomp[[Stanowisko / Position ]:[Stanowisko / Position ]],0))="n/a","n/a",EQ115-INDEX(tab_MinKomp[Czyszczenie form plastikowych],MATCH($B115,tab_MinKomp[[Stanowisko / Position ]:[Stanowisko / Position ]],0)))</f>
        <v>n/a</v>
      </c>
      <c r="ER116" s="315" t="str">
        <f>IF(INDEX(tab_MinKomp[Wymiana form plastik],MATCH($B115,tab_MinKomp[[Stanowisko / Position ]:[Stanowisko / Position ]],0))="n/a","n/a",ER115-INDEX(tab_MinKomp[Wymiana form plastik],MATCH($B115,tab_MinKomp[[Stanowisko / Position ]:[Stanowisko / Position ]],0)))</f>
        <v>n/a</v>
      </c>
      <c r="ES116" s="315" t="str">
        <f>IF(INDEX(tab_MinKomp[Wymiana form guma],MATCH($B115,tab_MinKomp[[Stanowisko / Position ]:[Stanowisko / Position ]],0))="n/a","n/a",ES115-INDEX(tab_MinKomp[Wymiana form guma],MATCH($B115,tab_MinKomp[[Stanowisko / Position ]:[Stanowisko / Position ]],0)))</f>
        <v>n/a</v>
      </c>
      <c r="ET116" s="315" t="str">
        <f>IF(INDEX(tab_MinKomp[Konserwacja KK],MATCH($B115,tab_MinKomp[[Stanowisko / Position ]:[Stanowisko / Position ]],0))="n/a","n/a",ET115-INDEX(tab_MinKomp[Konserwacja KK],MATCH($B115,tab_MinKomp[[Stanowisko / Position ]:[Stanowisko / Position ]],0)))</f>
        <v>n/a</v>
      </c>
      <c r="EU116" s="315" t="str">
        <f>IF(INDEX(tab_MinKomp[Konserwacja form guma],MATCH($B115,tab_MinKomp[[Stanowisko / Position ]:[Stanowisko / Position ]],0))="n/a","n/a",EU115-INDEX(tab_MinKomp[Konserwacja form guma],MATCH($B115,tab_MinKomp[[Stanowisko / Position ]:[Stanowisko / Position ]],0)))</f>
        <v>n/a</v>
      </c>
      <c r="EV116" s="315" t="str">
        <f>IF(INDEX(tab_MinKomp[Konserwacja form plastiki],MATCH($B115,tab_MinKomp[[Stanowisko / Position ]:[Stanowisko / Position ]],0))="n/a","n/a",EV115-INDEX(tab_MinKomp[Konserwacja form plastiki],MATCH($B115,tab_MinKomp[[Stanowisko / Position ]:[Stanowisko / Position ]],0)))</f>
        <v>n/a</v>
      </c>
      <c r="EW116" s="330" t="str">
        <f>IF(INDEX(tab_MinKomp[Konserwacja form plastiki],MATCH($B115,tab_MinKomp[[Stanowisko / Position ]:[Stanowisko / Position ]],0))="n/a","n/a",EW115-INDEX(tab_MinKomp[Konserwacja form plastiki],MATCH($B115,tab_MinKomp[[Stanowisko / Position ]:[Stanowisko / Position ]],0)))</f>
        <v>n/a</v>
      </c>
      <c r="EX116" s="315" t="str">
        <f>IF(INDEX(tab_MinKomp[Konserwacja Gorącego Kanału],MATCH($B115,tab_MinKomp[[Stanowisko / Position ]:[Stanowisko / Position ]],0))="n/a","n/a",EX115-INDEX(tab_MinKomp[Konserwacja Gorącego Kanału],MATCH($B115,tab_MinKomp[[Stanowisko / Position ]:[Stanowisko / Position ]],0)))</f>
        <v>n/a</v>
      </c>
      <c r="EY116" s="315">
        <f>IF(INDEX(tab_MinKomp[MS Office (Excel)],MATCH($B115,tab_MinKomp[[Stanowisko / Position ]:[Stanowisko / Position ]],0))="n/a","n/a",EY115-INDEX(tab_MinKomp[MS Office (Excel)],MATCH($B115,tab_MinKomp[[Stanowisko / Position ]:[Stanowisko / Position ]],0)))</f>
        <v>0</v>
      </c>
      <c r="EZ116" s="315">
        <f>IF(INDEX(tab_MinKomp[MS Office (Word)],MATCH($B115,tab_MinKomp[[Stanowisko / Position ]:[Stanowisko / Position ]],0))="n/a","n/a",EZ115-INDEX(tab_MinKomp[MS Office (Word)],MATCH($B115,tab_MinKomp[[Stanowisko / Position ]:[Stanowisko / Position ]],0)))</f>
        <v>0</v>
      </c>
      <c r="FA116" s="315">
        <f>IF(INDEX(tab_MinKomp[MS Office (Power Point)],MATCH($B115,tab_MinKomp[[Stanowisko / Position ]:[Stanowisko / Position ]],0))="n/a","n/a",FA115-INDEX(tab_MinKomp[MS Office (Power Point)],MATCH($B115,tab_MinKomp[[Stanowisko / Position ]:[Stanowisko / Position ]],0)))</f>
        <v>0</v>
      </c>
      <c r="FB116" s="317">
        <f>IF(INDEX(tab_MinKomp[Język angielski / Englisch],MATCH($B115,tab_MinKomp[[Stanowisko / Position ]:[Stanowisko / Position ]],0))="n/a","n/a",FB115-INDEX(tab_MinKomp[Język angielski / Englisch],MATCH($B115,tab_MinKomp[[Stanowisko / Position ]:[Stanowisko / Position ]],0)))</f>
        <v>0</v>
      </c>
      <c r="FC116" s="315" t="str">
        <f>IF(INDEX(tab_MinKomp[Język niemiecki / Deutsch],MATCH($B115,tab_MinKomp[[Stanowisko / Position ]:[Stanowisko / Position ]],0))="n/a","n/a",FC115-INDEX(tab_MinKomp[Język niemiecki / Deutsch],MATCH($B115,tab_MinKomp[[Stanowisko / Position ]:[Stanowisko / Position ]],0)))</f>
        <v>n/a</v>
      </c>
      <c r="FD116" s="315">
        <f>IF(INDEX(tab_MinKomp[Zarządzanie dokumentacją procesową / Process dokumentation management],MATCH($B115,tab_MinKomp[[Stanowisko / Position ]:[Stanowisko / Position ]],0))="n/a","n/a",FD115-INDEX(tab_MinKomp[Zarządzanie dokumentacją procesową / Process dokumentation management],MATCH($B115,tab_MinKomp[[Stanowisko / Position ]:[Stanowisko / Position ]],0)))</f>
        <v>-1</v>
      </c>
      <c r="FE116" s="315">
        <f>IF(INDEX(tab_MinKomp[Znajomość procesów z obszaru / Kenntiss der prozesse in dem Bereich],MATCH($B115,tab_MinKomp[[Stanowisko / Position ]:[Stanowisko / Position ]],0))="n/a","n/a",FE115-INDEX(tab_MinKomp[Znajomość procesów z obszaru / Kenntiss der prozesse in dem Bereich],MATCH($B115,tab_MinKomp[[Stanowisko / Position ]:[Stanowisko / Position ]],0)))</f>
        <v>0</v>
      </c>
      <c r="FF116" s="315">
        <f>IF(INDEX(tab_MinKomp[optymalizacja procesów / Prozessoptymalisierung],MATCH($B115,tab_MinKomp[[Stanowisko / Position ]:[Stanowisko / Position ]],0))="n/a","n/a",FF115-INDEX(tab_MinKomp[optymalizacja procesów / Prozessoptymalisierung],MATCH($B115,tab_MinKomp[[Stanowisko / Position ]:[Stanowisko / Position ]],0)))</f>
        <v>-1</v>
      </c>
      <c r="FG116" s="315">
        <f>IF(INDEX(tab_MinKomp[Umiejętności szkoleniowe / Trainingsfähigkeiten],MATCH($B115,tab_MinKomp[[Stanowisko / Position ]:[Stanowisko / Position ]],0))="n/a","n/a",FG115-INDEX(tab_MinKomp[Umiejętności szkoleniowe / Trainingsfähigkeiten],MATCH($B115,tab_MinKomp[[Stanowisko / Position ]:[Stanowisko / Position ]],0)))</f>
        <v>0</v>
      </c>
      <c r="FH116" s="315">
        <f>IF(INDEX(tab_MinKomp[Analityczne myślenie, podejście / Analitysches Denken, Einstellung],MATCH($B115,tab_MinKomp[[Stanowisko / Position ]:[Stanowisko / Position ]],0))="n/a","n/a",FH115-INDEX(tab_MinKomp[Analityczne myślenie, podejście / Analitysches Denken, Einstellung],MATCH($B115,tab_MinKomp[[Stanowisko / Position ]:[Stanowisko / Position ]],0)))</f>
        <v>-1</v>
      </c>
      <c r="FI116" s="315">
        <f>IF(INDEX(tab_MinKomp[Dokładność, precyzja w dzialaniu / Genauigkeit, Präzision in die Arbeit],MATCH($B115,tab_MinKomp[[Stanowisko / Position ]:[Stanowisko / Position ]],0))="n/a","n/a",FI115-INDEX(tab_MinKomp[Dokładność, precyzja w dzialaniu / Genauigkeit, Präzision in die Arbeit],MATCH($B115,tab_MinKomp[[Stanowisko / Position ]:[Stanowisko / Position ]],0)))</f>
        <v>-1</v>
      </c>
      <c r="FJ116" s="315">
        <f>IF(INDEX(tab_MinKomp[Dyspozycyjność / Verfügbarkeit],MATCH($B115,tab_MinKomp[[Stanowisko / Position ]:[Stanowisko / Position ]],0))="n/a","n/a",FJ115-INDEX(tab_MinKomp[Dyspozycyjność / Verfügbarkeit],MATCH($B115,tab_MinKomp[[Stanowisko / Position ]:[Stanowisko / Position ]],0)))</f>
        <v>0</v>
      </c>
      <c r="FK116" s="315">
        <f>IF(INDEX(tab_MinKomp[Zaangażowanie / 
Engagement],MATCH($B115,tab_MinKomp[[Stanowisko / Position ]:[Stanowisko / Position ]],0))="n/a","n/a",FK115-INDEX(tab_MinKomp[Zaangażowanie / 
Engagement],MATCH($B115,tab_MinKomp[[Stanowisko / Position ]:[Stanowisko / Position ]],0)))</f>
        <v>0</v>
      </c>
      <c r="FL116" s="315">
        <f>IF(INDEX(tab_MinKomp[Planowanie strategiczne / Strategische Planung],MATCH($B115,tab_MinKomp[[Stanowisko / Position ]:[Stanowisko / Position ]],0))="n/a","n/a",FL115-INDEX(tab_MinKomp[Planowanie strategiczne / Strategische Planung],MATCH($B115,tab_MinKomp[[Stanowisko / Position ]:[Stanowisko / Position ]],0)))</f>
        <v>-1</v>
      </c>
      <c r="FM116" s="315">
        <f>IF(INDEX(tab_MinKomp[Konsekwentne i dynamiczne działanie],MATCH($B115,tab_MinKomp[[Stanowisko / Position ]:[Stanowisko / Position ]],0))="n/a","n/a",FM115-INDEX(tab_MinKomp[Konsekwentne i dynamiczne działanie],MATCH($B115,tab_MinKomp[[Stanowisko / Position ]:[Stanowisko / Position ]],0)))</f>
        <v>-1</v>
      </c>
      <c r="FN116" s="315">
        <f>IF(INDEX(tab_MinKomp[Elastyczność w działaniu],MATCH($B115,tab_MinKomp[[Stanowisko / Position ]:[Stanowisko / Position ]],0))="n/a","n/a",FN115-INDEX(tab_MinKomp[Elastyczność w działaniu],MATCH($B115,tab_MinKomp[[Stanowisko / Position ]:[Stanowisko / Position ]],0)))</f>
        <v>-1</v>
      </c>
      <c r="FO116" s="315">
        <f>IF(INDEX(tab_MinKomp[Komunikatywność],MATCH($B115,tab_MinKomp[[Stanowisko / Position ]:[Stanowisko / Position ]],0))="n/a","n/a",FO115-INDEX(tab_MinKomp[Komunikatywność],MATCH($B115,tab_MinKomp[[Stanowisko / Position ]:[Stanowisko / Position ]],0)))</f>
        <v>0</v>
      </c>
      <c r="FP116" s="314">
        <f>IF(INDEX(tab_MinKomp[Motywowanie i budowanie zaangażowania zespołu],MATCH($B115,tab_MinKomp[[Stanowisko / Position ]:[Stanowisko / Position ]],0))="n/a","n/a",FP115-INDEX(tab_MinKomp[Motywowanie i budowanie zaangażowania zespołu],MATCH($B115,tab_MinKomp[[Stanowisko / Position ]:[Stanowisko / Position ]],0)))</f>
        <v>-1</v>
      </c>
      <c r="FQ116" s="318" t="str">
        <f>IFERROR(IF(INDEX(tab_MinKomp[BRAK / Keine],MATCH($B115,tab_MinKomp[[Stanowisko / Position ]:[Stanowisko / Position ]],0))="n/a","n/a",INDEX(tab_MinKomp[BRAK / Keine],MATCH($B115,tab_MinKomp[[Stanowisko / Position ]:[Stanowisko / Position ]],0))-FQ115),"")</f>
        <v/>
      </c>
      <c r="FR116" s="315">
        <f>IF(INDEX(tab_MinKomp[MINIMUM 1 ROK / min. 1 Jahr],MATCH($B115,tab_MinKomp[[Stanowisko / Position ]:[Stanowisko / Position ]],0))="n/a","n/a",INDEX(tab_MinKomp[MINIMUM 1 ROK / min. 1 Jahr],MATCH($B115,tab_MinKomp[[Stanowisko / Position ]:[Stanowisko / Position ]],0)))</f>
        <v>0</v>
      </c>
      <c r="FS116" s="315">
        <f>IF(INDEX(tab_MinKomp[MINIMUM 2 LATA / min. 2 Jahre],MATCH($B115,tab_MinKomp[[Stanowisko / Position ]:[Stanowisko / Position ]],0))="n/a","n/a",INDEX(tab_MinKomp[MINIMUM 2 LATA / min. 2 Jahre],MATCH($B115,tab_MinKomp[[Stanowisko / Position ]:[Stanowisko / Position ]],0)))</f>
        <v>0</v>
      </c>
      <c r="FT116" s="315">
        <f>IF(INDEX(tab_MinKomp[MINIMUM 3 LATA / min. 3 Jahre],MATCH($B115,tab_MinKomp[[Stanowisko / Position ]:[Stanowisko / Position ]],0))="n/a","n/a",INDEX(tab_MinKomp[MINIMUM 3 LATA / min. 3 Jahre],MATCH($B115,tab_MinKomp[[Stanowisko / Position ]:[Stanowisko / Position ]],0)))</f>
        <v>0</v>
      </c>
      <c r="FU116" s="315">
        <f>IF(INDEX(tab_MinKomp[MINIMUM 4 LATA / min. 4 Jahre],MATCH($B115,tab_MinKomp[[Stanowisko / Position ]:[Stanowisko / Position ]],0))="n/a","n/a",INDEX(tab_MinKomp[MINIMUM 4 LATA / min. 4 Jahre],MATCH($B115,tab_MinKomp[[Stanowisko / Position ]:[Stanowisko / Position ]],0)))</f>
        <v>0</v>
      </c>
      <c r="FV116" s="319">
        <f>IF(INDEX(tab_MinKomp[MINIMUM 5 LAT / min. 5 Jahre],MATCH($B115,tab_MinKomp[[Stanowisko / Position ]:[Stanowisko / Position ]],0))="n/a","n/a",INDEX(tab_MinKomp[MINIMUM 5 LAT / min. 5 Jahre],MATCH($B115,tab_MinKomp[[Stanowisko / Position ]:[Stanowisko / Position ]],0)))</f>
        <v>0</v>
      </c>
      <c r="FW116" s="318">
        <f>IF(INDEX(tab_MinKomp[BRAK / Keine9],MATCH($B115,tab_MinKomp[[Stanowisko / Position ]:[Stanowisko / Position ]],0))="n/a","n/a",INDEX(tab_MinKomp[BRAK / Keine9],MATCH($B115,tab_MinKomp[[Stanowisko / Position ]:[Stanowisko / Position ]],0)))</f>
        <v>0</v>
      </c>
      <c r="FX116" s="315">
        <f>IF(INDEX(tab_MinKomp[ZAWODOWE / Berufsausbildung],MATCH($B115,tab_MinKomp[[Stanowisko / Position ]:[Stanowisko / Position ]],0))="n/a","n/a",INDEX(tab_MinKomp[ZAWODOWE / Berufsausbildung],MATCH($B115,tab_MinKomp[[Stanowisko / Position ]:[Stanowisko / Position ]],0)))</f>
        <v>0</v>
      </c>
      <c r="FY116" s="315">
        <f>IF(INDEX(tab_MinKomp[ŚREDNIE OGÓLNE / Abitur allgemeine],MATCH($B115,tab_MinKomp[[Stanowisko / Position ]:[Stanowisko / Position ]],0))="n/a","n/a",INDEX(tab_MinKomp[ŚREDNIE OGÓLNE / Abitur allgemeine],MATCH($B115,tab_MinKomp[[Stanowisko / Position ]:[Stanowisko / Position ]],0)))</f>
        <v>0</v>
      </c>
      <c r="FZ116" s="315">
        <f>IF(INDEX(tab_MinKomp[ŚREDNIE KIERUNKOWE / berufliches Gymnasium],MATCH($B115,tab_MinKomp[[Stanowisko / Position ]:[Stanowisko / Position ]],0))="n/a","n/a",INDEX(tab_MinKomp[ŚREDNIE KIERUNKOWE / berufliches Gymnasium],MATCH($B115,tab_MinKomp[[Stanowisko / Position ]:[Stanowisko / Position ]],0)))</f>
        <v>0</v>
      </c>
      <c r="GA116" s="315">
        <f>IF(INDEX(tab_MinKomp[WYŻSZE OGÓLNE / Hochschule allgemeine],MATCH($B115,tab_MinKomp[[Stanowisko / Position ]:[Stanowisko / Position ]],0))="n/a","n/a",INDEX(tab_MinKomp[WYŻSZE OGÓLNE / Hochschule allgemeine],MATCH($B115,tab_MinKomp[[Stanowisko / Position ]:[Stanowisko / Position ]],0)))</f>
        <v>0</v>
      </c>
      <c r="GB116" s="319">
        <f>IF(INDEX(tab_MinKomp[WYŻSZE KIERUNKOWE / Hochschule berufliche],MATCH($B115,tab_MinKomp[[Stanowisko / Position ]:[Stanowisko / Position ]],0))="n/a","n/a",INDEX(tab_MinKomp[WYŻSZE KIERUNKOWE / Hochschule berufliche],MATCH($B115,tab_MinKomp[[Stanowisko / Position ]:[Stanowisko / Position ]],0)))</f>
        <v>0</v>
      </c>
      <c r="GC116" s="318">
        <f>IF(INDEX(tab_MinKomp[PIERWSZA POMOC / Erste Hilfe],MATCH($B115,tab_MinKomp[[Stanowisko / Position ]:[Stanowisko / Position ]],0))="n/a","n/a",INDEX(tab_MinKomp[PIERWSZA POMOC / Erste Hilfe],MATCH($B115,tab_MinKomp[[Stanowisko / Position ]:[Stanowisko / Position ]],0)))</f>
        <v>0</v>
      </c>
      <c r="GD116" s="315">
        <f>IF(INDEX(tab_MinKomp[Specjalista BHP / BHP Spezialist],MATCH($B115,tab_MinKomp[[Stanowisko / Position ]:[Stanowisko / Position ]],0))="n/a","n/a",INDEX(tab_MinKomp[Specjalista BHP / BHP Spezialist],MATCH($B115,tab_MinKomp[[Stanowisko / Position ]:[Stanowisko / Position ]],0)))</f>
        <v>0</v>
      </c>
      <c r="GE116" s="315">
        <f>IF(INDEX(tab_MinKomp[Inspektor ochrony PPOŻ / Brandschutzinspektor],MATCH($B115,tab_MinKomp[[Stanowisko / Position ]:[Stanowisko / Position ]],0))="n/a","n/a",INDEX(tab_MinKomp[Inspektor ochrony PPOŻ / Brandschutzinspektor],MATCH($B115,tab_MinKomp[[Stanowisko / Position ]:[Stanowisko / Position ]],0)))</f>
        <v>0</v>
      </c>
      <c r="GF116" s="315">
        <f>IF(INDEX(tab_MinKomp[WÓZKI JEZDNIOWE / Gebelstapler],MATCH($B115,tab_MinKomp[[Stanowisko / Position ]:[Stanowisko / Position ]],0))="n/a","n/a",INDEX(tab_MinKomp[WÓZKI JEZDNIOWE / Gebelstapler],MATCH($B115,tab_MinKomp[[Stanowisko / Position ]:[Stanowisko / Position ]],0)))</f>
        <v>0</v>
      </c>
      <c r="GG116" s="315">
        <f>IF(INDEX(tab_MinKomp[SEP],MATCH($B115,tab_MinKomp[[Stanowisko / Position ]:[Stanowisko / Position ]],0))="n/a","n/a",INDEX(tab_MinKomp[SEP],MATCH($B115,tab_MinKomp[[Stanowisko / Position ]:[Stanowisko / Position ]],0)))</f>
        <v>0</v>
      </c>
      <c r="GH116" s="315">
        <f>IF(INDEX(tab_MinKomp[SEP  DOZÓR / SEP Aufsicht],MATCH($B115,tab_MinKomp[[Stanowisko / Position ]:[Stanowisko / Position ]],0))="n/a","n/a",INDEX(tab_MinKomp[SEP  DOZÓR / SEP Aufsicht],MATCH($B115,tab_MinKomp[[Stanowisko / Position ]:[Stanowisko / Position ]],0)))</f>
        <v>0</v>
      </c>
      <c r="GI116" s="315">
        <f>IF(INDEX(tab_MinKomp[PODNOŚNIKI / Hebevorrichtung],MATCH($B115,tab_MinKomp[[Stanowisko / Position ]:[Stanowisko / Position ]],0))="n/a","n/a",INDEX(tab_MinKomp[PODNOŚNIKI / Hebevorrichtung],MATCH($B115,tab_MinKomp[[Stanowisko / Position ]:[Stanowisko / Position ]],0)))</f>
        <v>0</v>
      </c>
      <c r="GJ116" s="315">
        <f>IF(INDEX(tab_MinKomp[SUWNICE / Laufkran],MATCH($B115,tab_MinKomp[[Stanowisko / Position ]:[Stanowisko / Position ]],0))="n/a","n/a",INDEX(tab_MinKomp[SUWNICE / Laufkran],MATCH($B115,tab_MinKomp[[Stanowisko / Position ]:[Stanowisko / Position ]],0)))</f>
        <v>0</v>
      </c>
      <c r="GK116" s="319">
        <f>IF(INDEX(tab_MinKomp[WYSOKOŚCIOWE / Höhenberechtigungen],MATCH($B115,tab_MinKomp[[Stanowisko / Position ]:[Stanowisko / Position ]],0))="n/a","n/a",INDEX(tab_MinKomp[WYSOKOŚCIOWE / Höhenberechtigungen],MATCH($B115,tab_MinKomp[[Stanowisko / Position ]:[Stanowisko / Position ]],0)))</f>
        <v>0</v>
      </c>
      <c r="GL116" s="320">
        <f>SUM(G116:FP116)/(GL115-(SUM(G116:FP116)))</f>
        <v>-9.4674556213017749E-2</v>
      </c>
      <c r="GM116" s="132"/>
    </row>
    <row r="117" spans="1:195" ht="22.5" customHeight="1" x14ac:dyDescent="0.25">
      <c r="A117" s="135" t="s">
        <v>227</v>
      </c>
      <c r="B117" s="135" t="s">
        <v>577</v>
      </c>
      <c r="C117" s="135" t="s">
        <v>766</v>
      </c>
      <c r="D117" s="138">
        <v>1521</v>
      </c>
      <c r="E117" s="565" t="s">
        <v>631</v>
      </c>
      <c r="F117" s="307" t="s">
        <v>165</v>
      </c>
      <c r="G117" s="308">
        <v>2</v>
      </c>
      <c r="H117" s="308">
        <v>2</v>
      </c>
      <c r="I117" s="308">
        <v>2</v>
      </c>
      <c r="J117" s="308">
        <v>1</v>
      </c>
      <c r="K117" s="308">
        <v>1</v>
      </c>
      <c r="L117" s="308">
        <v>1</v>
      </c>
      <c r="M117" s="308" t="s">
        <v>176</v>
      </c>
      <c r="N117" s="308" t="s">
        <v>176</v>
      </c>
      <c r="O117" s="308">
        <v>2</v>
      </c>
      <c r="P117" s="308">
        <v>2</v>
      </c>
      <c r="Q117" s="308" t="s">
        <v>176</v>
      </c>
      <c r="R117" s="308" t="s">
        <v>176</v>
      </c>
      <c r="S117" s="308">
        <v>2</v>
      </c>
      <c r="T117" s="308">
        <v>2</v>
      </c>
      <c r="U117" s="308" t="s">
        <v>176</v>
      </c>
      <c r="V117" s="308" t="s">
        <v>176</v>
      </c>
      <c r="W117" s="308" t="s">
        <v>176</v>
      </c>
      <c r="X117" s="308" t="s">
        <v>176</v>
      </c>
      <c r="Y117" s="308" t="s">
        <v>176</v>
      </c>
      <c r="Z117" s="308" t="s">
        <v>176</v>
      </c>
      <c r="AA117" s="308" t="s">
        <v>176</v>
      </c>
      <c r="AB117" s="308">
        <v>2</v>
      </c>
      <c r="AC117" s="308">
        <v>1</v>
      </c>
      <c r="AD117" s="308">
        <v>2</v>
      </c>
      <c r="AE117" s="308">
        <v>2</v>
      </c>
      <c r="AF117" s="308">
        <v>2</v>
      </c>
      <c r="AG117" s="308">
        <v>2</v>
      </c>
      <c r="AH117" s="308">
        <v>2</v>
      </c>
      <c r="AI117" s="308" t="s">
        <v>176</v>
      </c>
      <c r="AJ117" s="308">
        <v>1</v>
      </c>
      <c r="AK117" s="308">
        <v>1</v>
      </c>
      <c r="AL117" s="308">
        <v>3</v>
      </c>
      <c r="AM117" s="308">
        <v>3</v>
      </c>
      <c r="AN117" s="308">
        <v>3</v>
      </c>
      <c r="AO117" s="308">
        <v>3</v>
      </c>
      <c r="AP117" s="308">
        <v>3</v>
      </c>
      <c r="AQ117" s="308">
        <v>3</v>
      </c>
      <c r="AR117" s="308">
        <v>3</v>
      </c>
      <c r="AS117" s="308">
        <v>3</v>
      </c>
      <c r="AT117" s="308">
        <v>3</v>
      </c>
      <c r="AU117" s="308">
        <v>3</v>
      </c>
      <c r="AV117" s="308">
        <v>3</v>
      </c>
      <c r="AW117" s="308">
        <v>3</v>
      </c>
      <c r="AX117" s="308">
        <v>2</v>
      </c>
      <c r="AY117" s="308">
        <v>1</v>
      </c>
      <c r="AZ117" s="308" t="s">
        <v>176</v>
      </c>
      <c r="BA117" s="308">
        <v>1</v>
      </c>
      <c r="BB117" s="308">
        <v>1</v>
      </c>
      <c r="BC117" s="308" t="s">
        <v>176</v>
      </c>
      <c r="BD117" s="308" t="s">
        <v>176</v>
      </c>
      <c r="BE117" s="308" t="s">
        <v>176</v>
      </c>
      <c r="BF117" s="308" t="s">
        <v>176</v>
      </c>
      <c r="BG117" s="308" t="s">
        <v>176</v>
      </c>
      <c r="BH117" s="308" t="s">
        <v>176</v>
      </c>
      <c r="BI117" s="308" t="s">
        <v>176</v>
      </c>
      <c r="BJ117" s="308" t="s">
        <v>176</v>
      </c>
      <c r="BK117" s="308" t="s">
        <v>176</v>
      </c>
      <c r="BL117" s="308" t="s">
        <v>176</v>
      </c>
      <c r="BM117" s="308" t="s">
        <v>176</v>
      </c>
      <c r="BN117" s="308" t="s">
        <v>176</v>
      </c>
      <c r="BO117" s="308" t="s">
        <v>176</v>
      </c>
      <c r="BP117" s="308" t="s">
        <v>176</v>
      </c>
      <c r="BQ117" s="308" t="s">
        <v>176</v>
      </c>
      <c r="BR117" s="308" t="s">
        <v>176</v>
      </c>
      <c r="BS117" s="308" t="s">
        <v>176</v>
      </c>
      <c r="BT117" s="308" t="s">
        <v>176</v>
      </c>
      <c r="BU117" s="308" t="s">
        <v>176</v>
      </c>
      <c r="BV117" s="308" t="s">
        <v>176</v>
      </c>
      <c r="BW117" s="308" t="s">
        <v>176</v>
      </c>
      <c r="BX117" s="308" t="s">
        <v>176</v>
      </c>
      <c r="BY117" s="308" t="s">
        <v>176</v>
      </c>
      <c r="BZ117" s="308" t="s">
        <v>176</v>
      </c>
      <c r="CA117" s="308" t="s">
        <v>176</v>
      </c>
      <c r="CB117" s="308" t="s">
        <v>176</v>
      </c>
      <c r="CC117" s="308" t="s">
        <v>176</v>
      </c>
      <c r="CD117" s="308" t="s">
        <v>176</v>
      </c>
      <c r="CE117" s="308" t="s">
        <v>176</v>
      </c>
      <c r="CF117" s="308" t="s">
        <v>176</v>
      </c>
      <c r="CG117" s="308">
        <v>2</v>
      </c>
      <c r="CH117" s="308" t="s">
        <v>176</v>
      </c>
      <c r="CI117" s="308">
        <v>2</v>
      </c>
      <c r="CJ117" s="308">
        <v>2</v>
      </c>
      <c r="CK117" s="308" t="s">
        <v>176</v>
      </c>
      <c r="CL117" s="308" t="s">
        <v>176</v>
      </c>
      <c r="CM117" s="308">
        <v>3</v>
      </c>
      <c r="CN117" s="308">
        <v>3</v>
      </c>
      <c r="CO117" s="308">
        <v>3</v>
      </c>
      <c r="CP117" s="308">
        <v>3</v>
      </c>
      <c r="CQ117" s="308">
        <v>3</v>
      </c>
      <c r="CR117" s="308">
        <v>2</v>
      </c>
      <c r="CS117" s="308">
        <v>2</v>
      </c>
      <c r="CT117" s="308">
        <v>2</v>
      </c>
      <c r="CU117" s="308">
        <v>3</v>
      </c>
      <c r="CV117" s="308" t="s">
        <v>176</v>
      </c>
      <c r="CW117" s="308" t="s">
        <v>176</v>
      </c>
      <c r="CX117" s="308" t="s">
        <v>176</v>
      </c>
      <c r="CY117" s="308" t="s">
        <v>176</v>
      </c>
      <c r="CZ117" s="308" t="s">
        <v>176</v>
      </c>
      <c r="DA117" s="308" t="s">
        <v>176</v>
      </c>
      <c r="DB117" s="308" t="s">
        <v>176</v>
      </c>
      <c r="DC117" s="308" t="s">
        <v>176</v>
      </c>
      <c r="DD117" s="308" t="s">
        <v>176</v>
      </c>
      <c r="DE117" s="308" t="s">
        <v>176</v>
      </c>
      <c r="DF117" s="308" t="s">
        <v>176</v>
      </c>
      <c r="DG117" s="308" t="s">
        <v>176</v>
      </c>
      <c r="DH117" s="308" t="s">
        <v>176</v>
      </c>
      <c r="DI117" s="308" t="s">
        <v>176</v>
      </c>
      <c r="DJ117" s="308" t="s">
        <v>176</v>
      </c>
      <c r="DK117" s="308" t="s">
        <v>176</v>
      </c>
      <c r="DL117" s="308" t="s">
        <v>176</v>
      </c>
      <c r="DM117" s="308" t="s">
        <v>176</v>
      </c>
      <c r="DN117" s="308" t="s">
        <v>176</v>
      </c>
      <c r="DO117" s="308" t="s">
        <v>176</v>
      </c>
      <c r="DP117" s="308" t="s">
        <v>176</v>
      </c>
      <c r="DQ117" s="308" t="s">
        <v>176</v>
      </c>
      <c r="DR117" s="308" t="s">
        <v>176</v>
      </c>
      <c r="DS117" s="308" t="s">
        <v>176</v>
      </c>
      <c r="DT117" s="308" t="s">
        <v>176</v>
      </c>
      <c r="DU117" s="308" t="s">
        <v>176</v>
      </c>
      <c r="DV117" s="308" t="s">
        <v>176</v>
      </c>
      <c r="DW117" s="308" t="s">
        <v>176</v>
      </c>
      <c r="DX117" s="308" t="s">
        <v>176</v>
      </c>
      <c r="DY117" s="308" t="s">
        <v>176</v>
      </c>
      <c r="DZ117" s="308" t="s">
        <v>176</v>
      </c>
      <c r="EA117" s="308" t="s">
        <v>176</v>
      </c>
      <c r="EB117" s="308" t="s">
        <v>176</v>
      </c>
      <c r="EC117" s="308" t="s">
        <v>176</v>
      </c>
      <c r="ED117" s="308" t="s">
        <v>176</v>
      </c>
      <c r="EE117" s="308" t="s">
        <v>176</v>
      </c>
      <c r="EF117" s="308" t="s">
        <v>176</v>
      </c>
      <c r="EG117" s="308" t="s">
        <v>176</v>
      </c>
      <c r="EH117" s="308" t="s">
        <v>176</v>
      </c>
      <c r="EI117" s="308" t="s">
        <v>176</v>
      </c>
      <c r="EJ117" s="308" t="s">
        <v>176</v>
      </c>
      <c r="EK117" s="308" t="s">
        <v>176</v>
      </c>
      <c r="EL117" s="308" t="s">
        <v>176</v>
      </c>
      <c r="EM117" s="308" t="s">
        <v>176</v>
      </c>
      <c r="EN117" s="308" t="s">
        <v>176</v>
      </c>
      <c r="EO117" s="308" t="s">
        <v>176</v>
      </c>
      <c r="EP117" s="308" t="s">
        <v>176</v>
      </c>
      <c r="EQ117" s="308" t="s">
        <v>176</v>
      </c>
      <c r="ER117" s="308" t="s">
        <v>176</v>
      </c>
      <c r="ES117" s="308" t="s">
        <v>176</v>
      </c>
      <c r="ET117" s="308" t="s">
        <v>176</v>
      </c>
      <c r="EU117" s="308" t="s">
        <v>176</v>
      </c>
      <c r="EV117" s="308" t="s">
        <v>176</v>
      </c>
      <c r="EW117" s="308" t="s">
        <v>176</v>
      </c>
      <c r="EX117" s="308" t="s">
        <v>176</v>
      </c>
      <c r="EY117" s="308">
        <v>3</v>
      </c>
      <c r="EZ117" s="308">
        <v>2</v>
      </c>
      <c r="FA117" s="308">
        <v>2</v>
      </c>
      <c r="FB117" s="309">
        <v>2</v>
      </c>
      <c r="FC117" s="308" t="s">
        <v>176</v>
      </c>
      <c r="FD117" s="308">
        <v>3</v>
      </c>
      <c r="FE117" s="308">
        <v>3</v>
      </c>
      <c r="FF117" s="308">
        <v>3</v>
      </c>
      <c r="FG117" s="308">
        <v>3</v>
      </c>
      <c r="FH117" s="308">
        <v>3</v>
      </c>
      <c r="FI117" s="308">
        <v>3</v>
      </c>
      <c r="FJ117" s="308">
        <v>3</v>
      </c>
      <c r="FK117" s="308">
        <v>3</v>
      </c>
      <c r="FL117" s="308">
        <v>3</v>
      </c>
      <c r="FM117" s="308">
        <v>3</v>
      </c>
      <c r="FN117" s="308">
        <v>3</v>
      </c>
      <c r="FO117" s="308">
        <v>3</v>
      </c>
      <c r="FP117" s="308">
        <v>3</v>
      </c>
      <c r="FQ117" s="308" t="s">
        <v>176</v>
      </c>
      <c r="FR117" s="308" t="s">
        <v>176</v>
      </c>
      <c r="FS117" s="308"/>
      <c r="FT117" s="308" t="s">
        <v>176</v>
      </c>
      <c r="FU117" s="308" t="s">
        <v>176</v>
      </c>
      <c r="FV117" s="308" t="s">
        <v>176</v>
      </c>
      <c r="FW117" s="308" t="s">
        <v>176</v>
      </c>
      <c r="FX117" s="308" t="s">
        <v>176</v>
      </c>
      <c r="FY117" s="308" t="s">
        <v>176</v>
      </c>
      <c r="FZ117" s="308" t="s">
        <v>176</v>
      </c>
      <c r="GA117" s="308" t="s">
        <v>176</v>
      </c>
      <c r="GB117" s="308" t="s">
        <v>176</v>
      </c>
      <c r="GC117" s="308" t="s">
        <v>176</v>
      </c>
      <c r="GD117" s="308" t="s">
        <v>176</v>
      </c>
      <c r="GE117" s="308" t="s">
        <v>176</v>
      </c>
      <c r="GF117" s="308" t="s">
        <v>176</v>
      </c>
      <c r="GG117" s="308" t="s">
        <v>176</v>
      </c>
      <c r="GH117" s="308" t="s">
        <v>176</v>
      </c>
      <c r="GI117" s="308" t="s">
        <v>176</v>
      </c>
      <c r="GJ117" s="308" t="s">
        <v>176</v>
      </c>
      <c r="GK117" s="308" t="s">
        <v>176</v>
      </c>
      <c r="GL117" s="311">
        <f>SUM(G117:FP117)</f>
        <v>151</v>
      </c>
    </row>
    <row r="118" spans="1:195" ht="22.5" customHeight="1" thickBot="1" x14ac:dyDescent="0.3">
      <c r="A118" s="138" t="str">
        <f>A117</f>
        <v>Management / zarządzanie</v>
      </c>
      <c r="B118" s="138" t="str">
        <f>B117</f>
        <v>Launch &amp; Process Manager</v>
      </c>
      <c r="C118" s="135" t="s">
        <v>766</v>
      </c>
      <c r="D118" s="138">
        <v>1521</v>
      </c>
      <c r="E118" s="566" t="str">
        <f>E117</f>
        <v>Rowiński Damian</v>
      </c>
      <c r="F118" s="312" t="s">
        <v>166</v>
      </c>
      <c r="G118" s="313">
        <f>IF(INDEX(tab_MinKomp[Przepisy BHP / BHP Vorschriften],MATCH($B117,tab_MinKomp[[Stanowisko / Position ]:[Stanowisko / Position ]],0))="n/a","n/a",G117-INDEX(tab_MinKomp[Przepisy BHP / BHP Vorschriften],MATCH($B117,tab_MinKomp[[Stanowisko / Position ]:[Stanowisko / Position ]],0)))</f>
        <v>0</v>
      </c>
      <c r="H118" s="314">
        <f>IF(INDEX(tab_MinKomp[Przepisy PPOŻ / Brandschutzbestimmungen],MATCH($B117,tab_MinKomp[[Stanowisko / Position ]:[Stanowisko / Position ]],0))="n/a","n/a",H117-INDEX(tab_MinKomp[Przepisy PPOŻ / Brandschutzbestimmungen],MATCH($B117,tab_MinKomp[[Stanowisko / Position ]:[Stanowisko / Position ]],0)))</f>
        <v>0</v>
      </c>
      <c r="I118" s="314">
        <f>IF(INDEX(tab_MinKomp[Ryzyko zawodowe na stanowiskach pracyv/ Berufliche Risiken an Arbeitsstellen],MATCH($B117,tab_MinKomp[[Stanowisko / Position ]:[Stanowisko / Position ]],0))="n/a","n/a",I117-INDEX(tab_MinKomp[Ryzyko zawodowe na stanowiskach pracyv/ Berufliche Risiken an Arbeitsstellen],MATCH($B117,tab_MinKomp[[Stanowisko / Position ]:[Stanowisko / Position ]],0)))</f>
        <v>-1</v>
      </c>
      <c r="J118" s="314">
        <f>IF(INDEX(tab_MinKomp[Gospodarka substancjami niebezpiecznymi / Gefahrstoffmanagement],MATCH($B117,tab_MinKomp[[Stanowisko / Position ]:[Stanowisko / Position ]],0))="n/a","n/a",J117-INDEX(tab_MinKomp[Gospodarka substancjami niebezpiecznymi / Gefahrstoffmanagement],MATCH($B117,tab_MinKomp[[Stanowisko / Position ]:[Stanowisko / Position ]],0)))</f>
        <v>0</v>
      </c>
      <c r="K118" s="314">
        <f>IF(INDEX(tab_MinKomp[Gospodarka odpadami / Abfallwirtschaft],MATCH($B117,tab_MinKomp[[Stanowisko / Position ]:[Stanowisko / Position ]],0))="n/a","n/a",K117-INDEX(tab_MinKomp[Gospodarka odpadami / Abfallwirtschaft],MATCH($B117,tab_MinKomp[[Stanowisko / Position ]:[Stanowisko / Position ]],0)))</f>
        <v>0</v>
      </c>
      <c r="L118" s="315">
        <f>IF(INDEX(tab_MinKomp[Przepisy kodeksu pracy / Bestimmungen des Arbeitsgesetzes],MATCH($B117,tab_MinKomp[[Stanowisko / Position ]:[Stanowisko / Position ]],0))="n/a","n/a",L117-INDEX(tab_MinKomp[Przepisy kodeksu pracy / Bestimmungen des Arbeitsgesetzes],MATCH($B117,tab_MinKomp[[Stanowisko / Position ]:[Stanowisko / Position ]],0)))</f>
        <v>0</v>
      </c>
      <c r="M118" s="316" t="str">
        <f>IF(INDEX(tab_MinKomp[Przepisy o ub.społ. ZUS  / Sozialversicherungsvorschriften],MATCH($B117,tab_MinKomp[[Stanowisko / Position ]:[Stanowisko / Position ]],0))="n/a","n/a",M117-INDEX(tab_MinKomp[Przepisy o ub.społ. ZUS  / Sozialversicherungsvorschriften],MATCH($B117,tab_MinKomp[[Stanowisko / Position ]:[Stanowisko / Position ]],0)))</f>
        <v>n/a</v>
      </c>
      <c r="N118" s="315" t="str">
        <f>IF(INDEX(tab_MinKomp[PRZEPISY O PDOF /persönlich Einkommensteuergesetz ],MATCH($B117,tab_MinKomp[[Stanowisko / Position ]:[Stanowisko / Position ]],0))="n/a","n/a",N117-INDEX(tab_MinKomp[PRZEPISY O PDOF /persönlich Einkommensteuergesetz ],MATCH($B117,tab_MinKomp[[Stanowisko / Position ]:[Stanowisko / Position ]],0)))</f>
        <v>n/a</v>
      </c>
      <c r="O118" s="315">
        <f>IF(INDEX(tab_MinKomp[Regulamin pracy / Arbeitsordnung],MATCH($B117,tab_MinKomp[[Stanowisko / Position ]:[Stanowisko / Position ]],0))="n/a","n/a",O117-INDEX(tab_MinKomp[Regulamin pracy / Arbeitsordnung],MATCH($B117,tab_MinKomp[[Stanowisko / Position ]:[Stanowisko / Position ]],0)))</f>
        <v>0</v>
      </c>
      <c r="P118" s="315">
        <f>IF(INDEX(tab_MinKomp[Regulamin wynagradzania / Vergütungsordnung],MATCH($B117,tab_MinKomp[[Stanowisko / Position ]:[Stanowisko / Position ]],0))="n/a","n/a",P117-INDEX(tab_MinKomp[Regulamin wynagradzania / Vergütungsordnung],MATCH($B117,tab_MinKomp[[Stanowisko / Position ]:[Stanowisko / Position ]],0)))</f>
        <v>0</v>
      </c>
      <c r="Q118" s="315" t="str">
        <f>IF(INDEX(tab_MinKomp[System R2PŁATNIK PRO: Płace / Lohnabrechnung],MATCH($B117,tab_MinKomp[[Stanowisko / Position ]:[Stanowisko / Position ]],0))="n/a","n/a",Q117-INDEX(tab_MinKomp[System R2PŁATNIK PRO: Płace / Lohnabrechnung],MATCH($B117,tab_MinKomp[[Stanowisko / Position ]:[Stanowisko / Position ]],0)))</f>
        <v>n/a</v>
      </c>
      <c r="R118" s="315" t="str">
        <f>IF(INDEX(tab_MinKomp[SystemR2PŁATNIK PRO: KADRY / Personaldaten],MATCH($B117,tab_MinKomp[[Stanowisko / Position ]:[Stanowisko / Position ]],0))="n/a","n/a",R117-INDEX(tab_MinKomp[SystemR2PŁATNIK PRO: KADRY / Personaldaten],MATCH($B117,tab_MinKomp[[Stanowisko / Position ]:[Stanowisko / Position ]],0)))</f>
        <v>n/a</v>
      </c>
      <c r="S118" s="315">
        <f>IF(INDEX(tab_MinKomp[SYSTEM R2PŁATNIK PRO: zarządzanie pracownikami / Arbeitsverwaltung],MATCH($B117,tab_MinKomp[[Stanowisko / Position ]:[Stanowisko / Position ]],0))="n/a","n/a",S117-INDEX(tab_MinKomp[SYSTEM R2PŁATNIK PRO: zarządzanie pracownikami / Arbeitsverwaltung],MATCH($B117,tab_MinKomp[[Stanowisko / Position ]:[Stanowisko / Position ]],0)))</f>
        <v>0</v>
      </c>
      <c r="T118" s="315">
        <f>IF(INDEX(tab_MinKomp[Doradztwo, wsparcie personalne / Personalberatung und Unterstützung],MATCH($B117,tab_MinKomp[[Stanowisko / Position ]:[Stanowisko / Position ]],0))="n/a","n/a",T117-INDEX(tab_MinKomp[Doradztwo, wsparcie personalne / Personalberatung und Unterstützung],MATCH($B117,tab_MinKomp[[Stanowisko / Position ]:[Stanowisko / Position ]],0)))</f>
        <v>0</v>
      </c>
      <c r="U118" s="315" t="str">
        <f>IF(INDEX(tab_MinKomp[Przepisy o podatku VAT / MwSt.- Gesetz],MATCH($B117,tab_MinKomp[[Stanowisko / Position ]:[Stanowisko / Position ]],0))="n/a","n/a",U117-INDEX(tab_MinKomp[Przepisy o podatku VAT / MwSt.- Gesetz],MATCH($B117,tab_MinKomp[[Stanowisko / Position ]:[Stanowisko / Position ]],0)))</f>
        <v>n/a</v>
      </c>
      <c r="V118" s="315" t="str">
        <f>IF(INDEX(tab_MinKomp[PrzepisyPDOP / geschäftlich Einkommensteuergesetz],MATCH($B117,tab_MinKomp[[Stanowisko / Position ]:[Stanowisko / Position ]],0))="n/a","n/a",V117-INDEX(tab_MinKomp[PrzepisyPDOP / geschäftlich Einkommensteuergesetz],MATCH($B117,tab_MinKomp[[Stanowisko / Position ]:[Stanowisko / Position ]],0)))</f>
        <v>n/a</v>
      </c>
      <c r="W118" s="315" t="str">
        <f>IF(INDEX(tab_MinKomp[System BAAN / FINANSE (FIBU)],MATCH($B117,tab_MinKomp[[Stanowisko / Position ]:[Stanowisko / Position ]],0))="n/a","n/a",W117-INDEX(tab_MinKomp[System BAAN / FINANSE (FIBU)],MATCH($B117,tab_MinKomp[[Stanowisko / Position ]:[Stanowisko / Position ]],0)))</f>
        <v>n/a</v>
      </c>
      <c r="X118" s="315" t="str">
        <f>IF(INDEX(tab_MinKomp[Systemy pomocnicze / Hilfssysteme(STOCKPROGRAM, KALK2000 etc.)],MATCH($B117,tab_MinKomp[[Stanowisko / Position ]:[Stanowisko / Position ]],0))="n/a","n/a",X117-INDEX(tab_MinKomp[Systemy pomocnicze / Hilfssysteme(STOCKPROGRAM, KALK2000 etc.)],MATCH($B117,tab_MinKomp[[Stanowisko / Position ]:[Stanowisko / Position ]],0)))</f>
        <v>n/a</v>
      </c>
      <c r="Y118" s="315" t="str">
        <f>IF(INDEX(tab_MinKomp[Polityka rachunkowości / Buchführungspolitik],MATCH($B117,tab_MinKomp[[Stanowisko / Position ]:[Stanowisko / Position ]],0))="n/a","n/a",Y117-INDEX(tab_MinKomp[Polityka rachunkowości / Buchführungspolitik],MATCH($B117,tab_MinKomp[[Stanowisko / Position ]:[Stanowisko / Position ]],0)))</f>
        <v>n/a</v>
      </c>
      <c r="Z118" s="315" t="str">
        <f>IF(INDEX(tab_MinKomp[Ustawa o rachunkowości / Rechnungslegungsgesetz],MATCH($B117,tab_MinKomp[[Stanowisko / Position ]:[Stanowisko / Position ]],0))="n/a","n/a",Z117-INDEX(tab_MinKomp[Ustawa o rachunkowości / Rechnungslegungsgesetz],MATCH($B117,tab_MinKomp[[Stanowisko / Position ]:[Stanowisko / Position ]],0)))</f>
        <v>n/a</v>
      </c>
      <c r="AA118" s="315" t="str">
        <f>IF(INDEX(tab_MinKomp[Ustawa o rachunkowości / Rechnungslegungsgesetz],MATCH($B117,tab_MinKomp[[Stanowisko / Position ]:[Stanowisko / Position ]],0))="n/a","n/a",AA117-INDEX(tab_MinKomp[Ustawa o rachunkowości / Rechnungslegungsgesetz],MATCH($B117,tab_MinKomp[[Stanowisko / Position ]:[Stanowisko / Position ]],0)))</f>
        <v>n/a</v>
      </c>
      <c r="AB118" s="315">
        <f>IF(INDEX(tab_MinKomp[WORKFLOW - SFMS],MATCH($B117,tab_MinKomp[[Stanowisko / Position ]:[Stanowisko / Position ]],0))="n/a","n/a",AB117-INDEX(tab_MinKomp[WORKFLOW - SFMS],MATCH($B117,tab_MinKomp[[Stanowisko / Position ]:[Stanowisko / Position ]],0)))</f>
        <v>0</v>
      </c>
      <c r="AC118" s="315">
        <f>IF(INDEX(tab_MinKomp[System ISO 9001:2015],MATCH($B117,tab_MinKomp[[Stanowisko / Position ]:[Stanowisko / Position ]],0))="n/a","n/a",AC117-INDEX(tab_MinKomp[System ISO 9001:2015],MATCH($B117,tab_MinKomp[[Stanowisko / Position ]:[Stanowisko / Position ]],0)))</f>
        <v>0</v>
      </c>
      <c r="AD118" s="315">
        <f>IF(INDEX(tab_MinKomp[System IATF 16949:2016],MATCH($B117,tab_MinKomp[[Stanowisko / Position ]:[Stanowisko / Position ]],0))="n/a","n/a",AD117-INDEX(tab_MinKomp[System IATF 16949:2016],MATCH($B117,tab_MinKomp[[Stanowisko / Position ]:[Stanowisko / Position ]],0)))</f>
        <v>0</v>
      </c>
      <c r="AE118" s="315">
        <f>IF(INDEX(tab_MinKomp[System ISO 14001:2015],MATCH($B117,tab_MinKomp[[Stanowisko / Position ]:[Stanowisko / Position ]],0))="n/a","n/a",AE117-INDEX(tab_MinKomp[System ISO 14001:2015],MATCH($B117,tab_MinKomp[[Stanowisko / Position ]:[Stanowisko / Position ]],0)))</f>
        <v>1</v>
      </c>
      <c r="AF118" s="315">
        <f>IF(INDEX(tab_MinKomp[System PN-N 18001:2004 / ISO 45001:2018],MATCH($B117,tab_MinKomp[[Stanowisko / Position ]:[Stanowisko / Position ]],0))="n/a","n/a",AF117-INDEX(tab_MinKomp[System PN-N 18001:2004 / ISO 45001:2018],MATCH($B117,tab_MinKomp[[Stanowisko / Position ]:[Stanowisko / Position ]],0)))</f>
        <v>0</v>
      </c>
      <c r="AG118" s="315">
        <f>IF(INDEX(tab_MinKomp[Wymagania VDA 6.3 Process / Forderungen],MATCH($B117,tab_MinKomp[[Stanowisko / Position ]:[Stanowisko / Position ]],0))="n/a","n/a",AG117-INDEX(tab_MinKomp[Wymagania VDA 6.3 Process / Forderungen],MATCH($B117,tab_MinKomp[[Stanowisko / Position ]:[Stanowisko / Position ]],0)))</f>
        <v>0</v>
      </c>
      <c r="AH118" s="315">
        <f>IF(INDEX(tab_MinKomp[Wymagania VDA 6.5 Product / Forderungen],MATCH($B117,tab_MinKomp[[Stanowisko / Position ]:[Stanowisko / Position ]],0))="n/a","n/a",AH117-INDEX(tab_MinKomp[Wymagania VDA 6.5 Product / Forderungen],MATCH($B117,tab_MinKomp[[Stanowisko / Position ]:[Stanowisko / Position ]],0)))</f>
        <v>1</v>
      </c>
      <c r="AI118" s="315" t="str">
        <f>IF(INDEX(tab_MinKomp[PSCR (VW Product Safety &amp; Conformity Representative)],MATCH($B117,tab_MinKomp[[Stanowisko / Position ]:[Stanowisko / Position ]],0))="n/a","n/a",AI117-INDEX(tab_MinKomp[PSCR (VW Product Safety &amp; Conformity Representative)],MATCH($B117,tab_MinKomp[[Stanowisko / Position ]:[Stanowisko / Position ]],0)))</f>
        <v>n/a</v>
      </c>
      <c r="AJ118" s="315">
        <f>IF(INDEX(tab_MinKomp[Auditor systemu ISO 17025:2018],MATCH($B117,tab_MinKomp[[Stanowisko / Position ]:[Stanowisko / Position ]],0))="n/a","n/a",AJ117-INDEX(tab_MinKomp[Auditor systemu ISO 17025:2018],MATCH($B117,tab_MinKomp[[Stanowisko / Position ]:[Stanowisko / Position ]],0)))</f>
        <v>0</v>
      </c>
      <c r="AK118" s="315">
        <f>IF(INDEX(tab_MinKomp[Pełnomocnik systemu / Systemvertreter],MATCH($B117,tab_MinKomp[[Stanowisko / Position ]:[Stanowisko / Position ]],0))="n/a","n/a",AK117-INDEX(tab_MinKomp[Pełnomocnik systemu / Systemvertreter],MATCH($B117,tab_MinKomp[[Stanowisko / Position ]:[Stanowisko / Position ]],0)))</f>
        <v>0</v>
      </c>
      <c r="AL118" s="315">
        <f>IF(INDEX(tab_MinKomp[Polityka Etyczna - Compliance],MATCH($B117,tab_MinKomp[[Stanowisko / Position ]:[Stanowisko / Position ]],0))="n/a","n/a",AL117-INDEX(tab_MinKomp[Polityka Etyczna - Compliance],MATCH($B117,tab_MinKomp[[Stanowisko / Position ]:[Stanowisko / Position ]],0)))</f>
        <v>0</v>
      </c>
      <c r="AM118" s="315">
        <f>IF(INDEX(tab_MinKomp[WDRAŻANIE NOWYCH PROJEKTÓW/ PROCEDURA CTM],MATCH($B117,tab_MinKomp[[Stanowisko / Position ]:[Stanowisko / Position ]],0))="n/a","n/a",AM117-INDEX(tab_MinKomp[WDRAŻANIE NOWYCH PROJEKTÓW/ PROCEDURA CTM],MATCH($B117,tab_MinKomp[[Stanowisko / Position ]:[Stanowisko / Position ]],0)))</f>
        <v>0</v>
      </c>
      <c r="AN118" s="315">
        <f>IF(INDEX(tab_MinKomp[KAMIENIE MILOWE MSL/PIFF],MATCH($B117,tab_MinKomp[[Stanowisko / Position ]:[Stanowisko / Position ]],0))="n/a","n/a",AN117-INDEX(tab_MinKomp[KAMIENIE MILOWE MSL/PIFF],MATCH($B117,tab_MinKomp[[Stanowisko / Position ]:[Stanowisko / Position ]],0)))</f>
        <v>0</v>
      </c>
      <c r="AO118" s="315">
        <f>IF(INDEX(tab_MinKomp[CP],MATCH($B117,tab_MinKomp[[Stanowisko / Position ]:[Stanowisko / Position ]],0))="n/a","n/a",AO117-INDEX(tab_MinKomp[CP],MATCH($B117,tab_MinKomp[[Stanowisko / Position ]:[Stanowisko / Position ]],0)))</f>
        <v>0</v>
      </c>
      <c r="AP118" s="315">
        <f>IF(INDEX(tab_MinKomp[FMEA],MATCH($B117,tab_MinKomp[[Stanowisko / Position ]:[Stanowisko / Position ]],0))="n/a","n/a",AP117-INDEX(tab_MinKomp[FMEA],MATCH($B117,tab_MinKomp[[Stanowisko / Position ]:[Stanowisko / Position ]],0)))</f>
        <v>0</v>
      </c>
      <c r="AQ118" s="315">
        <f>IF(INDEX(tab_MinKomp[FLOW CHART],MATCH($B117,tab_MinKomp[[Stanowisko / Position ]:[Stanowisko / Position ]],0))="n/a","n/a",AQ117-INDEX(tab_MinKomp[FLOW CHART],MATCH($B117,tab_MinKomp[[Stanowisko / Position ]:[Stanowisko / Position ]],0)))</f>
        <v>0</v>
      </c>
      <c r="AR118" s="315">
        <f>IF(INDEX(tab_MinKomp[APQP],MATCH($B117,tab_MinKomp[[Stanowisko / Position ]:[Stanowisko / Position ]],0))="n/a","n/a",AR117-INDEX(tab_MinKomp[APQP],MATCH($B117,tab_MinKomp[[Stanowisko / Position ]:[Stanowisko / Position ]],0)))</f>
        <v>0</v>
      </c>
      <c r="AS118" s="315">
        <f>IF(INDEX(tab_MinKomp[MSA],MATCH($B117,tab_MinKomp[[Stanowisko / Position ]:[Stanowisko / Position ]],0))="n/a","n/a",AS117-INDEX(tab_MinKomp[MSA],MATCH($B117,tab_MinKomp[[Stanowisko / Position ]:[Stanowisko / Position ]],0)))</f>
        <v>0</v>
      </c>
      <c r="AT118" s="315">
        <f>IF(INDEX(tab_MinKomp[SPC],MATCH($B117,tab_MinKomp[[Stanowisko / Position ]:[Stanowisko / Position ]],0))="n/a","n/a",AT117-INDEX(tab_MinKomp[SPC],MATCH($B117,tab_MinKomp[[Stanowisko / Position ]:[Stanowisko / Position ]],0)))</f>
        <v>0</v>
      </c>
      <c r="AU118" s="315">
        <f>IF(INDEX(tab_MinKomp[CSR (SPECYFICZNE WYMAGANIA KLIENTA)],MATCH($B117,tab_MinKomp[[Stanowisko / Position ]:[Stanowisko / Position ]],0))="n/a","n/a",AU117-INDEX(tab_MinKomp[CSR (SPECYFICZNE WYMAGANIA KLIENTA)],MATCH($B117,tab_MinKomp[[Stanowisko / Position ]:[Stanowisko / Position ]],0)))</f>
        <v>0</v>
      </c>
      <c r="AV118" s="315">
        <f>IF(INDEX(tab_MinKomp[5S],MATCH($B117,tab_MinKomp[[Stanowisko / Position ]:[Stanowisko / Position ]],0))="n/a","n/a",AV117-INDEX(tab_MinKomp[5S],MATCH($B117,tab_MinKomp[[Stanowisko / Position ]:[Stanowisko / Position ]],0)))</f>
        <v>0</v>
      </c>
      <c r="AW118" s="315">
        <f>IF(INDEX(tab_MinKomp[LEAN MANAGEMENT],MATCH($B117,tab_MinKomp[[Stanowisko / Position ]:[Stanowisko / Position ]],0))="n/a","n/a",AW117-INDEX(tab_MinKomp[LEAN MANAGEMENT],MATCH($B117,tab_MinKomp[[Stanowisko / Position ]:[Stanowisko / Position ]],0)))</f>
        <v>0</v>
      </c>
      <c r="AX118" s="315">
        <f>IF(INDEX(tab_MinKomp[5R],MATCH($B117,tab_MinKomp[[Stanowisko / Position ]:[Stanowisko / Position ]],0))="n/a","n/a",AX117-INDEX(tab_MinKomp[5R],MATCH($B117,tab_MinKomp[[Stanowisko / Position ]:[Stanowisko / Position ]],0)))</f>
        <v>0</v>
      </c>
      <c r="AY118" s="315">
        <f>IF(INDEX(tab_MinKomp[Six Sigma],MATCH($B117,tab_MinKomp[[Stanowisko / Position ]:[Stanowisko / Position ]],0))="n/a","n/a",AY117-INDEX(tab_MinKomp[Six Sigma],MATCH($B117,tab_MinKomp[[Stanowisko / Position ]:[Stanowisko / Position ]],0)))</f>
        <v>0</v>
      </c>
      <c r="AZ118" s="315" t="str">
        <f>IF(INDEX(tab_MinKomp[System BAAN / Distribution &amp; Supply Chain],MATCH($B117,tab_MinKomp[[Stanowisko / Position ]:[Stanowisko / Position ]],0))="n/a","n/a",AZ117-INDEX(tab_MinKomp[System BAAN / Distribution &amp; Supply Chain],MATCH($B117,tab_MinKomp[[Stanowisko / Position ]:[Stanowisko / Position ]],0)))</f>
        <v>n/a</v>
      </c>
      <c r="BA118" s="315">
        <f>IF(INDEX(tab_MinKomp[Gospodarka magazynowa / Lagerverwaltung],MATCH($B117,tab_MinKomp[[Stanowisko / Position ]:[Stanowisko / Position ]],0))="n/a","n/a",BA117-INDEX(tab_MinKomp[Gospodarka magazynowa / Lagerverwaltung],MATCH($B117,tab_MinKomp[[Stanowisko / Position ]:[Stanowisko / Position ]],0)))</f>
        <v>0</v>
      </c>
      <c r="BB118" s="315">
        <f>IF(INDEX(tab_MinKomp[Inwentaryzacja - organizacja i przebieg / Inventurprozess],MATCH($B117,tab_MinKomp[[Stanowisko / Position ]:[Stanowisko / Position ]],0))="n/a","n/a",BB117-INDEX(tab_MinKomp[Inwentaryzacja - organizacja i przebieg / Inventurprozess],MATCH($B117,tab_MinKomp[[Stanowisko / Position ]:[Stanowisko / Position ]],0)))</f>
        <v>0</v>
      </c>
      <c r="BC118" s="315" t="str">
        <f>IF(INDEX(tab_MinKomp[Organizacja dostaw / Versorgungsorganisation],MATCH($B117,tab_MinKomp[[Stanowisko / Position ]:[Stanowisko / Position ]],0))="n/a","n/a",BC117-INDEX(tab_MinKomp[Organizacja dostaw / Versorgungsorganisation],MATCH($B117,tab_MinKomp[[Stanowisko / Position ]:[Stanowisko / Position ]],0)))</f>
        <v>n/a</v>
      </c>
      <c r="BD118" s="315" t="str">
        <f>IF(INDEX(tab_MinKomp[Organizacja wysyłek / Organisation von Lieferungen],MATCH($B117,tab_MinKomp[[Stanowisko / Position ]:[Stanowisko / Position ]],0))="n/a","n/a",BD117-INDEX(tab_MinKomp[Organizacja wysyłek / Organisation von Lieferungen],MATCH($B117,tab_MinKomp[[Stanowisko / Position ]:[Stanowisko / Position ]],0)))</f>
        <v>n/a</v>
      </c>
      <c r="BE118" s="315" t="str">
        <f>IF(INDEX(tab_MinKomp[Analiza magazynowa - Program Polen.mdb / Inventuranalyse],MATCH($B117,tab_MinKomp[[Stanowisko / Position ]:[Stanowisko / Position ]],0))="n/a","n/a",BE117-INDEX(tab_MinKomp[Analiza magazynowa - Program Polen.mdb / Inventuranalyse],MATCH($B117,tab_MinKomp[[Stanowisko / Position ]:[Stanowisko / Position ]],0)))</f>
        <v>n/a</v>
      </c>
      <c r="BF118" s="315" t="str">
        <f>IF(INDEX(tab_MinKomp[MMOG (Materials Management Operations Guidelines)],MATCH($B117,tab_MinKomp[[Stanowisko / Position ]:[Stanowisko / Position ]],0))="n/a","n/a",BF117-INDEX(tab_MinKomp[MMOG (Materials Management Operations Guidelines)],MATCH($B117,tab_MinKomp[[Stanowisko / Position ]:[Stanowisko / Position ]],0)))</f>
        <v>n/a</v>
      </c>
      <c r="BG118" s="315" t="str">
        <f>IF(INDEX(tab_MinKomp[GPP],MATCH($B117,tab_MinKomp[[Stanowisko / Position ]:[Stanowisko / Position ]],0))="n/a","n/a",BG117-INDEX(tab_MinKomp[GPP],MATCH($B117,tab_MinKomp[[Stanowisko / Position ]:[Stanowisko / Position ]],0)))</f>
        <v>n/a</v>
      </c>
      <c r="BH118" s="315" t="str">
        <f>IF(INDEX(tab_MinKomp[AIAG (Automotive Industry Action Group)],MATCH($B117,tab_MinKomp[[Stanowisko / Position ]:[Stanowisko / Position ]],0))="n/a","n/a",BH117-INDEX(tab_MinKomp[AIAG (Automotive Industry Action Group)],MATCH($B117,tab_MinKomp[[Stanowisko / Position ]:[Stanowisko / Position ]],0)))</f>
        <v>n/a</v>
      </c>
      <c r="BI118" s="315" t="str">
        <f>IF(INDEX(tab_MinKomp[Super-G disputes],MATCH($B117,tab_MinKomp[[Stanowisko / Position ]:[Stanowisko / Position ]],0))="n/a","n/a",BI117-INDEX(tab_MinKomp[Super-G disputes],MATCH($B117,tab_MinKomp[[Stanowisko / Position ]:[Stanowisko / Position ]],0)))</f>
        <v>n/a</v>
      </c>
      <c r="BJ118" s="315" t="str">
        <f>IF(INDEX(tab_MinKomp[CMMS3/eDDL (Direct Data Link)],MATCH($B117,tab_MinKomp[[Stanowisko / Position ]:[Stanowisko / Position ]],0))="n/a","n/a",BJ117-INDEX(tab_MinKomp[CMMS3/eDDL (Direct Data Link)],MATCH($B117,tab_MinKomp[[Stanowisko / Position ]:[Stanowisko / Position ]],0)))</f>
        <v>n/a</v>
      </c>
      <c r="BK118" s="315" t="str">
        <f>IF(INDEX(tab_MinKomp[MP&amp;L (Material Planning and Logistics)],MATCH($B117,tab_MinKomp[[Stanowisko / Position ]:[Stanowisko / Position ]],0))="n/a","n/a",BK117-INDEX(tab_MinKomp[MP&amp;L (Material Planning and Logistics)],MATCH($B117,tab_MinKomp[[Stanowisko / Position ]:[Stanowisko / Position ]],0)))</f>
        <v>n/a</v>
      </c>
      <c r="BL118" s="315" t="str">
        <f>IF(INDEX(tab_MinKomp[Supplier delivery rating],MATCH($B117,tab_MinKomp[[Stanowisko / Position ]:[Stanowisko / Position ]],0))="n/a","n/a",BL117-INDEX(tab_MinKomp[Supplier delivery rating],MATCH($B117,tab_MinKomp[[Stanowisko / Position ]:[Stanowisko / Position ]],0)))</f>
        <v>n/a</v>
      </c>
      <c r="BM118" s="315" t="str">
        <f>IF(INDEX(tab_MinKomp[Planowanie produkcji / Produktionsplanung],MATCH($B117,tab_MinKomp[[Stanowisko / Position ]:[Stanowisko / Position ]],0))="n/a","n/a",BM117-INDEX(tab_MinKomp[Planowanie produkcji / Produktionsplanung],MATCH($B117,tab_MinKomp[[Stanowisko / Position ]:[Stanowisko / Position ]],0)))</f>
        <v>n/a</v>
      </c>
      <c r="BN118" s="315" t="str">
        <f>IF(INDEX(tab_MinKomp[Obsługa maszyn Engel / Engel Maschinenbedienung],MATCH($B117,tab_MinKomp[[Stanowisko / Position ]:[Stanowisko / Position ]],0))="n/a","n/a",BN117-INDEX(tab_MinKomp[Obsługa maszyn Engel / Engel Maschinenbedienung],MATCH($B117,tab_MinKomp[[Stanowisko / Position ]:[Stanowisko / Position ]],0)))</f>
        <v>n/a</v>
      </c>
      <c r="BO118" s="315" t="str">
        <f>IF(INDEX(tab_MinKomp[Obsługa maszyn Novapax / Novapax Maschinenbedienung],MATCH($B117,tab_MinKomp[[Stanowisko / Position ]:[Stanowisko / Position ]],0))="n/a","n/a",BO117-INDEX(tab_MinKomp[Obsługa maszyn Novapax / Novapax Maschinenbedienung],MATCH($B117,tab_MinKomp[[Stanowisko / Position ]:[Stanowisko / Position ]],0)))</f>
        <v>n/a</v>
      </c>
      <c r="BP118" s="315" t="str">
        <f>IF(INDEX(tab_MinKomp[Obsługa maszyn KVT / KVT Maschinenbedienung],MATCH($B117,tab_MinKomp[[Stanowisko / Position ]:[Stanowisko / Position ]],0))="n/a","n/a",BP117-INDEX(tab_MinKomp[Obsługa maszyn KVT / KVT Maschinenbedienung],MATCH($B117,tab_MinKomp[[Stanowisko / Position ]:[Stanowisko / Position ]],0)))</f>
        <v>n/a</v>
      </c>
      <c r="BQ118" s="315" t="str">
        <f>IF(INDEX(tab_MinKomp[Obsługa maszyn ASL / ASL Maschinenbedienung],MATCH($B117,tab_MinKomp[[Stanowisko / Position ]:[Stanowisko / Position ]],0))="n/a","n/a",BQ117-INDEX(tab_MinKomp[Obsługa maszyn ASL / ASL Maschinenbedienung],MATCH($B117,tab_MinKomp[[Stanowisko / Position ]:[Stanowisko / Position ]],0)))</f>
        <v>n/a</v>
      </c>
      <c r="BR118" s="315" t="str">
        <f>IF(INDEX(tab_MinKomp[Obsługa maszyn Branson / Branson Maschinenbedienung],MATCH($B117,tab_MinKomp[[Stanowisko / Position ]:[Stanowisko / Position ]],0))="n/a","n/a",BR117-INDEX(tab_MinKomp[Obsługa maszyn Branson / Branson Maschinenbedienung],MATCH($B117,tab_MinKomp[[Stanowisko / Position ]:[Stanowisko / Position ]],0)))</f>
        <v>n/a</v>
      </c>
      <c r="BS118" s="315" t="str">
        <f>IF(INDEX(tab_MinKomp[Obsługa maszyn Kamtec / Kamtec Maschinenbedienung],MATCH($B117,tab_MinKomp[[Stanowisko / Position ]:[Stanowisko / Position ]],0))="n/a","n/a",BS117-INDEX(tab_MinKomp[Obsługa maszyn Kamtec / Kamtec Maschinenbedienung],MATCH($B117,tab_MinKomp[[Stanowisko / Position ]:[Stanowisko / Position ]],0)))</f>
        <v>n/a</v>
      </c>
      <c r="BT118" s="315" t="str">
        <f>IF(INDEX(tab_MinKomp[Obsługa maszyn Piovan / Piovan Maschinenbedienung],MATCH($B117,tab_MinKomp[[Stanowisko / Position ]:[Stanowisko / Position ]],0))="n/a","n/a",BT117-INDEX(tab_MinKomp[Obsługa maszyn Piovan / Piovan Maschinenbedienung],MATCH($B117,tab_MinKomp[[Stanowisko / Position ]:[Stanowisko / Position ]],0)))</f>
        <v>n/a</v>
      </c>
      <c r="BU118" s="315" t="str">
        <f>IF(INDEX(tab_MinKomp[Obsługa maszyn REP / REP Maschinenbedienung],MATCH($B117,tab_MinKomp[[Stanowisko / Position ]:[Stanowisko / Position ]],0))="n/a","n/a",BU117-INDEX(tab_MinKomp[Obsługa maszyn REP / REP Maschinenbedienung],MATCH($B117,tab_MinKomp[[Stanowisko / Position ]:[Stanowisko / Position ]],0)))</f>
        <v>n/a</v>
      </c>
      <c r="BV118" s="315" t="str">
        <f>IF(INDEX(tab_MinKomp[Eliminacja awarii / Beseitigung von Ausfällen],MATCH($B117,tab_MinKomp[[Stanowisko / Position ]:[Stanowisko / Position ]],0))="n/a","n/a",BV117-INDEX(tab_MinKomp[Eliminacja awarii / Beseitigung von Ausfällen],MATCH($B117,tab_MinKomp[[Stanowisko / Position ]:[Stanowisko / Position ]],0)))</f>
        <v>n/a</v>
      </c>
      <c r="BW118" s="315" t="str">
        <f>IF(INDEX(tab_MinKomp[Informatyka ogólna (techniczne i systemowe) / Allgemeine IT (Technik und System)],MATCH($B117,tab_MinKomp[[Stanowisko / Position ]:[Stanowisko / Position ]],0))="n/a","n/a",BW117-INDEX(tab_MinKomp[Informatyka ogólna (techniczne i systemowe) / Allgemeine IT (Technik und System)],MATCH($B117,tab_MinKomp[[Stanowisko / Position ]:[Stanowisko / Position ]],0)))</f>
        <v>n/a</v>
      </c>
      <c r="BX118" s="315" t="str">
        <f>IF(INDEX(tab_MinKomp[Sieci komputerowe / Computernetzwerke],MATCH($B117,tab_MinKomp[[Stanowisko / Position ]:[Stanowisko / Position ]],0))="n/a","n/a",BX117-INDEX(tab_MinKomp[Sieci komputerowe / Computernetzwerke],MATCH($B117,tab_MinKomp[[Stanowisko / Position ]:[Stanowisko / Position ]],0)))</f>
        <v>n/a</v>
      </c>
      <c r="BY118" s="315" t="str">
        <f>IF(INDEX(tab_MinKomp[Hardware (komputery PC, drukarki biurowe i etykietowe, telefonia stacjonarna i mobilna) (PC, Drucker, Telefpne, Handys)],MATCH($B117,tab_MinKomp[[Stanowisko / Position ]:[Stanowisko / Position ]],0))="n/a","n/a",BY117-INDEX(tab_MinKomp[Hardware (komputery PC, drukarki biurowe i etykietowe, telefonia stacjonarna i mobilna) (PC, Drucker, Telefpne, Handys)],MATCH($B117,tab_MinKomp[[Stanowisko / Position ]:[Stanowisko / Position ]],0)))</f>
        <v>n/a</v>
      </c>
      <c r="BZ118" s="315" t="str">
        <f>IF(INDEX(tab_MinKomp[Software &amp; Systems (MS Office, MS Remote Desktop)],MATCH($B117,tab_MinKomp[[Stanowisko / Position ]:[Stanowisko / Position ]],0))="n/a","n/a",BZ117-INDEX(tab_MinKomp[Software &amp; Systems (MS Office, MS Remote Desktop)],MATCH($B117,tab_MinKomp[[Stanowisko / Position ]:[Stanowisko / Position ]],0)))</f>
        <v>n/a</v>
      </c>
      <c r="CA118" s="315" t="str">
        <f>IF(INDEX(tab_MinKomp[Programowanie obiektowe (PHP) / Objektprogrammierung],MATCH($B117,tab_MinKomp[[Stanowisko / Position ]:[Stanowisko / Position ]],0))="n/a","n/a",CA117-INDEX(tab_MinKomp[Programowanie obiektowe (PHP) / Objektprogrammierung],MATCH($B117,tab_MinKomp[[Stanowisko / Position ]:[Stanowisko / Position ]],0)))</f>
        <v>n/a</v>
      </c>
      <c r="CB118" s="315" t="str">
        <f>IF(INDEX(tab_MinKomp[Scrum],MATCH($B117,tab_MinKomp[[Stanowisko / Position ]:[Stanowisko / Position ]],0))="n/a","n/a",CB117-INDEX(tab_MinKomp[Scrum],MATCH($B117,tab_MinKomp[[Stanowisko / Position ]:[Stanowisko / Position ]],0)))</f>
        <v>n/a</v>
      </c>
      <c r="CC118" s="315" t="str">
        <f>IF(INDEX(tab_MinKomp[SQL (MySQL)],MATCH($B117,tab_MinKomp[[Stanowisko / Position ]:[Stanowisko / Position ]],0))="n/a","n/a",CC117-INDEX(tab_MinKomp[SQL (MySQL)],MATCH($B117,tab_MinKomp[[Stanowisko / Position ]:[Stanowisko / Position ]],0)))</f>
        <v>n/a</v>
      </c>
      <c r="CD118" s="315" t="str">
        <f>IF(INDEX(tab_MinKomp[Javascript],MATCH($B117,tab_MinKomp[[Stanowisko / Position ]:[Stanowisko / Position ]],0))="n/a","n/a",CD117-INDEX(tab_MinKomp[Javascript],MATCH($B117,tab_MinKomp[[Stanowisko / Position ]:[Stanowisko / Position ]],0)))</f>
        <v>n/a</v>
      </c>
      <c r="CE118" s="315" t="str">
        <f>IF(INDEX(tab_MinKomp[Joomla],MATCH($B117,tab_MinKomp[[Stanowisko / Position ]:[Stanowisko / Position ]],0))="n/a","n/a",CE117-INDEX(tab_MinKomp[Joomla],MATCH($B117,tab_MinKomp[[Stanowisko / Position ]:[Stanowisko / Position ]],0)))</f>
        <v>n/a</v>
      </c>
      <c r="CF118" s="315" t="str">
        <f>IF(INDEX(tab_MinKomp[Bash],MATCH($B117,tab_MinKomp[[Stanowisko / Position ]:[Stanowisko / Position ]],0))="n/a","n/a",CF117-INDEX(tab_MinKomp[Bash],MATCH($B117,tab_MinKomp[[Stanowisko / Position ]:[Stanowisko / Position ]],0)))</f>
        <v>n/a</v>
      </c>
      <c r="CG118" s="315">
        <f>IF(INDEX(tab_MinKomp[Systemy MES (HYDRA / SFMS)],MATCH($B117,tab_MinKomp[[Stanowisko / Position ]:[Stanowisko / Position ]],0))="n/a","n/a",CG117-INDEX(tab_MinKomp[Systemy MES (HYDRA / SFMS)],MATCH($B117,tab_MinKomp[[Stanowisko / Position ]:[Stanowisko / Position ]],0)))</f>
        <v>1</v>
      </c>
      <c r="CH118" s="315" t="str">
        <f>IF(INDEX(tab_MinKomp[HTML / CSS],MATCH($B117,tab_MinKomp[[Stanowisko / Position ]:[Stanowisko / Position ]],0))="n/a","n/a",CH117-INDEX(tab_MinKomp[HTML / CSS],MATCH($B117,tab_MinKomp[[Stanowisko / Position ]:[Stanowisko / Position ]],0)))</f>
        <v>n/a</v>
      </c>
      <c r="CI118" s="315">
        <f>IF(INDEX(tab_MinKomp[SYSTEM PR],MATCH($B117,tab_MinKomp[[Stanowisko / Position ]:[Stanowisko / Position ]],0))="n/a","n/a",CI117-INDEX(tab_MinKomp[SYSTEM PR],MATCH($B117,tab_MinKomp[[Stanowisko / Position ]:[Stanowisko / Position ]],0)))</f>
        <v>0</v>
      </c>
      <c r="CJ118" s="315">
        <f>IF(INDEX(tab_MinKomp[System Einkauf XP / EBA],MATCH($B117,tab_MinKomp[[Stanowisko / Position ]:[Stanowisko / Position ]],0))="n/a","n/a",CJ117-INDEX(tab_MinKomp[System Einkauf XP / EBA],MATCH($B117,tab_MinKomp[[Stanowisko / Position ]:[Stanowisko / Position ]],0)))</f>
        <v>0</v>
      </c>
      <c r="CK118" s="315" t="str">
        <f>IF(INDEX(tab_MinKomp[Techniki negocjacyjne / Verhandlungstechniken],MATCH($B117,tab_MinKomp[[Stanowisko / Position ]:[Stanowisko / Position ]],0))="n/a","n/a",CK117-INDEX(tab_MinKomp[Techniki negocjacyjne / Verhandlungstechniken],MATCH($B117,tab_MinKomp[[Stanowisko / Position ]:[Stanowisko / Position ]],0)))</f>
        <v>n/a</v>
      </c>
      <c r="CL118" s="315" t="str">
        <f>IF(INDEX(tab_MinKomp[Znajomość rynku branżowego / Kenntnis des Industrie Marktes],MATCH($B117,tab_MinKomp[[Stanowisko / Position ]:[Stanowisko / Position ]],0))="n/a","n/a",CL117-INDEX(tab_MinKomp[Znajomość rynku branżowego / Kenntnis des Industrie Marktes],MATCH($B117,tab_MinKomp[[Stanowisko / Position ]:[Stanowisko / Position ]],0)))</f>
        <v>n/a</v>
      </c>
      <c r="CM118" s="315">
        <f>IF(INDEX(tab_MinKomp[RAPORTY 8D / 8D Berichten],MATCH($B117,tab_MinKomp[[Stanowisko / Position ]:[Stanowisko / Position ]],0))="n/a","n/a",CM117-INDEX(tab_MinKomp[RAPORTY 8D / 8D Berichten],MATCH($B117,tab_MinKomp[[Stanowisko / Position ]:[Stanowisko / Position ]],0)))</f>
        <v>0</v>
      </c>
      <c r="CN118" s="315">
        <f>IF(INDEX(tab_MinKomp[NARZĘDZIA JAKOŚCIOWE (5WHY, Ishikawa, etc) / QS-Werkzeuge],MATCH($B117,tab_MinKomp[[Stanowisko / Position ]:[Stanowisko / Position ]],0))="n/a","n/a",CN117-INDEX(tab_MinKomp[NARZĘDZIA JAKOŚCIOWE (5WHY, Ishikawa, etc) / QS-Werkzeuge],MATCH($B117,tab_MinKomp[[Stanowisko / Position ]:[Stanowisko / Position ]],0)))</f>
        <v>0</v>
      </c>
      <c r="CO118" s="315">
        <f>IF(INDEX(tab_MinKomp[PDCA],MATCH($B117,tab_MinKomp[[Stanowisko / Position ]:[Stanowisko / Position ]],0))="n/a","n/a",CO117-INDEX(tab_MinKomp[PDCA],MATCH($B117,tab_MinKomp[[Stanowisko / Position ]:[Stanowisko / Position ]],0)))</f>
        <v>0</v>
      </c>
      <c r="CP118" s="315">
        <f>IF(INDEX(tab_MinKomp[Pareto],MATCH($B117,tab_MinKomp[[Stanowisko / Position ]:[Stanowisko / Position ]],0))="n/a","n/a",CP117-INDEX(tab_MinKomp[Pareto],MATCH($B117,tab_MinKomp[[Stanowisko / Position ]:[Stanowisko / Position ]],0)))</f>
        <v>0</v>
      </c>
      <c r="CQ118" s="315">
        <f>IF(INDEX(tab_MinKomp[PPAP/PSW],MATCH($B117,tab_MinKomp[[Stanowisko / Position ]:[Stanowisko / Position ]],0))="n/a","n/a",CQ117-INDEX(tab_MinKomp[PPAP/PSW],MATCH($B117,tab_MinKomp[[Stanowisko / Position ]:[Stanowisko / Position ]],0)))</f>
        <v>0</v>
      </c>
      <c r="CR118" s="315">
        <f>IF(INDEX(tab_MinKomp[SUPPLIER MANAGEMENT],MATCH($B117,tab_MinKomp[[Stanowisko / Position ]:[Stanowisko / Position ]],0))="n/a","n/a",CR117-INDEX(tab_MinKomp[SUPPLIER MANAGEMENT],MATCH($B117,tab_MinKomp[[Stanowisko / Position ]:[Stanowisko / Position ]],0)))</f>
        <v>0</v>
      </c>
      <c r="CS118" s="315">
        <f>IF(INDEX(tab_MinKomp[OBSŁUGA PORTALI KLIENTA / Kundenportale],MATCH($B117,tab_MinKomp[[Stanowisko / Position ]:[Stanowisko / Position ]],0))="n/a","n/a",CS117-INDEX(tab_MinKomp[OBSŁUGA PORTALI KLIENTA / Kundenportale],MATCH($B117,tab_MinKomp[[Stanowisko / Position ]:[Stanowisko / Position ]],0)))</f>
        <v>0</v>
      </c>
      <c r="CT118" s="315">
        <f>IF(INDEX(tab_MinKomp[Obsługa systemu BABTECQ / BABTECQ System],MATCH($B117,tab_MinKomp[[Stanowisko / Position ]:[Stanowisko / Position ]],0))="n/a","n/a",CT117-INDEX(tab_MinKomp[Obsługa systemu BABTECQ / BABTECQ System],MATCH($B117,tab_MinKomp[[Stanowisko / Position ]:[Stanowisko / Position ]],0)))</f>
        <v>1</v>
      </c>
      <c r="CU118" s="315">
        <f>IF(INDEX(tab_MinKomp[Rysunek techniczny / technische Zeichnung],MATCH($B117,tab_MinKomp[[Stanowisko / Position ]:[Stanowisko / Position ]],0))="n/a","n/a",CU117-INDEX(tab_MinKomp[Rysunek techniczny / technische Zeichnung],MATCH($B117,tab_MinKomp[[Stanowisko / Position ]:[Stanowisko / Position ]],0)))</f>
        <v>0</v>
      </c>
      <c r="CV118" s="315" t="str">
        <f>IF(INDEX(tab_MinKomp[Kalibracja / Kalibrierung],MATCH($B117,tab_MinKomp[[Stanowisko / Position ]:[Stanowisko / Position ]],0))="n/a","n/a",CV117-INDEX(tab_MinKomp[Kalibracja / Kalibrierung],MATCH($B117,tab_MinKomp[[Stanowisko / Position ]:[Stanowisko / Position ]],0)))</f>
        <v>n/a</v>
      </c>
      <c r="CW118" s="315" t="str">
        <f>IF(INDEX(tab_MinKomp[Rekwalifikacja / Requalifizierung],MATCH($B117,tab_MinKomp[[Stanowisko / Position ]:[Stanowisko / Position ]],0))="n/a","n/a",CW117-INDEX(tab_MinKomp[Rekwalifikacja / Requalifizierung],MATCH($B117,tab_MinKomp[[Stanowisko / Position ]:[Stanowisko / Position ]],0)))</f>
        <v>n/a</v>
      </c>
      <c r="CX118" s="315" t="str">
        <f>IF(INDEX(tab_MinKomp[CMM - Contura Zeiss],MATCH($B117,tab_MinKomp[[Stanowisko / Position ]:[Stanowisko / Position ]],0))="n/a","n/a",CX117-INDEX(tab_MinKomp[CMM - Contura Zeiss],MATCH($B117,tab_MinKomp[[Stanowisko / Position ]:[Stanowisko / Position ]],0)))</f>
        <v>n/a</v>
      </c>
      <c r="CY118" s="315" t="str">
        <f>IF(INDEX(tab_MinKomp[CMM - Contura Zeiss],MATCH($B117,tab_MinKomp[[Stanowisko / Position ]:[Stanowisko / Position ]],0))="n/a","n/a",CY117-INDEX(tab_MinKomp[CMM - Contura Zeiss],MATCH($B117,tab_MinKomp[[Stanowisko / Position ]:[Stanowisko / Position ]],0)))</f>
        <v>n/a</v>
      </c>
      <c r="CZ118" s="315" t="str">
        <f>IF(INDEX(tab_MinKomp[CMM - Contura Zeiss],MATCH($B117,tab_MinKomp[[Stanowisko / Position ]:[Stanowisko / Position ]],0))="n/a","n/a",CZ117-INDEX(tab_MinKomp[CMM - Contura Zeiss],MATCH($B117,tab_MinKomp[[Stanowisko / Position ]:[Stanowisko / Position ]],0)))</f>
        <v>n/a</v>
      </c>
      <c r="DA118" s="315" t="str">
        <f>IF(INDEX(tab_MinKomp[CMM - Contura Zeiss],MATCH($B117,tab_MinKomp[[Stanowisko / Position ]:[Stanowisko / Position ]],0))="n/a","n/a",DA117-INDEX(tab_MinKomp[CMM - Contura Zeiss],MATCH($B117,tab_MinKomp[[Stanowisko / Position ]:[Stanowisko / Position ]],0)))</f>
        <v>n/a</v>
      </c>
      <c r="DB118" s="315" t="str">
        <f>IF(INDEX(tab_MinKomp[CMM - Contura Zeiss],MATCH($B117,tab_MinKomp[[Stanowisko / Position ]:[Stanowisko / Position ]],0))="n/a","n/a",DB117-INDEX(tab_MinKomp[CMM - Contura Zeiss],MATCH($B117,tab_MinKomp[[Stanowisko / Position ]:[Stanowisko / Position ]],0)))</f>
        <v>n/a</v>
      </c>
      <c r="DC118" s="315" t="str">
        <f>IF(INDEX(tab_MinKomp[CMM - Contura Zeiss],MATCH($B117,tab_MinKomp[[Stanowisko / Position ]:[Stanowisko / Position ]],0))="n/a","n/a",DC117-INDEX(tab_MinKomp[CMM - Contura Zeiss],MATCH($B117,tab_MinKomp[[Stanowisko / Position ]:[Stanowisko / Position ]],0)))</f>
        <v>n/a</v>
      </c>
      <c r="DD118" s="315" t="str">
        <f>IF(INDEX(tab_MinKomp[Pisanie programów / Programme schreiben],MATCH($B117,tab_MinKomp[[Stanowisko / Position ]:[Stanowisko / Position ]],0))="n/a","n/a",DD117-INDEX(tab_MinKomp[Pisanie programów / Programme schreiben],MATCH($B117,tab_MinKomp[[Stanowisko / Position ]:[Stanowisko / Position ]],0)))</f>
        <v>n/a</v>
      </c>
      <c r="DE118" s="315" t="str">
        <f>IF(INDEX(tab_MinKomp[CMM - Contura Zeiss],MATCH($B117,tab_MinKomp[[Stanowisko / Position ]:[Stanowisko / Position ]],0))="n/a","n/a",DE117-INDEX(tab_MinKomp[CMM - Contura Zeiss],MATCH($B117,tab_MinKomp[[Stanowisko / Position ]:[Stanowisko / Position ]],0)))</f>
        <v>n/a</v>
      </c>
      <c r="DF118" s="315" t="str">
        <f>IF(INDEX(tab_MinKomp[CMM - Contura Zeiss],MATCH($B117,tab_MinKomp[[Stanowisko / Position ]:[Stanowisko / Position ]],0))="n/a","n/a",DF117-INDEX(tab_MinKomp[CMM - Contura Zeiss],MATCH($B117,tab_MinKomp[[Stanowisko / Position ]:[Stanowisko / Position ]],0)))</f>
        <v>n/a</v>
      </c>
      <c r="DG118" s="315" t="str">
        <f>IF(INDEX(tab_MinKomp[CMM - Contura Zeiss],MATCH($B117,tab_MinKomp[[Stanowisko / Position ]:[Stanowisko / Position ]],0))="n/a","n/a",DG117-INDEX(tab_MinKomp[CMM - Contura Zeiss],MATCH($B117,tab_MinKomp[[Stanowisko / Position ]:[Stanowisko / Position ]],0)))</f>
        <v>n/a</v>
      </c>
      <c r="DH118" s="315" t="str">
        <f>IF(INDEX(tab_MinKomp[CMM - Contura Zeiss],MATCH($B117,tab_MinKomp[[Stanowisko / Position ]:[Stanowisko / Position ]],0))="n/a","n/a",DH117-INDEX(tab_MinKomp[CMM - Contura Zeiss],MATCH($B117,tab_MinKomp[[Stanowisko / Position ]:[Stanowisko / Position ]],0)))</f>
        <v>n/a</v>
      </c>
      <c r="DI118" s="315" t="str">
        <f>IF(INDEX(tab_MinKomp[CMM - Contura Zeiss],MATCH($B117,tab_MinKomp[[Stanowisko / Position ]:[Stanowisko / Position ]],0))="n/a","n/a",DI117-INDEX(tab_MinKomp[CMM - Contura Zeiss],MATCH($B117,tab_MinKomp[[Stanowisko / Position ]:[Stanowisko / Position ]],0)))</f>
        <v>n/a</v>
      </c>
      <c r="DJ118" s="315" t="str">
        <f>IF(INDEX(tab_MinKomp[CMM - Contura Zeiss],MATCH($B117,tab_MinKomp[[Stanowisko / Position ]:[Stanowisko / Position ]],0))="n/a","n/a",DJ117-INDEX(tab_MinKomp[CMM - Contura Zeiss],MATCH($B117,tab_MinKomp[[Stanowisko / Position ]:[Stanowisko / Position ]],0)))</f>
        <v>n/a</v>
      </c>
      <c r="DK118" s="315" t="str">
        <f>IF(INDEX(tab_MinKomp[Pisanie programów / Programme schreiben],MATCH($B117,tab_MinKomp[[Stanowisko / Position ]:[Stanowisko / Position ]],0))="n/a","n/a",DK117-INDEX(tab_MinKomp[Pisanie programów / Programme schreiben],MATCH($B117,tab_MinKomp[[Stanowisko / Position ]:[Stanowisko / Position ]],0)))</f>
        <v>n/a</v>
      </c>
      <c r="DL118" s="315" t="str">
        <f>IF(INDEX(tab_MinKomp[CMM - Contura Zeiss],MATCH($B117,tab_MinKomp[[Stanowisko / Position ]:[Stanowisko / Position ]],0))="n/a","n/a",DL117-INDEX(tab_MinKomp[CMM - Contura Zeiss],MATCH($B117,tab_MinKomp[[Stanowisko / Position ]:[Stanowisko / Position ]],0)))</f>
        <v>n/a</v>
      </c>
      <c r="DM118" s="315" t="str">
        <f>IF(INDEX(tab_MinKomp[CMM - Contura Zeiss],MATCH($B117,tab_MinKomp[[Stanowisko / Position ]:[Stanowisko / Position ]],0))="n/a","n/a",DM117-INDEX(tab_MinKomp[CMM - Contura Zeiss],MATCH($B117,tab_MinKomp[[Stanowisko / Position ]:[Stanowisko / Position ]],0)))</f>
        <v>n/a</v>
      </c>
      <c r="DN118" s="315" t="str">
        <f>IF(INDEX(tab_MinKomp[CMM - Contura Zeiss],MATCH($B117,tab_MinKomp[[Stanowisko / Position ]:[Stanowisko / Position ]],0))="n/a","n/a",DN117-INDEX(tab_MinKomp[CMM - Contura Zeiss],MATCH($B117,tab_MinKomp[[Stanowisko / Position ]:[Stanowisko / Position ]],0)))</f>
        <v>n/a</v>
      </c>
      <c r="DO118" s="315" t="str">
        <f>IF(INDEX(tab_MinKomp[CMM - Contura Zeiss],MATCH($B117,tab_MinKomp[[Stanowisko / Position ]:[Stanowisko / Position ]],0))="n/a","n/a",DO117-INDEX(tab_MinKomp[CMM - Contura Zeiss],MATCH($B117,tab_MinKomp[[Stanowisko / Position ]:[Stanowisko / Position ]],0)))</f>
        <v>n/a</v>
      </c>
      <c r="DP118" s="315" t="str">
        <f>IF(INDEX(tab_MinKomp[CMM - Contura Zeiss],MATCH($B117,tab_MinKomp[[Stanowisko / Position ]:[Stanowisko / Position ]],0))="n/a","n/a",DP117-INDEX(tab_MinKomp[CMM - Contura Zeiss],MATCH($B117,tab_MinKomp[[Stanowisko / Position ]:[Stanowisko / Position ]],0)))</f>
        <v>n/a</v>
      </c>
      <c r="DQ118" s="315" t="str">
        <f>IF(INDEX(tab_MinKomp[CMM - Contura Zeiss],MATCH($B117,tab_MinKomp[[Stanowisko / Position ]:[Stanowisko / Position ]],0))="n/a","n/a",DQ117-INDEX(tab_MinKomp[CMM - Contura Zeiss],MATCH($B117,tab_MinKomp[[Stanowisko / Position ]:[Stanowisko / Position ]],0)))</f>
        <v>n/a</v>
      </c>
      <c r="DR118" s="315" t="str">
        <f>IF(INDEX(tab_MinKomp[Pisanie programów / Programme schreiben],MATCH($B117,tab_MinKomp[[Stanowisko / Position ]:[Stanowisko / Position ]],0))="n/a","n/a",DR117-INDEX(tab_MinKomp[Pisanie programów / Programme schreiben],MATCH($B117,tab_MinKomp[[Stanowisko / Position ]:[Stanowisko / Position ]],0)))</f>
        <v>n/a</v>
      </c>
      <c r="DS118" s="315" t="str">
        <f>IF(INDEX(tab_MinKomp[CMM - Contura Zeiss],MATCH($B117,tab_MinKomp[[Stanowisko / Position ]:[Stanowisko / Position ]],0))="n/a","n/a",DS117-INDEX(tab_MinKomp[CMM - Contura Zeiss],MATCH($B117,tab_MinKomp[[Stanowisko / Position ]:[Stanowisko / Position ]],0)))</f>
        <v>n/a</v>
      </c>
      <c r="DT118" s="315" t="str">
        <f>IF(INDEX(tab_MinKomp[CMM - Contura Zeiss],MATCH($B117,tab_MinKomp[[Stanowisko / Position ]:[Stanowisko / Position ]],0))="n/a","n/a",DT117-INDEX(tab_MinKomp[CMM - Contura Zeiss],MATCH($B117,tab_MinKomp[[Stanowisko / Position ]:[Stanowisko / Position ]],0)))</f>
        <v>n/a</v>
      </c>
      <c r="DU118" s="315" t="str">
        <f>IF(INDEX(tab_MinKomp[MSA i SPC],MATCH($B117,tab_MinKomp[[Stanowisko / Position ]:[Stanowisko / Position ]],0))="n/a","n/a",DU117-INDEX(tab_MinKomp[MSA i SPC],MATCH($B117,tab_MinKomp[[Stanowisko / Position ]:[Stanowisko / Position ]],0)))</f>
        <v>n/a</v>
      </c>
      <c r="DV118" s="315" t="str">
        <f>IF(INDEX(tab_MinKomp[Kontrola wejściowa komponentów/ Eingangskontrolle],MATCH($B117,tab_MinKomp[[Stanowisko / Position ]:[Stanowisko / Position ]],0))="n/a","n/a",DV117-INDEX(tab_MinKomp[Kontrola wejściowa komponentów/ Eingangskontrolle],MATCH($B117,tab_MinKomp[[Stanowisko / Position ]:[Stanowisko / Position ]],0)))</f>
        <v>n/a</v>
      </c>
      <c r="DW118" s="315" t="str">
        <f>IF(INDEX(tab_MinKomp[Kontrola wyjściowa produktu / Ausgangskontrolle],MATCH($B117,tab_MinKomp[[Stanowisko / Position ]:[Stanowisko / Position ]],0))="n/a","n/a",DW117-INDEX(tab_MinKomp[Kontrola wyjściowa produktu / Ausgangskontrolle],MATCH($B117,tab_MinKomp[[Stanowisko / Position ]:[Stanowisko / Position ]],0)))</f>
        <v>n/a</v>
      </c>
      <c r="DX118" s="315" t="str">
        <f>IF(INDEX(tab_MinKomp[Kontrola codzienna produkcji / Tägliche Produktionskontrolle],MATCH($B117,tab_MinKomp[[Stanowisko / Position ]:[Stanowisko / Position ]],0))="n/a","n/a",DX117-INDEX(tab_MinKomp[Kontrola codzienna produkcji / Tägliche Produktionskontrolle],MATCH($B117,tab_MinKomp[[Stanowisko / Position ]:[Stanowisko / Position ]],0)))</f>
        <v>n/a</v>
      </c>
      <c r="DY118" s="315" t="str">
        <f>IF(INDEX(tab_MinKomp[Konserwacja Rep],MATCH($B117,tab_MinKomp[[Stanowisko / Position ]:[Stanowisko / Position ]],0))="n/a","n/a",DY117-INDEX(tab_MinKomp[Konserwacja Rep],MATCH($B117,tab_MinKomp[[Stanowisko / Position ]:[Stanowisko / Position ]],0)))</f>
        <v>n/a</v>
      </c>
      <c r="DZ118" s="315" t="str">
        <f>IF(INDEX(tab_MinKomp[[Konserwacja Engel ]],MATCH($B117,tab_MinKomp[[Stanowisko / Position ]:[Stanowisko / Position ]],0))="n/a","n/a",DZ117-INDEX(tab_MinKomp[[Konserwacja Engel ]],MATCH($B117,tab_MinKomp[[Stanowisko / Position ]:[Stanowisko / Position ]],0)))</f>
        <v>n/a</v>
      </c>
      <c r="EA118" s="315" t="str">
        <f>IF(INDEX(tab_MinKomp[Konserwacja B 50],MATCH($B117,tab_MinKomp[[Stanowisko / Position ]:[Stanowisko / Position ]],0))="n/a","n/a",EA117-INDEX(tab_MinKomp[Konserwacja B 50],MATCH($B117,tab_MinKomp[[Stanowisko / Position ]:[Stanowisko / Position ]],0)))</f>
        <v>n/a</v>
      </c>
      <c r="EB118" s="315" t="str">
        <f>IF(INDEX(tab_MinKomp[[Konserwacja EOL ]],MATCH($B117,tab_MinKomp[[Stanowisko / Position ]:[Stanowisko / Position ]],0))="n/a","n/a",EB117-INDEX(tab_MinKomp[[Konserwacja EOL ]],MATCH($B117,tab_MinKomp[[Stanowisko / Position ]:[Stanowisko / Position ]],0)))</f>
        <v>n/a</v>
      </c>
      <c r="EC118" s="315" t="str">
        <f>IF(INDEX(tab_MinKomp[Konserwacja Branson],MATCH($B117,tab_MinKomp[[Stanowisko / Position ]:[Stanowisko / Position ]],0))="n/a","n/a",EC117-INDEX(tab_MinKomp[Konserwacja Branson],MATCH($B117,tab_MinKomp[[Stanowisko / Position ]:[Stanowisko / Position ]],0)))</f>
        <v>n/a</v>
      </c>
      <c r="ED118" s="315" t="str">
        <f>IF(INDEX(tab_MinKomp[Konserwacja coolery],MATCH($B117,tab_MinKomp[[Stanowisko / Position ]:[Stanowisko / Position ]],0))="n/a","n/a",ED117-INDEX(tab_MinKomp[Konserwacja coolery],MATCH($B117,tab_MinKomp[[Stanowisko / Position ]:[Stanowisko / Position ]],0)))</f>
        <v>n/a</v>
      </c>
      <c r="EE118" s="315" t="str">
        <f>IF(INDEX(tab_MinKomp[Konserwacja piecy],MATCH($B117,tab_MinKomp[[Stanowisko / Position ]:[Stanowisko / Position ]],0))="n/a","n/a",EE117-INDEX(tab_MinKomp[Konserwacja piecy],MATCH($B117,tab_MinKomp[[Stanowisko / Position ]:[Stanowisko / Position ]],0)))</f>
        <v>n/a</v>
      </c>
      <c r="EF118" s="315" t="str">
        <f>IF(INDEX(tab_MinKomp[Rysunek techniczny- czytanie],MATCH($B117,tab_MinKomp[[Stanowisko / Position ]:[Stanowisko / Position ]],0))="n/a","n/a",EF117-INDEX(tab_MinKomp[Rysunek techniczny- czytanie],MATCH($B117,tab_MinKomp[[Stanowisko / Position ]:[Stanowisko / Position ]],0)))</f>
        <v>n/a</v>
      </c>
      <c r="EG118" s="315" t="str">
        <f>IF(INDEX(tab_MinKomp[Elektryka],MATCH($B117,tab_MinKomp[[Stanowisko / Position ]:[Stanowisko / Position ]],0))="n/a","n/a",EG117-INDEX(tab_MinKomp[Elektryka],MATCH($B117,tab_MinKomp[[Stanowisko / Position ]:[Stanowisko / Position ]],0)))</f>
        <v>n/a</v>
      </c>
      <c r="EH118" s="315" t="str">
        <f>IF(INDEX(tab_MinKomp[Pneumatyka],MATCH($B117,tab_MinKomp[[Stanowisko / Position ]:[Stanowisko / Position ]],0))="n/a","n/a",EH117-INDEX(tab_MinKomp[Pneumatyka],MATCH($B117,tab_MinKomp[[Stanowisko / Position ]:[Stanowisko / Position ]],0)))</f>
        <v>n/a</v>
      </c>
      <c r="EI118" s="315" t="str">
        <f>IF(INDEX(tab_MinKomp[[Hydraulika ]],MATCH($B117,tab_MinKomp[[Stanowisko / Position ]:[Stanowisko / Position ]],0))="n/a","n/a",EI117-INDEX(tab_MinKomp[[Hydraulika ]],MATCH($B117,tab_MinKomp[[Stanowisko / Position ]:[Stanowisko / Position ]],0)))</f>
        <v>n/a</v>
      </c>
      <c r="EJ118" s="315" t="str">
        <f>IF(INDEX(tab_MinKomp[Podciśnienie],MATCH($B117,tab_MinKomp[[Stanowisko / Position ]:[Stanowisko / Position ]],0))="n/a","n/a",EJ117-INDEX(tab_MinKomp[Podciśnienie],MATCH($B117,tab_MinKomp[[Stanowisko / Position ]:[Stanowisko / Position ]],0)))</f>
        <v>n/a</v>
      </c>
      <c r="EK118" s="315" t="str">
        <f>IF(INDEX(tab_MinKomp[Usuwanie awarii],MATCH($B117,tab_MinKomp[[Stanowisko / Position ]:[Stanowisko / Position ]],0))="n/a","n/a",EK117-INDEX(tab_MinKomp[Usuwanie awarii],MATCH($B117,tab_MinKomp[[Stanowisko / Position ]:[Stanowisko / Position ]],0)))</f>
        <v>n/a</v>
      </c>
      <c r="EL118" s="315" t="str">
        <f>IF(INDEX(tab_MinKomp[Obsługa robotów],MATCH($B117,tab_MinKomp[[Stanowisko / Position ]:[Stanowisko / Position ]],0))="n/a","n/a",EL117-INDEX(tab_MinKomp[Obsługa robotów],MATCH($B117,tab_MinKomp[[Stanowisko / Position ]:[Stanowisko / Position ]],0)))</f>
        <v>n/a</v>
      </c>
      <c r="EM118" s="315" t="str">
        <f>IF(INDEX(tab_MinKomp[Obsługa sterowania maszyny],MATCH($B117,tab_MinKomp[[Stanowisko / Position ]:[Stanowisko / Position ]],0))="n/a","n/a",EM117-INDEX(tab_MinKomp[Obsługa sterowania maszyny],MATCH($B117,tab_MinKomp[[Stanowisko / Position ]:[Stanowisko / Position ]],0)))</f>
        <v>n/a</v>
      </c>
      <c r="EN118" s="315" t="str">
        <f>IF(INDEX(tab_MinKomp[Usuwanie przyczyn żródłowych],MATCH($B117,tab_MinKomp[[Stanowisko / Position ]:[Stanowisko / Position ]],0))="n/a","n/a",EN117-INDEX(tab_MinKomp[Usuwanie przyczyn żródłowych],MATCH($B117,tab_MinKomp[[Stanowisko / Position ]:[Stanowisko / Position ]],0)))</f>
        <v>n/a</v>
      </c>
      <c r="EO118" s="315" t="str">
        <f>IF(INDEX(tab_MinKomp[Cmms stosowanie],MATCH($B117,tab_MinKomp[[Stanowisko / Position ]:[Stanowisko / Position ]],0))="n/a","n/a",EO117-INDEX(tab_MinKomp[Cmms stosowanie],MATCH($B117,tab_MinKomp[[Stanowisko / Position ]:[Stanowisko / Position ]],0)))</f>
        <v>n/a</v>
      </c>
      <c r="EP118" s="315" t="str">
        <f>IF(INDEX(tab_MinKomp[[Czyszczenie form gumowych ]],MATCH($B117,tab_MinKomp[[Stanowisko / Position ]:[Stanowisko / Position ]],0))="n/a","n/a",EP117-INDEX(tab_MinKomp[[Czyszczenie form gumowych ]],MATCH($B117,tab_MinKomp[[Stanowisko / Position ]:[Stanowisko / Position ]],0)))</f>
        <v>n/a</v>
      </c>
      <c r="EQ118" s="315" t="str">
        <f>IF(INDEX(tab_MinKomp[Czyszczenie form plastikowych],MATCH($B117,tab_MinKomp[[Stanowisko / Position ]:[Stanowisko / Position ]],0))="n/a","n/a",EQ117-INDEX(tab_MinKomp[Czyszczenie form plastikowych],MATCH($B117,tab_MinKomp[[Stanowisko / Position ]:[Stanowisko / Position ]],0)))</f>
        <v>n/a</v>
      </c>
      <c r="ER118" s="315" t="str">
        <f>IF(INDEX(tab_MinKomp[Wymiana form plastik],MATCH($B117,tab_MinKomp[[Stanowisko / Position ]:[Stanowisko / Position ]],0))="n/a","n/a",ER117-INDEX(tab_MinKomp[Wymiana form plastik],MATCH($B117,tab_MinKomp[[Stanowisko / Position ]:[Stanowisko / Position ]],0)))</f>
        <v>n/a</v>
      </c>
      <c r="ES118" s="315" t="str">
        <f>IF(INDEX(tab_MinKomp[Wymiana form guma],MATCH($B117,tab_MinKomp[[Stanowisko / Position ]:[Stanowisko / Position ]],0))="n/a","n/a",ES117-INDEX(tab_MinKomp[Wymiana form guma],MATCH($B117,tab_MinKomp[[Stanowisko / Position ]:[Stanowisko / Position ]],0)))</f>
        <v>n/a</v>
      </c>
      <c r="ET118" s="315" t="str">
        <f>IF(INDEX(tab_MinKomp[Konserwacja KK],MATCH($B117,tab_MinKomp[[Stanowisko / Position ]:[Stanowisko / Position ]],0))="n/a","n/a",ET117-INDEX(tab_MinKomp[Konserwacja KK],MATCH($B117,tab_MinKomp[[Stanowisko / Position ]:[Stanowisko / Position ]],0)))</f>
        <v>n/a</v>
      </c>
      <c r="EU118" s="315" t="str">
        <f>IF(INDEX(tab_MinKomp[Konserwacja form guma],MATCH($B117,tab_MinKomp[[Stanowisko / Position ]:[Stanowisko / Position ]],0))="n/a","n/a",EU117-INDEX(tab_MinKomp[Konserwacja form guma],MATCH($B117,tab_MinKomp[[Stanowisko / Position ]:[Stanowisko / Position ]],0)))</f>
        <v>n/a</v>
      </c>
      <c r="EV118" s="315" t="str">
        <f>IF(INDEX(tab_MinKomp[Konserwacja form plastiki],MATCH($B117,tab_MinKomp[[Stanowisko / Position ]:[Stanowisko / Position ]],0))="n/a","n/a",EV117-INDEX(tab_MinKomp[Konserwacja form plastiki],MATCH($B117,tab_MinKomp[[Stanowisko / Position ]:[Stanowisko / Position ]],0)))</f>
        <v>n/a</v>
      </c>
      <c r="EW118" s="330" t="str">
        <f>IF(INDEX(tab_MinKomp[Konserwacja form plastiki],MATCH($B117,tab_MinKomp[[Stanowisko / Position ]:[Stanowisko / Position ]],0))="n/a","n/a",EW117-INDEX(tab_MinKomp[Konserwacja form plastiki],MATCH($B117,tab_MinKomp[[Stanowisko / Position ]:[Stanowisko / Position ]],0)))</f>
        <v>n/a</v>
      </c>
      <c r="EX118" s="315" t="str">
        <f>IF(INDEX(tab_MinKomp[Konserwacja Gorącego Kanału],MATCH($B117,tab_MinKomp[[Stanowisko / Position ]:[Stanowisko / Position ]],0))="n/a","n/a",EX117-INDEX(tab_MinKomp[Konserwacja Gorącego Kanału],MATCH($B117,tab_MinKomp[[Stanowisko / Position ]:[Stanowisko / Position ]],0)))</f>
        <v>n/a</v>
      </c>
      <c r="EY118" s="315">
        <f>IF(INDEX(tab_MinKomp[MS Office (Excel)],MATCH($B117,tab_MinKomp[[Stanowisko / Position ]:[Stanowisko / Position ]],0))="n/a","n/a",EY117-INDEX(tab_MinKomp[MS Office (Excel)],MATCH($B117,tab_MinKomp[[Stanowisko / Position ]:[Stanowisko / Position ]],0)))</f>
        <v>1</v>
      </c>
      <c r="EZ118" s="315">
        <f>IF(INDEX(tab_MinKomp[MS Office (Word)],MATCH($B117,tab_MinKomp[[Stanowisko / Position ]:[Stanowisko / Position ]],0))="n/a","n/a",EZ117-INDEX(tab_MinKomp[MS Office (Word)],MATCH($B117,tab_MinKomp[[Stanowisko / Position ]:[Stanowisko / Position ]],0)))</f>
        <v>0</v>
      </c>
      <c r="FA118" s="315">
        <f>IF(INDEX(tab_MinKomp[MS Office (Power Point)],MATCH($B117,tab_MinKomp[[Stanowisko / Position ]:[Stanowisko / Position ]],0))="n/a","n/a",FA117-INDEX(tab_MinKomp[MS Office (Power Point)],MATCH($B117,tab_MinKomp[[Stanowisko / Position ]:[Stanowisko / Position ]],0)))</f>
        <v>0</v>
      </c>
      <c r="FB118" s="317">
        <f>IF(INDEX(tab_MinKomp[Język angielski / Englisch],MATCH($B117,tab_MinKomp[[Stanowisko / Position ]:[Stanowisko / Position ]],0))="n/a","n/a",FB117-INDEX(tab_MinKomp[Język angielski / Englisch],MATCH($B117,tab_MinKomp[[Stanowisko / Position ]:[Stanowisko / Position ]],0)))</f>
        <v>0</v>
      </c>
      <c r="FC118" s="315" t="str">
        <f>IF(INDEX(tab_MinKomp[Język niemiecki / Deutsch],MATCH($B117,tab_MinKomp[[Stanowisko / Position ]:[Stanowisko / Position ]],0))="n/a","n/a",FC117-INDEX(tab_MinKomp[Język niemiecki / Deutsch],MATCH($B117,tab_MinKomp[[Stanowisko / Position ]:[Stanowisko / Position ]],0)))</f>
        <v>n/a</v>
      </c>
      <c r="FD118" s="315">
        <f>IF(INDEX(tab_MinKomp[Zarządzanie dokumentacją procesową / Process dokumentation management],MATCH($B117,tab_MinKomp[[Stanowisko / Position ]:[Stanowisko / Position ]],0))="n/a","n/a",FD117-INDEX(tab_MinKomp[Zarządzanie dokumentacją procesową / Process dokumentation management],MATCH($B117,tab_MinKomp[[Stanowisko / Position ]:[Stanowisko / Position ]],0)))</f>
        <v>0</v>
      </c>
      <c r="FE118" s="315">
        <f>IF(INDEX(tab_MinKomp[Znajomość procesów z obszaru / Kenntiss der prozesse in dem Bereich],MATCH($B117,tab_MinKomp[[Stanowisko / Position ]:[Stanowisko / Position ]],0))="n/a","n/a",FE117-INDEX(tab_MinKomp[Znajomość procesów z obszaru / Kenntiss der prozesse in dem Bereich],MATCH($B117,tab_MinKomp[[Stanowisko / Position ]:[Stanowisko / Position ]],0)))</f>
        <v>0</v>
      </c>
      <c r="FF118" s="315">
        <f>IF(INDEX(tab_MinKomp[optymalizacja procesów / Prozessoptymalisierung],MATCH($B117,tab_MinKomp[[Stanowisko / Position ]:[Stanowisko / Position ]],0))="n/a","n/a",FF117-INDEX(tab_MinKomp[optymalizacja procesów / Prozessoptymalisierung],MATCH($B117,tab_MinKomp[[Stanowisko / Position ]:[Stanowisko / Position ]],0)))</f>
        <v>0</v>
      </c>
      <c r="FG118" s="315">
        <f>IF(INDEX(tab_MinKomp[Umiejętności szkoleniowe / Trainingsfähigkeiten],MATCH($B117,tab_MinKomp[[Stanowisko / Position ]:[Stanowisko / Position ]],0))="n/a","n/a",FG117-INDEX(tab_MinKomp[Umiejętności szkoleniowe / Trainingsfähigkeiten],MATCH($B117,tab_MinKomp[[Stanowisko / Position ]:[Stanowisko / Position ]],0)))</f>
        <v>0</v>
      </c>
      <c r="FH118" s="315">
        <f>IF(INDEX(tab_MinKomp[Analityczne myślenie, podejście / Analitysches Denken, Einstellung],MATCH($B117,tab_MinKomp[[Stanowisko / Position ]:[Stanowisko / Position ]],0))="n/a","n/a",FH117-INDEX(tab_MinKomp[Analityczne myślenie, podejście / Analitysches Denken, Einstellung],MATCH($B117,tab_MinKomp[[Stanowisko / Position ]:[Stanowisko / Position ]],0)))</f>
        <v>0</v>
      </c>
      <c r="FI118" s="315">
        <f>IF(INDEX(tab_MinKomp[Dokładność, precyzja w dzialaniu / Genauigkeit, Präzision in die Arbeit],MATCH($B117,tab_MinKomp[[Stanowisko / Position ]:[Stanowisko / Position ]],0))="n/a","n/a",FI117-INDEX(tab_MinKomp[Dokładność, precyzja w dzialaniu / Genauigkeit, Präzision in die Arbeit],MATCH($B117,tab_MinKomp[[Stanowisko / Position ]:[Stanowisko / Position ]],0)))</f>
        <v>0</v>
      </c>
      <c r="FJ118" s="315">
        <f>IF(INDEX(tab_MinKomp[Dyspozycyjność / Verfügbarkeit],MATCH($B117,tab_MinKomp[[Stanowisko / Position ]:[Stanowisko / Position ]],0))="n/a","n/a",FJ117-INDEX(tab_MinKomp[Dyspozycyjność / Verfügbarkeit],MATCH($B117,tab_MinKomp[[Stanowisko / Position ]:[Stanowisko / Position ]],0)))</f>
        <v>0</v>
      </c>
      <c r="FK118" s="315">
        <f>IF(INDEX(tab_MinKomp[Zaangażowanie / 
Engagement],MATCH($B117,tab_MinKomp[[Stanowisko / Position ]:[Stanowisko / Position ]],0))="n/a","n/a",FK117-INDEX(tab_MinKomp[Zaangażowanie / 
Engagement],MATCH($B117,tab_MinKomp[[Stanowisko / Position ]:[Stanowisko / Position ]],0)))</f>
        <v>0</v>
      </c>
      <c r="FL118" s="315">
        <f>IF(INDEX(tab_MinKomp[Planowanie strategiczne / Strategische Planung],MATCH($B117,tab_MinKomp[[Stanowisko / Position ]:[Stanowisko / Position ]],0))="n/a","n/a",FL117-INDEX(tab_MinKomp[Planowanie strategiczne / Strategische Planung],MATCH($B117,tab_MinKomp[[Stanowisko / Position ]:[Stanowisko / Position ]],0)))</f>
        <v>0</v>
      </c>
      <c r="FM118" s="315">
        <f>IF(INDEX(tab_MinKomp[Konsekwentne i dynamiczne działanie],MATCH($B117,tab_MinKomp[[Stanowisko / Position ]:[Stanowisko / Position ]],0))="n/a","n/a",FM117-INDEX(tab_MinKomp[Konsekwentne i dynamiczne działanie],MATCH($B117,tab_MinKomp[[Stanowisko / Position ]:[Stanowisko / Position ]],0)))</f>
        <v>0</v>
      </c>
      <c r="FN118" s="315">
        <f>IF(INDEX(tab_MinKomp[Elastyczność w działaniu],MATCH($B117,tab_MinKomp[[Stanowisko / Position ]:[Stanowisko / Position ]],0))="n/a","n/a",FN117-INDEX(tab_MinKomp[Elastyczność w działaniu],MATCH($B117,tab_MinKomp[[Stanowisko / Position ]:[Stanowisko / Position ]],0)))</f>
        <v>0</v>
      </c>
      <c r="FO118" s="315">
        <f>IF(INDEX(tab_MinKomp[Komunikatywność],MATCH($B117,tab_MinKomp[[Stanowisko / Position ]:[Stanowisko / Position ]],0))="n/a","n/a",FO117-INDEX(tab_MinKomp[Komunikatywność],MATCH($B117,tab_MinKomp[[Stanowisko / Position ]:[Stanowisko / Position ]],0)))</f>
        <v>0</v>
      </c>
      <c r="FP118" s="314">
        <f>IF(INDEX(tab_MinKomp[Motywowanie i budowanie zaangażowania zespołu],MATCH($B117,tab_MinKomp[[Stanowisko / Position ]:[Stanowisko / Position ]],0))="n/a","n/a",FP117-INDEX(tab_MinKomp[Motywowanie i budowanie zaangażowania zespołu],MATCH($B117,tab_MinKomp[[Stanowisko / Position ]:[Stanowisko / Position ]],0)))</f>
        <v>0</v>
      </c>
      <c r="FQ118" s="318" t="str">
        <f>IFERROR(IF(INDEX(tab_MinKomp[BRAK / Keine],MATCH($B117,tab_MinKomp[[Stanowisko / Position ]:[Stanowisko / Position ]],0))="n/a","n/a",INDEX(tab_MinKomp[BRAK / Keine],MATCH($B117,tab_MinKomp[[Stanowisko / Position ]:[Stanowisko / Position ]],0))-FQ117),"")</f>
        <v>n/a</v>
      </c>
      <c r="FR118" s="315" t="str">
        <f>IF(INDEX(tab_MinKomp[MINIMUM 1 ROK / min. 1 Jahr],MATCH($B117,tab_MinKomp[[Stanowisko / Position ]:[Stanowisko / Position ]],0))="n/a","n/a",INDEX(tab_MinKomp[MINIMUM 1 ROK / min. 1 Jahr],MATCH($B117,tab_MinKomp[[Stanowisko / Position ]:[Stanowisko / Position ]],0)))</f>
        <v>n/a</v>
      </c>
      <c r="FS118" s="315" t="str">
        <f>IF(INDEX(tab_MinKomp[MINIMUM 2 LATA / min. 2 Jahre],MATCH($B117,tab_MinKomp[[Stanowisko / Position ]:[Stanowisko / Position ]],0))="n/a","n/a",INDEX(tab_MinKomp[MINIMUM 2 LATA / min. 2 Jahre],MATCH($B117,tab_MinKomp[[Stanowisko / Position ]:[Stanowisko / Position ]],0)))</f>
        <v>x</v>
      </c>
      <c r="FT118" s="315" t="str">
        <f>IF(INDEX(tab_MinKomp[MINIMUM 3 LATA / min. 3 Jahre],MATCH($B117,tab_MinKomp[[Stanowisko / Position ]:[Stanowisko / Position ]],0))="n/a","n/a",INDEX(tab_MinKomp[MINIMUM 3 LATA / min. 3 Jahre],MATCH($B117,tab_MinKomp[[Stanowisko / Position ]:[Stanowisko / Position ]],0)))</f>
        <v>n/a</v>
      </c>
      <c r="FU118" s="315" t="str">
        <f>IF(INDEX(tab_MinKomp[MINIMUM 4 LATA / min. 4 Jahre],MATCH($B117,tab_MinKomp[[Stanowisko / Position ]:[Stanowisko / Position ]],0))="n/a","n/a",INDEX(tab_MinKomp[MINIMUM 4 LATA / min. 4 Jahre],MATCH($B117,tab_MinKomp[[Stanowisko / Position ]:[Stanowisko / Position ]],0)))</f>
        <v>n/a</v>
      </c>
      <c r="FV118" s="319" t="str">
        <f>IF(INDEX(tab_MinKomp[MINIMUM 5 LAT / min. 5 Jahre],MATCH($B117,tab_MinKomp[[Stanowisko / Position ]:[Stanowisko / Position ]],0))="n/a","n/a",INDEX(tab_MinKomp[MINIMUM 5 LAT / min. 5 Jahre],MATCH($B117,tab_MinKomp[[Stanowisko / Position ]:[Stanowisko / Position ]],0)))</f>
        <v>n/a</v>
      </c>
      <c r="FW118" s="318" t="str">
        <f>IF(INDEX(tab_MinKomp[BRAK / Keine9],MATCH($B117,tab_MinKomp[[Stanowisko / Position ]:[Stanowisko / Position ]],0))="n/a","n/a",INDEX(tab_MinKomp[BRAK / Keine9],MATCH($B117,tab_MinKomp[[Stanowisko / Position ]:[Stanowisko / Position ]],0)))</f>
        <v>n/a</v>
      </c>
      <c r="FX118" s="315" t="str">
        <f>IF(INDEX(tab_MinKomp[ZAWODOWE / Berufsausbildung],MATCH($B117,tab_MinKomp[[Stanowisko / Position ]:[Stanowisko / Position ]],0))="n/a","n/a",INDEX(tab_MinKomp[ZAWODOWE / Berufsausbildung],MATCH($B117,tab_MinKomp[[Stanowisko / Position ]:[Stanowisko / Position ]],0)))</f>
        <v>n/a</v>
      </c>
      <c r="FY118" s="315" t="str">
        <f>IF(INDEX(tab_MinKomp[ŚREDNIE OGÓLNE / Abitur allgemeine],MATCH($B117,tab_MinKomp[[Stanowisko / Position ]:[Stanowisko / Position ]],0))="n/a","n/a",INDEX(tab_MinKomp[ŚREDNIE OGÓLNE / Abitur allgemeine],MATCH($B117,tab_MinKomp[[Stanowisko / Position ]:[Stanowisko / Position ]],0)))</f>
        <v>n/a</v>
      </c>
      <c r="FZ118" s="315" t="str">
        <f>IF(INDEX(tab_MinKomp[ŚREDNIE KIERUNKOWE / berufliches Gymnasium],MATCH($B117,tab_MinKomp[[Stanowisko / Position ]:[Stanowisko / Position ]],0))="n/a","n/a",INDEX(tab_MinKomp[ŚREDNIE KIERUNKOWE / berufliches Gymnasium],MATCH($B117,tab_MinKomp[[Stanowisko / Position ]:[Stanowisko / Position ]],0)))</f>
        <v>n/a</v>
      </c>
      <c r="GA118" s="315" t="str">
        <f>IF(INDEX(tab_MinKomp[WYŻSZE OGÓLNE / Hochschule allgemeine],MATCH($B117,tab_MinKomp[[Stanowisko / Position ]:[Stanowisko / Position ]],0))="n/a","n/a",INDEX(tab_MinKomp[WYŻSZE OGÓLNE / Hochschule allgemeine],MATCH($B117,tab_MinKomp[[Stanowisko / Position ]:[Stanowisko / Position ]],0)))</f>
        <v>n/a</v>
      </c>
      <c r="GB118" s="319" t="str">
        <f>IF(INDEX(tab_MinKomp[WYŻSZE KIERUNKOWE / Hochschule berufliche],MATCH($B117,tab_MinKomp[[Stanowisko / Position ]:[Stanowisko / Position ]],0))="n/a","n/a",INDEX(tab_MinKomp[WYŻSZE KIERUNKOWE / Hochschule berufliche],MATCH($B117,tab_MinKomp[[Stanowisko / Position ]:[Stanowisko / Position ]],0)))</f>
        <v>n/a</v>
      </c>
      <c r="GC118" s="318" t="str">
        <f>IF(INDEX(tab_MinKomp[PIERWSZA POMOC / Erste Hilfe],MATCH($B117,tab_MinKomp[[Stanowisko / Position ]:[Stanowisko / Position ]],0))="n/a","n/a",INDEX(tab_MinKomp[PIERWSZA POMOC / Erste Hilfe],MATCH($B117,tab_MinKomp[[Stanowisko / Position ]:[Stanowisko / Position ]],0)))</f>
        <v>n/a</v>
      </c>
      <c r="GD118" s="315" t="str">
        <f>IF(INDEX(tab_MinKomp[Specjalista BHP / BHP Spezialist],MATCH($B117,tab_MinKomp[[Stanowisko / Position ]:[Stanowisko / Position ]],0))="n/a","n/a",INDEX(tab_MinKomp[Specjalista BHP / BHP Spezialist],MATCH($B117,tab_MinKomp[[Stanowisko / Position ]:[Stanowisko / Position ]],0)))</f>
        <v>n/a</v>
      </c>
      <c r="GE118" s="315" t="str">
        <f>IF(INDEX(tab_MinKomp[Inspektor ochrony PPOŻ / Brandschutzinspektor],MATCH($B117,tab_MinKomp[[Stanowisko / Position ]:[Stanowisko / Position ]],0))="n/a","n/a",INDEX(tab_MinKomp[Inspektor ochrony PPOŻ / Brandschutzinspektor],MATCH($B117,tab_MinKomp[[Stanowisko / Position ]:[Stanowisko / Position ]],0)))</f>
        <v>n/a</v>
      </c>
      <c r="GF118" s="315" t="str">
        <f>IF(INDEX(tab_MinKomp[WÓZKI JEZDNIOWE / Gebelstapler],MATCH($B117,tab_MinKomp[[Stanowisko / Position ]:[Stanowisko / Position ]],0))="n/a","n/a",INDEX(tab_MinKomp[WÓZKI JEZDNIOWE / Gebelstapler],MATCH($B117,tab_MinKomp[[Stanowisko / Position ]:[Stanowisko / Position ]],0)))</f>
        <v>n/a</v>
      </c>
      <c r="GG118" s="315" t="str">
        <f>IF(INDEX(tab_MinKomp[SEP],MATCH($B117,tab_MinKomp[[Stanowisko / Position ]:[Stanowisko / Position ]],0))="n/a","n/a",INDEX(tab_MinKomp[SEP],MATCH($B117,tab_MinKomp[[Stanowisko / Position ]:[Stanowisko / Position ]],0)))</f>
        <v>n/a</v>
      </c>
      <c r="GH118" s="315" t="str">
        <f>IF(INDEX(tab_MinKomp[SEP  DOZÓR / SEP Aufsicht],MATCH($B117,tab_MinKomp[[Stanowisko / Position ]:[Stanowisko / Position ]],0))="n/a","n/a",INDEX(tab_MinKomp[SEP  DOZÓR / SEP Aufsicht],MATCH($B117,tab_MinKomp[[Stanowisko / Position ]:[Stanowisko / Position ]],0)))</f>
        <v>n/a</v>
      </c>
      <c r="GI118" s="315" t="str">
        <f>IF(INDEX(tab_MinKomp[PODNOŚNIKI / Hebevorrichtung],MATCH($B117,tab_MinKomp[[Stanowisko / Position ]:[Stanowisko / Position ]],0))="n/a","n/a",INDEX(tab_MinKomp[PODNOŚNIKI / Hebevorrichtung],MATCH($B117,tab_MinKomp[[Stanowisko / Position ]:[Stanowisko / Position ]],0)))</f>
        <v>n/a</v>
      </c>
      <c r="GJ118" s="315" t="str">
        <f>IF(INDEX(tab_MinKomp[SUWNICE / Laufkran],MATCH($B117,tab_MinKomp[[Stanowisko / Position ]:[Stanowisko / Position ]],0))="n/a","n/a",INDEX(tab_MinKomp[SUWNICE / Laufkran],MATCH($B117,tab_MinKomp[[Stanowisko / Position ]:[Stanowisko / Position ]],0)))</f>
        <v>n/a</v>
      </c>
      <c r="GK118" s="319" t="str">
        <f>IF(INDEX(tab_MinKomp[WYSOKOŚCIOWE / Höhenberechtigungen],MATCH($B117,tab_MinKomp[[Stanowisko / Position ]:[Stanowisko / Position ]],0))="n/a","n/a",INDEX(tab_MinKomp[WYSOKOŚCIOWE / Höhenberechtigungen],MATCH($B117,tab_MinKomp[[Stanowisko / Position ]:[Stanowisko / Position ]],0)))</f>
        <v>n/a</v>
      </c>
      <c r="GL118" s="320">
        <f>SUM(G118:FP118)/(GL117-(SUM(G118:FP118)))</f>
        <v>2.7210884353741496E-2</v>
      </c>
    </row>
    <row r="119" spans="1:195" s="133" customFormat="1" ht="28.35" customHeight="1" x14ac:dyDescent="0.25">
      <c r="A119" s="135" t="s">
        <v>181</v>
      </c>
      <c r="B119" s="135" t="s">
        <v>597</v>
      </c>
      <c r="C119" s="135" t="s">
        <v>613</v>
      </c>
      <c r="D119" s="135">
        <v>298</v>
      </c>
      <c r="E119" s="570" t="s">
        <v>250</v>
      </c>
      <c r="F119" s="339" t="s">
        <v>165</v>
      </c>
      <c r="G119" s="323">
        <v>2</v>
      </c>
      <c r="H119" s="323">
        <v>2</v>
      </c>
      <c r="I119" s="323">
        <v>2</v>
      </c>
      <c r="J119" s="323">
        <v>2</v>
      </c>
      <c r="K119" s="323">
        <v>2</v>
      </c>
      <c r="L119" s="323">
        <v>1</v>
      </c>
      <c r="M119" s="323" t="s">
        <v>176</v>
      </c>
      <c r="N119" s="323" t="s">
        <v>176</v>
      </c>
      <c r="O119" s="323">
        <v>1</v>
      </c>
      <c r="P119" s="323">
        <v>1</v>
      </c>
      <c r="Q119" s="308" t="s">
        <v>176</v>
      </c>
      <c r="R119" s="308" t="s">
        <v>176</v>
      </c>
      <c r="S119" s="308" t="s">
        <v>176</v>
      </c>
      <c r="T119" s="308" t="s">
        <v>176</v>
      </c>
      <c r="U119" s="308" t="s">
        <v>176</v>
      </c>
      <c r="V119" s="308" t="s">
        <v>176</v>
      </c>
      <c r="W119" s="308" t="s">
        <v>176</v>
      </c>
      <c r="X119" s="308" t="s">
        <v>176</v>
      </c>
      <c r="Y119" s="308" t="s">
        <v>176</v>
      </c>
      <c r="Z119" s="308" t="s">
        <v>176</v>
      </c>
      <c r="AA119" s="308" t="s">
        <v>176</v>
      </c>
      <c r="AB119" s="308" t="s">
        <v>176</v>
      </c>
      <c r="AC119" s="323">
        <v>1</v>
      </c>
      <c r="AD119" s="323">
        <v>1</v>
      </c>
      <c r="AE119" s="323">
        <v>1</v>
      </c>
      <c r="AF119" s="323">
        <v>1</v>
      </c>
      <c r="AG119" s="308" t="s">
        <v>176</v>
      </c>
      <c r="AH119" s="308" t="s">
        <v>176</v>
      </c>
      <c r="AI119" s="308" t="s">
        <v>176</v>
      </c>
      <c r="AJ119" s="308" t="s">
        <v>176</v>
      </c>
      <c r="AK119" s="308" t="s">
        <v>176</v>
      </c>
      <c r="AL119" s="308">
        <v>1</v>
      </c>
      <c r="AM119" s="308" t="s">
        <v>176</v>
      </c>
      <c r="AN119" s="308" t="s">
        <v>176</v>
      </c>
      <c r="AO119" s="308" t="s">
        <v>176</v>
      </c>
      <c r="AP119" s="308" t="s">
        <v>176</v>
      </c>
      <c r="AQ119" s="308" t="s">
        <v>176</v>
      </c>
      <c r="AR119" s="308" t="s">
        <v>176</v>
      </c>
      <c r="AS119" s="308" t="s">
        <v>176</v>
      </c>
      <c r="AT119" s="308" t="s">
        <v>176</v>
      </c>
      <c r="AU119" s="308" t="s">
        <v>176</v>
      </c>
      <c r="AV119" s="323">
        <v>1</v>
      </c>
      <c r="AW119" s="308"/>
      <c r="AX119" s="308"/>
      <c r="AY119" s="308" t="s">
        <v>176</v>
      </c>
      <c r="AZ119" s="308" t="s">
        <v>176</v>
      </c>
      <c r="BA119" s="308" t="s">
        <v>176</v>
      </c>
      <c r="BB119" s="308" t="s">
        <v>176</v>
      </c>
      <c r="BC119" s="308" t="s">
        <v>176</v>
      </c>
      <c r="BD119" s="308" t="s">
        <v>176</v>
      </c>
      <c r="BE119" s="308" t="s">
        <v>176</v>
      </c>
      <c r="BF119" s="308" t="s">
        <v>176</v>
      </c>
      <c r="BG119" s="308" t="s">
        <v>176</v>
      </c>
      <c r="BH119" s="308" t="s">
        <v>176</v>
      </c>
      <c r="BI119" s="308" t="s">
        <v>176</v>
      </c>
      <c r="BJ119" s="308" t="s">
        <v>176</v>
      </c>
      <c r="BK119" s="308" t="s">
        <v>176</v>
      </c>
      <c r="BL119" s="308" t="s">
        <v>176</v>
      </c>
      <c r="BM119" s="308" t="s">
        <v>176</v>
      </c>
      <c r="BN119" s="308">
        <v>1</v>
      </c>
      <c r="BO119" s="308">
        <v>1</v>
      </c>
      <c r="BP119" s="308">
        <v>1</v>
      </c>
      <c r="BQ119" s="308">
        <v>1</v>
      </c>
      <c r="BR119" s="308">
        <v>1</v>
      </c>
      <c r="BS119" s="308">
        <v>1</v>
      </c>
      <c r="BT119" s="308">
        <v>1</v>
      </c>
      <c r="BU119" s="308">
        <v>1</v>
      </c>
      <c r="BV119" s="308">
        <v>1</v>
      </c>
      <c r="BW119" s="308" t="s">
        <v>176</v>
      </c>
      <c r="BX119" s="308" t="s">
        <v>176</v>
      </c>
      <c r="BY119" s="308" t="s">
        <v>176</v>
      </c>
      <c r="BZ119" s="308" t="s">
        <v>176</v>
      </c>
      <c r="CA119" s="308" t="s">
        <v>176</v>
      </c>
      <c r="CB119" s="308" t="s">
        <v>176</v>
      </c>
      <c r="CC119" s="308" t="s">
        <v>176</v>
      </c>
      <c r="CD119" s="308" t="s">
        <v>176</v>
      </c>
      <c r="CE119" s="308" t="s">
        <v>176</v>
      </c>
      <c r="CF119" s="308" t="s">
        <v>176</v>
      </c>
      <c r="CG119" s="308" t="s">
        <v>176</v>
      </c>
      <c r="CH119" s="308" t="s">
        <v>176</v>
      </c>
      <c r="CI119" s="323">
        <v>1</v>
      </c>
      <c r="CJ119" s="308" t="s">
        <v>176</v>
      </c>
      <c r="CK119" s="308" t="s">
        <v>176</v>
      </c>
      <c r="CL119" s="308" t="s">
        <v>176</v>
      </c>
      <c r="CM119" s="308" t="s">
        <v>176</v>
      </c>
      <c r="CN119" s="323">
        <v>2</v>
      </c>
      <c r="CO119" s="323">
        <v>1</v>
      </c>
      <c r="CP119" s="323">
        <v>1</v>
      </c>
      <c r="CQ119" s="323" t="s">
        <v>176</v>
      </c>
      <c r="CR119" s="308" t="s">
        <v>176</v>
      </c>
      <c r="CS119" s="308" t="s">
        <v>176</v>
      </c>
      <c r="CT119" s="308" t="s">
        <v>176</v>
      </c>
      <c r="CU119" s="308">
        <v>1</v>
      </c>
      <c r="CV119" s="308" t="s">
        <v>176</v>
      </c>
      <c r="CW119" s="308" t="s">
        <v>176</v>
      </c>
      <c r="CX119" s="308" t="s">
        <v>176</v>
      </c>
      <c r="CY119" s="308" t="s">
        <v>176</v>
      </c>
      <c r="CZ119" s="308" t="s">
        <v>176</v>
      </c>
      <c r="DA119" s="308" t="s">
        <v>176</v>
      </c>
      <c r="DB119" s="308" t="s">
        <v>176</v>
      </c>
      <c r="DC119" s="308" t="s">
        <v>176</v>
      </c>
      <c r="DD119" s="308" t="s">
        <v>176</v>
      </c>
      <c r="DE119" s="308" t="s">
        <v>176</v>
      </c>
      <c r="DF119" s="308" t="s">
        <v>176</v>
      </c>
      <c r="DG119" s="308" t="s">
        <v>176</v>
      </c>
      <c r="DH119" s="308" t="s">
        <v>176</v>
      </c>
      <c r="DI119" s="308" t="s">
        <v>176</v>
      </c>
      <c r="DJ119" s="308" t="s">
        <v>176</v>
      </c>
      <c r="DK119" s="308" t="s">
        <v>176</v>
      </c>
      <c r="DL119" s="308" t="s">
        <v>176</v>
      </c>
      <c r="DM119" s="308" t="s">
        <v>176</v>
      </c>
      <c r="DN119" s="308" t="s">
        <v>176</v>
      </c>
      <c r="DO119" s="308" t="s">
        <v>176</v>
      </c>
      <c r="DP119" s="308" t="s">
        <v>176</v>
      </c>
      <c r="DQ119" s="308" t="s">
        <v>176</v>
      </c>
      <c r="DR119" s="308" t="s">
        <v>176</v>
      </c>
      <c r="DS119" s="308" t="s">
        <v>176</v>
      </c>
      <c r="DT119" s="308" t="s">
        <v>176</v>
      </c>
      <c r="DU119" s="308" t="s">
        <v>176</v>
      </c>
      <c r="DV119" s="308" t="s">
        <v>176</v>
      </c>
      <c r="DW119" s="308" t="s">
        <v>176</v>
      </c>
      <c r="DX119" s="308" t="s">
        <v>176</v>
      </c>
      <c r="DY119" s="323">
        <v>2</v>
      </c>
      <c r="DZ119" s="323">
        <v>1</v>
      </c>
      <c r="EA119" s="323">
        <v>2</v>
      </c>
      <c r="EB119" s="323">
        <v>1</v>
      </c>
      <c r="EC119" s="323">
        <v>2</v>
      </c>
      <c r="ED119" s="323">
        <v>2</v>
      </c>
      <c r="EE119" s="323">
        <v>2</v>
      </c>
      <c r="EF119" s="323">
        <v>1</v>
      </c>
      <c r="EG119" s="323">
        <v>1</v>
      </c>
      <c r="EH119" s="323">
        <v>1</v>
      </c>
      <c r="EI119" s="323">
        <v>1</v>
      </c>
      <c r="EJ119" s="323">
        <v>1</v>
      </c>
      <c r="EK119" s="355">
        <v>1</v>
      </c>
      <c r="EL119" s="471"/>
      <c r="EM119" s="469">
        <v>1</v>
      </c>
      <c r="EN119" s="323">
        <v>1</v>
      </c>
      <c r="EO119" s="323">
        <v>2</v>
      </c>
      <c r="EP119" s="308" t="s">
        <v>176</v>
      </c>
      <c r="EQ119" s="308" t="s">
        <v>176</v>
      </c>
      <c r="ER119" s="308" t="s">
        <v>176</v>
      </c>
      <c r="ES119" s="308" t="s">
        <v>176</v>
      </c>
      <c r="ET119" s="308" t="s">
        <v>176</v>
      </c>
      <c r="EU119" s="308" t="s">
        <v>176</v>
      </c>
      <c r="EV119" s="308" t="s">
        <v>176</v>
      </c>
      <c r="EW119" s="308" t="s">
        <v>176</v>
      </c>
      <c r="EX119" s="308" t="s">
        <v>176</v>
      </c>
      <c r="EY119" s="323"/>
      <c r="EZ119" s="323"/>
      <c r="FA119" s="308" t="s">
        <v>176</v>
      </c>
      <c r="FB119" s="309" t="s">
        <v>176</v>
      </c>
      <c r="FC119" s="309" t="s">
        <v>176</v>
      </c>
      <c r="FD119" s="323">
        <v>1</v>
      </c>
      <c r="FE119" s="323">
        <v>1</v>
      </c>
      <c r="FF119" s="323"/>
      <c r="FG119" s="308">
        <v>1</v>
      </c>
      <c r="FH119" s="323">
        <v>1</v>
      </c>
      <c r="FI119" s="323">
        <v>1</v>
      </c>
      <c r="FJ119" s="323">
        <v>1</v>
      </c>
      <c r="FK119" s="323">
        <v>1</v>
      </c>
      <c r="FL119" s="308" t="s">
        <v>176</v>
      </c>
      <c r="FM119" s="308">
        <v>1</v>
      </c>
      <c r="FN119" s="308" t="s">
        <v>176</v>
      </c>
      <c r="FO119" s="308" t="s">
        <v>176</v>
      </c>
      <c r="FP119" s="308" t="s">
        <v>176</v>
      </c>
      <c r="FQ119" s="308" t="s">
        <v>176</v>
      </c>
      <c r="FR119" s="308" t="s">
        <v>176</v>
      </c>
      <c r="FS119" s="308" t="s">
        <v>176</v>
      </c>
      <c r="FT119" s="308" t="s">
        <v>176</v>
      </c>
      <c r="FU119" s="308" t="s">
        <v>176</v>
      </c>
      <c r="FV119" s="308" t="s">
        <v>176</v>
      </c>
      <c r="FW119" s="308" t="s">
        <v>176</v>
      </c>
      <c r="FX119" s="308" t="s">
        <v>176</v>
      </c>
      <c r="FY119" s="308"/>
      <c r="FZ119" s="308" t="s">
        <v>176</v>
      </c>
      <c r="GA119" s="308" t="s">
        <v>176</v>
      </c>
      <c r="GB119" s="308" t="s">
        <v>176</v>
      </c>
      <c r="GC119" s="308" t="s">
        <v>176</v>
      </c>
      <c r="GD119" s="308" t="s">
        <v>176</v>
      </c>
      <c r="GE119" s="308" t="s">
        <v>176</v>
      </c>
      <c r="GF119" s="308" t="s">
        <v>387</v>
      </c>
      <c r="GG119" s="308" t="s">
        <v>387</v>
      </c>
      <c r="GH119" s="308" t="s">
        <v>387</v>
      </c>
      <c r="GI119" s="308" t="s">
        <v>387</v>
      </c>
      <c r="GJ119" s="308" t="s">
        <v>387</v>
      </c>
      <c r="GK119" s="308" t="s">
        <v>387</v>
      </c>
      <c r="GL119" s="329">
        <f>SUM(G119:FP119)</f>
        <v>64</v>
      </c>
      <c r="GM119" s="132"/>
    </row>
    <row r="120" spans="1:195" s="133" customFormat="1" ht="28.35" customHeight="1" thickBot="1" x14ac:dyDescent="0.3">
      <c r="A120" s="138" t="str">
        <f>A119</f>
        <v>Utrzymanie ruchu-Maintenance</v>
      </c>
      <c r="B120" s="138" t="str">
        <f>B119</f>
        <v>Mechanik-konserwator</v>
      </c>
      <c r="C120" s="138" t="str">
        <f>C119</f>
        <v>KS</v>
      </c>
      <c r="D120" s="138">
        <f>D119</f>
        <v>298</v>
      </c>
      <c r="E120" s="566" t="str">
        <f>E119</f>
        <v>Żukowski Adam</v>
      </c>
      <c r="F120" s="312" t="s">
        <v>166</v>
      </c>
      <c r="G120" s="387">
        <f>IF(INDEX(tab_MinKomp[Przepisy BHP / BHP Vorschriften],MATCH($B119,tab_MinKomp[[Stanowisko / Position ]:[Stanowisko / Position ]],0))="n/a","n/a",G119-INDEX(tab_MinKomp[Przepisy BHP / BHP Vorschriften],MATCH($B119,tab_MinKomp[[Stanowisko / Position ]:[Stanowisko / Position ]],0)))</f>
        <v>0</v>
      </c>
      <c r="H120" s="387">
        <f>IF(INDEX(tab_MinKomp[Przepisy PPOŻ / Brandschutzbestimmungen],MATCH($B119,tab_MinKomp[[Stanowisko / Position ]:[Stanowisko / Position ]],0))="n/a","n/a",H119-INDEX(tab_MinKomp[Przepisy PPOŻ / Brandschutzbestimmungen],MATCH($B119,tab_MinKomp[[Stanowisko / Position ]:[Stanowisko / Position ]],0)))</f>
        <v>0</v>
      </c>
      <c r="I120" s="387">
        <f>IF(INDEX(tab_MinKomp[Ryzyko zawodowe na stanowiskach pracyv/ Berufliche Risiken an Arbeitsstellen],MATCH($B119,tab_MinKomp[[Stanowisko / Position ]:[Stanowisko / Position ]],0))="n/a","n/a",I119-INDEX(tab_MinKomp[Ryzyko zawodowe na stanowiskach pracyv/ Berufliche Risiken an Arbeitsstellen],MATCH($B119,tab_MinKomp[[Stanowisko / Position ]:[Stanowisko / Position ]],0)))</f>
        <v>0</v>
      </c>
      <c r="J120" s="387">
        <f>IF(INDEX(tab_MinKomp[Gospodarka substancjami niebezpiecznymi / Gefahrstoffmanagement],MATCH($B119,tab_MinKomp[[Stanowisko / Position ]:[Stanowisko / Position ]],0))="n/a","n/a",J119-INDEX(tab_MinKomp[Gospodarka substancjami niebezpiecznymi / Gefahrstoffmanagement],MATCH($B119,tab_MinKomp[[Stanowisko / Position ]:[Stanowisko / Position ]],0)))</f>
        <v>0</v>
      </c>
      <c r="K120" s="387">
        <f>IF(INDEX(tab_MinKomp[Gospodarka odpadami / Abfallwirtschaft],MATCH($B119,tab_MinKomp[[Stanowisko / Position ]:[Stanowisko / Position ]],0))="n/a","n/a",K119-INDEX(tab_MinKomp[Gospodarka odpadami / Abfallwirtschaft],MATCH($B119,tab_MinKomp[[Stanowisko / Position ]:[Stanowisko / Position ]],0)))</f>
        <v>0</v>
      </c>
      <c r="L120" s="349">
        <f>IF(INDEX(tab_MinKomp[Przepisy kodeksu pracy / Bestimmungen des Arbeitsgesetzes],MATCH($B119,tab_MinKomp[[Stanowisko / Position ]:[Stanowisko / Position ]],0))="n/a","n/a",L119-INDEX(tab_MinKomp[Przepisy kodeksu pracy / Bestimmungen des Arbeitsgesetzes],MATCH($B119,tab_MinKomp[[Stanowisko / Position ]:[Stanowisko / Position ]],0)))</f>
        <v>0</v>
      </c>
      <c r="M120" s="349" t="str">
        <f>IF(INDEX(tab_MinKomp[Przepisy o ub.społ. ZUS  / Sozialversicherungsvorschriften],MATCH($B119,tab_MinKomp[[Stanowisko / Position ]:[Stanowisko / Position ]],0))="n/a","n/a",M119-INDEX(tab_MinKomp[Przepisy o ub.społ. ZUS  / Sozialversicherungsvorschriften],MATCH($B119,tab_MinKomp[[Stanowisko / Position ]:[Stanowisko / Position ]],0)))</f>
        <v>n/a</v>
      </c>
      <c r="N120" s="349" t="str">
        <f>IF(INDEX(tab_MinKomp[PRZEPISY O PDOF /persönlich Einkommensteuergesetz ],MATCH($B119,tab_MinKomp[[Stanowisko / Position ]:[Stanowisko / Position ]],0))="n/a","n/a",N119-INDEX(tab_MinKomp[PRZEPISY O PDOF /persönlich Einkommensteuergesetz ],MATCH($B119,tab_MinKomp[[Stanowisko / Position ]:[Stanowisko / Position ]],0)))</f>
        <v>n/a</v>
      </c>
      <c r="O120" s="349">
        <f>IF(INDEX(tab_MinKomp[Regulamin pracy / Arbeitsordnung],MATCH($B119,tab_MinKomp[[Stanowisko / Position ]:[Stanowisko / Position ]],0))="n/a","n/a",O119-INDEX(tab_MinKomp[Regulamin pracy / Arbeitsordnung],MATCH($B119,tab_MinKomp[[Stanowisko / Position ]:[Stanowisko / Position ]],0)))</f>
        <v>0</v>
      </c>
      <c r="P120" s="349">
        <f>IF(INDEX(tab_MinKomp[Regulamin wynagradzania / Vergütungsordnung],MATCH($B119,tab_MinKomp[[Stanowisko / Position ]:[Stanowisko / Position ]],0))="n/a","n/a",P119-INDEX(tab_MinKomp[Regulamin wynagradzania / Vergütungsordnung],MATCH($B119,tab_MinKomp[[Stanowisko / Position ]:[Stanowisko / Position ]],0)))</f>
        <v>0</v>
      </c>
      <c r="Q120" s="349" t="str">
        <f>IF(INDEX(tab_MinKomp[System R2PŁATNIK PRO: Płace / Lohnabrechnung],MATCH($B119,tab_MinKomp[[Stanowisko / Position ]:[Stanowisko / Position ]],0))="n/a","n/a",Q119-INDEX(tab_MinKomp[System R2PŁATNIK PRO: Płace / Lohnabrechnung],MATCH($B119,tab_MinKomp[[Stanowisko / Position ]:[Stanowisko / Position ]],0)))</f>
        <v>n/a</v>
      </c>
      <c r="R120" s="349" t="str">
        <f>IF(INDEX(tab_MinKomp[SystemR2PŁATNIK PRO: KADRY / Personaldaten],MATCH($B119,tab_MinKomp[[Stanowisko / Position ]:[Stanowisko / Position ]],0))="n/a","n/a",R119-INDEX(tab_MinKomp[SystemR2PŁATNIK PRO: KADRY / Personaldaten],MATCH($B119,tab_MinKomp[[Stanowisko / Position ]:[Stanowisko / Position ]],0)))</f>
        <v>n/a</v>
      </c>
      <c r="S120" s="349" t="str">
        <f>IF(INDEX(tab_MinKomp[SYSTEM R2PŁATNIK PRO: zarządzanie pracownikami / Arbeitsverwaltung],MATCH($B119,tab_MinKomp[[Stanowisko / Position ]:[Stanowisko / Position ]],0))="n/a","n/a",S119-INDEX(tab_MinKomp[SYSTEM R2PŁATNIK PRO: zarządzanie pracownikami / Arbeitsverwaltung],MATCH($B119,tab_MinKomp[[Stanowisko / Position ]:[Stanowisko / Position ]],0)))</f>
        <v>n/a</v>
      </c>
      <c r="T120" s="349" t="str">
        <f>IF(INDEX(tab_MinKomp[Doradztwo, wsparcie personalne / Personalberatung und Unterstützung],MATCH($B119,tab_MinKomp[[Stanowisko / Position ]:[Stanowisko / Position ]],0))="n/a","n/a",T119-INDEX(tab_MinKomp[Doradztwo, wsparcie personalne / Personalberatung und Unterstützung],MATCH($B119,tab_MinKomp[[Stanowisko / Position ]:[Stanowisko / Position ]],0)))</f>
        <v>n/a</v>
      </c>
      <c r="U120" s="349" t="str">
        <f>IF(INDEX(tab_MinKomp[Przepisy o podatku VAT / MwSt.- Gesetz],MATCH($B119,tab_MinKomp[[Stanowisko / Position ]:[Stanowisko / Position ]],0))="n/a","n/a",U119-INDEX(tab_MinKomp[Przepisy o podatku VAT / MwSt.- Gesetz],MATCH($B119,tab_MinKomp[[Stanowisko / Position ]:[Stanowisko / Position ]],0)))</f>
        <v>n/a</v>
      </c>
      <c r="V120" s="349" t="str">
        <f>IF(INDEX(tab_MinKomp[PrzepisyPDOP / geschäftlich Einkommensteuergesetz],MATCH($B119,tab_MinKomp[[Stanowisko / Position ]:[Stanowisko / Position ]],0))="n/a","n/a",V119-INDEX(tab_MinKomp[PrzepisyPDOP / geschäftlich Einkommensteuergesetz],MATCH($B119,tab_MinKomp[[Stanowisko / Position ]:[Stanowisko / Position ]],0)))</f>
        <v>n/a</v>
      </c>
      <c r="W120" s="349" t="str">
        <f>IF(INDEX(tab_MinKomp[System BAAN / FINANSE (FIBU)],MATCH($B119,tab_MinKomp[[Stanowisko / Position ]:[Stanowisko / Position ]],0))="n/a","n/a",W119-INDEX(tab_MinKomp[System BAAN / FINANSE (FIBU)],MATCH($B119,tab_MinKomp[[Stanowisko / Position ]:[Stanowisko / Position ]],0)))</f>
        <v>n/a</v>
      </c>
      <c r="X120" s="349" t="str">
        <f>IF(INDEX(tab_MinKomp[Systemy pomocnicze / Hilfssysteme(STOCKPROGRAM, KALK2000 etc.)],MATCH($B119,tab_MinKomp[[Stanowisko / Position ]:[Stanowisko / Position ]],0))="n/a","n/a",X119-INDEX(tab_MinKomp[Systemy pomocnicze / Hilfssysteme(STOCKPROGRAM, KALK2000 etc.)],MATCH($B119,tab_MinKomp[[Stanowisko / Position ]:[Stanowisko / Position ]],0)))</f>
        <v>n/a</v>
      </c>
      <c r="Y120" s="349" t="str">
        <f>IF(INDEX(tab_MinKomp[Polityka rachunkowości / Buchführungspolitik],MATCH($B119,tab_MinKomp[[Stanowisko / Position ]:[Stanowisko / Position ]],0))="n/a","n/a",Y119-INDEX(tab_MinKomp[Polityka rachunkowości / Buchführungspolitik],MATCH($B119,tab_MinKomp[[Stanowisko / Position ]:[Stanowisko / Position ]],0)))</f>
        <v>n/a</v>
      </c>
      <c r="Z120" s="349" t="str">
        <f>IF(INDEX(tab_MinKomp[Ustawa o rachunkowości / Rechnungslegungsgesetz],MATCH($B119,tab_MinKomp[[Stanowisko / Position ]:[Stanowisko / Position ]],0))="n/a","n/a",Z119-INDEX(tab_MinKomp[Ustawa o rachunkowości / Rechnungslegungsgesetz],MATCH($B119,tab_MinKomp[[Stanowisko / Position ]:[Stanowisko / Position ]],0)))</f>
        <v>n/a</v>
      </c>
      <c r="AA120" s="349" t="str">
        <f>IF(INDEX(tab_MinKomp[WORKFLOW - TS-100],MATCH($B119,tab_MinKomp[[Stanowisko / Position ]:[Stanowisko / Position ]],0))="n/a","n/a",AA119-INDEX(tab_MinKomp[WORKFLOW - TS-100],MATCH($B119,tab_MinKomp[[Stanowisko / Position ]:[Stanowisko / Position ]],0)))</f>
        <v>n/a</v>
      </c>
      <c r="AB120" s="349" t="str">
        <f>IF(INDEX(tab_MinKomp[WORKFLOW - SFMS],MATCH($B119,tab_MinKomp[[Stanowisko / Position ]:[Stanowisko / Position ]],0))="n/a","n/a",AB119-INDEX(tab_MinKomp[WORKFLOW - SFMS],MATCH($B119,tab_MinKomp[[Stanowisko / Position ]:[Stanowisko / Position ]],0)))</f>
        <v>n/a</v>
      </c>
      <c r="AC120" s="349" t="str">
        <f>IF(INDEX(tab_MinKomp[System ISO 9001:2015],MATCH($B119,tab_MinKomp[[Stanowisko / Position ]:[Stanowisko / Position ]],0))="n/a","n/a",AC119-INDEX(tab_MinKomp[System ISO 9001:2015],MATCH($B119,tab_MinKomp[[Stanowisko / Position ]:[Stanowisko / Position ]],0)))</f>
        <v>n/a</v>
      </c>
      <c r="AD120" s="349" t="str">
        <f>IF(INDEX(tab_MinKomp[System IATF 16949:2016],MATCH($B119,tab_MinKomp[[Stanowisko / Position ]:[Stanowisko / Position ]],0))="n/a","n/a",AD119-INDEX(tab_MinKomp[System IATF 16949:2016],MATCH($B119,tab_MinKomp[[Stanowisko / Position ]:[Stanowisko / Position ]],0)))</f>
        <v>n/a</v>
      </c>
      <c r="AE120" s="349" t="str">
        <f>IF(INDEX(tab_MinKomp[System ISO 14001:2015],MATCH($B119,tab_MinKomp[[Stanowisko / Position ]:[Stanowisko / Position ]],0))="n/a","n/a",AE119-INDEX(tab_MinKomp[System ISO 14001:2015],MATCH($B119,tab_MinKomp[[Stanowisko / Position ]:[Stanowisko / Position ]],0)))</f>
        <v>n/a</v>
      </c>
      <c r="AF120" s="349" t="str">
        <f>IF(INDEX(tab_MinKomp[System PN-N 18001:2004 / ISO 45001:2018],MATCH($B119,tab_MinKomp[[Stanowisko / Position ]:[Stanowisko / Position ]],0))="n/a","n/a",AF119-INDEX(tab_MinKomp[System PN-N 18001:2004 / ISO 45001:2018],MATCH($B119,tab_MinKomp[[Stanowisko / Position ]:[Stanowisko / Position ]],0)))</f>
        <v>n/a</v>
      </c>
      <c r="AG120" s="349" t="str">
        <f>IF(INDEX(tab_MinKomp[Wymagania VDA 6.3 Process / Forderungen],MATCH($B119,tab_MinKomp[[Stanowisko / Position ]:[Stanowisko / Position ]],0))="n/a","n/a",AG119-INDEX(tab_MinKomp[Wymagania VDA 6.3 Process / Forderungen],MATCH($B119,tab_MinKomp[[Stanowisko / Position ]:[Stanowisko / Position ]],0)))</f>
        <v>n/a</v>
      </c>
      <c r="AH120" s="349" t="str">
        <f>IF(INDEX(tab_MinKomp[Wymagania VDA 6.5 Product / Forderungen],MATCH($B119,tab_MinKomp[[Stanowisko / Position ]:[Stanowisko / Position ]],0))="n/a","n/a",AH119-INDEX(tab_MinKomp[Wymagania VDA 6.5 Product / Forderungen],MATCH($B119,tab_MinKomp[[Stanowisko / Position ]:[Stanowisko / Position ]],0)))</f>
        <v>n/a</v>
      </c>
      <c r="AI120" s="349" t="str">
        <f>IF(INDEX(tab_MinKomp[PSCR (VW Product Safety &amp; Conformity Representative)],MATCH($B119,tab_MinKomp[[Stanowisko / Position ]:[Stanowisko / Position ]],0))="n/a","n/a",AI119-INDEX(tab_MinKomp[PSCR (VW Product Safety &amp; Conformity Representative)],MATCH($B119,tab_MinKomp[[Stanowisko / Position ]:[Stanowisko / Position ]],0)))</f>
        <v>n/a</v>
      </c>
      <c r="AJ120" s="349" t="str">
        <f>IF(INDEX(tab_MinKomp[Auditor systemu ISO 17025:2018],MATCH($B119,tab_MinKomp[[Stanowisko / Position ]:[Stanowisko / Position ]],0))="n/a","n/a",AJ119-INDEX(tab_MinKomp[Auditor systemu ISO 17025:2018],MATCH($B119,tab_MinKomp[[Stanowisko / Position ]:[Stanowisko / Position ]],0)))</f>
        <v>n/a</v>
      </c>
      <c r="AK120" s="349" t="str">
        <f>IF(INDEX(tab_MinKomp[Pełnomocnik systemu / Systemvertreter],MATCH($B119,tab_MinKomp[[Stanowisko / Position ]:[Stanowisko / Position ]],0))="n/a","n/a",AK119-INDEX(tab_MinKomp[Pełnomocnik systemu / Systemvertreter],MATCH($B119,tab_MinKomp[[Stanowisko / Position ]:[Stanowisko / Position ]],0)))</f>
        <v>n/a</v>
      </c>
      <c r="AL120" s="349">
        <f>IF(INDEX(tab_MinKomp[Polityka Etyczna - Compliance],MATCH($B119,tab_MinKomp[[Stanowisko / Position ]:[Stanowisko / Position ]],0))="n/a","n/a",AL119-INDEX(tab_MinKomp[Polityka Etyczna - Compliance],MATCH($B119,tab_MinKomp[[Stanowisko / Position ]:[Stanowisko / Position ]],0)))</f>
        <v>0</v>
      </c>
      <c r="AM120" s="349" t="str">
        <f>IF(INDEX(tab_MinKomp[WDRAŻANIE NOWYCH PROJEKTÓW/ PROCEDURA CTM],MATCH($B119,tab_MinKomp[[Stanowisko / Position ]:[Stanowisko / Position ]],0))="n/a","n/a",AM119-INDEX(tab_MinKomp[WDRAŻANIE NOWYCH PROJEKTÓW/ PROCEDURA CTM],MATCH($B119,tab_MinKomp[[Stanowisko / Position ]:[Stanowisko / Position ]],0)))</f>
        <v>n/a</v>
      </c>
      <c r="AN120" s="349" t="str">
        <f>IF(INDEX(tab_MinKomp[KAMIENIE MILOWE MSL/PIFF],MATCH($B119,tab_MinKomp[[Stanowisko / Position ]:[Stanowisko / Position ]],0))="n/a","n/a",AN119-INDEX(tab_MinKomp[KAMIENIE MILOWE MSL/PIFF],MATCH($B119,tab_MinKomp[[Stanowisko / Position ]:[Stanowisko / Position ]],0)))</f>
        <v>n/a</v>
      </c>
      <c r="AO120" s="349" t="str">
        <f>IF(INDEX(tab_MinKomp[CP],MATCH($B119,tab_MinKomp[[Stanowisko / Position ]:[Stanowisko / Position ]],0))="n/a","n/a",AO119-INDEX(tab_MinKomp[CP],MATCH($B119,tab_MinKomp[[Stanowisko / Position ]:[Stanowisko / Position ]],0)))</f>
        <v>n/a</v>
      </c>
      <c r="AP120" s="349" t="str">
        <f>IF(INDEX(tab_MinKomp[FMEA],MATCH($B119,tab_MinKomp[[Stanowisko / Position ]:[Stanowisko / Position ]],0))="n/a","n/a",AP119-INDEX(tab_MinKomp[FMEA],MATCH($B119,tab_MinKomp[[Stanowisko / Position ]:[Stanowisko / Position ]],0)))</f>
        <v>n/a</v>
      </c>
      <c r="AQ120" s="349" t="str">
        <f>IF(INDEX(tab_MinKomp[FLOW CHART],MATCH($B119,tab_MinKomp[[Stanowisko / Position ]:[Stanowisko / Position ]],0))="n/a","n/a",AQ119-INDEX(tab_MinKomp[FLOW CHART],MATCH($B119,tab_MinKomp[[Stanowisko / Position ]:[Stanowisko / Position ]],0)))</f>
        <v>n/a</v>
      </c>
      <c r="AR120" s="349" t="str">
        <f>IF(INDEX(tab_MinKomp[APQP],MATCH($B119,tab_MinKomp[[Stanowisko / Position ]:[Stanowisko / Position ]],0))="n/a","n/a",AR119-INDEX(tab_MinKomp[APQP],MATCH($B119,tab_MinKomp[[Stanowisko / Position ]:[Stanowisko / Position ]],0)))</f>
        <v>n/a</v>
      </c>
      <c r="AS120" s="349" t="str">
        <f>IF(INDEX(tab_MinKomp[MSA],MATCH($B119,tab_MinKomp[[Stanowisko / Position ]:[Stanowisko / Position ]],0))="n/a","n/a",AS119-INDEX(tab_MinKomp[MSA],MATCH($B119,tab_MinKomp[[Stanowisko / Position ]:[Stanowisko / Position ]],0)))</f>
        <v>n/a</v>
      </c>
      <c r="AT120" s="349" t="str">
        <f>IF(INDEX(tab_MinKomp[SPC],MATCH($B119,tab_MinKomp[[Stanowisko / Position ]:[Stanowisko / Position ]],0))="n/a","n/a",AT119-INDEX(tab_MinKomp[SPC],MATCH($B119,tab_MinKomp[[Stanowisko / Position ]:[Stanowisko / Position ]],0)))</f>
        <v>n/a</v>
      </c>
      <c r="AU120" s="349" t="str">
        <f>IF(INDEX(tab_MinKomp[CSR (SPECYFICZNE WYMAGANIA KLIENTA)],MATCH($B119,tab_MinKomp[[Stanowisko / Position ]:[Stanowisko / Position ]],0))="n/a","n/a",AU119-INDEX(tab_MinKomp[CSR (SPECYFICZNE WYMAGANIA KLIENTA)],MATCH($B119,tab_MinKomp[[Stanowisko / Position ]:[Stanowisko / Position ]],0)))</f>
        <v>n/a</v>
      </c>
      <c r="AV120" s="349">
        <f>IF(INDEX(tab_MinKomp[5S],MATCH($B119,tab_MinKomp[[Stanowisko / Position ]:[Stanowisko / Position ]],0))="n/a","n/a",AV119-INDEX(tab_MinKomp[5S],MATCH($B119,tab_MinKomp[[Stanowisko / Position ]:[Stanowisko / Position ]],0)))</f>
        <v>-1</v>
      </c>
      <c r="AW120" s="349">
        <f>IF(INDEX(tab_MinKomp[LEAN MANAGEMENT],MATCH($B119,tab_MinKomp[[Stanowisko / Position ]:[Stanowisko / Position ]],0))="n/a","n/a",AW119-INDEX(tab_MinKomp[LEAN MANAGEMENT],MATCH($B119,tab_MinKomp[[Stanowisko / Position ]:[Stanowisko / Position ]],0)))</f>
        <v>-1</v>
      </c>
      <c r="AX120" s="349">
        <f>IF(INDEX(tab_MinKomp[5R],MATCH($B119,tab_MinKomp[[Stanowisko / Position ]:[Stanowisko / Position ]],0))="n/a","n/a",AX119-INDEX(tab_MinKomp[5R],MATCH($B119,tab_MinKomp[[Stanowisko / Position ]:[Stanowisko / Position ]],0)))</f>
        <v>-1</v>
      </c>
      <c r="AY120" s="349" t="str">
        <f>IF(INDEX(tab_MinKomp[Six Sigma],MATCH($B119,tab_MinKomp[[Stanowisko / Position ]:[Stanowisko / Position ]],0))="n/a","n/a",AY119-INDEX(tab_MinKomp[Six Sigma],MATCH($B119,tab_MinKomp[[Stanowisko / Position ]:[Stanowisko / Position ]],0)))</f>
        <v>n/a</v>
      </c>
      <c r="AZ120" s="349" t="str">
        <f>IF(INDEX(tab_MinKomp[System BAAN / Distribution &amp; Supply Chain],MATCH($B119,tab_MinKomp[[Stanowisko / Position ]:[Stanowisko / Position ]],0))="n/a","n/a",AZ119-INDEX(tab_MinKomp[System BAAN / Distribution &amp; Supply Chain],MATCH($B119,tab_MinKomp[[Stanowisko / Position ]:[Stanowisko / Position ]],0)))</f>
        <v>n/a</v>
      </c>
      <c r="BA120" s="349" t="str">
        <f>IF(INDEX(tab_MinKomp[Gospodarka magazynowa / Lagerverwaltung],MATCH($B119,tab_MinKomp[[Stanowisko / Position ]:[Stanowisko / Position ]],0))="n/a","n/a",BA119-INDEX(tab_MinKomp[Gospodarka magazynowa / Lagerverwaltung],MATCH($B119,tab_MinKomp[[Stanowisko / Position ]:[Stanowisko / Position ]],0)))</f>
        <v>n/a</v>
      </c>
      <c r="BB120" s="349" t="str">
        <f>IF(INDEX(tab_MinKomp[Inwentaryzacja - organizacja i przebieg / Inventurprozess],MATCH($B119,tab_MinKomp[[Stanowisko / Position ]:[Stanowisko / Position ]],0))="n/a","n/a",BB119-INDEX(tab_MinKomp[Inwentaryzacja - organizacja i przebieg / Inventurprozess],MATCH($B119,tab_MinKomp[[Stanowisko / Position ]:[Stanowisko / Position ]],0)))</f>
        <v>n/a</v>
      </c>
      <c r="BC120" s="349" t="str">
        <f>IF(INDEX(tab_MinKomp[Organizacja dostaw / Versorgungsorganisation],MATCH($B119,tab_MinKomp[[Stanowisko / Position ]:[Stanowisko / Position ]],0))="n/a","n/a",BC119-INDEX(tab_MinKomp[Organizacja dostaw / Versorgungsorganisation],MATCH($B119,tab_MinKomp[[Stanowisko / Position ]:[Stanowisko / Position ]],0)))</f>
        <v>n/a</v>
      </c>
      <c r="BD120" s="349" t="str">
        <f>IF(INDEX(tab_MinKomp[Organizacja wysyłek / Organisation von Lieferungen],MATCH($B119,tab_MinKomp[[Stanowisko / Position ]:[Stanowisko / Position ]],0))="n/a","n/a",BD119-INDEX(tab_MinKomp[Organizacja wysyłek / Organisation von Lieferungen],MATCH($B119,tab_MinKomp[[Stanowisko / Position ]:[Stanowisko / Position ]],0)))</f>
        <v>n/a</v>
      </c>
      <c r="BE120" s="349" t="str">
        <f>IF(INDEX(tab_MinKomp[Analiza magazynowa - Program Polen.mdb / Inventuranalyse],MATCH($B119,tab_MinKomp[[Stanowisko / Position ]:[Stanowisko / Position ]],0))="n/a","n/a",BE119-INDEX(tab_MinKomp[Analiza magazynowa - Program Polen.mdb / Inventuranalyse],MATCH($B119,tab_MinKomp[[Stanowisko / Position ]:[Stanowisko / Position ]],0)))</f>
        <v>n/a</v>
      </c>
      <c r="BF120" s="349" t="str">
        <f>IF(INDEX(tab_MinKomp[MMOG (Materials Management Operations Guidelines)],MATCH($B119,tab_MinKomp[[Stanowisko / Position ]:[Stanowisko / Position ]],0))="n/a","n/a",BF119-INDEX(tab_MinKomp[MMOG (Materials Management Operations Guidelines)],MATCH($B119,tab_MinKomp[[Stanowisko / Position ]:[Stanowisko / Position ]],0)))</f>
        <v>n/a</v>
      </c>
      <c r="BG120" s="349" t="str">
        <f>IF(INDEX(tab_MinKomp[DETC],MATCH($B119,tab_MinKomp[[Stanowisko / Position ]:[Stanowisko / Position ]],0))="n/a","n/a",BG119-INDEX(tab_MinKomp[DETC],MATCH($B119,tab_MinKomp[[Stanowisko / Position ]:[Stanowisko / Position ]],0)))</f>
        <v>n/a</v>
      </c>
      <c r="BH120" s="349" t="str">
        <f>IF(INDEX(tab_MinKomp[GPP],MATCH($B119,tab_MinKomp[[Stanowisko / Position ]:[Stanowisko / Position ]],0))="n/a","n/a",BH119-INDEX(tab_MinKomp[GPP],MATCH($B119,tab_MinKomp[[Stanowisko / Position ]:[Stanowisko / Position ]],0)))</f>
        <v>n/a</v>
      </c>
      <c r="BI120" s="349" t="str">
        <f>IF(INDEX(tab_MinKomp[AIAG (Automotive Industry Action Group)],MATCH($B119,tab_MinKomp[[Stanowisko / Position ]:[Stanowisko / Position ]],0))="n/a","n/a",BI119-INDEX(tab_MinKomp[AIAG (Automotive Industry Action Group)],MATCH($B119,tab_MinKomp[[Stanowisko / Position ]:[Stanowisko / Position ]],0)))</f>
        <v>n/a</v>
      </c>
      <c r="BJ120" s="349" t="str">
        <f>IF(INDEX(tab_MinKomp[Super-G disputes],MATCH($B119,tab_MinKomp[[Stanowisko / Position ]:[Stanowisko / Position ]],0))="n/a","n/a",BJ119-INDEX(tab_MinKomp[Super-G disputes],MATCH($B119,tab_MinKomp[[Stanowisko / Position ]:[Stanowisko / Position ]],0)))</f>
        <v>n/a</v>
      </c>
      <c r="BK120" s="349" t="str">
        <f>IF(INDEX(tab_MinKomp[CMMS3/eDDL (Direct Data Link)],MATCH($B119,tab_MinKomp[[Stanowisko / Position ]:[Stanowisko / Position ]],0))="n/a","n/a",BK119-INDEX(tab_MinKomp[CMMS3/eDDL (Direct Data Link)],MATCH($B119,tab_MinKomp[[Stanowisko / Position ]:[Stanowisko / Position ]],0)))</f>
        <v>n/a</v>
      </c>
      <c r="BL120" s="349" t="str">
        <f>IF(INDEX(tab_MinKomp[MP&amp;L (Material Planning and Logistics)],MATCH($B119,tab_MinKomp[[Stanowisko / Position ]:[Stanowisko / Position ]],0))="n/a","n/a",BL119-INDEX(tab_MinKomp[MP&amp;L (Material Planning and Logistics)],MATCH($B119,tab_MinKomp[[Stanowisko / Position ]:[Stanowisko / Position ]],0)))</f>
        <v>n/a</v>
      </c>
      <c r="BM120" s="349" t="str">
        <f>IF(INDEX(tab_MinKomp[Planowanie produkcji / Produktionsplanung],MATCH($B119,tab_MinKomp[[Stanowisko / Position ]:[Stanowisko / Position ]],0))="n/a","n/a",BM119-INDEX(tab_MinKomp[Planowanie produkcji / Produktionsplanung],MATCH($B119,tab_MinKomp[[Stanowisko / Position ]:[Stanowisko / Position ]],0)))</f>
        <v>n/a</v>
      </c>
      <c r="BN120" s="349">
        <f>IF(INDEX(tab_MinKomp[Obsługa maszyn Engel / Engel Maschinenbedienung],MATCH($B119,tab_MinKomp[[Stanowisko / Position ]:[Stanowisko / Position ]],0))="n/a","n/a",BN119-INDEX(tab_MinKomp[Obsługa maszyn Engel / Engel Maschinenbedienung],MATCH($B119,tab_MinKomp[[Stanowisko / Position ]:[Stanowisko / Position ]],0)))</f>
        <v>0</v>
      </c>
      <c r="BO120" s="349">
        <f>IF(INDEX(tab_MinKomp[Obsługa maszyn Novapax / Novapax Maschinenbedienung],MATCH($B119,tab_MinKomp[[Stanowisko / Position ]:[Stanowisko / Position ]],0))="n/a","n/a",BO119-INDEX(tab_MinKomp[Obsługa maszyn Novapax / Novapax Maschinenbedienung],MATCH($B119,tab_MinKomp[[Stanowisko / Position ]:[Stanowisko / Position ]],0)))</f>
        <v>0</v>
      </c>
      <c r="BP120" s="349">
        <f>IF(INDEX(tab_MinKomp[Obsługa maszyn KVT / KVT Maschinenbedienung],MATCH($B119,tab_MinKomp[[Stanowisko / Position ]:[Stanowisko / Position ]],0))="n/a","n/a",BP119-INDEX(tab_MinKomp[Obsługa maszyn KVT / KVT Maschinenbedienung],MATCH($B119,tab_MinKomp[[Stanowisko / Position ]:[Stanowisko / Position ]],0)))</f>
        <v>0</v>
      </c>
      <c r="BQ120" s="349">
        <f>IF(INDEX(tab_MinKomp[Obsługa maszyn ASL / ASL Maschinenbedienung],MATCH($B119,tab_MinKomp[[Stanowisko / Position ]:[Stanowisko / Position ]],0))="n/a","n/a",BQ119-INDEX(tab_MinKomp[Obsługa maszyn ASL / ASL Maschinenbedienung],MATCH($B119,tab_MinKomp[[Stanowisko / Position ]:[Stanowisko / Position ]],0)))</f>
        <v>0</v>
      </c>
      <c r="BR120" s="349">
        <f>IF(INDEX(tab_MinKomp[Obsługa maszyn Branson / Branson Maschinenbedienung],MATCH($B119,tab_MinKomp[[Stanowisko / Position ]:[Stanowisko / Position ]],0))="n/a","n/a",BR119-INDEX(tab_MinKomp[Obsługa maszyn Branson / Branson Maschinenbedienung],MATCH($B119,tab_MinKomp[[Stanowisko / Position ]:[Stanowisko / Position ]],0)))</f>
        <v>0</v>
      </c>
      <c r="BS120" s="349">
        <f>IF(INDEX(tab_MinKomp[Obsługa maszyn Kamtec / Kamtec Maschinenbedienung],MATCH($B119,tab_MinKomp[[Stanowisko / Position ]:[Stanowisko / Position ]],0))="n/a","n/a",BS119-INDEX(tab_MinKomp[Obsługa maszyn Kamtec / Kamtec Maschinenbedienung],MATCH($B119,tab_MinKomp[[Stanowisko / Position ]:[Stanowisko / Position ]],0)))</f>
        <v>0</v>
      </c>
      <c r="BT120" s="349">
        <f>IF(INDEX(tab_MinKomp[Obsługa maszyn Piovan / Piovan Maschinenbedienung],MATCH($B119,tab_MinKomp[[Stanowisko / Position ]:[Stanowisko / Position ]],0))="n/a","n/a",BT119-INDEX(tab_MinKomp[Obsługa maszyn Piovan / Piovan Maschinenbedienung],MATCH($B119,tab_MinKomp[[Stanowisko / Position ]:[Stanowisko / Position ]],0)))</f>
        <v>0</v>
      </c>
      <c r="BU120" s="349">
        <f>IF(INDEX(tab_MinKomp[Obsługa maszyn REP / REP Maschinenbedienung],MATCH($B119,tab_MinKomp[[Stanowisko / Position ]:[Stanowisko / Position ]],0))="n/a","n/a",BU119-INDEX(tab_MinKomp[Obsługa maszyn REP / REP Maschinenbedienung],MATCH($B119,tab_MinKomp[[Stanowisko / Position ]:[Stanowisko / Position ]],0)))</f>
        <v>0</v>
      </c>
      <c r="BV120" s="349">
        <f>IF(INDEX(tab_MinKomp[Eliminacja awarii / Beseitigung von Ausfällen],MATCH($B119,tab_MinKomp[[Stanowisko / Position ]:[Stanowisko / Position ]],0))="n/a","n/a",BV119-INDEX(tab_MinKomp[Eliminacja awarii / Beseitigung von Ausfällen],MATCH($B119,tab_MinKomp[[Stanowisko / Position ]:[Stanowisko / Position ]],0)))</f>
        <v>-1</v>
      </c>
      <c r="BW120" s="349" t="str">
        <f>IF(INDEX(tab_MinKomp[Informatyka ogólna (techniczne i systemowe) / Allgemeine IT (Technik und System)],MATCH($B119,tab_MinKomp[[Stanowisko / Position ]:[Stanowisko / Position ]],0))="n/a","n/a",BW119-INDEX(tab_MinKomp[Informatyka ogólna (techniczne i systemowe) / Allgemeine IT (Technik und System)],MATCH($B119,tab_MinKomp[[Stanowisko / Position ]:[Stanowisko / Position ]],0)))</f>
        <v>n/a</v>
      </c>
      <c r="BX120" s="349" t="str">
        <f>IF(INDEX(tab_MinKomp[Sieci komputerowe / Computernetzwerke],MATCH($B119,tab_MinKomp[[Stanowisko / Position ]:[Stanowisko / Position ]],0))="n/a","n/a",BX119-INDEX(tab_MinKomp[Sieci komputerowe / Computernetzwerke],MATCH($B119,tab_MinKomp[[Stanowisko / Position ]:[Stanowisko / Position ]],0)))</f>
        <v>n/a</v>
      </c>
      <c r="BY120" s="349" t="str">
        <f>IF(INDEX(tab_MinKomp[Hardware (komputery PC, drukarki biurowe i etykietowe, telefonia stacjonarna i mobilna) (PC, Drucker, Telefpne, Handys)],MATCH($B119,tab_MinKomp[[Stanowisko / Position ]:[Stanowisko / Position ]],0))="n/a","n/a",BY119-INDEX(tab_MinKomp[Hardware (komputery PC, drukarki biurowe i etykietowe, telefonia stacjonarna i mobilna) (PC, Drucker, Telefpne, Handys)],MATCH($B119,tab_MinKomp[[Stanowisko / Position ]:[Stanowisko / Position ]],0)))</f>
        <v>n/a</v>
      </c>
      <c r="BZ120" s="349" t="str">
        <f>IF(INDEX(tab_MinKomp[Software &amp; Systems (MS Office, MS Remote Desktop)],MATCH($B119,tab_MinKomp[[Stanowisko / Position ]:[Stanowisko / Position ]],0))="n/a","n/a",BZ119-INDEX(tab_MinKomp[Software &amp; Systems (MS Office, MS Remote Desktop)],MATCH($B119,tab_MinKomp[[Stanowisko / Position ]:[Stanowisko / Position ]],0)))</f>
        <v>n/a</v>
      </c>
      <c r="CA120" s="349" t="str">
        <f>IF(INDEX(tab_MinKomp[Programowanie obiektowe (PHP) / Objektprogrammierung],MATCH($B119,tab_MinKomp[[Stanowisko / Position ]:[Stanowisko / Position ]],0))="n/a","n/a",CA119-INDEX(tab_MinKomp[Programowanie obiektowe (PHP) / Objektprogrammierung],MATCH($B119,tab_MinKomp[[Stanowisko / Position ]:[Stanowisko / Position ]],0)))</f>
        <v>n/a</v>
      </c>
      <c r="CB120" s="349" t="str">
        <f>IF(INDEX(tab_MinKomp[Scrum],MATCH($B119,tab_MinKomp[[Stanowisko / Position ]:[Stanowisko / Position ]],0))="n/a","n/a",CB119-INDEX(tab_MinKomp[Scrum],MATCH($B119,tab_MinKomp[[Stanowisko / Position ]:[Stanowisko / Position ]],0)))</f>
        <v>n/a</v>
      </c>
      <c r="CC120" s="349" t="str">
        <f>IF(INDEX(tab_MinKomp[SQL (MySQL)],MATCH($B119,tab_MinKomp[[Stanowisko / Position ]:[Stanowisko / Position ]],0))="n/a","n/a",CC119-INDEX(tab_MinKomp[SQL (MySQL)],MATCH($B119,tab_MinKomp[[Stanowisko / Position ]:[Stanowisko / Position ]],0)))</f>
        <v>n/a</v>
      </c>
      <c r="CD120" s="349" t="str">
        <f>IF(INDEX(tab_MinKomp[Javascript],MATCH($B119,tab_MinKomp[[Stanowisko / Position ]:[Stanowisko / Position ]],0))="n/a","n/a",CD119-INDEX(tab_MinKomp[Javascript],MATCH($B119,tab_MinKomp[[Stanowisko / Position ]:[Stanowisko / Position ]],0)))</f>
        <v>n/a</v>
      </c>
      <c r="CE120" s="349" t="str">
        <f>IF(INDEX(tab_MinKomp[Joomla],MATCH($B119,tab_MinKomp[[Stanowisko / Position ]:[Stanowisko / Position ]],0))="n/a","n/a",CE119-INDEX(tab_MinKomp[Joomla],MATCH($B119,tab_MinKomp[[Stanowisko / Position ]:[Stanowisko / Position ]],0)))</f>
        <v>n/a</v>
      </c>
      <c r="CF120" s="349" t="str">
        <f>IF(INDEX(tab_MinKomp[Bash],MATCH($B119,tab_MinKomp[[Stanowisko / Position ]:[Stanowisko / Position ]],0))="n/a","n/a",CF119-INDEX(tab_MinKomp[Bash],MATCH($B119,tab_MinKomp[[Stanowisko / Position ]:[Stanowisko / Position ]],0)))</f>
        <v>n/a</v>
      </c>
      <c r="CG120" s="349" t="str">
        <f>IF(INDEX(tab_MinKomp[Systemy MES (HYDRA / SFMS)],MATCH($B119,tab_MinKomp[[Stanowisko / Position ]:[Stanowisko / Position ]],0))="n/a","n/a",CG119-INDEX(tab_MinKomp[Systemy MES (HYDRA / SFMS)],MATCH($B119,tab_MinKomp[[Stanowisko / Position ]:[Stanowisko / Position ]],0)))</f>
        <v>n/a</v>
      </c>
      <c r="CH120" s="349" t="str">
        <f>IF(INDEX(tab_MinKomp[HTML / CSS],MATCH($B119,tab_MinKomp[[Stanowisko / Position ]:[Stanowisko / Position ]],0))="n/a","n/a",CH119-INDEX(tab_MinKomp[HTML / CSS],MATCH($B119,tab_MinKomp[[Stanowisko / Position ]:[Stanowisko / Position ]],0)))</f>
        <v>n/a</v>
      </c>
      <c r="CI120" s="349" t="str">
        <f>IF(INDEX(tab_MinKomp[SYSTEM PR],MATCH($B119,tab_MinKomp[[Stanowisko / Position ]:[Stanowisko / Position ]],0))="n/a","n/a",CI119-INDEX(tab_MinKomp[SYSTEM PR],MATCH($B119,tab_MinKomp[[Stanowisko / Position ]:[Stanowisko / Position ]],0)))</f>
        <v>n/a</v>
      </c>
      <c r="CJ120" s="349" t="str">
        <f>IF(INDEX(tab_MinKomp[System Einkauf XP / EBA],MATCH($B119,tab_MinKomp[[Stanowisko / Position ]:[Stanowisko / Position ]],0))="n/a","n/a",CJ119-INDEX(tab_MinKomp[System Einkauf XP / EBA],MATCH($B119,tab_MinKomp[[Stanowisko / Position ]:[Stanowisko / Position ]],0)))</f>
        <v>n/a</v>
      </c>
      <c r="CK120" s="349" t="str">
        <f>IF(INDEX(tab_MinKomp[Techniki negocjacyjne / Verhandlungstechniken],MATCH($B119,tab_MinKomp[[Stanowisko / Position ]:[Stanowisko / Position ]],0))="n/a","n/a",CK119-INDEX(tab_MinKomp[Techniki negocjacyjne / Verhandlungstechniken],MATCH($B119,tab_MinKomp[[Stanowisko / Position ]:[Stanowisko / Position ]],0)))</f>
        <v>n/a</v>
      </c>
      <c r="CL120" s="349" t="str">
        <f>IF(INDEX(tab_MinKomp[Znajomość rynku branżowego / Kenntnis des Industrie Marktes],MATCH($B119,tab_MinKomp[[Stanowisko / Position ]:[Stanowisko / Position ]],0))="n/a","n/a",CL119-INDEX(tab_MinKomp[Znajomość rynku branżowego / Kenntnis des Industrie Marktes],MATCH($B119,tab_MinKomp[[Stanowisko / Position ]:[Stanowisko / Position ]],0)))</f>
        <v>n/a</v>
      </c>
      <c r="CM120" s="349" t="str">
        <f>IF(INDEX(tab_MinKomp[RAPORTY 8D / 8D Berichten],MATCH($B119,tab_MinKomp[[Stanowisko / Position ]:[Stanowisko / Position ]],0))="n/a","n/a",CM119-INDEX(tab_MinKomp[RAPORTY 8D / 8D Berichten],MATCH($B119,tab_MinKomp[[Stanowisko / Position ]:[Stanowisko / Position ]],0)))</f>
        <v>n/a</v>
      </c>
      <c r="CN120" s="349">
        <f>IF(INDEX(tab_MinKomp[NARZĘDZIA JAKOŚCIOWE (5WHY, Ishikawa, etc) / QS-Werkzeuge],MATCH($B119,tab_MinKomp[[Stanowisko / Position ]:[Stanowisko / Position ]],0))="n/a","n/a",CN119-INDEX(tab_MinKomp[NARZĘDZIA JAKOŚCIOWE (5WHY, Ishikawa, etc) / QS-Werkzeuge],MATCH($B119,tab_MinKomp[[Stanowisko / Position ]:[Stanowisko / Position ]],0)))</f>
        <v>0</v>
      </c>
      <c r="CO120" s="349">
        <f>IF(INDEX(tab_MinKomp[PDCA],MATCH($B119,tab_MinKomp[[Stanowisko / Position ]:[Stanowisko / Position ]],0))="n/a","n/a",CO119-INDEX(tab_MinKomp[PDCA],MATCH($B119,tab_MinKomp[[Stanowisko / Position ]:[Stanowisko / Position ]],0)))</f>
        <v>-1</v>
      </c>
      <c r="CP120" s="349">
        <f>IF(INDEX(tab_MinKomp[Pareto],MATCH($B119,tab_MinKomp[[Stanowisko / Position ]:[Stanowisko / Position ]],0))="n/a","n/a",CP119-INDEX(tab_MinKomp[Pareto],MATCH($B119,tab_MinKomp[[Stanowisko / Position ]:[Stanowisko / Position ]],0)))</f>
        <v>-1</v>
      </c>
      <c r="CQ120" s="349" t="str">
        <f>IF(INDEX(tab_MinKomp[PPAP/PSW],MATCH($B119,tab_MinKomp[[Stanowisko / Position ]:[Stanowisko / Position ]],0))="n/a","n/a",CQ119-INDEX(tab_MinKomp[PPAP/PSW],MATCH($B119,tab_MinKomp[[Stanowisko / Position ]:[Stanowisko / Position ]],0)))</f>
        <v>n/a</v>
      </c>
      <c r="CR120" s="349" t="str">
        <f>IF(INDEX(tab_MinKomp[SUPPLIER MANAGEMENT],MATCH($B119,tab_MinKomp[[Stanowisko / Position ]:[Stanowisko / Position ]],0))="n/a","n/a",CR119-INDEX(tab_MinKomp[SUPPLIER MANAGEMENT],MATCH($B119,tab_MinKomp[[Stanowisko / Position ]:[Stanowisko / Position ]],0)))</f>
        <v>n/a</v>
      </c>
      <c r="CS120" s="349" t="str">
        <f>IF(INDEX(tab_MinKomp[OBSŁUGA PORTALI KLIENTA / Kundenportale],MATCH($B119,tab_MinKomp[[Stanowisko / Position ]:[Stanowisko / Position ]],0))="n/a","n/a",CS119-INDEX(tab_MinKomp[OBSŁUGA PORTALI KLIENTA / Kundenportale],MATCH($B119,tab_MinKomp[[Stanowisko / Position ]:[Stanowisko / Position ]],0)))</f>
        <v>n/a</v>
      </c>
      <c r="CT120" s="349" t="str">
        <f>IF(INDEX(tab_MinKomp[Obsługa systemu BABTECQ / BABTECQ System],MATCH($B119,tab_MinKomp[[Stanowisko / Position ]:[Stanowisko / Position ]],0))="n/a","n/a",CT119-INDEX(tab_MinKomp[Obsługa systemu BABTECQ / BABTECQ System],MATCH($B119,tab_MinKomp[[Stanowisko / Position ]:[Stanowisko / Position ]],0)))</f>
        <v>n/a</v>
      </c>
      <c r="CU120" s="349">
        <f>IF(INDEX(tab_MinKomp[Rysunek techniczny / technische Zeichnung],MATCH($B119,tab_MinKomp[[Stanowisko / Position ]:[Stanowisko / Position ]],0))="n/a","n/a",CU119-INDEX(tab_MinKomp[Rysunek techniczny / technische Zeichnung],MATCH($B119,tab_MinKomp[[Stanowisko / Position ]:[Stanowisko / Position ]],0)))</f>
        <v>-1</v>
      </c>
      <c r="CV120" s="349" t="str">
        <f>IF(INDEX(tab_MinKomp[Kalibracja / Kalibrierung],MATCH($B119,tab_MinKomp[[Stanowisko / Position ]:[Stanowisko / Position ]],0))="n/a","n/a",CV119-INDEX(tab_MinKomp[Kalibracja / Kalibrierung],MATCH($B119,tab_MinKomp[[Stanowisko / Position ]:[Stanowisko / Position ]],0)))</f>
        <v>n/a</v>
      </c>
      <c r="CW120" s="349" t="str">
        <f>IF(INDEX(tab_MinKomp[Rekwalifikacja / Requalifizierung],MATCH($B119,tab_MinKomp[[Stanowisko / Position ]:[Stanowisko / Position ]],0))="n/a","n/a",CW119-INDEX(tab_MinKomp[Rekwalifikacja / Requalifizierung],MATCH($B119,tab_MinKomp[[Stanowisko / Position ]:[Stanowisko / Position ]],0)))</f>
        <v>n/a</v>
      </c>
      <c r="CX120" s="349" t="str">
        <f>IF(INDEX(tab_MinKomp[Obsługa mikroskopu optycznego / Bedienung eines optischen Mikroskops],MATCH($B119,tab_MinKomp[[Stanowisko / Position ]:[Stanowisko / Position ]],0))="n/a","n/a",CX119-INDEX(tab_MinKomp[Obsługa mikroskopu optycznego / Bedienung eines optischen Mikroskops],MATCH($B119,tab_MinKomp[[Stanowisko / Position ]:[Stanowisko / Position ]],0)))</f>
        <v>n/a</v>
      </c>
      <c r="CY120" s="349" t="str">
        <f>IF(INDEX(tab_MinKomp[Wykonywanie pomiarów optycznych - ocena wizualna / Optische Messungen durchführen – visuelle Beurteilung],MATCH($B119,tab_MinKomp[[Stanowisko / Position ]:[Stanowisko / Position ]],0))="n/a","n/a",CY119-INDEX(tab_MinKomp[Wykonywanie pomiarów optycznych - ocena wizualna / Optische Messungen durchführen – visuelle Beurteilung],MATCH($B119,tab_MinKomp[[Stanowisko / Position ]:[Stanowisko / Position ]],0)))</f>
        <v>n/a</v>
      </c>
      <c r="CZ120" s="349" t="str">
        <f>IF(INDEX(tab_MinKomp[Obsługa Rheometra / Rheometra-Unterstützung],MATCH($B119,tab_MinKomp[[Stanowisko / Position ]:[Stanowisko / Position ]],0))="n/a","n/a",CZ119-INDEX(tab_MinKomp[Obsługa Rheometra / Rheometra-Unterstützung],MATCH($B119,tab_MinKomp[[Stanowisko / Position ]:[Stanowisko / Position ]],0)))</f>
        <v>n/a</v>
      </c>
      <c r="DA120" s="349" t="str">
        <f>IF(INDEX(tab_MinKomp[Testy właściwości Rheometra mieszanki gumy],MATCH($B119,tab_MinKomp[[Stanowisko / Position ]:[Stanowisko / Position ]],0))="n/a","n/a",DA119-INDEX(tab_MinKomp[Testy właściwości Rheometra mieszanki gumy],MATCH($B119,tab_MinKomp[[Stanowisko / Position ]:[Stanowisko / Position ]],0)))</f>
        <v>n/a</v>
      </c>
      <c r="DB120" s="349" t="str">
        <f>IF(INDEX(tab_MinKomp[CMM - Contura Zeiss],MATCH($B119,tab_MinKomp[[Stanowisko / Position ]:[Stanowisko / Position ]],0))="n/a","n/a",DB119-INDEX(tab_MinKomp[CMM - Contura Zeiss],MATCH($B119,tab_MinKomp[[Stanowisko / Position ]:[Stanowisko / Position ]],0)))</f>
        <v>n/a</v>
      </c>
      <c r="DC120" s="349" t="str">
        <f>IF(INDEX(tab_MinKomp[Wykonywanie precyzyjnych pomiarów metrycznych, pomiary 3D],MATCH($B119,tab_MinKomp[[Stanowisko / Position ]:[Stanowisko / Position ]],0))="n/a","n/a",DC119-INDEX(tab_MinKomp[Wykonywanie precyzyjnych pomiarów metrycznych, pomiary 3D],MATCH($B119,tab_MinKomp[[Stanowisko / Position ]:[Stanowisko / Position ]],0)))</f>
        <v>n/a</v>
      </c>
      <c r="DD120" s="349" t="str">
        <f>IF(INDEX(tab_MinKomp[Pisanie programów / Programme schreiben],MATCH($B119,tab_MinKomp[[Stanowisko / Position ]:[Stanowisko / Position ]],0))="n/a","n/a",DD119-INDEX(tab_MinKomp[Pisanie programów / Programme schreiben],MATCH($B119,tab_MinKomp[[Stanowisko / Position ]:[Stanowisko / Position ]],0)))</f>
        <v>n/a</v>
      </c>
      <c r="DE120" s="349" t="str">
        <f>IF(INDEX(tab_MinKomp[Obsługa wyposażenia do testów czystości (myjka + analizator) / Betrieb von Sauberkeitsprüfgeräten (Waschmaschine + Analysegerät)],MATCH($B119,tab_MinKomp[[Stanowisko / Position ]:[Stanowisko / Position ]],0))="n/a","n/a",DE119-INDEX(tab_MinKomp[Obsługa wyposażenia do testów czystości (myjka + analizator) / Betrieb von Sauberkeitsprüfgeräten (Waschmaschine + Analysegerät)],MATCH($B119,tab_MinKomp[[Stanowisko / Position ]:[Stanowisko / Position ]],0)))</f>
        <v>n/a</v>
      </c>
      <c r="DF120" s="349" t="str">
        <f>IF(INDEX(tab_MinKomp[Testy czystości / Reinheitstests],MATCH($B119,tab_MinKomp[[Stanowisko / Position ]:[Stanowisko / Position ]],0))="n/a","n/a",DF119-INDEX(tab_MinKomp[Testy czystości / Reinheitstests],MATCH($B119,tab_MinKomp[[Stanowisko / Position ]:[Stanowisko / Position ]],0)))</f>
        <v>n/a</v>
      </c>
      <c r="DG120" s="349" t="str">
        <f>IF(INDEX(tab_MinKomp[Obsługa wysokościomierza / Unterstützung für Höhenmesser],MATCH($B119,tab_MinKomp[[Stanowisko / Position ]:[Stanowisko / Position ]],0))="n/a","n/a",DG119-INDEX(tab_MinKomp[Obsługa wysokościomierza / Unterstützung für Höhenmesser],MATCH($B119,tab_MinKomp[[Stanowisko / Position ]:[Stanowisko / Position ]],0)))</f>
        <v>n/a</v>
      </c>
      <c r="DH120" s="349" t="str">
        <f>IF(INDEX(tab_MinKomp[Pomiary wysokości materiału / Materialhöhenmessungen],MATCH($B119,tab_MinKomp[[Stanowisko / Position ]:[Stanowisko / Position ]],0))="n/a","n/a",DH119-INDEX(tab_MinKomp[Pomiary wysokości materiału / Materialhöhenmessungen],MATCH($B119,tab_MinKomp[[Stanowisko / Position ]:[Stanowisko / Position ]],0)))</f>
        <v>n/a</v>
      </c>
      <c r="DI120" s="349" t="str">
        <f>IF(INDEX(tab_MinKomp[Obsługa okrągłościomierza / Unterstützung für Rundheitsmessgeräte],MATCH($B119,tab_MinKomp[[Stanowisko / Position ]:[Stanowisko / Position ]],0))="n/a","n/a",DI119-INDEX(tab_MinKomp[Obsługa okrągłościomierza / Unterstützung für Rundheitsmessgeräte],MATCH($B119,tab_MinKomp[[Stanowisko / Position ]:[Stanowisko / Position ]],0)))</f>
        <v>n/a</v>
      </c>
      <c r="DJ120" s="349" t="str">
        <f>IF(INDEX(tab_MinKomp[Wykonywania pomiarów owalności, srednicy materiału / Messung der Ovalität und des Durchmessers des Materials],MATCH($B119,tab_MinKomp[[Stanowisko / Position ]:[Stanowisko / Position ]],0))="n/a","n/a",DJ119-INDEX(tab_MinKomp[Wykonywania pomiarów owalności, srednicy materiału / Messung der Ovalität und des Durchmessers des Materials],MATCH($B119,tab_MinKomp[[Stanowisko / Position ]:[Stanowisko / Position ]],0)))</f>
        <v>n/a</v>
      </c>
      <c r="DK120" s="349" t="str">
        <f>IF(INDEX(tab_MinKomp[Obsługa urządzenia do pomiarów chropowoatości powierzchni materiału],MATCH($B119,tab_MinKomp[[Stanowisko / Position ]:[Stanowisko / Position ]],0))="n/a","n/a",DK119-INDEX(tab_MinKomp[Obsługa urządzenia do pomiarów chropowoatości powierzchni materiału],MATCH($B119,tab_MinKomp[[Stanowisko / Position ]:[Stanowisko / Position ]],0)))</f>
        <v>n/a</v>
      </c>
      <c r="DL120" s="349" t="str">
        <f>IF(INDEX(tab_MinKomp[Wykonywanie pomiarów chropowatości powierzchni materiału / Durchführung von Messungen der Materialoberflächenrauheit],MATCH($B119,tab_MinKomp[[Stanowisko / Position ]:[Stanowisko / Position ]],0))="n/a","n/a",DL119-INDEX(tab_MinKomp[Wykonywanie pomiarów chropowatości powierzchni materiału / Durchführung von Messungen der Materialoberflächenrauheit],MATCH($B119,tab_MinKomp[[Stanowisko / Position ]:[Stanowisko / Position ]],0)))</f>
        <v>n/a</v>
      </c>
      <c r="DM120" s="349" t="str">
        <f>IF(INDEX(tab_MinKomp[Obsługa urządzenia do pomiaru siły radialnej części - postępowanie z trzpieniami. / Funktionsweise des Geräts zur Messung der Radialkraft von Teilen – Handhabungsstifte.],MATCH($B119,tab_MinKomp[[Stanowisko / Position ]:[Stanowisko / Position ]],0))="n/a","n/a",DM119-INDEX(tab_MinKomp[Obsługa urządzenia do pomiaru siły radialnej części - postępowanie z trzpieniami. / Funktionsweise des Geräts zur Messung der Radialkraft von Teilen – Handhabungsstifte.],MATCH($B119,tab_MinKomp[[Stanowisko / Position ]:[Stanowisko / Position ]],0)))</f>
        <v>n/a</v>
      </c>
      <c r="DN120" s="349" t="str">
        <f>IF(INDEX(tab_MinKomp[Wykonywanie pomiarów siły radialnej części / Führen Sie Radialkraftmessungen an Teilen durch],MATCH($B119,tab_MinKomp[[Stanowisko / Position ]:[Stanowisko / Position ]],0))="n/a","n/a",DN119-INDEX(tab_MinKomp[Wykonywanie pomiarów siły radialnej części / Führen Sie Radialkraftmessungen an Teilen durch],MATCH($B119,tab_MinKomp[[Stanowisko / Position ]:[Stanowisko / Position ]],0)))</f>
        <v>n/a</v>
      </c>
      <c r="DO120" s="349" t="str">
        <f>IF(INDEX(tab_MinKomp[Obsługa komory do testów wybuchwych / Betrieb einer Explosionsprüfkammer],MATCH($B119,tab_MinKomp[[Stanowisko / Position ]:[Stanowisko / Position ]],0))="n/a","n/a",DO119-INDEX(tab_MinKomp[Obsługa komory do testów wybuchwych / Betrieb einer Explosionsprüfkammer],MATCH($B119,tab_MinKomp[[Stanowisko / Position ]:[Stanowisko / Position ]],0)))</f>
        <v>n/a</v>
      </c>
      <c r="DP120" s="349" t="str">
        <f>IF(INDEX(tab_MinKomp[Wykonywanie testów wybuchowych części / Durchführung von Explosionstests an Teilen],MATCH($B119,tab_MinKomp[[Stanowisko / Position ]:[Stanowisko / Position ]],0))="n/a","n/a",DP119-INDEX(tab_MinKomp[Wykonywanie testów wybuchowych części / Durchführung von Explosionstests an Teilen],MATCH($B119,tab_MinKomp[[Stanowisko / Position ]:[Stanowisko / Position ]],0)))</f>
        <v>n/a</v>
      </c>
      <c r="DQ120" s="349" t="str">
        <f>IF(INDEX(tab_MinKomp[Obsługa urządzeń do mierzenia siły trzymania i/lub rozciągania / Betrieb von Geräten zur Messung der Halte- und/oder Dehnkraft],MATCH($B119,tab_MinKomp[[Stanowisko / Position ]:[Stanowisko / Position ]],0))="n/a","n/a",DQ119-INDEX(tab_MinKomp[Obsługa urządzeń do mierzenia siły trzymania i/lub rozciągania / Betrieb von Geräten zur Messung der Halte- und/oder Dehnkraft],MATCH($B119,tab_MinKomp[[Stanowisko / Position ]:[Stanowisko / Position ]],0)))</f>
        <v>n/a</v>
      </c>
      <c r="DR120" s="349" t="str">
        <f>IF(INDEX(tab_MinKomp[Wykonywanie testów mierzenia siły trzymania i/lub rozciągania / Durchführung von Tests zur Messung der Halte- und/oder Streckkraft],MATCH($B119,tab_MinKomp[[Stanowisko / Position ]:[Stanowisko / Position ]],0))="n/a","n/a",DR119-INDEX(tab_MinKomp[Wykonywanie testów mierzenia siły trzymania i/lub rozciągania / Durchführung von Tests zur Messung der Halte- und/oder Streckkraft],MATCH($B119,tab_MinKomp[[Stanowisko / Position ]:[Stanowisko / Position ]],0)))</f>
        <v>n/a</v>
      </c>
      <c r="DS120" s="349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Luftstrom)],MATCH($B119,tab_MinKomp[[Stanowisko / Position ]:[Stanowisko / Position ]],0))="n/a","n/a",DS119-INDEX(tab_MinKomp[Obsługa multimetru do pomiarów środowiskowych (temperatura, wilgotność, hałas, oświetlenie, przepływ powietrza) / Betrieb eines Multimeters für Umweltmessungen (Temperatur, Luftfeuchtigkeit, Lärm, Beleuchtung, Luftstrom)],MATCH($B119,tab_MinKomp[[Stanowisko / Position ]:[Stanowisko / Position ]],0)))</f>
        <v>n/a</v>
      </c>
      <c r="DT120" s="349" t="str">
        <f>IF(INDEX(tab_MinKomp[Kontrola warunków środowiskowych pracy (temperatura, wilgotność, hałas, oświetlenie, przepływ powietrza) / Kontrolle der Arbeitsumgebungsbedingungen (Temperatur, Luftfeuchtigkeit, Lärm, Beleuchtung, Luftstrom)],MATCH($B119,tab_MinKomp[[Stanowisko / Position ]:[Stanowisko / Position ]],0))="n/a","n/a",DT119-INDEX(tab_MinKomp[Kontrola warunków środowiskowych pracy (temperatura, wilgotność, hałas, oświetlenie, przepływ powietrza) / Kontrolle der Arbeitsumgebungsbedingungen (Temperatur, Luftfeuchtigkeit, Lärm, Beleuchtung, Luftstrom)],MATCH($B119,tab_MinKomp[[Stanowisko / Position ]:[Stanowisko / Position ]],0)))</f>
        <v>n/a</v>
      </c>
      <c r="DU120" s="349" t="str">
        <f>IF(INDEX(tab_MinKomp[MSA i SPC],MATCH($B119,tab_MinKomp[[Stanowisko / Position ]:[Stanowisko / Position ]],0))="n/a","n/a",DU119-INDEX(tab_MinKomp[MSA i SPC],MATCH($B119,tab_MinKomp[[Stanowisko / Position ]:[Stanowisko / Position ]],0)))</f>
        <v>n/a</v>
      </c>
      <c r="DV120" s="349" t="str">
        <f>IF(INDEX(tab_MinKomp[Kontrola wejściowa komponentów/ Eingangskontrolle],MATCH($B119,tab_MinKomp[[Stanowisko / Position ]:[Stanowisko / Position ]],0))="n/a","n/a",DV119-INDEX(tab_MinKomp[Kontrola wejściowa komponentów/ Eingangskontrolle],MATCH($B119,tab_MinKomp[[Stanowisko / Position ]:[Stanowisko / Position ]],0)))</f>
        <v>n/a</v>
      </c>
      <c r="DW120" s="349" t="str">
        <f>IF(INDEX(tab_MinKomp[Kontrola wyjściowa produktu / Ausgangskontrolle],MATCH($B119,tab_MinKomp[[Stanowisko / Position ]:[Stanowisko / Position ]],0))="n/a","n/a",DW119-INDEX(tab_MinKomp[Kontrola wyjściowa produktu / Ausgangskontrolle],MATCH($B119,tab_MinKomp[[Stanowisko / Position ]:[Stanowisko / Position ]],0)))</f>
        <v>n/a</v>
      </c>
      <c r="DX120" s="349" t="str">
        <f>IF(INDEX(tab_MinKomp[Kontrola codzienna produkcji / Tägliche Produktionskontrolle],MATCH($B119,tab_MinKomp[[Stanowisko / Position ]:[Stanowisko / Position ]],0))="n/a","n/a",DX119-INDEX(tab_MinKomp[Kontrola codzienna produkcji / Tägliche Produktionskontrolle],MATCH($B119,tab_MinKomp[[Stanowisko / Position ]:[Stanowisko / Position ]],0)))</f>
        <v>n/a</v>
      </c>
      <c r="DY120" s="349">
        <f>IF(INDEX(tab_MinKomp[Konserwacja Rep],MATCH($B119,tab_MinKomp[[Stanowisko / Position ]:[Stanowisko / Position ]],0))="n/a","n/a",DY119-INDEX(tab_MinKomp[Konserwacja Rep],MATCH($B119,tab_MinKomp[[Stanowisko / Position ]:[Stanowisko / Position ]],0)))</f>
        <v>0</v>
      </c>
      <c r="DZ120" s="349">
        <f>IF(INDEX(tab_MinKomp[[Konserwacja Engel ]],MATCH($B119,tab_MinKomp[[Stanowisko / Position ]:[Stanowisko / Position ]],0))="n/a","n/a",DZ119-INDEX(tab_MinKomp[[Konserwacja Engel ]],MATCH($B119,tab_MinKomp[[Stanowisko / Position ]:[Stanowisko / Position ]],0)))</f>
        <v>-1</v>
      </c>
      <c r="EA120" s="349">
        <f>IF(INDEX(tab_MinKomp[Konserwacja B 50],MATCH($B119,tab_MinKomp[[Stanowisko / Position ]:[Stanowisko / Position ]],0))="n/a","n/a",EA119-INDEX(tab_MinKomp[Konserwacja B 50],MATCH($B119,tab_MinKomp[[Stanowisko / Position ]:[Stanowisko / Position ]],0)))</f>
        <v>0</v>
      </c>
      <c r="EB120" s="349">
        <f>IF(INDEX(tab_MinKomp[[Konserwacja EOL ]],MATCH($B119,tab_MinKomp[[Stanowisko / Position ]:[Stanowisko / Position ]],0))="n/a","n/a",EB119-INDEX(tab_MinKomp[[Konserwacja EOL ]],MATCH($B119,tab_MinKomp[[Stanowisko / Position ]:[Stanowisko / Position ]],0)))</f>
        <v>-1</v>
      </c>
      <c r="EC120" s="349">
        <f>IF(INDEX(tab_MinKomp[Konserwacja Branson],MATCH($B119,tab_MinKomp[[Stanowisko / Position ]:[Stanowisko / Position ]],0))="n/a","n/a",EC119-INDEX(tab_MinKomp[Konserwacja Branson],MATCH($B119,tab_MinKomp[[Stanowisko / Position ]:[Stanowisko / Position ]],0)))</f>
        <v>0</v>
      </c>
      <c r="ED120" s="349">
        <f>IF(INDEX(tab_MinKomp[Konserwacja coolery],MATCH($B119,tab_MinKomp[[Stanowisko / Position ]:[Stanowisko / Position ]],0))="n/a","n/a",ED119-INDEX(tab_MinKomp[Konserwacja coolery],MATCH($B119,tab_MinKomp[[Stanowisko / Position ]:[Stanowisko / Position ]],0)))</f>
        <v>0</v>
      </c>
      <c r="EE120" s="349">
        <f>IF(INDEX(tab_MinKomp[Konserwacja piecy],MATCH($B119,tab_MinKomp[[Stanowisko / Position ]:[Stanowisko / Position ]],0))="n/a","n/a",EE119-INDEX(tab_MinKomp[Konserwacja piecy],MATCH($B119,tab_MinKomp[[Stanowisko / Position ]:[Stanowisko / Position ]],0)))</f>
        <v>0</v>
      </c>
      <c r="EF120" s="349">
        <f>IF(INDEX(tab_MinKomp[Rysunek techniczny- czytanie],MATCH($B119,tab_MinKomp[[Stanowisko / Position ]:[Stanowisko / Position ]],0))="n/a","n/a",EF119-INDEX(tab_MinKomp[Rysunek techniczny- czytanie],MATCH($B119,tab_MinKomp[[Stanowisko / Position ]:[Stanowisko / Position ]],0)))</f>
        <v>-1</v>
      </c>
      <c r="EG120" s="349">
        <f>IF(INDEX(tab_MinKomp[Elektryka],MATCH($B119,tab_MinKomp[[Stanowisko / Position ]:[Stanowisko / Position ]],0))="n/a","n/a",EG119-INDEX(tab_MinKomp[Elektryka],MATCH($B119,tab_MinKomp[[Stanowisko / Position ]:[Stanowisko / Position ]],0)))</f>
        <v>-1</v>
      </c>
      <c r="EH120" s="349">
        <f>IF(INDEX(tab_MinKomp[Pneumatyka],MATCH($B119,tab_MinKomp[[Stanowisko / Position ]:[Stanowisko / Position ]],0))="n/a","n/a",EH119-INDEX(tab_MinKomp[Pneumatyka],MATCH($B119,tab_MinKomp[[Stanowisko / Position ]:[Stanowisko / Position ]],0)))</f>
        <v>-1</v>
      </c>
      <c r="EI120" s="349">
        <f>IF(INDEX(tab_MinKomp[[Hydraulika ]],MATCH($B119,tab_MinKomp[[Stanowisko / Position ]:[Stanowisko / Position ]],0))="n/a","n/a",EI119-INDEX(tab_MinKomp[[Hydraulika ]],MATCH($B119,tab_MinKomp[[Stanowisko / Position ]:[Stanowisko / Position ]],0)))</f>
        <v>-1</v>
      </c>
      <c r="EJ120" s="349">
        <f>IF(INDEX(tab_MinKomp[Podciśnienie],MATCH($B119,tab_MinKomp[[Stanowisko / Position ]:[Stanowisko / Position ]],0))="n/a","n/a",EJ119-INDEX(tab_MinKomp[Podciśnienie],MATCH($B119,tab_MinKomp[[Stanowisko / Position ]:[Stanowisko / Position ]],0)))</f>
        <v>-1</v>
      </c>
      <c r="EK120" s="349">
        <f>IF(INDEX(tab_MinKomp[Usuwanie awarii],MATCH($B119,tab_MinKomp[[Stanowisko / Position ]:[Stanowisko / Position ]],0))="n/a","n/a",EK119-INDEX(tab_MinKomp[Usuwanie awarii],MATCH($B119,tab_MinKomp[[Stanowisko / Position ]:[Stanowisko / Position ]],0)))</f>
        <v>-1</v>
      </c>
      <c r="EL120" s="470">
        <f>IF(INDEX(tab_MinKomp[Obsługa robotów],MATCH($B119,tab_MinKomp[[Stanowisko / Position ]:[Stanowisko / Position ]],0))="n/a","n/a",EL119-INDEX(tab_MinKomp[Obsługa robotów],MATCH($B119,tab_MinKomp[[Stanowisko / Position ]:[Stanowisko / Position ]],0)))</f>
        <v>-1</v>
      </c>
      <c r="EM120" s="349">
        <f>IF(INDEX(tab_MinKomp[Obsługa sterowania maszyny],MATCH($B119,tab_MinKomp[[Stanowisko / Position ]:[Stanowisko / Position ]],0))="n/a","n/a",EM119-INDEX(tab_MinKomp[Obsługa sterowania maszyny],MATCH($B119,tab_MinKomp[[Stanowisko / Position ]:[Stanowisko / Position ]],0)))</f>
        <v>-1</v>
      </c>
      <c r="EN120" s="349">
        <f>IF(INDEX(tab_MinKomp[Usuwanie przyczyn żródłowych],MATCH($B119,tab_MinKomp[[Stanowisko / Position ]:[Stanowisko / Position ]],0))="n/a","n/a",EN119-INDEX(tab_MinKomp[Usuwanie przyczyn żródłowych],MATCH($B119,tab_MinKomp[[Stanowisko / Position ]:[Stanowisko / Position ]],0)))</f>
        <v>-1</v>
      </c>
      <c r="EO120" s="349">
        <f>IF(INDEX(tab_MinKomp[Cmms stosowanie],MATCH($B119,tab_MinKomp[[Stanowisko / Position ]:[Stanowisko / Position ]],0))="n/a","n/a",EO119-INDEX(tab_MinKomp[Cmms stosowanie],MATCH($B119,tab_MinKomp[[Stanowisko / Position ]:[Stanowisko / Position ]],0)))</f>
        <v>0</v>
      </c>
      <c r="EP120" s="343" t="str">
        <f>IF(INDEX(tab_MinKomp[[Czyszczenie form gumowych ]],MATCH($B119,tab_MinKomp[[Stanowisko / Position ]:[Stanowisko / Position ]],0))="n/a","n/a",EP119-INDEX(tab_MinKomp[[Czyszczenie form gumowych ]],MATCH($B119,tab_MinKomp[[Stanowisko / Position ]:[Stanowisko / Position ]],0)))</f>
        <v>n/a</v>
      </c>
      <c r="EQ120" s="343" t="str">
        <f>IF(INDEX(tab_MinKomp[Czyszczenie form plastikowych],MATCH($B119,tab_MinKomp[[Stanowisko / Position ]:[Stanowisko / Position ]],0))="n/a","n/a",EQ119-INDEX(tab_MinKomp[Czyszczenie form plastikowych],MATCH($B119,tab_MinKomp[[Stanowisko / Position ]:[Stanowisko / Position ]],0)))</f>
        <v>n/a</v>
      </c>
      <c r="ER120" s="343" t="str">
        <f>IF(INDEX(tab_MinKomp[Wymiana form plastik],MATCH($B119,tab_MinKomp[[Stanowisko / Position ]:[Stanowisko / Position ]],0))="n/a","n/a",ER119-INDEX(tab_MinKomp[Wymiana form plastik],MATCH($B119,tab_MinKomp[[Stanowisko / Position ]:[Stanowisko / Position ]],0)))</f>
        <v>n/a</v>
      </c>
      <c r="ES120" s="343" t="str">
        <f>IF(INDEX(tab_MinKomp[Wymiana form guma],MATCH($B119,tab_MinKomp[[Stanowisko / Position ]:[Stanowisko / Position ]],0))="n/a","n/a",ES119-INDEX(tab_MinKomp[Wymiana form guma],MATCH($B119,tab_MinKomp[[Stanowisko / Position ]:[Stanowisko / Position ]],0)))</f>
        <v>n/a</v>
      </c>
      <c r="ET120" s="343" t="str">
        <f>IF(INDEX(tab_MinKomp[Konserwacja KK],MATCH($B119,tab_MinKomp[[Stanowisko / Position ]:[Stanowisko / Position ]],0))="n/a","n/a",ET119-INDEX(tab_MinKomp[Konserwacja KK],MATCH($B119,tab_MinKomp[[Stanowisko / Position ]:[Stanowisko / Position ]],0)))</f>
        <v>n/a</v>
      </c>
      <c r="EU120" s="343" t="str">
        <f>IF(INDEX(tab_MinKomp[Konserwacja form guma],MATCH($B119,tab_MinKomp[[Stanowisko / Position ]:[Stanowisko / Position ]],0))="n/a","n/a",EU119-INDEX(tab_MinKomp[Konserwacja form guma],MATCH($B119,tab_MinKomp[[Stanowisko / Position ]:[Stanowisko / Position ]],0)))</f>
        <v>n/a</v>
      </c>
      <c r="EV120" s="343" t="str">
        <f>IF(INDEX(tab_MinKomp[Konserwacja form plastiki],MATCH($B119,tab_MinKomp[[Stanowisko / Position ]:[Stanowisko / Position ]],0))="n/a","n/a",EV119-INDEX(tab_MinKomp[Konserwacja form plastiki],MATCH($B119,tab_MinKomp[[Stanowisko / Position ]:[Stanowisko / Position ]],0)))</f>
        <v>n/a</v>
      </c>
      <c r="EW120" s="330" t="str">
        <f>IF(INDEX(tab_MinKomp[Konserwacja form plastiki],MATCH($B119,tab_MinKomp[[Stanowisko / Position ]:[Stanowisko / Position ]],0))="n/a","n/a",EW119-INDEX(tab_MinKomp[Konserwacja form plastiki],MATCH($B119,tab_MinKomp[[Stanowisko / Position ]:[Stanowisko / Position ]],0)))</f>
        <v>n/a</v>
      </c>
      <c r="EX120" s="343" t="str">
        <f>IF(INDEX(tab_MinKomp[Konserwacja Gorącego Kanału],MATCH($B119,tab_MinKomp[[Stanowisko / Position ]:[Stanowisko / Position ]],0))="n/a","n/a",EX119-INDEX(tab_MinKomp[Konserwacja Gorącego Kanału],MATCH($B119,tab_MinKomp[[Stanowisko / Position ]:[Stanowisko / Position ]],0)))</f>
        <v>n/a</v>
      </c>
      <c r="EY120" s="349" t="str">
        <f>IF(INDEX(tab_MinKomp[MS Office (Excel)],MATCH($B119,tab_MinKomp[[Stanowisko / Position ]:[Stanowisko / Position ]],0))="n/a","n/a",EY119-INDEX(tab_MinKomp[MS Office (Excel)],MATCH($B119,tab_MinKomp[[Stanowisko / Position ]:[Stanowisko / Position ]],0)))</f>
        <v>n/a</v>
      </c>
      <c r="EZ120" s="349" t="str">
        <f>IF(INDEX(tab_MinKomp[MS Office (Word)],MATCH($B119,tab_MinKomp[[Stanowisko / Position ]:[Stanowisko / Position ]],0))="n/a","n/a",EZ119-INDEX(tab_MinKomp[MS Office (Word)],MATCH($B119,tab_MinKomp[[Stanowisko / Position ]:[Stanowisko / Position ]],0)))</f>
        <v>n/a</v>
      </c>
      <c r="FA120" s="349" t="str">
        <f>IF(INDEX(tab_MinKomp[MS Office (Power Point)],MATCH($B119,tab_MinKomp[[Stanowisko / Position ]:[Stanowisko / Position ]],0))="n/a","n/a",FA119-INDEX(tab_MinKomp[MS Office (Power Point)],MATCH($B119,tab_MinKomp[[Stanowisko / Position ]:[Stanowisko / Position ]],0)))</f>
        <v>n/a</v>
      </c>
      <c r="FB120" s="349" t="str">
        <f>IF(INDEX(tab_MinKomp[Język angielski / Englisch],MATCH($B119,tab_MinKomp[[Stanowisko / Position ]:[Stanowisko / Position ]],0))="n/a","n/a",FB119-INDEX(tab_MinKomp[Język angielski / Englisch],MATCH($B119,tab_MinKomp[[Stanowisko / Position ]:[Stanowisko / Position ]],0)))</f>
        <v>n/a</v>
      </c>
      <c r="FC120" s="349" t="str">
        <f>IF(INDEX(tab_MinKomp[Język niemiecki / Deutsch],MATCH($B119,tab_MinKomp[[Stanowisko / Position ]:[Stanowisko / Position ]],0))="n/a","n/a",FC119-INDEX(tab_MinKomp[Język niemiecki / Deutsch],MATCH($B119,tab_MinKomp[[Stanowisko / Position ]:[Stanowisko / Position ]],0)))</f>
        <v>n/a</v>
      </c>
      <c r="FD120" s="349">
        <f>IF(INDEX(tab_MinKomp[Zarządzanie dokumentacją procesową / Process dokumentation management],MATCH($B119,tab_MinKomp[[Stanowisko / Position ]:[Stanowisko / Position ]],0))="n/a","n/a",FD119-INDEX(tab_MinKomp[Zarządzanie dokumentacją procesową / Process dokumentation management],MATCH($B119,tab_MinKomp[[Stanowisko / Position ]:[Stanowisko / Position ]],0)))</f>
        <v>0</v>
      </c>
      <c r="FE120" s="349">
        <f>IF(INDEX(tab_MinKomp[Znajomość procesów z obszaru / Kenntiss der prozesse in dem Bereich],MATCH($B119,tab_MinKomp[[Stanowisko / Position ]:[Stanowisko / Position ]],0))="n/a","n/a",FE119-INDEX(tab_MinKomp[Znajomość procesów z obszaru / Kenntiss der prozesse in dem Bereich],MATCH($B119,tab_MinKomp[[Stanowisko / Position ]:[Stanowisko / Position ]],0)))</f>
        <v>-1</v>
      </c>
      <c r="FF120" s="349">
        <f>IF(INDEX(tab_MinKomp[optymalizacja procesów / Prozessoptymalisierung],MATCH($B119,tab_MinKomp[[Stanowisko / Position ]:[Stanowisko / Position ]],0))="n/a","n/a",FF119-INDEX(tab_MinKomp[optymalizacja procesów / Prozessoptymalisierung],MATCH($B119,tab_MinKomp[[Stanowisko / Position ]:[Stanowisko / Position ]],0)))</f>
        <v>-1</v>
      </c>
      <c r="FG120" s="349">
        <f>IF(INDEX(tab_MinKomp[Umiejętności szkoleniowe / Trainingsfähigkeiten],MATCH($B119,tab_MinKomp[[Stanowisko / Position ]:[Stanowisko / Position ]],0))="n/a","n/a",FG119-INDEX(tab_MinKomp[Umiejętności szkoleniowe / Trainingsfähigkeiten],MATCH($B119,tab_MinKomp[[Stanowisko / Position ]:[Stanowisko / Position ]],0)))</f>
        <v>0</v>
      </c>
      <c r="FH120" s="349">
        <f>IF(INDEX(tab_MinKomp[Analityczne myślenie, podejście / Analitysches Denken, Einstellung],MATCH($B119,tab_MinKomp[[Stanowisko / Position ]:[Stanowisko / Position ]],0))="n/a","n/a",FH119-INDEX(tab_MinKomp[Analityczne myślenie, podejście / Analitysches Denken, Einstellung],MATCH($B119,tab_MinKomp[[Stanowisko / Position ]:[Stanowisko / Position ]],0)))</f>
        <v>-1</v>
      </c>
      <c r="FI120" s="349">
        <f>IF(INDEX(tab_MinKomp[Dokładność, precyzja w dzialaniu / Genauigkeit, Präzision in die Arbeit],MATCH($B119,tab_MinKomp[[Stanowisko / Position ]:[Stanowisko / Position ]],0))="n/a","n/a",FI119-INDEX(tab_MinKomp[Dokładność, precyzja w dzialaniu / Genauigkeit, Präzision in die Arbeit],MATCH($B119,tab_MinKomp[[Stanowisko / Position ]:[Stanowisko / Position ]],0)))</f>
        <v>-1</v>
      </c>
      <c r="FJ120" s="349">
        <f>IF(INDEX(tab_MinKomp[Dyspozycyjność / Verfügbarkeit],MATCH($B119,tab_MinKomp[[Stanowisko / Position ]:[Stanowisko / Position ]],0))="n/a","n/a",FJ119-INDEX(tab_MinKomp[Dyspozycyjność / Verfügbarkeit],MATCH($B119,tab_MinKomp[[Stanowisko / Position ]:[Stanowisko / Position ]],0)))</f>
        <v>-1</v>
      </c>
      <c r="FK120" s="349">
        <f>IF(INDEX(tab_MinKomp[Zaangażowanie / 
Engagement],MATCH($B119,tab_MinKomp[[Stanowisko / Position ]:[Stanowisko / Position ]],0))="n/a","n/a",FK119-INDEX(tab_MinKomp[Zaangażowanie / 
Engagement],MATCH($B119,tab_MinKomp[[Stanowisko / Position ]:[Stanowisko / Position ]],0)))</f>
        <v>-1</v>
      </c>
      <c r="FL120" s="349" t="str">
        <f>IF(INDEX(tab_MinKomp[Planowanie strategiczne / Strategische Planung],MATCH($B119,tab_MinKomp[[Stanowisko / Position ]:[Stanowisko / Position ]],0))="n/a","n/a",FL119-INDEX(tab_MinKomp[Planowanie strategiczne / Strategische Planung],MATCH($B119,tab_MinKomp[[Stanowisko / Position ]:[Stanowisko / Position ]],0)))</f>
        <v>n/a</v>
      </c>
      <c r="FM120" s="349">
        <f>IF(INDEX(tab_MinKomp[Konsekwentne i dynamiczne działanie],MATCH($B119,tab_MinKomp[[Stanowisko / Position ]:[Stanowisko / Position ]],0))="n/a","n/a",FM119-INDEX(tab_MinKomp[Konsekwentne i dynamiczne działanie],MATCH($B119,tab_MinKomp[[Stanowisko / Position ]:[Stanowisko / Position ]],0)))</f>
        <v>0</v>
      </c>
      <c r="FN120" s="349" t="str">
        <f>IF(INDEX(tab_MinKomp[Elastyczność w działaniu],MATCH($B119,tab_MinKomp[[Stanowisko / Position ]:[Stanowisko / Position ]],0))="n/a","n/a",FN119-INDEX(tab_MinKomp[Elastyczność w działaniu],MATCH($B119,tab_MinKomp[[Stanowisko / Position ]:[Stanowisko / Position ]],0)))</f>
        <v>n/a</v>
      </c>
      <c r="FO120" s="349" t="str">
        <f>IF(INDEX(tab_MinKomp[Komunikatywność],MATCH($B119,tab_MinKomp[[Stanowisko / Position ]:[Stanowisko / Position ]],0))="n/a","n/a",FO119-INDEX(tab_MinKomp[Komunikatywność],MATCH($B119,tab_MinKomp[[Stanowisko / Position ]:[Stanowisko / Position ]],0)))</f>
        <v>n/a</v>
      </c>
      <c r="FP120" s="349" t="str">
        <f>IF(INDEX(tab_MinKomp[Motywowanie i budowanie zaangażowania zespołu],MATCH($B119,tab_MinKomp[[Stanowisko / Position ]:[Stanowisko / Position ]],0))="n/a","n/a",FP119-INDEX(tab_MinKomp[Motywowanie i budowanie zaangażowania zespołu],MATCH($B119,tab_MinKomp[[Stanowisko / Position ]:[Stanowisko / Position ]],0)))</f>
        <v>n/a</v>
      </c>
      <c r="FQ120" s="388" t="str">
        <f>IFERROR(IF(INDEX(tab_MinKomp[BRAK / Keine],MATCH($B119,tab_MinKomp[[Stanowisko / Position ]:[Stanowisko / Position ]],0))="n/a","n/a",INDEX(tab_MinKomp[BRAK / Keine],MATCH($B119,tab_MinKomp[[Stanowisko / Position ]:[Stanowisko / Position ]],0))-FQ119),"")</f>
        <v>n/a</v>
      </c>
      <c r="FR120" s="349" t="str">
        <f>IF(INDEX(tab_MinKomp[MINIMUM 1 ROK / min. 1 Jahr],MATCH($B119,tab_MinKomp[[Stanowisko / Position ]:[Stanowisko / Position ]],0))="n/a","n/a",INDEX(tab_MinKomp[MINIMUM 1 ROK / min. 1 Jahr],MATCH($B119,tab_MinKomp[[Stanowisko / Position ]:[Stanowisko / Position ]],0)))</f>
        <v>n/a</v>
      </c>
      <c r="FS120" s="349" t="str">
        <f>IF(INDEX(tab_MinKomp[MINIMUM 2 LATA / min. 2 Jahre],MATCH($B119,tab_MinKomp[[Stanowisko / Position ]:[Stanowisko / Position ]],0))="n/a","n/a",INDEX(tab_MinKomp[MINIMUM 2 LATA / min. 2 Jahre],MATCH($B119,tab_MinKomp[[Stanowisko / Position ]:[Stanowisko / Position ]],0)))</f>
        <v>n/a</v>
      </c>
      <c r="FT120" s="349" t="str">
        <f>IF(INDEX(tab_MinKomp[MINIMUM 3 LATA / min. 3 Jahre],MATCH($B119,tab_MinKomp[[Stanowisko / Position ]:[Stanowisko / Position ]],0))="n/a","n/a",INDEX(tab_MinKomp[MINIMUM 3 LATA / min. 3 Jahre],MATCH($B119,tab_MinKomp[[Stanowisko / Position ]:[Stanowisko / Position ]],0)))</f>
        <v>n/a</v>
      </c>
      <c r="FU120" s="349" t="str">
        <f>IF(INDEX(tab_MinKomp[MINIMUM 4 LATA / min. 4 Jahre],MATCH($B119,tab_MinKomp[[Stanowisko / Position ]:[Stanowisko / Position ]],0))="n/a","n/a",INDEX(tab_MinKomp[MINIMUM 4 LATA / min. 4 Jahre],MATCH($B119,tab_MinKomp[[Stanowisko / Position ]:[Stanowisko / Position ]],0)))</f>
        <v>n/a</v>
      </c>
      <c r="FV120" s="389" t="str">
        <f>IF(INDEX(tab_MinKomp[MINIMUM 5 LAT / min. 5 Jahre],MATCH($B119,tab_MinKomp[[Stanowisko / Position ]:[Stanowisko / Position ]],0))="n/a","n/a",INDEX(tab_MinKomp[MINIMUM 5 LAT / min. 5 Jahre],MATCH($B119,tab_MinKomp[[Stanowisko / Position ]:[Stanowisko / Position ]],0)))</f>
        <v>n/a</v>
      </c>
      <c r="FW120" s="388" t="str">
        <f>IF(INDEX(tab_MinKomp[BRAK / Keine9],MATCH($B119,tab_MinKomp[[Stanowisko / Position ]:[Stanowisko / Position ]],0))="n/a","n/a",INDEX(tab_MinKomp[BRAK / Keine9],MATCH($B119,tab_MinKomp[[Stanowisko / Position ]:[Stanowisko / Position ]],0)))</f>
        <v>n/a</v>
      </c>
      <c r="FX120" s="349" t="str">
        <f>IF(INDEX(tab_MinKomp[ZAWODOWE / Berufsausbildung],MATCH($B119,tab_MinKomp[[Stanowisko / Position ]:[Stanowisko / Position ]],0))="n/a","n/a",INDEX(tab_MinKomp[ZAWODOWE / Berufsausbildung],MATCH($B119,tab_MinKomp[[Stanowisko / Position ]:[Stanowisko / Position ]],0)))</f>
        <v>n/a</v>
      </c>
      <c r="FY120" s="349" t="s">
        <v>387</v>
      </c>
      <c r="FZ120" s="349" t="str">
        <f>IF(INDEX(tab_MinKomp[ŚREDNIE KIERUNKOWE / berufliches Gymnasium],MATCH($B119,tab_MinKomp[[Stanowisko / Position ]:[Stanowisko / Position ]],0))="n/a","n/a",INDEX(tab_MinKomp[ŚREDNIE KIERUNKOWE / berufliches Gymnasium],MATCH($B119,tab_MinKomp[[Stanowisko / Position ]:[Stanowisko / Position ]],0)))</f>
        <v>n/a</v>
      </c>
      <c r="GA120" s="349" t="str">
        <f>IF(INDEX(tab_MinKomp[WYŻSZE OGÓLNE / Hochschule allgemeine],MATCH($B119,tab_MinKomp[[Stanowisko / Position ]:[Stanowisko / Position ]],0))="n/a","n/a",INDEX(tab_MinKomp[WYŻSZE OGÓLNE / Hochschule allgemeine],MATCH($B119,tab_MinKomp[[Stanowisko / Position ]:[Stanowisko / Position ]],0)))</f>
        <v>n/a</v>
      </c>
      <c r="GB120" s="389" t="str">
        <f>IF(INDEX(tab_MinKomp[WYŻSZE KIERUNKOWE / Hochschule berufliche],MATCH($B119,tab_MinKomp[[Stanowisko / Position ]:[Stanowisko / Position ]],0))="n/a","n/a",INDEX(tab_MinKomp[WYŻSZE KIERUNKOWE / Hochschule berufliche],MATCH($B119,tab_MinKomp[[Stanowisko / Position ]:[Stanowisko / Position ]],0)))</f>
        <v>n/a</v>
      </c>
      <c r="GC120" s="388" t="str">
        <f>IF(INDEX(tab_MinKomp[PIERWSZA POMOC / Erste Hilfe],MATCH($B119,tab_MinKomp[[Stanowisko / Position ]:[Stanowisko / Position ]],0))="n/a","n/a",INDEX(tab_MinKomp[PIERWSZA POMOC / Erste Hilfe],MATCH($B119,tab_MinKomp[[Stanowisko / Position ]:[Stanowisko / Position ]],0)))</f>
        <v>n/a</v>
      </c>
      <c r="GD120" s="349" t="str">
        <f>IF(INDEX(tab_MinKomp[Specjalista BHP / BHP Spezialist],MATCH($B119,tab_MinKomp[[Stanowisko / Position ]:[Stanowisko / Position ]],0))="n/a","n/a",INDEX(tab_MinKomp[Specjalista BHP / BHP Spezialist],MATCH($B119,tab_MinKomp[[Stanowisko / Position ]:[Stanowisko / Position ]],0)))</f>
        <v>n/a</v>
      </c>
      <c r="GE120" s="349" t="str">
        <f>IF(INDEX(tab_MinKomp[Specjalista BHP / BHP Spezialist],MATCH($B119,tab_MinKomp[[Stanowisko / Position ]:[Stanowisko / Position ]],0))="n/a","n/a",INDEX(tab_MinKomp[Specjalista BHP / BHP Spezialist],MATCH($B119,tab_MinKomp[[Stanowisko / Position ]:[Stanowisko / Position ]],0)))</f>
        <v>n/a</v>
      </c>
      <c r="GF120" s="349" t="str">
        <f>IF(INDEX(tab_MinKomp[WÓZKI JEZDNIOWE / Gebelstapler],MATCH($B119,tab_MinKomp[[Stanowisko / Position ]:[Stanowisko / Position ]],0))="n/a","n/a",INDEX(tab_MinKomp[WÓZKI JEZDNIOWE / Gebelstapler],MATCH($B119,tab_MinKomp[[Stanowisko / Position ]:[Stanowisko / Position ]],0)))</f>
        <v>x</v>
      </c>
      <c r="GG120" s="349" t="str">
        <f>IF(INDEX(tab_MinKomp[SEP],MATCH($B119,tab_MinKomp[[Stanowisko / Position ]:[Stanowisko / Position ]],0))="n/a","n/a",INDEX(tab_MinKomp[SEP],MATCH($B119,tab_MinKomp[[Stanowisko / Position ]:[Stanowisko / Position ]],0)))</f>
        <v>X</v>
      </c>
      <c r="GH120" s="349" t="str">
        <f>IF(INDEX(tab_MinKomp[SEP  DOZÓR / SEP Aufsicht],MATCH($B119,tab_MinKomp[[Stanowisko / Position ]:[Stanowisko / Position ]],0))="n/a","n/a",INDEX(tab_MinKomp[SEP  DOZÓR / SEP Aufsicht],MATCH($B119,tab_MinKomp[[Stanowisko / Position ]:[Stanowisko / Position ]],0)))</f>
        <v>x</v>
      </c>
      <c r="GI120" s="349" t="str">
        <f>IF(INDEX(tab_MinKomp[PODNOŚNIKI / Hebevorrichtung],MATCH($B119,tab_MinKomp[[Stanowisko / Position ]:[Stanowisko / Position ]],0))="n/a","n/a",INDEX(tab_MinKomp[PODNOŚNIKI / Hebevorrichtung],MATCH($B119,tab_MinKomp[[Stanowisko / Position ]:[Stanowisko / Position ]],0)))</f>
        <v>X</v>
      </c>
      <c r="GJ120" s="349" t="str">
        <f>IF(INDEX(tab_MinKomp[SUWNICE / Laufkran],MATCH($B119,tab_MinKomp[[Stanowisko / Position ]:[Stanowisko / Position ]],0))="n/a","n/a",INDEX(tab_MinKomp[SUWNICE / Laufkran],MATCH($B119,tab_MinKomp[[Stanowisko / Position ]:[Stanowisko / Position ]],0)))</f>
        <v>x</v>
      </c>
      <c r="GK120" s="389" t="str">
        <f>IF(INDEX(tab_MinKomp[WYSOKOŚCIOWE / Höhenberechtigungen],MATCH($B119,tab_MinKomp[[Stanowisko / Position ]:[Stanowisko / Position ]],0))="n/a","n/a",INDEX(tab_MinKomp[WYSOKOŚCIOWE / Höhenberechtigungen],MATCH($B119,tab_MinKomp[[Stanowisko / Position ]:[Stanowisko / Position ]],0)))</f>
        <v>x</v>
      </c>
      <c r="GL120" s="320">
        <f>SUM(G120:FP120)/(GL119-(SUM(G120:FP120)))</f>
        <v>-0.27272727272727271</v>
      </c>
      <c r="GM120" s="132"/>
    </row>
    <row r="121" spans="1:195" s="133" customFormat="1" ht="28.35" customHeight="1" x14ac:dyDescent="0.25">
      <c r="A121" s="138" t="s">
        <v>161</v>
      </c>
      <c r="B121" s="138" t="s">
        <v>215</v>
      </c>
      <c r="C121" s="138" t="s">
        <v>657</v>
      </c>
      <c r="D121" s="138"/>
      <c r="E121" s="563" t="s">
        <v>769</v>
      </c>
      <c r="F121" s="307" t="s">
        <v>165</v>
      </c>
      <c r="G121" s="308"/>
      <c r="H121" s="308"/>
      <c r="I121" s="308"/>
      <c r="J121" s="308"/>
      <c r="K121" s="308"/>
      <c r="L121" s="308"/>
      <c r="M121" s="308" t="s">
        <v>176</v>
      </c>
      <c r="N121" s="308" t="s">
        <v>176</v>
      </c>
      <c r="O121" s="308"/>
      <c r="P121" s="308"/>
      <c r="Q121" s="308" t="s">
        <v>176</v>
      </c>
      <c r="R121" s="308" t="s">
        <v>176</v>
      </c>
      <c r="S121" s="308" t="s">
        <v>176</v>
      </c>
      <c r="T121" s="308" t="s">
        <v>176</v>
      </c>
      <c r="U121" s="308" t="s">
        <v>176</v>
      </c>
      <c r="V121" s="308" t="s">
        <v>176</v>
      </c>
      <c r="W121" s="308" t="s">
        <v>176</v>
      </c>
      <c r="X121" s="308" t="s">
        <v>176</v>
      </c>
      <c r="Y121" s="308" t="s">
        <v>176</v>
      </c>
      <c r="Z121" s="308" t="s">
        <v>176</v>
      </c>
      <c r="AA121" s="308" t="s">
        <v>176</v>
      </c>
      <c r="AB121" s="308"/>
      <c r="AC121" s="308"/>
      <c r="AD121" s="308"/>
      <c r="AE121" s="308" t="s">
        <v>176</v>
      </c>
      <c r="AF121" s="308" t="s">
        <v>176</v>
      </c>
      <c r="AG121" s="308"/>
      <c r="AH121" s="308"/>
      <c r="AI121" s="308" t="s">
        <v>176</v>
      </c>
      <c r="AJ121" s="308" t="s">
        <v>176</v>
      </c>
      <c r="AK121" s="308" t="s">
        <v>176</v>
      </c>
      <c r="AL121" s="308"/>
      <c r="AM121" s="308"/>
      <c r="AN121" s="308"/>
      <c r="AO121" s="308"/>
      <c r="AP121" s="308"/>
      <c r="AQ121" s="308"/>
      <c r="AR121" s="308"/>
      <c r="AS121" s="308"/>
      <c r="AT121" s="308"/>
      <c r="AU121" s="308"/>
      <c r="AV121" s="308"/>
      <c r="AW121" s="308"/>
      <c r="AX121" s="308"/>
      <c r="AY121" s="308"/>
      <c r="AZ121" s="308"/>
      <c r="BA121" s="308" t="s">
        <v>176</v>
      </c>
      <c r="BB121" s="308"/>
      <c r="BC121" s="308"/>
      <c r="BD121" s="308"/>
      <c r="BE121" s="308" t="s">
        <v>176</v>
      </c>
      <c r="BF121" s="308" t="s">
        <v>176</v>
      </c>
      <c r="BG121" s="308" t="s">
        <v>176</v>
      </c>
      <c r="BH121" s="308" t="s">
        <v>176</v>
      </c>
      <c r="BI121" s="308" t="s">
        <v>176</v>
      </c>
      <c r="BJ121" s="308" t="s">
        <v>176</v>
      </c>
      <c r="BK121" s="308" t="s">
        <v>176</v>
      </c>
      <c r="BL121" s="308" t="s">
        <v>176</v>
      </c>
      <c r="BM121" s="308"/>
      <c r="BN121" s="308" t="s">
        <v>176</v>
      </c>
      <c r="BO121" s="308"/>
      <c r="BP121" s="308"/>
      <c r="BQ121" s="308"/>
      <c r="BR121" s="308"/>
      <c r="BS121" s="308"/>
      <c r="BT121" s="308"/>
      <c r="BU121" s="308"/>
      <c r="BV121" s="308" t="s">
        <v>176</v>
      </c>
      <c r="BW121" s="308" t="s">
        <v>176</v>
      </c>
      <c r="BX121" s="308" t="s">
        <v>176</v>
      </c>
      <c r="BY121" s="308" t="s">
        <v>176</v>
      </c>
      <c r="BZ121" s="308" t="s">
        <v>176</v>
      </c>
      <c r="CA121" s="308" t="s">
        <v>176</v>
      </c>
      <c r="CB121" s="308" t="s">
        <v>176</v>
      </c>
      <c r="CC121" s="308" t="s">
        <v>176</v>
      </c>
      <c r="CD121" s="308" t="s">
        <v>176</v>
      </c>
      <c r="CE121" s="308" t="s">
        <v>176</v>
      </c>
      <c r="CF121" s="308" t="s">
        <v>176</v>
      </c>
      <c r="CG121" s="308"/>
      <c r="CH121" s="308" t="s">
        <v>176</v>
      </c>
      <c r="CI121" s="308"/>
      <c r="CJ121" s="308"/>
      <c r="CK121" s="308"/>
      <c r="CL121" s="308"/>
      <c r="CM121" s="308"/>
      <c r="CN121" s="308"/>
      <c r="CO121" s="308"/>
      <c r="CP121" s="308"/>
      <c r="CQ121" s="308"/>
      <c r="CR121" s="308"/>
      <c r="CS121" s="308"/>
      <c r="CT121" s="308" t="s">
        <v>176</v>
      </c>
      <c r="CU121" s="308"/>
      <c r="CV121" s="308"/>
      <c r="CW121" s="308"/>
      <c r="CX121" s="308"/>
      <c r="CY121" s="308" t="s">
        <v>176</v>
      </c>
      <c r="CZ121" s="308" t="s">
        <v>176</v>
      </c>
      <c r="DA121" s="308" t="s">
        <v>176</v>
      </c>
      <c r="DB121" s="308" t="s">
        <v>176</v>
      </c>
      <c r="DC121" s="308" t="s">
        <v>176</v>
      </c>
      <c r="DD121" s="308" t="s">
        <v>176</v>
      </c>
      <c r="DE121" s="308" t="s">
        <v>176</v>
      </c>
      <c r="DF121" s="308"/>
      <c r="DG121" s="308" t="s">
        <v>176</v>
      </c>
      <c r="DH121" s="308" t="s">
        <v>176</v>
      </c>
      <c r="DI121" s="308" t="s">
        <v>176</v>
      </c>
      <c r="DJ121" s="308" t="s">
        <v>176</v>
      </c>
      <c r="DK121" s="308" t="s">
        <v>176</v>
      </c>
      <c r="DL121" s="308" t="s">
        <v>176</v>
      </c>
      <c r="DM121" s="308" t="s">
        <v>176</v>
      </c>
      <c r="DN121" s="308" t="s">
        <v>176</v>
      </c>
      <c r="DO121" s="308" t="s">
        <v>176</v>
      </c>
      <c r="DP121" s="308" t="s">
        <v>176</v>
      </c>
      <c r="DQ121" s="308" t="s">
        <v>176</v>
      </c>
      <c r="DR121" s="308" t="s">
        <v>176</v>
      </c>
      <c r="DS121" s="308" t="s">
        <v>176</v>
      </c>
      <c r="DT121" s="308" t="s">
        <v>176</v>
      </c>
      <c r="DU121" s="308"/>
      <c r="DV121" s="308" t="s">
        <v>176</v>
      </c>
      <c r="DW121" s="308" t="s">
        <v>176</v>
      </c>
      <c r="DX121" s="308" t="s">
        <v>176</v>
      </c>
      <c r="DY121" s="308" t="s">
        <v>176</v>
      </c>
      <c r="DZ121" s="308" t="s">
        <v>176</v>
      </c>
      <c r="EA121" s="308" t="s">
        <v>176</v>
      </c>
      <c r="EB121" s="308" t="s">
        <v>176</v>
      </c>
      <c r="EC121" s="308" t="s">
        <v>176</v>
      </c>
      <c r="ED121" s="308" t="s">
        <v>176</v>
      </c>
      <c r="EE121" s="308" t="s">
        <v>176</v>
      </c>
      <c r="EF121" s="308"/>
      <c r="EG121" s="308" t="s">
        <v>176</v>
      </c>
      <c r="EH121" s="308" t="s">
        <v>176</v>
      </c>
      <c r="EI121" s="308" t="s">
        <v>176</v>
      </c>
      <c r="EJ121" s="308" t="s">
        <v>176</v>
      </c>
      <c r="EK121" s="308" t="s">
        <v>176</v>
      </c>
      <c r="EL121" s="308" t="s">
        <v>176</v>
      </c>
      <c r="EM121" s="308" t="s">
        <v>176</v>
      </c>
      <c r="EN121" s="308" t="s">
        <v>176</v>
      </c>
      <c r="EO121" s="308"/>
      <c r="EP121" s="308"/>
      <c r="EQ121" s="308" t="s">
        <v>176</v>
      </c>
      <c r="ER121" s="308" t="s">
        <v>176</v>
      </c>
      <c r="ES121" s="308" t="s">
        <v>176</v>
      </c>
      <c r="ET121" s="308" t="s">
        <v>176</v>
      </c>
      <c r="EU121" s="308" t="s">
        <v>176</v>
      </c>
      <c r="EV121" s="308" t="s">
        <v>176</v>
      </c>
      <c r="EW121" s="308" t="s">
        <v>176</v>
      </c>
      <c r="EX121" s="308" t="s">
        <v>176</v>
      </c>
      <c r="EY121" s="308"/>
      <c r="EZ121" s="308"/>
      <c r="FA121" s="308"/>
      <c r="FB121" s="308"/>
      <c r="FC121" s="308" t="s">
        <v>176</v>
      </c>
      <c r="FD121" s="308"/>
      <c r="FE121" s="308"/>
      <c r="FF121" s="308"/>
      <c r="FG121" s="308"/>
      <c r="FH121" s="308"/>
      <c r="FI121" s="308"/>
      <c r="FJ121" s="308"/>
      <c r="FK121" s="308"/>
      <c r="FL121" s="308"/>
      <c r="FM121" s="308"/>
      <c r="FN121" s="308"/>
      <c r="FO121" s="308"/>
      <c r="FP121" s="308"/>
      <c r="FQ121" s="308" t="s">
        <v>176</v>
      </c>
      <c r="FR121" s="308"/>
      <c r="FS121" s="308" t="s">
        <v>176</v>
      </c>
      <c r="FT121" s="308" t="s">
        <v>176</v>
      </c>
      <c r="FU121" s="308" t="s">
        <v>176</v>
      </c>
      <c r="FV121" s="308" t="s">
        <v>176</v>
      </c>
      <c r="FW121" s="308" t="s">
        <v>176</v>
      </c>
      <c r="FX121" s="308" t="s">
        <v>176</v>
      </c>
      <c r="FY121" s="308" t="s">
        <v>176</v>
      </c>
      <c r="FZ121" s="308" t="s">
        <v>176</v>
      </c>
      <c r="GA121" s="322" t="s">
        <v>387</v>
      </c>
      <c r="GB121" s="308" t="s">
        <v>176</v>
      </c>
      <c r="GC121" s="308" t="s">
        <v>176</v>
      </c>
      <c r="GD121" s="308" t="s">
        <v>176</v>
      </c>
      <c r="GE121" s="308" t="s">
        <v>176</v>
      </c>
      <c r="GF121" s="308" t="s">
        <v>176</v>
      </c>
      <c r="GG121" s="308" t="s">
        <v>176</v>
      </c>
      <c r="GH121" s="308" t="s">
        <v>176</v>
      </c>
      <c r="GI121" s="308" t="s">
        <v>176</v>
      </c>
      <c r="GJ121" s="308" t="s">
        <v>176</v>
      </c>
      <c r="GK121" s="308" t="s">
        <v>176</v>
      </c>
      <c r="GL121" s="311">
        <f>SUM(G121:FP121)</f>
        <v>0</v>
      </c>
      <c r="GM121" s="132"/>
    </row>
    <row r="122" spans="1:195" s="133" customFormat="1" ht="28.35" customHeight="1" thickBot="1" x14ac:dyDescent="0.3">
      <c r="A122" s="138" t="s">
        <v>161</v>
      </c>
      <c r="B122" s="138" t="s">
        <v>215</v>
      </c>
      <c r="C122" s="138" t="s">
        <v>657</v>
      </c>
      <c r="D122" s="138">
        <f>D121</f>
        <v>0</v>
      </c>
      <c r="E122" s="564"/>
      <c r="F122" s="312" t="s">
        <v>166</v>
      </c>
      <c r="G122" s="313">
        <f>IF(INDEX(tab_MinKomp[Przepisy BHP / BHP Vorschriften],MATCH($B121,tab_MinKomp[[Stanowisko / Position ]:[Stanowisko / Position ]],0))="n/a","n/a",G121-INDEX(tab_MinKomp[Przepisy BHP / BHP Vorschriften],MATCH($B121,tab_MinKomp[[Stanowisko / Position ]:[Stanowisko / Position ]],0)))</f>
        <v>-2</v>
      </c>
      <c r="H122" s="314">
        <f>IF(INDEX(tab_MinKomp[Przepisy PPOŻ / Brandschutzbestimmungen],MATCH($B121,tab_MinKomp[[Stanowisko / Position ]:[Stanowisko / Position ]],0))="n/a","n/a",H121-INDEX(tab_MinKomp[Przepisy PPOŻ / Brandschutzbestimmungen],MATCH($B121,tab_MinKomp[[Stanowisko / Position ]:[Stanowisko / Position ]],0)))</f>
        <v>-2</v>
      </c>
      <c r="I122" s="314">
        <f>IF(INDEX(tab_MinKomp[Ryzyko zawodowe na stanowiskach pracyv/ Berufliche Risiken an Arbeitsstellen],MATCH($B121,tab_MinKomp[[Stanowisko / Position ]:[Stanowisko / Position ]],0))="n/a","n/a",I121-INDEX(tab_MinKomp[Ryzyko zawodowe na stanowiskach pracyv/ Berufliche Risiken an Arbeitsstellen],MATCH($B121,tab_MinKomp[[Stanowisko / Position ]:[Stanowisko / Position ]],0)))</f>
        <v>-2</v>
      </c>
      <c r="J122" s="314">
        <f>IF(INDEX(tab_MinKomp[Gospodarka substancjami niebezpiecznymi / Gefahrstoffmanagement],MATCH($B121,tab_MinKomp[[Stanowisko / Position ]:[Stanowisko / Position ]],0))="n/a","n/a",J121-INDEX(tab_MinKomp[Gospodarka substancjami niebezpiecznymi / Gefahrstoffmanagement],MATCH($B121,tab_MinKomp[[Stanowisko / Position ]:[Stanowisko / Position ]],0)))</f>
        <v>-2</v>
      </c>
      <c r="K122" s="314">
        <f>IF(INDEX(tab_MinKomp[Gospodarka odpadami / Abfallwirtschaft],MATCH($B121,tab_MinKomp[[Stanowisko / Position ]:[Stanowisko / Position ]],0))="n/a","n/a",K121-INDEX(tab_MinKomp[Gospodarka odpadami / Abfallwirtschaft],MATCH($B121,tab_MinKomp[[Stanowisko / Position ]:[Stanowisko / Position ]],0)))</f>
        <v>-2</v>
      </c>
      <c r="L122" s="315">
        <f>IF(INDEX(tab_MinKomp[Przepisy kodeksu pracy / Bestimmungen des Arbeitsgesetzes],MATCH($B121,tab_MinKomp[[Stanowisko / Position ]:[Stanowisko / Position ]],0))="n/a","n/a",L121-INDEX(tab_MinKomp[Przepisy kodeksu pracy / Bestimmungen des Arbeitsgesetzes],MATCH($B121,tab_MinKomp[[Stanowisko / Position ]:[Stanowisko / Position ]],0)))</f>
        <v>-1</v>
      </c>
      <c r="M122" s="316" t="str">
        <f>IF(INDEX(tab_MinKomp[Przepisy o ub.społ. ZUS  / Sozialversicherungsvorschriften],MATCH($B121,tab_MinKomp[[Stanowisko / Position ]:[Stanowisko / Position ]],0))="n/a","n/a",M121-INDEX(tab_MinKomp[Przepisy o ub.społ. ZUS  / Sozialversicherungsvorschriften],MATCH($B121,tab_MinKomp[[Stanowisko / Position ]:[Stanowisko / Position ]],0)))</f>
        <v>n/a</v>
      </c>
      <c r="N122" s="315" t="str">
        <f>IF(INDEX(tab_MinKomp[PRZEPISY O PDOF /persönlich Einkommensteuergesetz ],MATCH($B121,tab_MinKomp[[Stanowisko / Position ]:[Stanowisko / Position ]],0))="n/a","n/a",N121-INDEX(tab_MinKomp[PRZEPISY O PDOF /persönlich Einkommensteuergesetz ],MATCH($B121,tab_MinKomp[[Stanowisko / Position ]:[Stanowisko / Position ]],0)))</f>
        <v>n/a</v>
      </c>
      <c r="O122" s="315">
        <f>IF(INDEX(tab_MinKomp[Regulamin pracy / Arbeitsordnung],MATCH($B121,tab_MinKomp[[Stanowisko / Position ]:[Stanowisko / Position ]],0))="n/a","n/a",O121-INDEX(tab_MinKomp[Regulamin pracy / Arbeitsordnung],MATCH($B121,tab_MinKomp[[Stanowisko / Position ]:[Stanowisko / Position ]],0)))</f>
        <v>-1</v>
      </c>
      <c r="P122" s="315">
        <f>IF(INDEX(tab_MinKomp[Regulamin wynagradzania / Vergütungsordnung],MATCH($B121,tab_MinKomp[[Stanowisko / Position ]:[Stanowisko / Position ]],0))="n/a","n/a",P121-INDEX(tab_MinKomp[Regulamin wynagradzania / Vergütungsordnung],MATCH($B121,tab_MinKomp[[Stanowisko / Position ]:[Stanowisko / Position ]],0)))</f>
        <v>-1</v>
      </c>
      <c r="Q122" s="315" t="str">
        <f>IF(INDEX(tab_MinKomp[System R2PŁATNIK PRO: Płace / Lohnabrechnung],MATCH($B121,tab_MinKomp[[Stanowisko / Position ]:[Stanowisko / Position ]],0))="n/a","n/a",Q121-INDEX(tab_MinKomp[System R2PŁATNIK PRO: Płace / Lohnabrechnung],MATCH($B121,tab_MinKomp[[Stanowisko / Position ]:[Stanowisko / Position ]],0)))</f>
        <v>n/a</v>
      </c>
      <c r="R122" s="315" t="str">
        <f>IF(INDEX(tab_MinKomp[SystemR2PŁATNIK PRO: KADRY / Personaldaten],MATCH($B121,tab_MinKomp[[Stanowisko / Position ]:[Stanowisko / Position ]],0))="n/a","n/a",R121-INDEX(tab_MinKomp[SystemR2PŁATNIK PRO: KADRY / Personaldaten],MATCH($B121,tab_MinKomp[[Stanowisko / Position ]:[Stanowisko / Position ]],0)))</f>
        <v>n/a</v>
      </c>
      <c r="S122" s="315" t="str">
        <f>IF(INDEX(tab_MinKomp[SYSTEM R2PŁATNIK PRO: zarządzanie pracownikami / Arbeitsverwaltung],MATCH($B121,tab_MinKomp[[Stanowisko / Position ]:[Stanowisko / Position ]],0))="n/a","n/a",S121-INDEX(tab_MinKomp[SYSTEM R2PŁATNIK PRO: zarządzanie pracownikami / Arbeitsverwaltung],MATCH($B121,tab_MinKomp[[Stanowisko / Position ]:[Stanowisko / Position ]],0)))</f>
        <v>n/a</v>
      </c>
      <c r="T122" s="315" t="str">
        <f>IF(INDEX(tab_MinKomp[Doradztwo, wsparcie personalne / Personalberatung und Unterstützung],MATCH($B121,tab_MinKomp[[Stanowisko / Position ]:[Stanowisko / Position ]],0))="n/a","n/a",T121-INDEX(tab_MinKomp[Doradztwo, wsparcie personalne / Personalberatung und Unterstützung],MATCH($B121,tab_MinKomp[[Stanowisko / Position ]:[Stanowisko / Position ]],0)))</f>
        <v>n/a</v>
      </c>
      <c r="U122" s="315" t="str">
        <f>IF(INDEX(tab_MinKomp[Przepisy o podatku VAT / MwSt.- Gesetz],MATCH($B121,tab_MinKomp[[Stanowisko / Position ]:[Stanowisko / Position ]],0))="n/a","n/a",U121-INDEX(tab_MinKomp[Przepisy o podatku VAT / MwSt.- Gesetz],MATCH($B121,tab_MinKomp[[Stanowisko / Position ]:[Stanowisko / Position ]],0)))</f>
        <v>n/a</v>
      </c>
      <c r="V122" s="315" t="str">
        <f>IF(INDEX(tab_MinKomp[PrzepisyPDOP / geschäftlich Einkommensteuergesetz],MATCH($B121,tab_MinKomp[[Stanowisko / Position ]:[Stanowisko / Position ]],0))="n/a","n/a",V121-INDEX(tab_MinKomp[PrzepisyPDOP / geschäftlich Einkommensteuergesetz],MATCH($B121,tab_MinKomp[[Stanowisko / Position ]:[Stanowisko / Position ]],0)))</f>
        <v>n/a</v>
      </c>
      <c r="W122" s="315" t="str">
        <f>IF(INDEX(tab_MinKomp[System BAAN / FINANSE (FIBU)],MATCH($B121,tab_MinKomp[[Stanowisko / Position ]:[Stanowisko / Position ]],0))="n/a","n/a",W121-INDEX(tab_MinKomp[System BAAN / FINANSE (FIBU)],MATCH($B121,tab_MinKomp[[Stanowisko / Position ]:[Stanowisko / Position ]],0)))</f>
        <v>n/a</v>
      </c>
      <c r="X122" s="315" t="str">
        <f>IF(INDEX(tab_MinKomp[Systemy pomocnicze / Hilfssysteme(STOCKPROGRAM, KALK2000 etc.)],MATCH($B121,tab_MinKomp[[Stanowisko / Position ]:[Stanowisko / Position ]],0))="n/a","n/a",X121-INDEX(tab_MinKomp[Systemy pomocnicze / Hilfssysteme(STOCKPROGRAM, KALK2000 etc.)],MATCH($B121,tab_MinKomp[[Stanowisko / Position ]:[Stanowisko / Position ]],0)))</f>
        <v>n/a</v>
      </c>
      <c r="Y122" s="315" t="str">
        <f>IF(INDEX(tab_MinKomp[Polityka rachunkowości / Buchführungspolitik],MATCH($B121,tab_MinKomp[[Stanowisko / Position ]:[Stanowisko / Position ]],0))="n/a","n/a",Y121-INDEX(tab_MinKomp[Polityka rachunkowości / Buchführungspolitik],MATCH($B121,tab_MinKomp[[Stanowisko / Position ]:[Stanowisko / Position ]],0)))</f>
        <v>n/a</v>
      </c>
      <c r="Z122" s="315" t="str">
        <f>IF(INDEX(tab_MinKomp[Ustawa o rachunkowości / Rechnungslegungsgesetz],MATCH($B121,tab_MinKomp[[Stanowisko / Position ]:[Stanowisko / Position ]],0))="n/a","n/a",Z121-INDEX(tab_MinKomp[Ustawa o rachunkowości / Rechnungslegungsgesetz],MATCH($B121,tab_MinKomp[[Stanowisko / Position ]:[Stanowisko / Position ]],0)))</f>
        <v>n/a</v>
      </c>
      <c r="AA122" s="315" t="str">
        <f>IF(INDEX(tab_MinKomp[WORKFLOW - TS-100],MATCH($B121,tab_MinKomp[[Stanowisko / Position ]:[Stanowisko / Position ]],0))="n/a","n/a",AA121-INDEX(tab_MinKomp[WORKFLOW - TS-100],MATCH($B121,tab_MinKomp[[Stanowisko / Position ]:[Stanowisko / Position ]],0)))</f>
        <v>n/a</v>
      </c>
      <c r="AB122" s="315">
        <f>IF(INDEX(tab_MinKomp[WORKFLOW - SFMS],MATCH($B121,tab_MinKomp[[Stanowisko / Position ]:[Stanowisko / Position ]],0))="n/a","n/a",AB121-INDEX(tab_MinKomp[WORKFLOW - SFMS],MATCH($B121,tab_MinKomp[[Stanowisko / Position ]:[Stanowisko / Position ]],0)))</f>
        <v>-2</v>
      </c>
      <c r="AC122" s="315">
        <f>IF(INDEX(tab_MinKomp[System ISO 9001:2015],MATCH($B121,tab_MinKomp[[Stanowisko / Position ]:[Stanowisko / Position ]],0))="n/a","n/a",AC121-INDEX(tab_MinKomp[System ISO 9001:2015],MATCH($B121,tab_MinKomp[[Stanowisko / Position ]:[Stanowisko / Position ]],0)))</f>
        <v>-2</v>
      </c>
      <c r="AD122" s="315">
        <f>IF(INDEX(tab_MinKomp[System IATF 16949:2016],MATCH($B121,tab_MinKomp[[Stanowisko / Position ]:[Stanowisko / Position ]],0))="n/a","n/a",AD121-INDEX(tab_MinKomp[System IATF 16949:2016],MATCH($B121,tab_MinKomp[[Stanowisko / Position ]:[Stanowisko / Position ]],0)))</f>
        <v>-2</v>
      </c>
      <c r="AE122" s="315" t="str">
        <f>IF(INDEX(tab_MinKomp[System ISO 14001:2015],MATCH($B121,tab_MinKomp[[Stanowisko / Position ]:[Stanowisko / Position ]],0))="n/a","n/a",AE121-INDEX(tab_MinKomp[System ISO 14001:2015],MATCH($B121,tab_MinKomp[[Stanowisko / Position ]:[Stanowisko / Position ]],0)))</f>
        <v>n/a</v>
      </c>
      <c r="AF122" s="315" t="str">
        <f>IF(INDEX(tab_MinKomp[System PN-N 18001:2004 / ISO 45001:2018],MATCH($B121,tab_MinKomp[[Stanowisko / Position ]:[Stanowisko / Position ]],0))="n/a","n/a",AF121-INDEX(tab_MinKomp[System PN-N 18001:2004 / ISO 45001:2018],MATCH($B121,tab_MinKomp[[Stanowisko / Position ]:[Stanowisko / Position ]],0)))</f>
        <v>n/a</v>
      </c>
      <c r="AG122" s="315">
        <f>IF(INDEX(tab_MinKomp[Wymagania VDA 6.3 Process / Forderungen],MATCH($B121,tab_MinKomp[[Stanowisko / Position ]:[Stanowisko / Position ]],0))="n/a","n/a",AG121-INDEX(tab_MinKomp[Wymagania VDA 6.3 Process / Forderungen],MATCH($B121,tab_MinKomp[[Stanowisko / Position ]:[Stanowisko / Position ]],0)))</f>
        <v>-2</v>
      </c>
      <c r="AH122" s="315">
        <f>IF(INDEX(tab_MinKomp[Wymagania VDA 6.5 Product / Forderungen],MATCH($B121,tab_MinKomp[[Stanowisko / Position ]:[Stanowisko / Position ]],0))="n/a","n/a",AH121-INDEX(tab_MinKomp[Wymagania VDA 6.5 Product / Forderungen],MATCH($B121,tab_MinKomp[[Stanowisko / Position ]:[Stanowisko / Position ]],0)))</f>
        <v>-2</v>
      </c>
      <c r="AI122" s="315" t="str">
        <f>IF(INDEX(tab_MinKomp[PSCR (VW Product Safety &amp; Conformity Representative)],MATCH($B121,tab_MinKomp[[Stanowisko / Position ]:[Stanowisko / Position ]],0))="n/a","n/a",AI121-INDEX(tab_MinKomp[PSCR (VW Product Safety &amp; Conformity Representative)],MATCH($B121,tab_MinKomp[[Stanowisko / Position ]:[Stanowisko / Position ]],0)))</f>
        <v>n/a</v>
      </c>
      <c r="AJ122" s="315" t="str">
        <f>IF(INDEX(tab_MinKomp[Auditor systemu ISO 17025:2018],MATCH($B121,tab_MinKomp[[Stanowisko / Position ]:[Stanowisko / Position ]],0))="n/a","n/a",AJ121-INDEX(tab_MinKomp[Auditor systemu ISO 17025:2018],MATCH($B121,tab_MinKomp[[Stanowisko / Position ]:[Stanowisko / Position ]],0)))</f>
        <v>n/a</v>
      </c>
      <c r="AK122" s="315" t="str">
        <f>IF(INDEX(tab_MinKomp[Pełnomocnik systemu / Systemvertreter],MATCH($B121,tab_MinKomp[[Stanowisko / Position ]:[Stanowisko / Position ]],0))="n/a","n/a",AK121-INDEX(tab_MinKomp[Pełnomocnik systemu / Systemvertreter],MATCH($B121,tab_MinKomp[[Stanowisko / Position ]:[Stanowisko / Position ]],0)))</f>
        <v>n/a</v>
      </c>
      <c r="AL122" s="315">
        <f>IF(INDEX(tab_MinKomp[Polityka Etyczna - Compliance],MATCH($B121,tab_MinKomp[[Stanowisko / Position ]:[Stanowisko / Position ]],0))="n/a","n/a",AL121-INDEX(tab_MinKomp[Polityka Etyczna - Compliance],MATCH($B121,tab_MinKomp[[Stanowisko / Position ]:[Stanowisko / Position ]],0)))</f>
        <v>-2</v>
      </c>
      <c r="AM122" s="315">
        <f>IF(INDEX(tab_MinKomp[WDRAŻANIE NOWYCH PROJEKTÓW/ PROCEDURA CTM],MATCH($B121,tab_MinKomp[[Stanowisko / Position ]:[Stanowisko / Position ]],0))="n/a","n/a",AM121-INDEX(tab_MinKomp[WDRAŻANIE NOWYCH PROJEKTÓW/ PROCEDURA CTM],MATCH($B121,tab_MinKomp[[Stanowisko / Position ]:[Stanowisko / Position ]],0)))</f>
        <v>-2</v>
      </c>
      <c r="AN122" s="315">
        <f>IF(INDEX(tab_MinKomp[KAMIENIE MILOWE MSL/PIFF],MATCH($B121,tab_MinKomp[[Stanowisko / Position ]:[Stanowisko / Position ]],0))="n/a","n/a",AN121-INDEX(tab_MinKomp[KAMIENIE MILOWE MSL/PIFF],MATCH($B121,tab_MinKomp[[Stanowisko / Position ]:[Stanowisko / Position ]],0)))</f>
        <v>-2</v>
      </c>
      <c r="AO122" s="315">
        <f>IF(INDEX(tab_MinKomp[CP],MATCH($B121,tab_MinKomp[[Stanowisko / Position ]:[Stanowisko / Position ]],0))="n/a","n/a",AO121-INDEX(tab_MinKomp[CP],MATCH($B121,tab_MinKomp[[Stanowisko / Position ]:[Stanowisko / Position ]],0)))</f>
        <v>-2</v>
      </c>
      <c r="AP122" s="315">
        <f>IF(INDEX(tab_MinKomp[FMEA],MATCH($B121,tab_MinKomp[[Stanowisko / Position ]:[Stanowisko / Position ]],0))="n/a","n/a",AP121-INDEX(tab_MinKomp[FMEA],MATCH($B121,tab_MinKomp[[Stanowisko / Position ]:[Stanowisko / Position ]],0)))</f>
        <v>-2</v>
      </c>
      <c r="AQ122" s="315">
        <f>IF(INDEX(tab_MinKomp[FLOW CHART],MATCH($B121,tab_MinKomp[[Stanowisko / Position ]:[Stanowisko / Position ]],0))="n/a","n/a",AQ121-INDEX(tab_MinKomp[FLOW CHART],MATCH($B121,tab_MinKomp[[Stanowisko / Position ]:[Stanowisko / Position ]],0)))</f>
        <v>-2</v>
      </c>
      <c r="AR122" s="315">
        <f>IF(INDEX(tab_MinKomp[APQP],MATCH($B121,tab_MinKomp[[Stanowisko / Position ]:[Stanowisko / Position ]],0))="n/a","n/a",AR121-INDEX(tab_MinKomp[APQP],MATCH($B121,tab_MinKomp[[Stanowisko / Position ]:[Stanowisko / Position ]],0)))</f>
        <v>-2</v>
      </c>
      <c r="AS122" s="315">
        <f>IF(INDEX(tab_MinKomp[MSA],MATCH($B121,tab_MinKomp[[Stanowisko / Position ]:[Stanowisko / Position ]],0))="n/a","n/a",AS121-INDEX(tab_MinKomp[MSA],MATCH($B121,tab_MinKomp[[Stanowisko / Position ]:[Stanowisko / Position ]],0)))</f>
        <v>-2</v>
      </c>
      <c r="AT122" s="315">
        <f>IF(INDEX(tab_MinKomp[SPC],MATCH($B121,tab_MinKomp[[Stanowisko / Position ]:[Stanowisko / Position ]],0))="n/a","n/a",AT121-INDEX(tab_MinKomp[SPC],MATCH($B121,tab_MinKomp[[Stanowisko / Position ]:[Stanowisko / Position ]],0)))</f>
        <v>-2</v>
      </c>
      <c r="AU122" s="315">
        <f>IF(INDEX(tab_MinKomp[CSR (SPECYFICZNE WYMAGANIA KLIENTA)],MATCH($B121,tab_MinKomp[[Stanowisko / Position ]:[Stanowisko / Position ]],0))="n/a","n/a",AU121-INDEX(tab_MinKomp[CSR (SPECYFICZNE WYMAGANIA KLIENTA)],MATCH($B121,tab_MinKomp[[Stanowisko / Position ]:[Stanowisko / Position ]],0)))</f>
        <v>-2</v>
      </c>
      <c r="AV122" s="315">
        <f>IF(INDEX(tab_MinKomp[5S],MATCH($B121,tab_MinKomp[[Stanowisko / Position ]:[Stanowisko / Position ]],0))="n/a","n/a",AV121-INDEX(tab_MinKomp[5S],MATCH($B121,tab_MinKomp[[Stanowisko / Position ]:[Stanowisko / Position ]],0)))</f>
        <v>-2</v>
      </c>
      <c r="AW122" s="315">
        <f>IF(INDEX(tab_MinKomp[LEAN MANAGEMENT],MATCH($B121,tab_MinKomp[[Stanowisko / Position ]:[Stanowisko / Position ]],0))="n/a","n/a",AW121-INDEX(tab_MinKomp[LEAN MANAGEMENT],MATCH($B121,tab_MinKomp[[Stanowisko / Position ]:[Stanowisko / Position ]],0)))</f>
        <v>-2</v>
      </c>
      <c r="AX122" s="315">
        <f>IF(INDEX(tab_MinKomp[5R],MATCH($B121,tab_MinKomp[[Stanowisko / Position ]:[Stanowisko / Position ]],0))="n/a","n/a",AX121-INDEX(tab_MinKomp[5R],MATCH($B121,tab_MinKomp[[Stanowisko / Position ]:[Stanowisko / Position ]],0)))</f>
        <v>-2</v>
      </c>
      <c r="AY122" s="315">
        <f>IF(INDEX(tab_MinKomp[Six Sigma],MATCH($B121,tab_MinKomp[[Stanowisko / Position ]:[Stanowisko / Position ]],0))="n/a","n/a",AY121-INDEX(tab_MinKomp[Six Sigma],MATCH($B121,tab_MinKomp[[Stanowisko / Position ]:[Stanowisko / Position ]],0)))</f>
        <v>-1</v>
      </c>
      <c r="AZ122" s="315">
        <f>IF(INDEX(tab_MinKomp[System BAAN / Distribution &amp; Supply Chain],MATCH($B121,tab_MinKomp[[Stanowisko / Position ]:[Stanowisko / Position ]],0))="n/a","n/a",AZ121-INDEX(tab_MinKomp[System BAAN / Distribution &amp; Supply Chain],MATCH($B121,tab_MinKomp[[Stanowisko / Position ]:[Stanowisko / Position ]],0)))</f>
        <v>-1</v>
      </c>
      <c r="BA122" s="315" t="str">
        <f>IF(INDEX(tab_MinKomp[Gospodarka magazynowa / Lagerverwaltung],MATCH($B121,tab_MinKomp[[Stanowisko / Position ]:[Stanowisko / Position ]],0))="n/a","n/a",BA121-INDEX(tab_MinKomp[Gospodarka magazynowa / Lagerverwaltung],MATCH($B121,tab_MinKomp[[Stanowisko / Position ]:[Stanowisko / Position ]],0)))</f>
        <v>n/a</v>
      </c>
      <c r="BB122" s="315">
        <f>IF(INDEX(tab_MinKomp[Inwentaryzacja - organizacja i przebieg / Inventurprozess],MATCH($B121,tab_MinKomp[[Stanowisko / Position ]:[Stanowisko / Position ]],0))="n/a","n/a",BB121-INDEX(tab_MinKomp[Inwentaryzacja - organizacja i przebieg / Inventurprozess],MATCH($B121,tab_MinKomp[[Stanowisko / Position ]:[Stanowisko / Position ]],0)))</f>
        <v>-2</v>
      </c>
      <c r="BC122" s="315">
        <f>IF(INDEX(tab_MinKomp[Organizacja dostaw / Versorgungsorganisation],MATCH($B121,tab_MinKomp[[Stanowisko / Position ]:[Stanowisko / Position ]],0))="n/a","n/a",BC121-INDEX(tab_MinKomp[Organizacja dostaw / Versorgungsorganisation],MATCH($B121,tab_MinKomp[[Stanowisko / Position ]:[Stanowisko / Position ]],0)))</f>
        <v>-1</v>
      </c>
      <c r="BD122" s="315">
        <f>IF(INDEX(tab_MinKomp[Organizacja wysyłek / Organisation von Lieferungen],MATCH($B121,tab_MinKomp[[Stanowisko / Position ]:[Stanowisko / Position ]],0))="n/a","n/a",BD121-INDEX(tab_MinKomp[Organizacja wysyłek / Organisation von Lieferungen],MATCH($B121,tab_MinKomp[[Stanowisko / Position ]:[Stanowisko / Position ]],0)))</f>
        <v>-1</v>
      </c>
      <c r="BE122" s="315" t="str">
        <f>IF(INDEX(tab_MinKomp[Analiza magazynowa - Program Polen.mdb / Inventuranalyse],MATCH($B121,tab_MinKomp[[Stanowisko / Position ]:[Stanowisko / Position ]],0))="n/a","n/a",BE121-INDEX(tab_MinKomp[Analiza magazynowa - Program Polen.mdb / Inventuranalyse],MATCH($B121,tab_MinKomp[[Stanowisko / Position ]:[Stanowisko / Position ]],0)))</f>
        <v>n/a</v>
      </c>
      <c r="BF122" s="315" t="str">
        <f>IF(INDEX(tab_MinKomp[MMOG (Materials Management Operations Guidelines)],MATCH($B121,tab_MinKomp[[Stanowisko / Position ]:[Stanowisko / Position ]],0))="n/a","n/a",BF121-INDEX(tab_MinKomp[MMOG (Materials Management Operations Guidelines)],MATCH($B121,tab_MinKomp[[Stanowisko / Position ]:[Stanowisko / Position ]],0)))</f>
        <v>n/a</v>
      </c>
      <c r="BG122" s="315" t="str">
        <f>IF(INDEX(tab_MinKomp[GPP],MATCH($B121,tab_MinKomp[[Stanowisko / Position ]:[Stanowisko / Position ]],0))="n/a","n/a",BG121-INDEX(tab_MinKomp[GPP],MATCH($B121,tab_MinKomp[[Stanowisko / Position ]:[Stanowisko / Position ]],0)))</f>
        <v>n/a</v>
      </c>
      <c r="BH122" s="315" t="str">
        <f>IF(INDEX(tab_MinKomp[AIAG (Automotive Industry Action Group)],MATCH($B121,tab_MinKomp[[Stanowisko / Position ]:[Stanowisko / Position ]],0))="n/a","n/a",BH121-INDEX(tab_MinKomp[AIAG (Automotive Industry Action Group)],MATCH($B121,tab_MinKomp[[Stanowisko / Position ]:[Stanowisko / Position ]],0)))</f>
        <v>n/a</v>
      </c>
      <c r="BI122" s="315" t="str">
        <f>IF(INDEX(tab_MinKomp[Super-G disputes],MATCH($B121,tab_MinKomp[[Stanowisko / Position ]:[Stanowisko / Position ]],0))="n/a","n/a",BI121-INDEX(tab_MinKomp[Super-G disputes],MATCH($B121,tab_MinKomp[[Stanowisko / Position ]:[Stanowisko / Position ]],0)))</f>
        <v>n/a</v>
      </c>
      <c r="BJ122" s="315" t="str">
        <f>IF(INDEX(tab_MinKomp[CMMS3/eDDL (Direct Data Link)],MATCH($B121,tab_MinKomp[[Stanowisko / Position ]:[Stanowisko / Position ]],0))="n/a","n/a",BJ121-INDEX(tab_MinKomp[CMMS3/eDDL (Direct Data Link)],MATCH($B121,tab_MinKomp[[Stanowisko / Position ]:[Stanowisko / Position ]],0)))</f>
        <v>n/a</v>
      </c>
      <c r="BK122" s="315" t="str">
        <f>IF(INDEX(tab_MinKomp[MP&amp;L (Material Planning and Logistics)],MATCH($B121,tab_MinKomp[[Stanowisko / Position ]:[Stanowisko / Position ]],0))="n/a","n/a",BK121-INDEX(tab_MinKomp[MP&amp;L (Material Planning and Logistics)],MATCH($B121,tab_MinKomp[[Stanowisko / Position ]:[Stanowisko / Position ]],0)))</f>
        <v>n/a</v>
      </c>
      <c r="BL122" s="315" t="str">
        <f>IF(INDEX(tab_MinKomp[Supplier delivery rating],MATCH($B121,tab_MinKomp[[Stanowisko / Position ]:[Stanowisko / Position ]],0))="n/a","n/a",BL121-INDEX(tab_MinKomp[Supplier delivery rating],MATCH($B121,tab_MinKomp[[Stanowisko / Position ]:[Stanowisko / Position ]],0)))</f>
        <v>n/a</v>
      </c>
      <c r="BM122" s="315">
        <f>IF(INDEX(tab_MinKomp[Planowanie produkcji / Produktionsplanung],MATCH($B121,tab_MinKomp[[Stanowisko / Position ]:[Stanowisko / Position ]],0))="n/a","n/a",BM121-INDEX(tab_MinKomp[Planowanie produkcji / Produktionsplanung],MATCH($B121,tab_MinKomp[[Stanowisko / Position ]:[Stanowisko / Position ]],0)))</f>
        <v>-1</v>
      </c>
      <c r="BN122" s="315" t="str">
        <f>IF(INDEX(tab_MinKomp[Obsługa maszyn Engel / Engel Maschinenbedienung],MATCH($B121,tab_MinKomp[[Stanowisko / Position ]:[Stanowisko / Position ]],0))="n/a","n/a",BN121-INDEX(tab_MinKomp[Obsługa maszyn Engel / Engel Maschinenbedienung],MATCH($B121,tab_MinKomp[[Stanowisko / Position ]:[Stanowisko / Position ]],0)))</f>
        <v>n/a</v>
      </c>
      <c r="BO122" s="315">
        <f>IF(INDEX(tab_MinKomp[Obsługa maszyn Novapax / Novapax Maschinenbedienung],MATCH($B121,tab_MinKomp[[Stanowisko / Position ]:[Stanowisko / Position ]],0))="n/a","n/a",BO121-INDEX(tab_MinKomp[Obsługa maszyn Novapax / Novapax Maschinenbedienung],MATCH($B121,tab_MinKomp[[Stanowisko / Position ]:[Stanowisko / Position ]],0)))</f>
        <v>-1</v>
      </c>
      <c r="BP122" s="315">
        <f>IF(INDEX(tab_MinKomp[Obsługa maszyn KVT / KVT Maschinenbedienung],MATCH($B121,tab_MinKomp[[Stanowisko / Position ]:[Stanowisko / Position ]],0))="n/a","n/a",BP121-INDEX(tab_MinKomp[Obsługa maszyn KVT / KVT Maschinenbedienung],MATCH($B121,tab_MinKomp[[Stanowisko / Position ]:[Stanowisko / Position ]],0)))</f>
        <v>-1</v>
      </c>
      <c r="BQ122" s="315">
        <f>IF(INDEX(tab_MinKomp[Obsługa maszyn ASL / ASL Maschinenbedienung],MATCH($B121,tab_MinKomp[[Stanowisko / Position ]:[Stanowisko / Position ]],0))="n/a","n/a",BQ121-INDEX(tab_MinKomp[Obsługa maszyn ASL / ASL Maschinenbedienung],MATCH($B121,tab_MinKomp[[Stanowisko / Position ]:[Stanowisko / Position ]],0)))</f>
        <v>-1</v>
      </c>
      <c r="BR122" s="315">
        <f>IF(INDEX(tab_MinKomp[Obsługa maszyn Branson / Branson Maschinenbedienung],MATCH($B121,tab_MinKomp[[Stanowisko / Position ]:[Stanowisko / Position ]],0))="n/a","n/a",BR121-INDEX(tab_MinKomp[Obsługa maszyn Branson / Branson Maschinenbedienung],MATCH($B121,tab_MinKomp[[Stanowisko / Position ]:[Stanowisko / Position ]],0)))</f>
        <v>-1</v>
      </c>
      <c r="BS122" s="315">
        <f>IF(INDEX(tab_MinKomp[Obsługa maszyn Kamtec / Kamtec Maschinenbedienung],MATCH($B121,tab_MinKomp[[Stanowisko / Position ]:[Stanowisko / Position ]],0))="n/a","n/a",BS121-INDEX(tab_MinKomp[Obsługa maszyn Kamtec / Kamtec Maschinenbedienung],MATCH($B121,tab_MinKomp[[Stanowisko / Position ]:[Stanowisko / Position ]],0)))</f>
        <v>-1</v>
      </c>
      <c r="BT122" s="315">
        <f>IF(INDEX(tab_MinKomp[Obsługa maszyn Piovan / Piovan Maschinenbedienung],MATCH($B121,tab_MinKomp[[Stanowisko / Position ]:[Stanowisko / Position ]],0))="n/a","n/a",BT121-INDEX(tab_MinKomp[Obsługa maszyn Piovan / Piovan Maschinenbedienung],MATCH($B121,tab_MinKomp[[Stanowisko / Position ]:[Stanowisko / Position ]],0)))</f>
        <v>-1</v>
      </c>
      <c r="BU122" s="315">
        <f>IF(INDEX(tab_MinKomp[Obsługa maszyn REP / REP Maschinenbedienung],MATCH($B121,tab_MinKomp[[Stanowisko / Position ]:[Stanowisko / Position ]],0))="n/a","n/a",BU121-INDEX(tab_MinKomp[Obsługa maszyn REP / REP Maschinenbedienung],MATCH($B121,tab_MinKomp[[Stanowisko / Position ]:[Stanowisko / Position ]],0)))</f>
        <v>-1</v>
      </c>
      <c r="BV122" s="315" t="str">
        <f>IF(INDEX(tab_MinKomp[Eliminacja awarii / Beseitigung von Ausfällen],MATCH($B121,tab_MinKomp[[Stanowisko / Position ]:[Stanowisko / Position ]],0))="n/a","n/a",BV121-INDEX(tab_MinKomp[Eliminacja awarii / Beseitigung von Ausfällen],MATCH($B121,tab_MinKomp[[Stanowisko / Position ]:[Stanowisko / Position ]],0)))</f>
        <v>n/a</v>
      </c>
      <c r="BW122" s="315" t="str">
        <f>IF(INDEX(tab_MinKomp[Informatyka ogólna (techniczne i systemowe) / Allgemeine IT (Technik und System)],MATCH($B121,tab_MinKomp[[Stanowisko / Position ]:[Stanowisko / Position ]],0))="n/a","n/a",BW121-INDEX(tab_MinKomp[Informatyka ogólna (techniczne i systemowe) / Allgemeine IT (Technik und System)],MATCH($B121,tab_MinKomp[[Stanowisko / Position ]:[Stanowisko / Position ]],0)))</f>
        <v>n/a</v>
      </c>
      <c r="BX122" s="315" t="str">
        <f>IF(INDEX(tab_MinKomp[Sieci komputerowe / Computernetzwerke],MATCH($B121,tab_MinKomp[[Stanowisko / Position ]:[Stanowisko / Position ]],0))="n/a","n/a",BX121-INDEX(tab_MinKomp[Sieci komputerowe / Computernetzwerke],MATCH($B121,tab_MinKomp[[Stanowisko / Position ]:[Stanowisko / Position ]],0)))</f>
        <v>n/a</v>
      </c>
      <c r="BY122" s="315" t="str">
        <f>IF(INDEX(tab_MinKomp[Hardware (komputery PC, drukarki biurowe i etykietowe, telefonia stacjonarna i mobilna) (PC, Drucker, Telefpne, Handys)],MATCH($B121,tab_MinKomp[[Stanowisko / Position ]:[Stanowisko / Position ]],0))="n/a","n/a",BY121-INDEX(tab_MinKomp[Hardware (komputery PC, drukarki biurowe i etykietowe, telefonia stacjonarna i mobilna) (PC, Drucker, Telefpne, Handys)],MATCH($B121,tab_MinKomp[[Stanowisko / Position ]:[Stanowisko / Position ]],0)))</f>
        <v>n/a</v>
      </c>
      <c r="BZ122" s="315" t="str">
        <f>IF(INDEX(tab_MinKomp[Software &amp; Systems (MS Office, MS Remote Desktop)],MATCH($B121,tab_MinKomp[[Stanowisko / Position ]:[Stanowisko / Position ]],0))="n/a","n/a",BZ121-INDEX(tab_MinKomp[Software &amp; Systems (MS Office, MS Remote Desktop)],MATCH($B121,tab_MinKomp[[Stanowisko / Position ]:[Stanowisko / Position ]],0)))</f>
        <v>n/a</v>
      </c>
      <c r="CA122" s="315" t="str">
        <f>IF(INDEX(tab_MinKomp[Programowanie obiektowe (PHP) / Objektprogrammierung],MATCH($B121,tab_MinKomp[[Stanowisko / Position ]:[Stanowisko / Position ]],0))="n/a","n/a",CA121-INDEX(tab_MinKomp[Programowanie obiektowe (PHP) / Objektprogrammierung],MATCH($B121,tab_MinKomp[[Stanowisko / Position ]:[Stanowisko / Position ]],0)))</f>
        <v>n/a</v>
      </c>
      <c r="CB122" s="315" t="str">
        <f>IF(INDEX(tab_MinKomp[Scrum],MATCH($B121,tab_MinKomp[[Stanowisko / Position ]:[Stanowisko / Position ]],0))="n/a","n/a",CB121-INDEX(tab_MinKomp[Scrum],MATCH($B121,tab_MinKomp[[Stanowisko / Position ]:[Stanowisko / Position ]],0)))</f>
        <v>n/a</v>
      </c>
      <c r="CC122" s="315" t="str">
        <f>IF(INDEX(tab_MinKomp[SQL (MySQL)],MATCH($B121,tab_MinKomp[[Stanowisko / Position ]:[Stanowisko / Position ]],0))="n/a","n/a",CC121-INDEX(tab_MinKomp[SQL (MySQL)],MATCH($B121,tab_MinKomp[[Stanowisko / Position ]:[Stanowisko / Position ]],0)))</f>
        <v>n/a</v>
      </c>
      <c r="CD122" s="315" t="str">
        <f>IF(INDEX(tab_MinKomp[Javascript],MATCH($B121,tab_MinKomp[[Stanowisko / Position ]:[Stanowisko / Position ]],0))="n/a","n/a",CD121-INDEX(tab_MinKomp[Javascript],MATCH($B121,tab_MinKomp[[Stanowisko / Position ]:[Stanowisko / Position ]],0)))</f>
        <v>n/a</v>
      </c>
      <c r="CE122" s="315" t="str">
        <f>IF(INDEX(tab_MinKomp[Joomla],MATCH($B121,tab_MinKomp[[Stanowisko / Position ]:[Stanowisko / Position ]],0))="n/a","n/a",CE121-INDEX(tab_MinKomp[Joomla],MATCH($B121,tab_MinKomp[[Stanowisko / Position ]:[Stanowisko / Position ]],0)))</f>
        <v>n/a</v>
      </c>
      <c r="CF122" s="315" t="str">
        <f>IF(INDEX(tab_MinKomp[Bash],MATCH($B121,tab_MinKomp[[Stanowisko / Position ]:[Stanowisko / Position ]],0))="n/a","n/a",CF121-INDEX(tab_MinKomp[Bash],MATCH($B121,tab_MinKomp[[Stanowisko / Position ]:[Stanowisko / Position ]],0)))</f>
        <v>n/a</v>
      </c>
      <c r="CG122" s="315">
        <f>IF(INDEX(tab_MinKomp[Systemy MES (HYDRA / SFMS)],MATCH($B121,tab_MinKomp[[Stanowisko / Position ]:[Stanowisko / Position ]],0))="n/a","n/a",CG121-INDEX(tab_MinKomp[Systemy MES (HYDRA / SFMS)],MATCH($B121,tab_MinKomp[[Stanowisko / Position ]:[Stanowisko / Position ]],0)))</f>
        <v>-1</v>
      </c>
      <c r="CH122" s="315" t="str">
        <f>IF(INDEX(tab_MinKomp[HTML / CSS],MATCH($B121,tab_MinKomp[[Stanowisko / Position ]:[Stanowisko / Position ]],0))="n/a","n/a",CH121-INDEX(tab_MinKomp[HTML / CSS],MATCH($B121,tab_MinKomp[[Stanowisko / Position ]:[Stanowisko / Position ]],0)))</f>
        <v>n/a</v>
      </c>
      <c r="CI122" s="315">
        <f>IF(INDEX(tab_MinKomp[SYSTEM PR],MATCH($B121,tab_MinKomp[[Stanowisko / Position ]:[Stanowisko / Position ]],0))="n/a","n/a",CI121-INDEX(tab_MinKomp[SYSTEM PR],MATCH($B121,tab_MinKomp[[Stanowisko / Position ]:[Stanowisko / Position ]],0)))</f>
        <v>-2</v>
      </c>
      <c r="CJ122" s="315">
        <f>IF(INDEX(tab_MinKomp[System Einkauf XP / EBA],MATCH($B121,tab_MinKomp[[Stanowisko / Position ]:[Stanowisko / Position ]],0))="n/a","n/a",CJ121-INDEX(tab_MinKomp[System Einkauf XP / EBA],MATCH($B121,tab_MinKomp[[Stanowisko / Position ]:[Stanowisko / Position ]],0)))</f>
        <v>-2</v>
      </c>
      <c r="CK122" s="315">
        <f>IF(INDEX(tab_MinKomp[Techniki negocjacyjne / Verhandlungstechniken],MATCH($B121,tab_MinKomp[[Stanowisko / Position ]:[Stanowisko / Position ]],0))="n/a","n/a",CK121-INDEX(tab_MinKomp[Techniki negocjacyjne / Verhandlungstechniken],MATCH($B121,tab_MinKomp[[Stanowisko / Position ]:[Stanowisko / Position ]],0)))</f>
        <v>-1</v>
      </c>
      <c r="CL122" s="315">
        <f>IF(INDEX(tab_MinKomp[Znajomość rynku branżowego / Kenntnis des Industrie Marktes],MATCH($B121,tab_MinKomp[[Stanowisko / Position ]:[Stanowisko / Position ]],0))="n/a","n/a",CL121-INDEX(tab_MinKomp[Znajomość rynku branżowego / Kenntnis des Industrie Marktes],MATCH($B121,tab_MinKomp[[Stanowisko / Position ]:[Stanowisko / Position ]],0)))</f>
        <v>-2</v>
      </c>
      <c r="CM122" s="315">
        <f>IF(INDEX(tab_MinKomp[RAPORTY 8D / 8D Berichten],MATCH($B121,tab_MinKomp[[Stanowisko / Position ]:[Stanowisko / Position ]],0))="n/a","n/a",CM121-INDEX(tab_MinKomp[RAPORTY 8D / 8D Berichten],MATCH($B121,tab_MinKomp[[Stanowisko / Position ]:[Stanowisko / Position ]],0)))</f>
        <v>-2</v>
      </c>
      <c r="CN122" s="315">
        <f>IF(INDEX(tab_MinKomp[NARZĘDZIA JAKOŚCIOWE (5WHY, Ishikawa, etc) / QS-Werkzeuge],MATCH($B121,tab_MinKomp[[Stanowisko / Position ]:[Stanowisko / Position ]],0))="n/a","n/a",CN121-INDEX(tab_MinKomp[NARZĘDZIA JAKOŚCIOWE (5WHY, Ishikawa, etc) / QS-Werkzeuge],MATCH($B121,tab_MinKomp[[Stanowisko / Position ]:[Stanowisko / Position ]],0)))</f>
        <v>-2</v>
      </c>
      <c r="CO122" s="315">
        <f>IF(INDEX(tab_MinKomp[PDCA],MATCH($B121,tab_MinKomp[[Stanowisko / Position ]:[Stanowisko / Position ]],0))="n/a","n/a",CO121-INDEX(tab_MinKomp[PDCA],MATCH($B121,tab_MinKomp[[Stanowisko / Position ]:[Stanowisko / Position ]],0)))</f>
        <v>-2</v>
      </c>
      <c r="CP122" s="315">
        <f>IF(INDEX(tab_MinKomp[Pareto],MATCH($B121,tab_MinKomp[[Stanowisko / Position ]:[Stanowisko / Position ]],0))="n/a","n/a",CP121-INDEX(tab_MinKomp[Pareto],MATCH($B121,tab_MinKomp[[Stanowisko / Position ]:[Stanowisko / Position ]],0)))</f>
        <v>-3</v>
      </c>
      <c r="CQ122" s="315">
        <f>IF(INDEX(tab_MinKomp[PPAP/PSW],MATCH($B121,tab_MinKomp[[Stanowisko / Position ]:[Stanowisko / Position ]],0))="n/a","n/a",CQ121-INDEX(tab_MinKomp[PPAP/PSW],MATCH($B121,tab_MinKomp[[Stanowisko / Position ]:[Stanowisko / Position ]],0)))</f>
        <v>-1</v>
      </c>
      <c r="CR122" s="315">
        <f>IF(INDEX(tab_MinKomp[SUPPLIER MANAGEMENT],MATCH($B121,tab_MinKomp[[Stanowisko / Position ]:[Stanowisko / Position ]],0))="n/a","n/a",CR121-INDEX(tab_MinKomp[SUPPLIER MANAGEMENT],MATCH($B121,tab_MinKomp[[Stanowisko / Position ]:[Stanowisko / Position ]],0)))</f>
        <v>-1</v>
      </c>
      <c r="CS122" s="315">
        <v>-1</v>
      </c>
      <c r="CT122" s="315" t="str">
        <f>IF(INDEX(tab_MinKomp[Obsługa systemu BABTECQ / BABTECQ System],MATCH($B121,tab_MinKomp[[Stanowisko / Position ]:[Stanowisko / Position ]],0))="n/a","n/a",CT121-INDEX(tab_MinKomp[Obsługa systemu BABTECQ / BABTECQ System],MATCH($B121,tab_MinKomp[[Stanowisko / Position ]:[Stanowisko / Position ]],0)))</f>
        <v>n/a</v>
      </c>
      <c r="CU122" s="315">
        <f>IF(INDEX(tab_MinKomp[Rysunek techniczny / technische Zeichnung],MATCH($B121,tab_MinKomp[[Stanowisko / Position ]:[Stanowisko / Position ]],0))="n/a","n/a",CU121-INDEX(tab_MinKomp[Rysunek techniczny / technische Zeichnung],MATCH($B121,tab_MinKomp[[Stanowisko / Position ]:[Stanowisko / Position ]],0)))</f>
        <v>-2</v>
      </c>
      <c r="CV122" s="315">
        <f>IF(INDEX(tab_MinKomp[Kalibracja / Kalibrierung],MATCH($B121,tab_MinKomp[[Stanowisko / Position ]:[Stanowisko / Position ]],0))="n/a","n/a",CV121-INDEX(tab_MinKomp[Kalibracja / Kalibrierung],MATCH($B121,tab_MinKomp[[Stanowisko / Position ]:[Stanowisko / Position ]],0)))</f>
        <v>-1</v>
      </c>
      <c r="CW122" s="315">
        <f>IF(INDEX(tab_MinKomp[Rekwalifikacja / Requalifizierung],MATCH($B121,tab_MinKomp[[Stanowisko / Position ]:[Stanowisko / Position ]],0))="n/a","n/a",CW121-INDEX(tab_MinKomp[Rekwalifikacja / Requalifizierung],MATCH($B121,tab_MinKomp[[Stanowisko / Position ]:[Stanowisko / Position ]],0)))</f>
        <v>-1</v>
      </c>
      <c r="CX122" s="315">
        <v>-1</v>
      </c>
      <c r="CY122" s="315" t="s">
        <v>176</v>
      </c>
      <c r="CZ122" s="315" t="s">
        <v>176</v>
      </c>
      <c r="DA122" s="315" t="s">
        <v>176</v>
      </c>
      <c r="DB122" s="315" t="str">
        <f>IF(INDEX(tab_MinKomp[CMM - Contura Zeiss],MATCH($B121,tab_MinKomp[[Stanowisko / Position ]:[Stanowisko / Position ]],0))="n/a","n/a",DB121-INDEX(tab_MinKomp[CMM - Contura Zeiss],MATCH($B121,tab_MinKomp[[Stanowisko / Position ]:[Stanowisko / Position ]],0)))</f>
        <v>n/a</v>
      </c>
      <c r="DC122" s="315" t="s">
        <v>176</v>
      </c>
      <c r="DD122" s="315" t="str">
        <f>IF(INDEX(tab_MinKomp[Pisanie programów / Programme schreiben],MATCH($B121,tab_MinKomp[[Stanowisko / Position ]:[Stanowisko / Position ]],0))="n/a","n/a",DD121-INDEX(tab_MinKomp[Pisanie programów / Programme schreiben],MATCH($B121,tab_MinKomp[[Stanowisko / Position ]:[Stanowisko / Position ]],0)))</f>
        <v>n/a</v>
      </c>
      <c r="DE122" s="315" t="s">
        <v>176</v>
      </c>
      <c r="DF122" s="315">
        <f>IF(INDEX(tab_MinKomp[Testy czystości / Reinheitstests],MATCH($B121,tab_MinKomp[[Stanowisko / Position ]:[Stanowisko / Position ]],0))="n/a","n/a",DF121-INDEX(tab_MinKomp[Testy czystości / Reinheitstests],MATCH($B121,tab_MinKomp[[Stanowisko / Position ]:[Stanowisko / Position ]],0)))</f>
        <v>-1</v>
      </c>
      <c r="DG122" s="315" t="s">
        <v>176</v>
      </c>
      <c r="DH122" s="315" t="s">
        <v>176</v>
      </c>
      <c r="DI122" s="315" t="s">
        <v>176</v>
      </c>
      <c r="DJ122" s="315" t="s">
        <v>176</v>
      </c>
      <c r="DK122" s="315" t="str">
        <f>IF(INDEX(tab_MinKomp[Pisanie programów / Programme schreiben],MATCH($B121,tab_MinKomp[[Stanowisko / Position ]:[Stanowisko / Position ]],0))="n/a","n/a",DK121-INDEX(tab_MinKomp[Pisanie programów / Programme schreiben],MATCH($B121,tab_MinKomp[[Stanowisko / Position ]:[Stanowisko / Position ]],0)))</f>
        <v>n/a</v>
      </c>
      <c r="DL122" s="315" t="s">
        <v>176</v>
      </c>
      <c r="DM122" s="315" t="s">
        <v>176</v>
      </c>
      <c r="DN122" s="315" t="s">
        <v>176</v>
      </c>
      <c r="DO122" s="315" t="s">
        <v>176</v>
      </c>
      <c r="DP122" s="315" t="s">
        <v>176</v>
      </c>
      <c r="DQ122" s="315" t="s">
        <v>176</v>
      </c>
      <c r="DR122" s="315" t="str">
        <f>IF(INDEX(tab_MinKomp[Pisanie programów / Programme schreiben],MATCH($B121,tab_MinKomp[[Stanowisko / Position ]:[Stanowisko / Position ]],0))="n/a","n/a",DR121-INDEX(tab_MinKomp[Pisanie programów / Programme schreiben],MATCH($B121,tab_MinKomp[[Stanowisko / Position ]:[Stanowisko / Position ]],0)))</f>
        <v>n/a</v>
      </c>
      <c r="DS122" s="315" t="s">
        <v>176</v>
      </c>
      <c r="DT122" s="315" t="s">
        <v>176</v>
      </c>
      <c r="DU122" s="315">
        <f>IF(INDEX(tab_MinKomp[MSA i SPC],MATCH($B121,tab_MinKomp[[Stanowisko / Position ]:[Stanowisko / Position ]],0))="n/a","n/a",DU121-INDEX(tab_MinKomp[MSA i SPC],MATCH($B121,tab_MinKomp[[Stanowisko / Position ]:[Stanowisko / Position ]],0)))</f>
        <v>-1</v>
      </c>
      <c r="DV122" s="315" t="str">
        <f>IF(INDEX(tab_MinKomp[Kontrola wejściowa komponentów/ Eingangskontrolle],MATCH($B121,tab_MinKomp[[Stanowisko / Position ]:[Stanowisko / Position ]],0))="n/a","n/a",DV121-INDEX(tab_MinKomp[Kontrola wejściowa komponentów/ Eingangskontrolle],MATCH($B121,tab_MinKomp[[Stanowisko / Position ]:[Stanowisko / Position ]],0)))</f>
        <v>n/a</v>
      </c>
      <c r="DW122" s="315" t="str">
        <f>IF(INDEX(tab_MinKomp[Kontrola wyjściowa produktu / Ausgangskontrolle],MATCH($B121,tab_MinKomp[[Stanowisko / Position ]:[Stanowisko / Position ]],0))="n/a","n/a",DW121-INDEX(tab_MinKomp[Kontrola wyjściowa produktu / Ausgangskontrolle],MATCH($B121,tab_MinKomp[[Stanowisko / Position ]:[Stanowisko / Position ]],0)))</f>
        <v>n/a</v>
      </c>
      <c r="DX122" s="315" t="str">
        <f>IF(INDEX(tab_MinKomp[Kontrola codzienna produkcji / Tägliche Produktionskontrolle],MATCH($B121,tab_MinKomp[[Stanowisko / Position ]:[Stanowisko / Position ]],0))="n/a","n/a",DX121-INDEX(tab_MinKomp[Kontrola codzienna produkcji / Tägliche Produktionskontrolle],MATCH($B121,tab_MinKomp[[Stanowisko / Position ]:[Stanowisko / Position ]],0)))</f>
        <v>n/a</v>
      </c>
      <c r="DY122" s="315" t="str">
        <f>IF(INDEX(tab_MinKomp[Konserwacja Rep],MATCH($B121,tab_MinKomp[[Stanowisko / Position ]:[Stanowisko / Position ]],0))="n/a","n/a",DY121-INDEX(tab_MinKomp[Konserwacja Rep],MATCH($B121,tab_MinKomp[[Stanowisko / Position ]:[Stanowisko / Position ]],0)))</f>
        <v>n/a</v>
      </c>
      <c r="DZ122" s="315" t="str">
        <f>IF(INDEX(tab_MinKomp[[Konserwacja Engel ]],MATCH($B121,tab_MinKomp[[Stanowisko / Position ]:[Stanowisko / Position ]],0))="n/a","n/a",DZ121-INDEX(tab_MinKomp[[Konserwacja Engel ]],MATCH($B121,tab_MinKomp[[Stanowisko / Position ]:[Stanowisko / Position ]],0)))</f>
        <v>n/a</v>
      </c>
      <c r="EA122" s="315" t="str">
        <f>IF(INDEX(tab_MinKomp[Konserwacja B 50],MATCH($B121,tab_MinKomp[[Stanowisko / Position ]:[Stanowisko / Position ]],0))="n/a","n/a",EA121-INDEX(tab_MinKomp[Konserwacja B 50],MATCH($B121,tab_MinKomp[[Stanowisko / Position ]:[Stanowisko / Position ]],0)))</f>
        <v>n/a</v>
      </c>
      <c r="EB122" s="315" t="str">
        <f>IF(INDEX(tab_MinKomp[[Konserwacja EOL ]],MATCH($B121,tab_MinKomp[[Stanowisko / Position ]:[Stanowisko / Position ]],0))="n/a","n/a",EB121-INDEX(tab_MinKomp[[Konserwacja EOL ]],MATCH($B121,tab_MinKomp[[Stanowisko / Position ]:[Stanowisko / Position ]],0)))</f>
        <v>n/a</v>
      </c>
      <c r="EC122" s="315" t="str">
        <f>IF(INDEX(tab_MinKomp[Konserwacja Branson],MATCH($B121,tab_MinKomp[[Stanowisko / Position ]:[Stanowisko / Position ]],0))="n/a","n/a",EC121-INDEX(tab_MinKomp[Konserwacja Branson],MATCH($B121,tab_MinKomp[[Stanowisko / Position ]:[Stanowisko / Position ]],0)))</f>
        <v>n/a</v>
      </c>
      <c r="ED122" s="315" t="str">
        <f>IF(INDEX(tab_MinKomp[Konserwacja coolery],MATCH($B121,tab_MinKomp[[Stanowisko / Position ]:[Stanowisko / Position ]],0))="n/a","n/a",ED121-INDEX(tab_MinKomp[Konserwacja coolery],MATCH($B121,tab_MinKomp[[Stanowisko / Position ]:[Stanowisko / Position ]],0)))</f>
        <v>n/a</v>
      </c>
      <c r="EE122" s="315" t="str">
        <f>IF(INDEX(tab_MinKomp[Konserwacja piecy],MATCH($B121,tab_MinKomp[[Stanowisko / Position ]:[Stanowisko / Position ]],0))="n/a","n/a",EE121-INDEX(tab_MinKomp[Konserwacja piecy],MATCH($B121,tab_MinKomp[[Stanowisko / Position ]:[Stanowisko / Position ]],0)))</f>
        <v>n/a</v>
      </c>
      <c r="EF122" s="315">
        <v>-1</v>
      </c>
      <c r="EG122" s="315" t="str">
        <f>IF(INDEX(tab_MinKomp[Elektryka],MATCH($B121,tab_MinKomp[[Stanowisko / Position ]:[Stanowisko / Position ]],0))="n/a","n/a",EG121-INDEX(tab_MinKomp[Elektryka],MATCH($B121,tab_MinKomp[[Stanowisko / Position ]:[Stanowisko / Position ]],0)))</f>
        <v>n/a</v>
      </c>
      <c r="EH122" s="315" t="str">
        <f>IF(INDEX(tab_MinKomp[Pneumatyka],MATCH($B121,tab_MinKomp[[Stanowisko / Position ]:[Stanowisko / Position ]],0))="n/a","n/a",EH121-INDEX(tab_MinKomp[Pneumatyka],MATCH($B121,tab_MinKomp[[Stanowisko / Position ]:[Stanowisko / Position ]],0)))</f>
        <v>n/a</v>
      </c>
      <c r="EI122" s="315" t="str">
        <f>IF(INDEX(tab_MinKomp[[Hydraulika ]],MATCH($B121,tab_MinKomp[[Stanowisko / Position ]:[Stanowisko / Position ]],0))="n/a","n/a",EI121-INDEX(tab_MinKomp[[Hydraulika ]],MATCH($B121,tab_MinKomp[[Stanowisko / Position ]:[Stanowisko / Position ]],0)))</f>
        <v>n/a</v>
      </c>
      <c r="EJ122" s="315" t="str">
        <f>IF(INDEX(tab_MinKomp[Podciśnienie],MATCH($B121,tab_MinKomp[[Stanowisko / Position ]:[Stanowisko / Position ]],0))="n/a","n/a",EJ121-INDEX(tab_MinKomp[Podciśnienie],MATCH($B121,tab_MinKomp[[Stanowisko / Position ]:[Stanowisko / Position ]],0)))</f>
        <v>n/a</v>
      </c>
      <c r="EK122" s="315" t="str">
        <f>IF(INDEX(tab_MinKomp[Usuwanie awarii],MATCH($B121,tab_MinKomp[[Stanowisko / Position ]:[Stanowisko / Position ]],0))="n/a","n/a",EK121-INDEX(tab_MinKomp[Usuwanie awarii],MATCH($B121,tab_MinKomp[[Stanowisko / Position ]:[Stanowisko / Position ]],0)))</f>
        <v>n/a</v>
      </c>
      <c r="EL122" s="315" t="str">
        <f>IF(INDEX(tab_MinKomp[Obsługa robotów],MATCH($B121,tab_MinKomp[[Stanowisko / Position ]:[Stanowisko / Position ]],0))="n/a","n/a",EL121-INDEX(tab_MinKomp[Obsługa robotów],MATCH($B121,tab_MinKomp[[Stanowisko / Position ]:[Stanowisko / Position ]],0)))</f>
        <v>n/a</v>
      </c>
      <c r="EM122" s="315" t="str">
        <f>IF(INDEX(tab_MinKomp[Obsługa sterowania maszyny],MATCH($B121,tab_MinKomp[[Stanowisko / Position ]:[Stanowisko / Position ]],0))="n/a","n/a",EM121-INDEX(tab_MinKomp[Obsługa sterowania maszyny],MATCH($B121,tab_MinKomp[[Stanowisko / Position ]:[Stanowisko / Position ]],0)))</f>
        <v>n/a</v>
      </c>
      <c r="EN122" s="315" t="str">
        <f>IF(INDEX(tab_MinKomp[Usuwanie przyczyn żródłowych],MATCH($B121,tab_MinKomp[[Stanowisko / Position ]:[Stanowisko / Position ]],0))="n/a","n/a",EN121-INDEX(tab_MinKomp[Usuwanie przyczyn żródłowych],MATCH($B121,tab_MinKomp[[Stanowisko / Position ]:[Stanowisko / Position ]],0)))</f>
        <v>n/a</v>
      </c>
      <c r="EO122" s="315">
        <f>IF(INDEX(tab_MinKomp[Cmms stosowanie],MATCH($B121,tab_MinKomp[[Stanowisko / Position ]:[Stanowisko / Position ]],0))="n/a","n/a",EO121-INDEX(tab_MinKomp[Cmms stosowanie],MATCH($B121,tab_MinKomp[[Stanowisko / Position ]:[Stanowisko / Position ]],0)))</f>
        <v>-2</v>
      </c>
      <c r="EP122" s="315">
        <f>IF(INDEX(tab_MinKomp[[Czyszczenie form gumowych ]],MATCH($B121,tab_MinKomp[[Stanowisko / Position ]:[Stanowisko / Position ]],0))="n/a","n/a",EP121-INDEX(tab_MinKomp[[Czyszczenie form gumowych ]],MATCH($B121,tab_MinKomp[[Stanowisko / Position ]:[Stanowisko / Position ]],0)))</f>
        <v>-1</v>
      </c>
      <c r="EQ122" s="315" t="str">
        <f>IF(INDEX(tab_MinKomp[Czyszczenie form plastikowych],MATCH($B121,tab_MinKomp[[Stanowisko / Position ]:[Stanowisko / Position ]],0))="n/a","n/a",EQ121-INDEX(tab_MinKomp[Czyszczenie form plastikowych],MATCH($B121,tab_MinKomp[[Stanowisko / Position ]:[Stanowisko / Position ]],0)))</f>
        <v>n/a</v>
      </c>
      <c r="ER122" s="315" t="str">
        <f>IF(INDEX(tab_MinKomp[Wymiana form plastik],MATCH($B121,tab_MinKomp[[Stanowisko / Position ]:[Stanowisko / Position ]],0))="n/a","n/a",ER121-INDEX(tab_MinKomp[Wymiana form plastik],MATCH($B121,tab_MinKomp[[Stanowisko / Position ]:[Stanowisko / Position ]],0)))</f>
        <v>n/a</v>
      </c>
      <c r="ES122" s="315" t="str">
        <f>IF(INDEX(tab_MinKomp[Wymiana form guma],MATCH($B121,tab_MinKomp[[Stanowisko / Position ]:[Stanowisko / Position ]],0))="n/a","n/a",ES121-INDEX(tab_MinKomp[Wymiana form guma],MATCH($B121,tab_MinKomp[[Stanowisko / Position ]:[Stanowisko / Position ]],0)))</f>
        <v>n/a</v>
      </c>
      <c r="ET122" s="315" t="str">
        <f>IF(INDEX(tab_MinKomp[Konserwacja KK],MATCH($B121,tab_MinKomp[[Stanowisko / Position ]:[Stanowisko / Position ]],0))="n/a","n/a",ET121-INDEX(tab_MinKomp[Konserwacja KK],MATCH($B121,tab_MinKomp[[Stanowisko / Position ]:[Stanowisko / Position ]],0)))</f>
        <v>n/a</v>
      </c>
      <c r="EU122" s="315" t="str">
        <f>IF(INDEX(tab_MinKomp[Konserwacja form guma],MATCH($B121,tab_MinKomp[[Stanowisko / Position ]:[Stanowisko / Position ]],0))="n/a","n/a",EU121-INDEX(tab_MinKomp[Konserwacja form guma],MATCH($B121,tab_MinKomp[[Stanowisko / Position ]:[Stanowisko / Position ]],0)))</f>
        <v>n/a</v>
      </c>
      <c r="EV122" s="315" t="str">
        <f>IF(INDEX(tab_MinKomp[Konserwacja form plastiki],MATCH($B121,tab_MinKomp[[Stanowisko / Position ]:[Stanowisko / Position ]],0))="n/a","n/a",EV121-INDEX(tab_MinKomp[Konserwacja form plastiki],MATCH($B121,tab_MinKomp[[Stanowisko / Position ]:[Stanowisko / Position ]],0)))</f>
        <v>n/a</v>
      </c>
      <c r="EW122" s="330" t="str">
        <f>IF(INDEX(tab_MinKomp[Konserwacja form plastiki],MATCH($B121,tab_MinKomp[[Stanowisko / Position ]:[Stanowisko / Position ]],0))="n/a","n/a",EW121-INDEX(tab_MinKomp[Konserwacja form plastiki],MATCH($B121,tab_MinKomp[[Stanowisko / Position ]:[Stanowisko / Position ]],0)))</f>
        <v>n/a</v>
      </c>
      <c r="EX122" s="315" t="str">
        <f>IF(INDEX(tab_MinKomp[Konserwacja Gorącego Kanału],MATCH($B121,tab_MinKomp[[Stanowisko / Position ]:[Stanowisko / Position ]],0))="n/a","n/a",EX121-INDEX(tab_MinKomp[Konserwacja Gorącego Kanału],MATCH($B121,tab_MinKomp[[Stanowisko / Position ]:[Stanowisko / Position ]],0)))</f>
        <v>n/a</v>
      </c>
      <c r="EY122" s="315">
        <f>IF(INDEX(tab_MinKomp[MS Office (Excel)],MATCH($B121,tab_MinKomp[[Stanowisko / Position ]:[Stanowisko / Position ]],0))="n/a","n/a",EY121-INDEX(tab_MinKomp[MS Office (Excel)],MATCH($B121,tab_MinKomp[[Stanowisko / Position ]:[Stanowisko / Position ]],0)))</f>
        <v>-2</v>
      </c>
      <c r="EZ122" s="315">
        <f>IF(INDEX(tab_MinKomp[MS Office (Word)],MATCH($B121,tab_MinKomp[[Stanowisko / Position ]:[Stanowisko / Position ]],0))="n/a","n/a",EZ121-INDEX(tab_MinKomp[MS Office (Word)],MATCH($B121,tab_MinKomp[[Stanowisko / Position ]:[Stanowisko / Position ]],0)))</f>
        <v>-2</v>
      </c>
      <c r="FA122" s="315">
        <f>IF(INDEX(tab_MinKomp[MS Office (Power Point)],MATCH($B121,tab_MinKomp[[Stanowisko / Position ]:[Stanowisko / Position ]],0))="n/a","n/a",FA121-INDEX(tab_MinKomp[MS Office (Power Point)],MATCH($B121,tab_MinKomp[[Stanowisko / Position ]:[Stanowisko / Position ]],0)))</f>
        <v>-2</v>
      </c>
      <c r="FB122" s="317">
        <f>IF(INDEX(tab_MinKomp[Język angielski / Englisch],MATCH($B121,tab_MinKomp[[Stanowisko / Position ]:[Stanowisko / Position ]],0))="n/a","n/a",FB121-INDEX(tab_MinKomp[Język angielski / Englisch],MATCH($B121,tab_MinKomp[[Stanowisko / Position ]:[Stanowisko / Position ]],0)))</f>
        <v>-2</v>
      </c>
      <c r="FC122" s="317" t="str">
        <f>IF(INDEX(tab_MinKomp[Konserwacja Gorącego Kanału],MATCH($B121,tab_MinKomp[[Stanowisko / Position ]:[Stanowisko / Position ]],0))="n/a","n/a",FC121-INDEX(tab_MinKomp[Konserwacja Gorącego Kanału],MATCH($B121,tab_MinKomp[[Stanowisko / Position ]:[Stanowisko / Position ]],0)))</f>
        <v>n/a</v>
      </c>
      <c r="FD122" s="315">
        <f>IF(INDEX(tab_MinKomp[Zarządzanie dokumentacją procesową / Process dokumentation management],MATCH($B121,tab_MinKomp[[Stanowisko / Position ]:[Stanowisko / Position ]],0))="n/a","n/a",FD121-INDEX(tab_MinKomp[Zarządzanie dokumentacją procesową / Process dokumentation management],MATCH($B121,tab_MinKomp[[Stanowisko / Position ]:[Stanowisko / Position ]],0)))</f>
        <v>-3</v>
      </c>
      <c r="FE122" s="315">
        <f>IF(INDEX(tab_MinKomp[Znajomość procesów z obszaru / Kenntiss der prozesse in dem Bereich],MATCH($B121,tab_MinKomp[[Stanowisko / Position ]:[Stanowisko / Position ]],0))="n/a","n/a",FE121-INDEX(tab_MinKomp[Znajomość procesów z obszaru / Kenntiss der prozesse in dem Bereich],MATCH($B121,tab_MinKomp[[Stanowisko / Position ]:[Stanowisko / Position ]],0)))</f>
        <v>-2</v>
      </c>
      <c r="FF122" s="315">
        <f>IF(INDEX(tab_MinKomp[optymalizacja procesów / Prozessoptymalisierung],MATCH($B121,tab_MinKomp[[Stanowisko / Position ]:[Stanowisko / Position ]],0))="n/a","n/a",FF121-INDEX(tab_MinKomp[optymalizacja procesów / Prozessoptymalisierung],MATCH($B121,tab_MinKomp[[Stanowisko / Position ]:[Stanowisko / Position ]],0)))</f>
        <v>-2</v>
      </c>
      <c r="FG122" s="315">
        <f>IF(INDEX(tab_MinKomp[Umiejętności szkoleniowe / Trainingsfähigkeiten],MATCH($B121,tab_MinKomp[[Stanowisko / Position ]:[Stanowisko / Position ]],0))="n/a","n/a",FG121-INDEX(tab_MinKomp[Umiejętności szkoleniowe / Trainingsfähigkeiten],MATCH($B121,tab_MinKomp[[Stanowisko / Position ]:[Stanowisko / Position ]],0)))</f>
        <v>-2</v>
      </c>
      <c r="FH122" s="315">
        <f>IF(INDEX(tab_MinKomp[Analityczne myślenie, podejście / Analitysches Denken, Einstellung],MATCH($B121,tab_MinKomp[[Stanowisko / Position ]:[Stanowisko / Position ]],0))="n/a","n/a",FH121-INDEX(tab_MinKomp[Analityczne myślenie, podejście / Analitysches Denken, Einstellung],MATCH($B121,tab_MinKomp[[Stanowisko / Position ]:[Stanowisko / Position ]],0)))</f>
        <v>-2</v>
      </c>
      <c r="FI122" s="315">
        <f>IF(INDEX(tab_MinKomp[Dokładność, precyzja w dzialaniu / Genauigkeit, Präzision in die Arbeit],MATCH($B121,tab_MinKomp[[Stanowisko / Position ]:[Stanowisko / Position ]],0))="n/a","n/a",FI121-INDEX(tab_MinKomp[Dokładność, precyzja w dzialaniu / Genauigkeit, Präzision in die Arbeit],MATCH($B121,tab_MinKomp[[Stanowisko / Position ]:[Stanowisko / Position ]],0)))</f>
        <v>-2</v>
      </c>
      <c r="FJ122" s="315">
        <f>IF(INDEX(tab_MinKomp[Dyspozycyjność / Verfügbarkeit],MATCH($B121,tab_MinKomp[[Stanowisko / Position ]:[Stanowisko / Position ]],0))="n/a","n/a",FJ121-INDEX(tab_MinKomp[Dyspozycyjność / Verfügbarkeit],MATCH($B121,tab_MinKomp[[Stanowisko / Position ]:[Stanowisko / Position ]],0)))</f>
        <v>-2</v>
      </c>
      <c r="FK122" s="315">
        <f>IF(INDEX(tab_MinKomp[Zaangażowanie / 
Engagement],MATCH($B121,tab_MinKomp[[Stanowisko / Position ]:[Stanowisko / Position ]],0))="n/a","n/a",FK121-INDEX(tab_MinKomp[Zaangażowanie / 
Engagement],MATCH($B121,tab_MinKomp[[Stanowisko / Position ]:[Stanowisko / Position ]],0)))</f>
        <v>-2</v>
      </c>
      <c r="FL122" s="315">
        <f>IF(INDEX(tab_MinKomp[Planowanie strategiczne / Strategische Planung],MATCH($B121,tab_MinKomp[[Stanowisko / Position ]:[Stanowisko / Position ]],0))="n/a","n/a",FL121-INDEX(tab_MinKomp[Planowanie strategiczne / Strategische Planung],MATCH($B121,tab_MinKomp[[Stanowisko / Position ]:[Stanowisko / Position ]],0)))</f>
        <v>-2</v>
      </c>
      <c r="FM122" s="315">
        <f>IF(INDEX(tab_MinKomp[Konsekwentne i dynamiczne działanie],MATCH($B121,tab_MinKomp[[Stanowisko / Position ]:[Stanowisko / Position ]],0))="n/a","n/a",FM121-INDEX(tab_MinKomp[Konsekwentne i dynamiczne działanie],MATCH($B121,tab_MinKomp[[Stanowisko / Position ]:[Stanowisko / Position ]],0)))</f>
        <v>-2</v>
      </c>
      <c r="FN122" s="315">
        <f>IF(INDEX(tab_MinKomp[Elastyczność w działaniu],MATCH($B121,tab_MinKomp[[Stanowisko / Position ]:[Stanowisko / Position ]],0))="n/a","n/a",FN121-INDEX(tab_MinKomp[Elastyczność w działaniu],MATCH($B121,tab_MinKomp[[Stanowisko / Position ]:[Stanowisko / Position ]],0)))</f>
        <v>-2</v>
      </c>
      <c r="FO122" s="315">
        <f>IF(INDEX(tab_MinKomp[Komunikatywność],MATCH($B121,tab_MinKomp[[Stanowisko / Position ]:[Stanowisko / Position ]],0))="n/a","n/a",FO121-INDEX(tab_MinKomp[Komunikatywność],MATCH($B121,tab_MinKomp[[Stanowisko / Position ]:[Stanowisko / Position ]],0)))</f>
        <v>-2</v>
      </c>
      <c r="FP122" s="314">
        <f>IF(INDEX(tab_MinKomp[Motywowanie i budowanie zaangażowania zespołu],MATCH($B121,tab_MinKomp[[Stanowisko / Position ]:[Stanowisko / Position ]],0))="n/a","n/a",FP121-INDEX(tab_MinKomp[Motywowanie i budowanie zaangażowania zespołu],MATCH($B121,tab_MinKomp[[Stanowisko / Position ]:[Stanowisko / Position ]],0)))</f>
        <v>-2</v>
      </c>
      <c r="FQ122" s="318" t="str">
        <f>IFERROR(IF(INDEX(tab_MinKomp[BRAK / Keine],MATCH($B121,tab_MinKomp[[Stanowisko / Position ]:[Stanowisko / Position ]],0))="n/a","n/a",INDEX(tab_MinKomp[BRAK / Keine],MATCH($B121,tab_MinKomp[[Stanowisko / Position ]:[Stanowisko / Position ]],0))-FQ121),"")</f>
        <v>n/a</v>
      </c>
      <c r="FR122" s="315" t="str">
        <f>IF(INDEX(tab_MinKomp[MINIMUM 1 ROK / min. 1 Jahr],MATCH($B121,tab_MinKomp[[Stanowisko / Position ]:[Stanowisko / Position ]],0))="n/a","n/a",INDEX(tab_MinKomp[MINIMUM 1 ROK / min. 1 Jahr],MATCH($B121,tab_MinKomp[[Stanowisko / Position ]:[Stanowisko / Position ]],0)))</f>
        <v>x</v>
      </c>
      <c r="FS122" s="315" t="str">
        <f>IF(INDEX(tab_MinKomp[MINIMUM 2 LATA / min. 2 Jahre],MATCH($B121,tab_MinKomp[[Stanowisko / Position ]:[Stanowisko / Position ]],0))="n/a","n/a",INDEX(tab_MinKomp[MINIMUM 2 LATA / min. 2 Jahre],MATCH($B121,tab_MinKomp[[Stanowisko / Position ]:[Stanowisko / Position ]],0)))</f>
        <v>n/a</v>
      </c>
      <c r="FT122" s="315" t="str">
        <f>IF(INDEX(tab_MinKomp[MINIMUM 3 LATA / min. 3 Jahre],MATCH($B121,tab_MinKomp[[Stanowisko / Position ]:[Stanowisko / Position ]],0))="n/a","n/a",INDEX(tab_MinKomp[MINIMUM 3 LATA / min. 3 Jahre],MATCH($B121,tab_MinKomp[[Stanowisko / Position ]:[Stanowisko / Position ]],0)))</f>
        <v>n/a</v>
      </c>
      <c r="FU122" s="315" t="str">
        <f>IF(INDEX(tab_MinKomp[MINIMUM 4 LATA / min. 4 Jahre],MATCH($B121,tab_MinKomp[[Stanowisko / Position ]:[Stanowisko / Position ]],0))="n/a","n/a",INDEX(tab_MinKomp[MINIMUM 4 LATA / min. 4 Jahre],MATCH($B121,tab_MinKomp[[Stanowisko / Position ]:[Stanowisko / Position ]],0)))</f>
        <v>n/a</v>
      </c>
      <c r="FV122" s="319" t="str">
        <f>IF(INDEX(tab_MinKomp[MINIMUM 5 LAT / min. 5 Jahre],MATCH($B121,tab_MinKomp[[Stanowisko / Position ]:[Stanowisko / Position ]],0))="n/a","n/a",INDEX(tab_MinKomp[MINIMUM 5 LAT / min. 5 Jahre],MATCH($B121,tab_MinKomp[[Stanowisko / Position ]:[Stanowisko / Position ]],0)))</f>
        <v>n/a</v>
      </c>
      <c r="FW122" s="318" t="str">
        <f>IF(INDEX(tab_MinKomp[BRAK / Keine9],MATCH($B121,tab_MinKomp[[Stanowisko / Position ]:[Stanowisko / Position ]],0))="n/a","n/a",INDEX(tab_MinKomp[BRAK / Keine9],MATCH($B121,tab_MinKomp[[Stanowisko / Position ]:[Stanowisko / Position ]],0)))</f>
        <v>n/a</v>
      </c>
      <c r="FX122" s="315" t="str">
        <f>IF(INDEX(tab_MinKomp[ZAWODOWE / Berufsausbildung],MATCH($B121,tab_MinKomp[[Stanowisko / Position ]:[Stanowisko / Position ]],0))="n/a","n/a",INDEX(tab_MinKomp[ZAWODOWE / Berufsausbildung],MATCH($B121,tab_MinKomp[[Stanowisko / Position ]:[Stanowisko / Position ]],0)))</f>
        <v>n/a</v>
      </c>
      <c r="FY122" s="315" t="str">
        <f>IF(INDEX(tab_MinKomp[ŚREDNIE OGÓLNE / Abitur allgemeine],MATCH($B121,tab_MinKomp[[Stanowisko / Position ]:[Stanowisko / Position ]],0))="n/a","n/a",INDEX(tab_MinKomp[ŚREDNIE OGÓLNE / Abitur allgemeine],MATCH($B121,tab_MinKomp[[Stanowisko / Position ]:[Stanowisko / Position ]],0)))</f>
        <v>n/a</v>
      </c>
      <c r="FZ122" s="315" t="str">
        <f>IF(INDEX(tab_MinKomp[ŚREDNIE KIERUNKOWE / berufliches Gymnasium],MATCH($B121,tab_MinKomp[[Stanowisko / Position ]:[Stanowisko / Position ]],0))="n/a","n/a",INDEX(tab_MinKomp[ŚREDNIE KIERUNKOWE / berufliches Gymnasium],MATCH($B121,tab_MinKomp[[Stanowisko / Position ]:[Stanowisko / Position ]],0)))</f>
        <v>n/a</v>
      </c>
      <c r="GA122" s="315" t="str">
        <f>IF(INDEX(tab_MinKomp[WYŻSZE OGÓLNE / Hochschule allgemeine],MATCH($B121,tab_MinKomp[[Stanowisko / Position ]:[Stanowisko / Position ]],0))="n/a","n/a",INDEX(tab_MinKomp[WYŻSZE OGÓLNE / Hochschule allgemeine],MATCH($B121,tab_MinKomp[[Stanowisko / Position ]:[Stanowisko / Position ]],0)))</f>
        <v>X</v>
      </c>
      <c r="GB122" s="319" t="str">
        <f>IF(INDEX(tab_MinKomp[WYŻSZE KIERUNKOWE / Hochschule berufliche],MATCH($B121,tab_MinKomp[[Stanowisko / Position ]:[Stanowisko / Position ]],0))="n/a","n/a",INDEX(tab_MinKomp[WYŻSZE KIERUNKOWE / Hochschule berufliche],MATCH($B121,tab_MinKomp[[Stanowisko / Position ]:[Stanowisko / Position ]],0)))</f>
        <v>n/a</v>
      </c>
      <c r="GC122" s="318" t="str">
        <f>IF(INDEX(tab_MinKomp[PIERWSZA POMOC / Erste Hilfe],MATCH($B121,tab_MinKomp[[Stanowisko / Position ]:[Stanowisko / Position ]],0))="n/a","n/a",INDEX(tab_MinKomp[PIERWSZA POMOC / Erste Hilfe],MATCH($B121,tab_MinKomp[[Stanowisko / Position ]:[Stanowisko / Position ]],0)))</f>
        <v>n/a</v>
      </c>
      <c r="GD122" s="315" t="str">
        <f>IF(INDEX(tab_MinKomp[Specjalista BHP / BHP Spezialist],MATCH($B121,tab_MinKomp[[Stanowisko / Position ]:[Stanowisko / Position ]],0))="n/a","n/a",INDEX(tab_MinKomp[Specjalista BHP / BHP Spezialist],MATCH($B121,tab_MinKomp[[Stanowisko / Position ]:[Stanowisko / Position ]],0)))</f>
        <v>n/a</v>
      </c>
      <c r="GE122" s="315" t="str">
        <f>IF(INDEX(tab_MinKomp[Inspektor ochrony PPOŻ / Brandschutzinspektor],MATCH($B121,tab_MinKomp[[Stanowisko / Position ]:[Stanowisko / Position ]],0))="n/a","n/a",INDEX(tab_MinKomp[Inspektor ochrony PPOŻ / Brandschutzinspektor],MATCH($B121,tab_MinKomp[[Stanowisko / Position ]:[Stanowisko / Position ]],0)))</f>
        <v>n/a</v>
      </c>
      <c r="GF122" s="315" t="s">
        <v>176</v>
      </c>
      <c r="GG122" s="315" t="s">
        <v>176</v>
      </c>
      <c r="GH122" s="315" t="s">
        <v>176</v>
      </c>
      <c r="GI122" s="315" t="str">
        <f>IF(INDEX(tab_MinKomp[PODNOŚNIKI / Hebevorrichtung],MATCH($B121,tab_MinKomp[[Stanowisko / Position ]:[Stanowisko / Position ]],0))="n/a","n/a",INDEX(tab_MinKomp[PODNOŚNIKI / Hebevorrichtung],MATCH($B121,tab_MinKomp[[Stanowisko / Position ]:[Stanowisko / Position ]],0)))</f>
        <v>n/a</v>
      </c>
      <c r="GJ122" s="315" t="str">
        <f>IF(INDEX(tab_MinKomp[SUWNICE / Laufkran],MATCH($B121,tab_MinKomp[[Stanowisko / Position ]:[Stanowisko / Position ]],0))="n/a","n/a",INDEX(tab_MinKomp[SUWNICE / Laufkran],MATCH($B121,tab_MinKomp[[Stanowisko / Position ]:[Stanowisko / Position ]],0)))</f>
        <v>n/a</v>
      </c>
      <c r="GK122" s="319" t="str">
        <f>IF(INDEX(tab_MinKomp[WYSOKOŚCIOWE / Höhenberechtigungen],MATCH($B121,tab_MinKomp[[Stanowisko / Position ]:[Stanowisko / Position ]],0))="n/a","n/a",INDEX(tab_MinKomp[WYSOKOŚCIOWE / Höhenberechtigungen],MATCH($B121,tab_MinKomp[[Stanowisko / Position ]:[Stanowisko / Position ]],0)))</f>
        <v>n/a</v>
      </c>
      <c r="GL122" s="320">
        <f>SUM(G122:FP122)/(GL121-(SUM(G122:FP122)))</f>
        <v>-1</v>
      </c>
      <c r="GM122" s="132"/>
    </row>
    <row r="123" spans="1:195" s="133" customFormat="1" ht="28.35" customHeight="1" x14ac:dyDescent="0.25">
      <c r="A123" s="138" t="s">
        <v>161</v>
      </c>
      <c r="B123" s="138" t="s">
        <v>215</v>
      </c>
      <c r="C123" s="138" t="s">
        <v>657</v>
      </c>
      <c r="D123" s="138"/>
      <c r="E123" s="563" t="s">
        <v>770</v>
      </c>
      <c r="F123" s="307" t="s">
        <v>165</v>
      </c>
      <c r="G123" s="308"/>
      <c r="H123" s="308"/>
      <c r="I123" s="308"/>
      <c r="J123" s="308"/>
      <c r="K123" s="308"/>
      <c r="L123" s="308"/>
      <c r="M123" s="308" t="s">
        <v>176</v>
      </c>
      <c r="N123" s="308" t="s">
        <v>176</v>
      </c>
      <c r="O123" s="308"/>
      <c r="P123" s="308"/>
      <c r="Q123" s="308" t="s">
        <v>176</v>
      </c>
      <c r="R123" s="308" t="s">
        <v>176</v>
      </c>
      <c r="S123" s="308" t="s">
        <v>176</v>
      </c>
      <c r="T123" s="308" t="s">
        <v>176</v>
      </c>
      <c r="U123" s="308" t="s">
        <v>176</v>
      </c>
      <c r="V123" s="308" t="s">
        <v>176</v>
      </c>
      <c r="W123" s="308" t="s">
        <v>176</v>
      </c>
      <c r="X123" s="308" t="s">
        <v>176</v>
      </c>
      <c r="Y123" s="308" t="s">
        <v>176</v>
      </c>
      <c r="Z123" s="308" t="s">
        <v>176</v>
      </c>
      <c r="AA123" s="308" t="s">
        <v>176</v>
      </c>
      <c r="AB123" s="308"/>
      <c r="AC123" s="308"/>
      <c r="AD123" s="308"/>
      <c r="AE123" s="308" t="s">
        <v>176</v>
      </c>
      <c r="AF123" s="308" t="s">
        <v>176</v>
      </c>
      <c r="AG123" s="308"/>
      <c r="AH123" s="308"/>
      <c r="AI123" s="308" t="s">
        <v>176</v>
      </c>
      <c r="AJ123" s="308" t="s">
        <v>176</v>
      </c>
      <c r="AK123" s="308" t="s">
        <v>176</v>
      </c>
      <c r="AL123" s="308"/>
      <c r="AM123" s="308"/>
      <c r="AN123" s="308"/>
      <c r="AO123" s="308"/>
      <c r="AP123" s="308"/>
      <c r="AQ123" s="308"/>
      <c r="AR123" s="308"/>
      <c r="AS123" s="308"/>
      <c r="AT123" s="308"/>
      <c r="AU123" s="308"/>
      <c r="AV123" s="308"/>
      <c r="AW123" s="308"/>
      <c r="AX123" s="308"/>
      <c r="AY123" s="308"/>
      <c r="AZ123" s="308"/>
      <c r="BA123" s="308" t="s">
        <v>176</v>
      </c>
      <c r="BB123" s="308"/>
      <c r="BC123" s="308"/>
      <c r="BD123" s="308"/>
      <c r="BE123" s="308" t="s">
        <v>176</v>
      </c>
      <c r="BF123" s="308" t="s">
        <v>176</v>
      </c>
      <c r="BG123" s="308" t="s">
        <v>176</v>
      </c>
      <c r="BH123" s="308" t="s">
        <v>176</v>
      </c>
      <c r="BI123" s="308" t="s">
        <v>176</v>
      </c>
      <c r="BJ123" s="308" t="s">
        <v>176</v>
      </c>
      <c r="BK123" s="308" t="s">
        <v>176</v>
      </c>
      <c r="BL123" s="308" t="s">
        <v>176</v>
      </c>
      <c r="BM123" s="308"/>
      <c r="BN123" s="308" t="s">
        <v>176</v>
      </c>
      <c r="BO123" s="308"/>
      <c r="BP123" s="308"/>
      <c r="BQ123" s="308"/>
      <c r="BR123" s="308"/>
      <c r="BS123" s="308"/>
      <c r="BT123" s="308"/>
      <c r="BU123" s="308"/>
      <c r="BV123" s="308" t="s">
        <v>176</v>
      </c>
      <c r="BW123" s="308" t="s">
        <v>176</v>
      </c>
      <c r="BX123" s="308" t="s">
        <v>176</v>
      </c>
      <c r="BY123" s="308" t="s">
        <v>176</v>
      </c>
      <c r="BZ123" s="308" t="s">
        <v>176</v>
      </c>
      <c r="CA123" s="308" t="s">
        <v>176</v>
      </c>
      <c r="CB123" s="308" t="s">
        <v>176</v>
      </c>
      <c r="CC123" s="308" t="s">
        <v>176</v>
      </c>
      <c r="CD123" s="308" t="s">
        <v>176</v>
      </c>
      <c r="CE123" s="308" t="s">
        <v>176</v>
      </c>
      <c r="CF123" s="308" t="s">
        <v>176</v>
      </c>
      <c r="CG123" s="308"/>
      <c r="CH123" s="308" t="s">
        <v>176</v>
      </c>
      <c r="CI123" s="308"/>
      <c r="CJ123" s="308"/>
      <c r="CK123" s="308"/>
      <c r="CL123" s="308"/>
      <c r="CM123" s="308"/>
      <c r="CN123" s="308"/>
      <c r="CO123" s="308"/>
      <c r="CP123" s="308"/>
      <c r="CQ123" s="308"/>
      <c r="CR123" s="308"/>
      <c r="CS123" s="308"/>
      <c r="CT123" s="308" t="s">
        <v>176</v>
      </c>
      <c r="CU123" s="308"/>
      <c r="CV123" s="308"/>
      <c r="CW123" s="308"/>
      <c r="CX123" s="308"/>
      <c r="CY123" s="308" t="s">
        <v>176</v>
      </c>
      <c r="CZ123" s="308" t="s">
        <v>176</v>
      </c>
      <c r="DA123" s="308" t="s">
        <v>176</v>
      </c>
      <c r="DB123" s="308" t="s">
        <v>176</v>
      </c>
      <c r="DC123" s="308" t="s">
        <v>176</v>
      </c>
      <c r="DD123" s="308" t="s">
        <v>176</v>
      </c>
      <c r="DE123" s="308" t="s">
        <v>176</v>
      </c>
      <c r="DF123" s="308"/>
      <c r="DG123" s="308" t="s">
        <v>176</v>
      </c>
      <c r="DH123" s="308" t="s">
        <v>176</v>
      </c>
      <c r="DI123" s="308" t="s">
        <v>176</v>
      </c>
      <c r="DJ123" s="308" t="s">
        <v>176</v>
      </c>
      <c r="DK123" s="308" t="s">
        <v>176</v>
      </c>
      <c r="DL123" s="308" t="s">
        <v>176</v>
      </c>
      <c r="DM123" s="308" t="s">
        <v>176</v>
      </c>
      <c r="DN123" s="308" t="s">
        <v>176</v>
      </c>
      <c r="DO123" s="308" t="s">
        <v>176</v>
      </c>
      <c r="DP123" s="308" t="s">
        <v>176</v>
      </c>
      <c r="DQ123" s="308" t="s">
        <v>176</v>
      </c>
      <c r="DR123" s="308" t="s">
        <v>176</v>
      </c>
      <c r="DS123" s="308" t="s">
        <v>176</v>
      </c>
      <c r="DT123" s="308" t="s">
        <v>176</v>
      </c>
      <c r="DU123" s="308"/>
      <c r="DV123" s="308" t="s">
        <v>176</v>
      </c>
      <c r="DW123" s="308" t="s">
        <v>176</v>
      </c>
      <c r="DX123" s="308" t="s">
        <v>176</v>
      </c>
      <c r="DY123" s="308" t="s">
        <v>176</v>
      </c>
      <c r="DZ123" s="308" t="s">
        <v>176</v>
      </c>
      <c r="EA123" s="308" t="s">
        <v>176</v>
      </c>
      <c r="EB123" s="308" t="s">
        <v>176</v>
      </c>
      <c r="EC123" s="308" t="s">
        <v>176</v>
      </c>
      <c r="ED123" s="308" t="s">
        <v>176</v>
      </c>
      <c r="EE123" s="308" t="s">
        <v>176</v>
      </c>
      <c r="EF123" s="308"/>
      <c r="EG123" s="308" t="s">
        <v>176</v>
      </c>
      <c r="EH123" s="308" t="s">
        <v>176</v>
      </c>
      <c r="EI123" s="308" t="s">
        <v>176</v>
      </c>
      <c r="EJ123" s="308" t="s">
        <v>176</v>
      </c>
      <c r="EK123" s="308" t="s">
        <v>176</v>
      </c>
      <c r="EL123" s="308" t="s">
        <v>176</v>
      </c>
      <c r="EM123" s="308" t="s">
        <v>176</v>
      </c>
      <c r="EN123" s="308" t="s">
        <v>176</v>
      </c>
      <c r="EO123" s="308"/>
      <c r="EP123" s="308"/>
      <c r="EQ123" s="308" t="s">
        <v>176</v>
      </c>
      <c r="ER123" s="308" t="s">
        <v>176</v>
      </c>
      <c r="ES123" s="308" t="s">
        <v>176</v>
      </c>
      <c r="ET123" s="308" t="s">
        <v>176</v>
      </c>
      <c r="EU123" s="308" t="s">
        <v>176</v>
      </c>
      <c r="EV123" s="308" t="s">
        <v>176</v>
      </c>
      <c r="EW123" s="308" t="s">
        <v>176</v>
      </c>
      <c r="EX123" s="308" t="s">
        <v>176</v>
      </c>
      <c r="EY123" s="308"/>
      <c r="EZ123" s="308"/>
      <c r="FA123" s="308"/>
      <c r="FB123" s="308"/>
      <c r="FC123" s="308" t="s">
        <v>176</v>
      </c>
      <c r="FD123" s="308"/>
      <c r="FE123" s="308"/>
      <c r="FF123" s="308"/>
      <c r="FG123" s="308"/>
      <c r="FH123" s="308"/>
      <c r="FI123" s="308"/>
      <c r="FJ123" s="308"/>
      <c r="FK123" s="308"/>
      <c r="FL123" s="308"/>
      <c r="FM123" s="308"/>
      <c r="FN123" s="308"/>
      <c r="FO123" s="308"/>
      <c r="FP123" s="308"/>
      <c r="FQ123" s="308" t="s">
        <v>176</v>
      </c>
      <c r="FR123" s="308"/>
      <c r="FS123" s="308" t="s">
        <v>176</v>
      </c>
      <c r="FT123" s="308" t="s">
        <v>176</v>
      </c>
      <c r="FU123" s="308" t="s">
        <v>176</v>
      </c>
      <c r="FV123" s="308" t="s">
        <v>176</v>
      </c>
      <c r="FW123" s="308" t="s">
        <v>176</v>
      </c>
      <c r="FX123" s="308" t="s">
        <v>176</v>
      </c>
      <c r="FY123" s="308" t="s">
        <v>176</v>
      </c>
      <c r="FZ123" s="308" t="s">
        <v>176</v>
      </c>
      <c r="GA123" s="322" t="s">
        <v>387</v>
      </c>
      <c r="GB123" s="308" t="s">
        <v>176</v>
      </c>
      <c r="GC123" s="308" t="s">
        <v>176</v>
      </c>
      <c r="GD123" s="308" t="s">
        <v>176</v>
      </c>
      <c r="GE123" s="308" t="s">
        <v>176</v>
      </c>
      <c r="GF123" s="308" t="s">
        <v>176</v>
      </c>
      <c r="GG123" s="308" t="s">
        <v>176</v>
      </c>
      <c r="GH123" s="308" t="s">
        <v>176</v>
      </c>
      <c r="GI123" s="308" t="s">
        <v>176</v>
      </c>
      <c r="GJ123" s="308" t="s">
        <v>176</v>
      </c>
      <c r="GK123" s="308" t="s">
        <v>176</v>
      </c>
      <c r="GL123" s="311">
        <f>SUM(G123:FP123)</f>
        <v>0</v>
      </c>
      <c r="GM123" s="132"/>
    </row>
    <row r="124" spans="1:195" s="133" customFormat="1" ht="28.35" customHeight="1" thickBot="1" x14ac:dyDescent="0.3">
      <c r="A124" s="138" t="s">
        <v>161</v>
      </c>
      <c r="B124" s="138" t="s">
        <v>215</v>
      </c>
      <c r="C124" s="138" t="s">
        <v>657</v>
      </c>
      <c r="D124" s="138">
        <f>D123</f>
        <v>0</v>
      </c>
      <c r="E124" s="564"/>
      <c r="F124" s="312" t="s">
        <v>166</v>
      </c>
      <c r="G124" s="313">
        <f>IF(INDEX(tab_MinKomp[Przepisy BHP / BHP Vorschriften],MATCH($B123,tab_MinKomp[[Stanowisko / Position ]:[Stanowisko / Position ]],0))="n/a","n/a",G123-INDEX(tab_MinKomp[Przepisy BHP / BHP Vorschriften],MATCH($B123,tab_MinKomp[[Stanowisko / Position ]:[Stanowisko / Position ]],0)))</f>
        <v>-2</v>
      </c>
      <c r="H124" s="314">
        <f>IF(INDEX(tab_MinKomp[Przepisy PPOŻ / Brandschutzbestimmungen],MATCH($B123,tab_MinKomp[[Stanowisko / Position ]:[Stanowisko / Position ]],0))="n/a","n/a",H123-INDEX(tab_MinKomp[Przepisy PPOŻ / Brandschutzbestimmungen],MATCH($B123,tab_MinKomp[[Stanowisko / Position ]:[Stanowisko / Position ]],0)))</f>
        <v>-2</v>
      </c>
      <c r="I124" s="314">
        <f>IF(INDEX(tab_MinKomp[Ryzyko zawodowe na stanowiskach pracyv/ Berufliche Risiken an Arbeitsstellen],MATCH($B123,tab_MinKomp[[Stanowisko / Position ]:[Stanowisko / Position ]],0))="n/a","n/a",I123-INDEX(tab_MinKomp[Ryzyko zawodowe na stanowiskach pracyv/ Berufliche Risiken an Arbeitsstellen],MATCH($B123,tab_MinKomp[[Stanowisko / Position ]:[Stanowisko / Position ]],0)))</f>
        <v>-2</v>
      </c>
      <c r="J124" s="314">
        <f>IF(INDEX(tab_MinKomp[Gospodarka substancjami niebezpiecznymi / Gefahrstoffmanagement],MATCH($B123,tab_MinKomp[[Stanowisko / Position ]:[Stanowisko / Position ]],0))="n/a","n/a",J123-INDEX(tab_MinKomp[Gospodarka substancjami niebezpiecznymi / Gefahrstoffmanagement],MATCH($B123,tab_MinKomp[[Stanowisko / Position ]:[Stanowisko / Position ]],0)))</f>
        <v>-2</v>
      </c>
      <c r="K124" s="314">
        <f>IF(INDEX(tab_MinKomp[Gospodarka odpadami / Abfallwirtschaft],MATCH($B123,tab_MinKomp[[Stanowisko / Position ]:[Stanowisko / Position ]],0))="n/a","n/a",K123-INDEX(tab_MinKomp[Gospodarka odpadami / Abfallwirtschaft],MATCH($B123,tab_MinKomp[[Stanowisko / Position ]:[Stanowisko / Position ]],0)))</f>
        <v>-2</v>
      </c>
      <c r="L124" s="315">
        <f>IF(INDEX(tab_MinKomp[Przepisy kodeksu pracy / Bestimmungen des Arbeitsgesetzes],MATCH($B123,tab_MinKomp[[Stanowisko / Position ]:[Stanowisko / Position ]],0))="n/a","n/a",L123-INDEX(tab_MinKomp[Przepisy kodeksu pracy / Bestimmungen des Arbeitsgesetzes],MATCH($B123,tab_MinKomp[[Stanowisko / Position ]:[Stanowisko / Position ]],0)))</f>
        <v>-1</v>
      </c>
      <c r="M124" s="316" t="str">
        <f>IF(INDEX(tab_MinKomp[Przepisy o ub.społ. ZUS  / Sozialversicherungsvorschriften],MATCH($B123,tab_MinKomp[[Stanowisko / Position ]:[Stanowisko / Position ]],0))="n/a","n/a",M123-INDEX(tab_MinKomp[Przepisy o ub.społ. ZUS  / Sozialversicherungsvorschriften],MATCH($B123,tab_MinKomp[[Stanowisko / Position ]:[Stanowisko / Position ]],0)))</f>
        <v>n/a</v>
      </c>
      <c r="N124" s="315" t="str">
        <f>IF(INDEX(tab_MinKomp[PRZEPISY O PDOF /persönlich Einkommensteuergesetz ],MATCH($B123,tab_MinKomp[[Stanowisko / Position ]:[Stanowisko / Position ]],0))="n/a","n/a",N123-INDEX(tab_MinKomp[PRZEPISY O PDOF /persönlich Einkommensteuergesetz ],MATCH($B123,tab_MinKomp[[Stanowisko / Position ]:[Stanowisko / Position ]],0)))</f>
        <v>n/a</v>
      </c>
      <c r="O124" s="315">
        <f>IF(INDEX(tab_MinKomp[Regulamin pracy / Arbeitsordnung],MATCH($B123,tab_MinKomp[[Stanowisko / Position ]:[Stanowisko / Position ]],0))="n/a","n/a",O123-INDEX(tab_MinKomp[Regulamin pracy / Arbeitsordnung],MATCH($B123,tab_MinKomp[[Stanowisko / Position ]:[Stanowisko / Position ]],0)))</f>
        <v>-1</v>
      </c>
      <c r="P124" s="315">
        <f>IF(INDEX(tab_MinKomp[Regulamin wynagradzania / Vergütungsordnung],MATCH($B123,tab_MinKomp[[Stanowisko / Position ]:[Stanowisko / Position ]],0))="n/a","n/a",P123-INDEX(tab_MinKomp[Regulamin wynagradzania / Vergütungsordnung],MATCH($B123,tab_MinKomp[[Stanowisko / Position ]:[Stanowisko / Position ]],0)))</f>
        <v>-1</v>
      </c>
      <c r="Q124" s="315" t="str">
        <f>IF(INDEX(tab_MinKomp[System R2PŁATNIK PRO: Płace / Lohnabrechnung],MATCH($B123,tab_MinKomp[[Stanowisko / Position ]:[Stanowisko / Position ]],0))="n/a","n/a",Q123-INDEX(tab_MinKomp[System R2PŁATNIK PRO: Płace / Lohnabrechnung],MATCH($B123,tab_MinKomp[[Stanowisko / Position ]:[Stanowisko / Position ]],0)))</f>
        <v>n/a</v>
      </c>
      <c r="R124" s="315" t="str">
        <f>IF(INDEX(tab_MinKomp[SystemR2PŁATNIK PRO: KADRY / Personaldaten],MATCH($B123,tab_MinKomp[[Stanowisko / Position ]:[Stanowisko / Position ]],0))="n/a","n/a",R123-INDEX(tab_MinKomp[SystemR2PŁATNIK PRO: KADRY / Personaldaten],MATCH($B123,tab_MinKomp[[Stanowisko / Position ]:[Stanowisko / Position ]],0)))</f>
        <v>n/a</v>
      </c>
      <c r="S124" s="315" t="str">
        <f>IF(INDEX(tab_MinKomp[SYSTEM R2PŁATNIK PRO: zarządzanie pracownikami / Arbeitsverwaltung],MATCH($B123,tab_MinKomp[[Stanowisko / Position ]:[Stanowisko / Position ]],0))="n/a","n/a",S123-INDEX(tab_MinKomp[SYSTEM R2PŁATNIK PRO: zarządzanie pracownikami / Arbeitsverwaltung],MATCH($B123,tab_MinKomp[[Stanowisko / Position ]:[Stanowisko / Position ]],0)))</f>
        <v>n/a</v>
      </c>
      <c r="T124" s="315" t="str">
        <f>IF(INDEX(tab_MinKomp[Doradztwo, wsparcie personalne / Personalberatung und Unterstützung],MATCH($B123,tab_MinKomp[[Stanowisko / Position ]:[Stanowisko / Position ]],0))="n/a","n/a",T123-INDEX(tab_MinKomp[Doradztwo, wsparcie personalne / Personalberatung und Unterstützung],MATCH($B123,tab_MinKomp[[Stanowisko / Position ]:[Stanowisko / Position ]],0)))</f>
        <v>n/a</v>
      </c>
      <c r="U124" s="315" t="str">
        <f>IF(INDEX(tab_MinKomp[Przepisy o podatku VAT / MwSt.- Gesetz],MATCH($B123,tab_MinKomp[[Stanowisko / Position ]:[Stanowisko / Position ]],0))="n/a","n/a",U123-INDEX(tab_MinKomp[Przepisy o podatku VAT / MwSt.- Gesetz],MATCH($B123,tab_MinKomp[[Stanowisko / Position ]:[Stanowisko / Position ]],0)))</f>
        <v>n/a</v>
      </c>
      <c r="V124" s="315" t="str">
        <f>IF(INDEX(tab_MinKomp[PrzepisyPDOP / geschäftlich Einkommensteuergesetz],MATCH($B123,tab_MinKomp[[Stanowisko / Position ]:[Stanowisko / Position ]],0))="n/a","n/a",V123-INDEX(tab_MinKomp[PrzepisyPDOP / geschäftlich Einkommensteuergesetz],MATCH($B123,tab_MinKomp[[Stanowisko / Position ]:[Stanowisko / Position ]],0)))</f>
        <v>n/a</v>
      </c>
      <c r="W124" s="315" t="str">
        <f>IF(INDEX(tab_MinKomp[System BAAN / FINANSE (FIBU)],MATCH($B123,tab_MinKomp[[Stanowisko / Position ]:[Stanowisko / Position ]],0))="n/a","n/a",W123-INDEX(tab_MinKomp[System BAAN / FINANSE (FIBU)],MATCH($B123,tab_MinKomp[[Stanowisko / Position ]:[Stanowisko / Position ]],0)))</f>
        <v>n/a</v>
      </c>
      <c r="X124" s="315" t="str">
        <f>IF(INDEX(tab_MinKomp[Systemy pomocnicze / Hilfssysteme(STOCKPROGRAM, KALK2000 etc.)],MATCH($B123,tab_MinKomp[[Stanowisko / Position ]:[Stanowisko / Position ]],0))="n/a","n/a",X123-INDEX(tab_MinKomp[Systemy pomocnicze / Hilfssysteme(STOCKPROGRAM, KALK2000 etc.)],MATCH($B123,tab_MinKomp[[Stanowisko / Position ]:[Stanowisko / Position ]],0)))</f>
        <v>n/a</v>
      </c>
      <c r="Y124" s="315" t="str">
        <f>IF(INDEX(tab_MinKomp[Polityka rachunkowości / Buchführungspolitik],MATCH($B123,tab_MinKomp[[Stanowisko / Position ]:[Stanowisko / Position ]],0))="n/a","n/a",Y123-INDEX(tab_MinKomp[Polityka rachunkowości / Buchführungspolitik],MATCH($B123,tab_MinKomp[[Stanowisko / Position ]:[Stanowisko / Position ]],0)))</f>
        <v>n/a</v>
      </c>
      <c r="Z124" s="315" t="str">
        <f>IF(INDEX(tab_MinKomp[Ustawa o rachunkowości / Rechnungslegungsgesetz],MATCH($B123,tab_MinKomp[[Stanowisko / Position ]:[Stanowisko / Position ]],0))="n/a","n/a",Z123-INDEX(tab_MinKomp[Ustawa o rachunkowości / Rechnungslegungsgesetz],MATCH($B123,tab_MinKomp[[Stanowisko / Position ]:[Stanowisko / Position ]],0)))</f>
        <v>n/a</v>
      </c>
      <c r="AA124" s="315" t="str">
        <f>IF(INDEX(tab_MinKomp[WORKFLOW - TS-100],MATCH($B123,tab_MinKomp[[Stanowisko / Position ]:[Stanowisko / Position ]],0))="n/a","n/a",AA123-INDEX(tab_MinKomp[WORKFLOW - TS-100],MATCH($B123,tab_MinKomp[[Stanowisko / Position ]:[Stanowisko / Position ]],0)))</f>
        <v>n/a</v>
      </c>
      <c r="AB124" s="315">
        <f>IF(INDEX(tab_MinKomp[WORKFLOW - SFMS],MATCH($B123,tab_MinKomp[[Stanowisko / Position ]:[Stanowisko / Position ]],0))="n/a","n/a",AB123-INDEX(tab_MinKomp[WORKFLOW - SFMS],MATCH($B123,tab_MinKomp[[Stanowisko / Position ]:[Stanowisko / Position ]],0)))</f>
        <v>-2</v>
      </c>
      <c r="AC124" s="315">
        <f>IF(INDEX(tab_MinKomp[System ISO 9001:2015],MATCH($B123,tab_MinKomp[[Stanowisko / Position ]:[Stanowisko / Position ]],0))="n/a","n/a",AC123-INDEX(tab_MinKomp[System ISO 9001:2015],MATCH($B123,tab_MinKomp[[Stanowisko / Position ]:[Stanowisko / Position ]],0)))</f>
        <v>-2</v>
      </c>
      <c r="AD124" s="315">
        <f>IF(INDEX(tab_MinKomp[System IATF 16949:2016],MATCH($B123,tab_MinKomp[[Stanowisko / Position ]:[Stanowisko / Position ]],0))="n/a","n/a",AD123-INDEX(tab_MinKomp[System IATF 16949:2016],MATCH($B123,tab_MinKomp[[Stanowisko / Position ]:[Stanowisko / Position ]],0)))</f>
        <v>-2</v>
      </c>
      <c r="AE124" s="315" t="str">
        <f>IF(INDEX(tab_MinKomp[System ISO 14001:2015],MATCH($B123,tab_MinKomp[[Stanowisko / Position ]:[Stanowisko / Position ]],0))="n/a","n/a",AE123-INDEX(tab_MinKomp[System ISO 14001:2015],MATCH($B123,tab_MinKomp[[Stanowisko / Position ]:[Stanowisko / Position ]],0)))</f>
        <v>n/a</v>
      </c>
      <c r="AF124" s="315" t="str">
        <f>IF(INDEX(tab_MinKomp[System PN-N 18001:2004 / ISO 45001:2018],MATCH($B123,tab_MinKomp[[Stanowisko / Position ]:[Stanowisko / Position ]],0))="n/a","n/a",AF123-INDEX(tab_MinKomp[System PN-N 18001:2004 / ISO 45001:2018],MATCH($B123,tab_MinKomp[[Stanowisko / Position ]:[Stanowisko / Position ]],0)))</f>
        <v>n/a</v>
      </c>
      <c r="AG124" s="315">
        <f>IF(INDEX(tab_MinKomp[Wymagania VDA 6.3 Process / Forderungen],MATCH($B123,tab_MinKomp[[Stanowisko / Position ]:[Stanowisko / Position ]],0))="n/a","n/a",AG123-INDEX(tab_MinKomp[Wymagania VDA 6.3 Process / Forderungen],MATCH($B123,tab_MinKomp[[Stanowisko / Position ]:[Stanowisko / Position ]],0)))</f>
        <v>-2</v>
      </c>
      <c r="AH124" s="315">
        <f>IF(INDEX(tab_MinKomp[Wymagania VDA 6.5 Product / Forderungen],MATCH($B123,tab_MinKomp[[Stanowisko / Position ]:[Stanowisko / Position ]],0))="n/a","n/a",AH123-INDEX(tab_MinKomp[Wymagania VDA 6.5 Product / Forderungen],MATCH($B123,tab_MinKomp[[Stanowisko / Position ]:[Stanowisko / Position ]],0)))</f>
        <v>-2</v>
      </c>
      <c r="AI124" s="315" t="str">
        <f>IF(INDEX(tab_MinKomp[PSCR (VW Product Safety &amp; Conformity Representative)],MATCH($B123,tab_MinKomp[[Stanowisko / Position ]:[Stanowisko / Position ]],0))="n/a","n/a",AI123-INDEX(tab_MinKomp[PSCR (VW Product Safety &amp; Conformity Representative)],MATCH($B123,tab_MinKomp[[Stanowisko / Position ]:[Stanowisko / Position ]],0)))</f>
        <v>n/a</v>
      </c>
      <c r="AJ124" s="315" t="str">
        <f>IF(INDEX(tab_MinKomp[Auditor systemu ISO 17025:2018],MATCH($B123,tab_MinKomp[[Stanowisko / Position ]:[Stanowisko / Position ]],0))="n/a","n/a",AJ123-INDEX(tab_MinKomp[Auditor systemu ISO 17025:2018],MATCH($B123,tab_MinKomp[[Stanowisko / Position ]:[Stanowisko / Position ]],0)))</f>
        <v>n/a</v>
      </c>
      <c r="AK124" s="315" t="str">
        <f>IF(INDEX(tab_MinKomp[Pełnomocnik systemu / Systemvertreter],MATCH($B123,tab_MinKomp[[Stanowisko / Position ]:[Stanowisko / Position ]],0))="n/a","n/a",AK123-INDEX(tab_MinKomp[Pełnomocnik systemu / Systemvertreter],MATCH($B123,tab_MinKomp[[Stanowisko / Position ]:[Stanowisko / Position ]],0)))</f>
        <v>n/a</v>
      </c>
      <c r="AL124" s="315">
        <f>IF(INDEX(tab_MinKomp[Polityka Etyczna - Compliance],MATCH($B123,tab_MinKomp[[Stanowisko / Position ]:[Stanowisko / Position ]],0))="n/a","n/a",AL123-INDEX(tab_MinKomp[Polityka Etyczna - Compliance],MATCH($B123,tab_MinKomp[[Stanowisko / Position ]:[Stanowisko / Position ]],0)))</f>
        <v>-2</v>
      </c>
      <c r="AM124" s="315">
        <f>IF(INDEX(tab_MinKomp[WDRAŻANIE NOWYCH PROJEKTÓW/ PROCEDURA CTM],MATCH($B123,tab_MinKomp[[Stanowisko / Position ]:[Stanowisko / Position ]],0))="n/a","n/a",AM123-INDEX(tab_MinKomp[WDRAŻANIE NOWYCH PROJEKTÓW/ PROCEDURA CTM],MATCH($B123,tab_MinKomp[[Stanowisko / Position ]:[Stanowisko / Position ]],0)))</f>
        <v>-2</v>
      </c>
      <c r="AN124" s="315">
        <f>IF(INDEX(tab_MinKomp[KAMIENIE MILOWE MSL/PIFF],MATCH($B123,tab_MinKomp[[Stanowisko / Position ]:[Stanowisko / Position ]],0))="n/a","n/a",AN123-INDEX(tab_MinKomp[KAMIENIE MILOWE MSL/PIFF],MATCH($B123,tab_MinKomp[[Stanowisko / Position ]:[Stanowisko / Position ]],0)))</f>
        <v>-2</v>
      </c>
      <c r="AO124" s="315">
        <f>IF(INDEX(tab_MinKomp[CP],MATCH($B123,tab_MinKomp[[Stanowisko / Position ]:[Stanowisko / Position ]],0))="n/a","n/a",AO123-INDEX(tab_MinKomp[CP],MATCH($B123,tab_MinKomp[[Stanowisko / Position ]:[Stanowisko / Position ]],0)))</f>
        <v>-2</v>
      </c>
      <c r="AP124" s="315">
        <f>IF(INDEX(tab_MinKomp[FMEA],MATCH($B123,tab_MinKomp[[Stanowisko / Position ]:[Stanowisko / Position ]],0))="n/a","n/a",AP123-INDEX(tab_MinKomp[FMEA],MATCH($B123,tab_MinKomp[[Stanowisko / Position ]:[Stanowisko / Position ]],0)))</f>
        <v>-2</v>
      </c>
      <c r="AQ124" s="315">
        <f>IF(INDEX(tab_MinKomp[FLOW CHART],MATCH($B123,tab_MinKomp[[Stanowisko / Position ]:[Stanowisko / Position ]],0))="n/a","n/a",AQ123-INDEX(tab_MinKomp[FLOW CHART],MATCH($B123,tab_MinKomp[[Stanowisko / Position ]:[Stanowisko / Position ]],0)))</f>
        <v>-2</v>
      </c>
      <c r="AR124" s="315">
        <f>IF(INDEX(tab_MinKomp[APQP],MATCH($B123,tab_MinKomp[[Stanowisko / Position ]:[Stanowisko / Position ]],0))="n/a","n/a",AR123-INDEX(tab_MinKomp[APQP],MATCH($B123,tab_MinKomp[[Stanowisko / Position ]:[Stanowisko / Position ]],0)))</f>
        <v>-2</v>
      </c>
      <c r="AS124" s="315">
        <f>IF(INDEX(tab_MinKomp[MSA],MATCH($B123,tab_MinKomp[[Stanowisko / Position ]:[Stanowisko / Position ]],0))="n/a","n/a",AS123-INDEX(tab_MinKomp[MSA],MATCH($B123,tab_MinKomp[[Stanowisko / Position ]:[Stanowisko / Position ]],0)))</f>
        <v>-2</v>
      </c>
      <c r="AT124" s="315">
        <f>IF(INDEX(tab_MinKomp[SPC],MATCH($B123,tab_MinKomp[[Stanowisko / Position ]:[Stanowisko / Position ]],0))="n/a","n/a",AT123-INDEX(tab_MinKomp[SPC],MATCH($B123,tab_MinKomp[[Stanowisko / Position ]:[Stanowisko / Position ]],0)))</f>
        <v>-2</v>
      </c>
      <c r="AU124" s="315">
        <f>IF(INDEX(tab_MinKomp[CSR (SPECYFICZNE WYMAGANIA KLIENTA)],MATCH($B123,tab_MinKomp[[Stanowisko / Position ]:[Stanowisko / Position ]],0))="n/a","n/a",AU123-INDEX(tab_MinKomp[CSR (SPECYFICZNE WYMAGANIA KLIENTA)],MATCH($B123,tab_MinKomp[[Stanowisko / Position ]:[Stanowisko / Position ]],0)))</f>
        <v>-2</v>
      </c>
      <c r="AV124" s="315">
        <f>IF(INDEX(tab_MinKomp[5S],MATCH($B123,tab_MinKomp[[Stanowisko / Position ]:[Stanowisko / Position ]],0))="n/a","n/a",AV123-INDEX(tab_MinKomp[5S],MATCH($B123,tab_MinKomp[[Stanowisko / Position ]:[Stanowisko / Position ]],0)))</f>
        <v>-2</v>
      </c>
      <c r="AW124" s="315">
        <f>IF(INDEX(tab_MinKomp[LEAN MANAGEMENT],MATCH($B123,tab_MinKomp[[Stanowisko / Position ]:[Stanowisko / Position ]],0))="n/a","n/a",AW123-INDEX(tab_MinKomp[LEAN MANAGEMENT],MATCH($B123,tab_MinKomp[[Stanowisko / Position ]:[Stanowisko / Position ]],0)))</f>
        <v>-2</v>
      </c>
      <c r="AX124" s="315">
        <f>IF(INDEX(tab_MinKomp[5R],MATCH($B123,tab_MinKomp[[Stanowisko / Position ]:[Stanowisko / Position ]],0))="n/a","n/a",AX123-INDEX(tab_MinKomp[5R],MATCH($B123,tab_MinKomp[[Stanowisko / Position ]:[Stanowisko / Position ]],0)))</f>
        <v>-2</v>
      </c>
      <c r="AY124" s="315">
        <f>IF(INDEX(tab_MinKomp[Six Sigma],MATCH($B123,tab_MinKomp[[Stanowisko / Position ]:[Stanowisko / Position ]],0))="n/a","n/a",AY123-INDEX(tab_MinKomp[Six Sigma],MATCH($B123,tab_MinKomp[[Stanowisko / Position ]:[Stanowisko / Position ]],0)))</f>
        <v>-1</v>
      </c>
      <c r="AZ124" s="315">
        <f>IF(INDEX(tab_MinKomp[System BAAN / Distribution &amp; Supply Chain],MATCH($B123,tab_MinKomp[[Stanowisko / Position ]:[Stanowisko / Position ]],0))="n/a","n/a",AZ123-INDEX(tab_MinKomp[System BAAN / Distribution &amp; Supply Chain],MATCH($B123,tab_MinKomp[[Stanowisko / Position ]:[Stanowisko / Position ]],0)))</f>
        <v>-1</v>
      </c>
      <c r="BA124" s="315" t="str">
        <f>IF(INDEX(tab_MinKomp[Gospodarka magazynowa / Lagerverwaltung],MATCH($B123,tab_MinKomp[[Stanowisko / Position ]:[Stanowisko / Position ]],0))="n/a","n/a",BA123-INDEX(tab_MinKomp[Gospodarka magazynowa / Lagerverwaltung],MATCH($B123,tab_MinKomp[[Stanowisko / Position ]:[Stanowisko / Position ]],0)))</f>
        <v>n/a</v>
      </c>
      <c r="BB124" s="315">
        <f>IF(INDEX(tab_MinKomp[Inwentaryzacja - organizacja i przebieg / Inventurprozess],MATCH($B123,tab_MinKomp[[Stanowisko / Position ]:[Stanowisko / Position ]],0))="n/a","n/a",BB123-INDEX(tab_MinKomp[Inwentaryzacja - organizacja i przebieg / Inventurprozess],MATCH($B123,tab_MinKomp[[Stanowisko / Position ]:[Stanowisko / Position ]],0)))</f>
        <v>-2</v>
      </c>
      <c r="BC124" s="315">
        <f>IF(INDEX(tab_MinKomp[Organizacja dostaw / Versorgungsorganisation],MATCH($B123,tab_MinKomp[[Stanowisko / Position ]:[Stanowisko / Position ]],0))="n/a","n/a",BC123-INDEX(tab_MinKomp[Organizacja dostaw / Versorgungsorganisation],MATCH($B123,tab_MinKomp[[Stanowisko / Position ]:[Stanowisko / Position ]],0)))</f>
        <v>-1</v>
      </c>
      <c r="BD124" s="315">
        <f>IF(INDEX(tab_MinKomp[Organizacja wysyłek / Organisation von Lieferungen],MATCH($B123,tab_MinKomp[[Stanowisko / Position ]:[Stanowisko / Position ]],0))="n/a","n/a",BD123-INDEX(tab_MinKomp[Organizacja wysyłek / Organisation von Lieferungen],MATCH($B123,tab_MinKomp[[Stanowisko / Position ]:[Stanowisko / Position ]],0)))</f>
        <v>-1</v>
      </c>
      <c r="BE124" s="315" t="str">
        <f>IF(INDEX(tab_MinKomp[Analiza magazynowa - Program Polen.mdb / Inventuranalyse],MATCH($B123,tab_MinKomp[[Stanowisko / Position ]:[Stanowisko / Position ]],0))="n/a","n/a",BE123-INDEX(tab_MinKomp[Analiza magazynowa - Program Polen.mdb / Inventuranalyse],MATCH($B123,tab_MinKomp[[Stanowisko / Position ]:[Stanowisko / Position ]],0)))</f>
        <v>n/a</v>
      </c>
      <c r="BF124" s="315" t="str">
        <f>IF(INDEX(tab_MinKomp[MMOG (Materials Management Operations Guidelines)],MATCH($B123,tab_MinKomp[[Stanowisko / Position ]:[Stanowisko / Position ]],0))="n/a","n/a",BF123-INDEX(tab_MinKomp[MMOG (Materials Management Operations Guidelines)],MATCH($B123,tab_MinKomp[[Stanowisko / Position ]:[Stanowisko / Position ]],0)))</f>
        <v>n/a</v>
      </c>
      <c r="BG124" s="315" t="str">
        <f>IF(INDEX(tab_MinKomp[GPP],MATCH($B123,tab_MinKomp[[Stanowisko / Position ]:[Stanowisko / Position ]],0))="n/a","n/a",BG123-INDEX(tab_MinKomp[GPP],MATCH($B123,tab_MinKomp[[Stanowisko / Position ]:[Stanowisko / Position ]],0)))</f>
        <v>n/a</v>
      </c>
      <c r="BH124" s="315" t="str">
        <f>IF(INDEX(tab_MinKomp[AIAG (Automotive Industry Action Group)],MATCH($B123,tab_MinKomp[[Stanowisko / Position ]:[Stanowisko / Position ]],0))="n/a","n/a",BH123-INDEX(tab_MinKomp[AIAG (Automotive Industry Action Group)],MATCH($B123,tab_MinKomp[[Stanowisko / Position ]:[Stanowisko / Position ]],0)))</f>
        <v>n/a</v>
      </c>
      <c r="BI124" s="315" t="str">
        <f>IF(INDEX(tab_MinKomp[Super-G disputes],MATCH($B123,tab_MinKomp[[Stanowisko / Position ]:[Stanowisko / Position ]],0))="n/a","n/a",BI123-INDEX(tab_MinKomp[Super-G disputes],MATCH($B123,tab_MinKomp[[Stanowisko / Position ]:[Stanowisko / Position ]],0)))</f>
        <v>n/a</v>
      </c>
      <c r="BJ124" s="315" t="str">
        <f>IF(INDEX(tab_MinKomp[CMMS3/eDDL (Direct Data Link)],MATCH($B123,tab_MinKomp[[Stanowisko / Position ]:[Stanowisko / Position ]],0))="n/a","n/a",BJ123-INDEX(tab_MinKomp[CMMS3/eDDL (Direct Data Link)],MATCH($B123,tab_MinKomp[[Stanowisko / Position ]:[Stanowisko / Position ]],0)))</f>
        <v>n/a</v>
      </c>
      <c r="BK124" s="315" t="str">
        <f>IF(INDEX(tab_MinKomp[MP&amp;L (Material Planning and Logistics)],MATCH($B123,tab_MinKomp[[Stanowisko / Position ]:[Stanowisko / Position ]],0))="n/a","n/a",BK123-INDEX(tab_MinKomp[MP&amp;L (Material Planning and Logistics)],MATCH($B123,tab_MinKomp[[Stanowisko / Position ]:[Stanowisko / Position ]],0)))</f>
        <v>n/a</v>
      </c>
      <c r="BL124" s="315" t="str">
        <f>IF(INDEX(tab_MinKomp[Supplier delivery rating],MATCH($B123,tab_MinKomp[[Stanowisko / Position ]:[Stanowisko / Position ]],0))="n/a","n/a",BL123-INDEX(tab_MinKomp[Supplier delivery rating],MATCH($B123,tab_MinKomp[[Stanowisko / Position ]:[Stanowisko / Position ]],0)))</f>
        <v>n/a</v>
      </c>
      <c r="BM124" s="315">
        <f>IF(INDEX(tab_MinKomp[Planowanie produkcji / Produktionsplanung],MATCH($B123,tab_MinKomp[[Stanowisko / Position ]:[Stanowisko / Position ]],0))="n/a","n/a",BM123-INDEX(tab_MinKomp[Planowanie produkcji / Produktionsplanung],MATCH($B123,tab_MinKomp[[Stanowisko / Position ]:[Stanowisko / Position ]],0)))</f>
        <v>-1</v>
      </c>
      <c r="BN124" s="315" t="str">
        <f>IF(INDEX(tab_MinKomp[Obsługa maszyn Engel / Engel Maschinenbedienung],MATCH($B123,tab_MinKomp[[Stanowisko / Position ]:[Stanowisko / Position ]],0))="n/a","n/a",BN123-INDEX(tab_MinKomp[Obsługa maszyn Engel / Engel Maschinenbedienung],MATCH($B123,tab_MinKomp[[Stanowisko / Position ]:[Stanowisko / Position ]],0)))</f>
        <v>n/a</v>
      </c>
      <c r="BO124" s="315">
        <f>IF(INDEX(tab_MinKomp[Obsługa maszyn Novapax / Novapax Maschinenbedienung],MATCH($B123,tab_MinKomp[[Stanowisko / Position ]:[Stanowisko / Position ]],0))="n/a","n/a",BO123-INDEX(tab_MinKomp[Obsługa maszyn Novapax / Novapax Maschinenbedienung],MATCH($B123,tab_MinKomp[[Stanowisko / Position ]:[Stanowisko / Position ]],0)))</f>
        <v>-1</v>
      </c>
      <c r="BP124" s="315">
        <f>IF(INDEX(tab_MinKomp[Obsługa maszyn KVT / KVT Maschinenbedienung],MATCH($B123,tab_MinKomp[[Stanowisko / Position ]:[Stanowisko / Position ]],0))="n/a","n/a",BP123-INDEX(tab_MinKomp[Obsługa maszyn KVT / KVT Maschinenbedienung],MATCH($B123,tab_MinKomp[[Stanowisko / Position ]:[Stanowisko / Position ]],0)))</f>
        <v>-1</v>
      </c>
      <c r="BQ124" s="315">
        <f>IF(INDEX(tab_MinKomp[Obsługa maszyn ASL / ASL Maschinenbedienung],MATCH($B123,tab_MinKomp[[Stanowisko / Position ]:[Stanowisko / Position ]],0))="n/a","n/a",BQ123-INDEX(tab_MinKomp[Obsługa maszyn ASL / ASL Maschinenbedienung],MATCH($B123,tab_MinKomp[[Stanowisko / Position ]:[Stanowisko / Position ]],0)))</f>
        <v>-1</v>
      </c>
      <c r="BR124" s="315">
        <f>IF(INDEX(tab_MinKomp[Obsługa maszyn Branson / Branson Maschinenbedienung],MATCH($B123,tab_MinKomp[[Stanowisko / Position ]:[Stanowisko / Position ]],0))="n/a","n/a",BR123-INDEX(tab_MinKomp[Obsługa maszyn Branson / Branson Maschinenbedienung],MATCH($B123,tab_MinKomp[[Stanowisko / Position ]:[Stanowisko / Position ]],0)))</f>
        <v>-1</v>
      </c>
      <c r="BS124" s="315">
        <f>IF(INDEX(tab_MinKomp[Obsługa maszyn Kamtec / Kamtec Maschinenbedienung],MATCH($B123,tab_MinKomp[[Stanowisko / Position ]:[Stanowisko / Position ]],0))="n/a","n/a",BS123-INDEX(tab_MinKomp[Obsługa maszyn Kamtec / Kamtec Maschinenbedienung],MATCH($B123,tab_MinKomp[[Stanowisko / Position ]:[Stanowisko / Position ]],0)))</f>
        <v>-1</v>
      </c>
      <c r="BT124" s="315">
        <f>IF(INDEX(tab_MinKomp[Obsługa maszyn Piovan / Piovan Maschinenbedienung],MATCH($B123,tab_MinKomp[[Stanowisko / Position ]:[Stanowisko / Position ]],0))="n/a","n/a",BT123-INDEX(tab_MinKomp[Obsługa maszyn Piovan / Piovan Maschinenbedienung],MATCH($B123,tab_MinKomp[[Stanowisko / Position ]:[Stanowisko / Position ]],0)))</f>
        <v>-1</v>
      </c>
      <c r="BU124" s="315">
        <f>IF(INDEX(tab_MinKomp[Obsługa maszyn REP / REP Maschinenbedienung],MATCH($B123,tab_MinKomp[[Stanowisko / Position ]:[Stanowisko / Position ]],0))="n/a","n/a",BU123-INDEX(tab_MinKomp[Obsługa maszyn REP / REP Maschinenbedienung],MATCH($B123,tab_MinKomp[[Stanowisko / Position ]:[Stanowisko / Position ]],0)))</f>
        <v>-1</v>
      </c>
      <c r="BV124" s="315" t="str">
        <f>IF(INDEX(tab_MinKomp[Eliminacja awarii / Beseitigung von Ausfällen],MATCH($B123,tab_MinKomp[[Stanowisko / Position ]:[Stanowisko / Position ]],0))="n/a","n/a",BV123-INDEX(tab_MinKomp[Eliminacja awarii / Beseitigung von Ausfällen],MATCH($B123,tab_MinKomp[[Stanowisko / Position ]:[Stanowisko / Position ]],0)))</f>
        <v>n/a</v>
      </c>
      <c r="BW124" s="315" t="str">
        <f>IF(INDEX(tab_MinKomp[Informatyka ogólna (techniczne i systemowe) / Allgemeine IT (Technik und System)],MATCH($B123,tab_MinKomp[[Stanowisko / Position ]:[Stanowisko / Position ]],0))="n/a","n/a",BW123-INDEX(tab_MinKomp[Informatyka ogólna (techniczne i systemowe) / Allgemeine IT (Technik und System)],MATCH($B123,tab_MinKomp[[Stanowisko / Position ]:[Stanowisko / Position ]],0)))</f>
        <v>n/a</v>
      </c>
      <c r="BX124" s="315" t="str">
        <f>IF(INDEX(tab_MinKomp[Sieci komputerowe / Computernetzwerke],MATCH($B123,tab_MinKomp[[Stanowisko / Position ]:[Stanowisko / Position ]],0))="n/a","n/a",BX123-INDEX(tab_MinKomp[Sieci komputerowe / Computernetzwerke],MATCH($B123,tab_MinKomp[[Stanowisko / Position ]:[Stanowisko / Position ]],0)))</f>
        <v>n/a</v>
      </c>
      <c r="BY124" s="315" t="str">
        <f>IF(INDEX(tab_MinKomp[Hardware (komputery PC, drukarki biurowe i etykietowe, telefonia stacjonarna i mobilna) (PC, Drucker, Telefpne, Handys)],MATCH($B123,tab_MinKomp[[Stanowisko / Position ]:[Stanowisko / Position ]],0))="n/a","n/a",BY123-INDEX(tab_MinKomp[Hardware (komputery PC, drukarki biurowe i etykietowe, telefonia stacjonarna i mobilna) (PC, Drucker, Telefpne, Handys)],MATCH($B123,tab_MinKomp[[Stanowisko / Position ]:[Stanowisko / Position ]],0)))</f>
        <v>n/a</v>
      </c>
      <c r="BZ124" s="315" t="str">
        <f>IF(INDEX(tab_MinKomp[Software &amp; Systems (MS Office, MS Remote Desktop)],MATCH($B123,tab_MinKomp[[Stanowisko / Position ]:[Stanowisko / Position ]],0))="n/a","n/a",BZ123-INDEX(tab_MinKomp[Software &amp; Systems (MS Office, MS Remote Desktop)],MATCH($B123,tab_MinKomp[[Stanowisko / Position ]:[Stanowisko / Position ]],0)))</f>
        <v>n/a</v>
      </c>
      <c r="CA124" s="315" t="str">
        <f>IF(INDEX(tab_MinKomp[Programowanie obiektowe (PHP) / Objektprogrammierung],MATCH($B123,tab_MinKomp[[Stanowisko / Position ]:[Stanowisko / Position ]],0))="n/a","n/a",CA123-INDEX(tab_MinKomp[Programowanie obiektowe (PHP) / Objektprogrammierung],MATCH($B123,tab_MinKomp[[Stanowisko / Position ]:[Stanowisko / Position ]],0)))</f>
        <v>n/a</v>
      </c>
      <c r="CB124" s="315" t="str">
        <f>IF(INDEX(tab_MinKomp[Scrum],MATCH($B123,tab_MinKomp[[Stanowisko / Position ]:[Stanowisko / Position ]],0))="n/a","n/a",CB123-INDEX(tab_MinKomp[Scrum],MATCH($B123,tab_MinKomp[[Stanowisko / Position ]:[Stanowisko / Position ]],0)))</f>
        <v>n/a</v>
      </c>
      <c r="CC124" s="315" t="str">
        <f>IF(INDEX(tab_MinKomp[SQL (MySQL)],MATCH($B123,tab_MinKomp[[Stanowisko / Position ]:[Stanowisko / Position ]],0))="n/a","n/a",CC123-INDEX(tab_MinKomp[SQL (MySQL)],MATCH($B123,tab_MinKomp[[Stanowisko / Position ]:[Stanowisko / Position ]],0)))</f>
        <v>n/a</v>
      </c>
      <c r="CD124" s="315" t="str">
        <f>IF(INDEX(tab_MinKomp[Javascript],MATCH($B123,tab_MinKomp[[Stanowisko / Position ]:[Stanowisko / Position ]],0))="n/a","n/a",CD123-INDEX(tab_MinKomp[Javascript],MATCH($B123,tab_MinKomp[[Stanowisko / Position ]:[Stanowisko / Position ]],0)))</f>
        <v>n/a</v>
      </c>
      <c r="CE124" s="315" t="str">
        <f>IF(INDEX(tab_MinKomp[Joomla],MATCH($B123,tab_MinKomp[[Stanowisko / Position ]:[Stanowisko / Position ]],0))="n/a","n/a",CE123-INDEX(tab_MinKomp[Joomla],MATCH($B123,tab_MinKomp[[Stanowisko / Position ]:[Stanowisko / Position ]],0)))</f>
        <v>n/a</v>
      </c>
      <c r="CF124" s="315" t="str">
        <f>IF(INDEX(tab_MinKomp[Bash],MATCH($B123,tab_MinKomp[[Stanowisko / Position ]:[Stanowisko / Position ]],0))="n/a","n/a",CF123-INDEX(tab_MinKomp[Bash],MATCH($B123,tab_MinKomp[[Stanowisko / Position ]:[Stanowisko / Position ]],0)))</f>
        <v>n/a</v>
      </c>
      <c r="CG124" s="315">
        <f>IF(INDEX(tab_MinKomp[Systemy MES (HYDRA / SFMS)],MATCH($B123,tab_MinKomp[[Stanowisko / Position ]:[Stanowisko / Position ]],0))="n/a","n/a",CG123-INDEX(tab_MinKomp[Systemy MES (HYDRA / SFMS)],MATCH($B123,tab_MinKomp[[Stanowisko / Position ]:[Stanowisko / Position ]],0)))</f>
        <v>-1</v>
      </c>
      <c r="CH124" s="315" t="str">
        <f>IF(INDEX(tab_MinKomp[HTML / CSS],MATCH($B123,tab_MinKomp[[Stanowisko / Position ]:[Stanowisko / Position ]],0))="n/a","n/a",CH123-INDEX(tab_MinKomp[HTML / CSS],MATCH($B123,tab_MinKomp[[Stanowisko / Position ]:[Stanowisko / Position ]],0)))</f>
        <v>n/a</v>
      </c>
      <c r="CI124" s="315">
        <f>IF(INDEX(tab_MinKomp[SYSTEM PR],MATCH($B123,tab_MinKomp[[Stanowisko / Position ]:[Stanowisko / Position ]],0))="n/a","n/a",CI123-INDEX(tab_MinKomp[SYSTEM PR],MATCH($B123,tab_MinKomp[[Stanowisko / Position ]:[Stanowisko / Position ]],0)))</f>
        <v>-2</v>
      </c>
      <c r="CJ124" s="315">
        <f>IF(INDEX(tab_MinKomp[System Einkauf XP / EBA],MATCH($B123,tab_MinKomp[[Stanowisko / Position ]:[Stanowisko / Position ]],0))="n/a","n/a",CJ123-INDEX(tab_MinKomp[System Einkauf XP / EBA],MATCH($B123,tab_MinKomp[[Stanowisko / Position ]:[Stanowisko / Position ]],0)))</f>
        <v>-2</v>
      </c>
      <c r="CK124" s="315">
        <f>IF(INDEX(tab_MinKomp[Techniki negocjacyjne / Verhandlungstechniken],MATCH($B123,tab_MinKomp[[Stanowisko / Position ]:[Stanowisko / Position ]],0))="n/a","n/a",CK123-INDEX(tab_MinKomp[Techniki negocjacyjne / Verhandlungstechniken],MATCH($B123,tab_MinKomp[[Stanowisko / Position ]:[Stanowisko / Position ]],0)))</f>
        <v>-1</v>
      </c>
      <c r="CL124" s="315">
        <f>IF(INDEX(tab_MinKomp[Znajomość rynku branżowego / Kenntnis des Industrie Marktes],MATCH($B123,tab_MinKomp[[Stanowisko / Position ]:[Stanowisko / Position ]],0))="n/a","n/a",CL123-INDEX(tab_MinKomp[Znajomość rynku branżowego / Kenntnis des Industrie Marktes],MATCH($B123,tab_MinKomp[[Stanowisko / Position ]:[Stanowisko / Position ]],0)))</f>
        <v>-2</v>
      </c>
      <c r="CM124" s="315">
        <f>IF(INDEX(tab_MinKomp[RAPORTY 8D / 8D Berichten],MATCH($B123,tab_MinKomp[[Stanowisko / Position ]:[Stanowisko / Position ]],0))="n/a","n/a",CM123-INDEX(tab_MinKomp[RAPORTY 8D / 8D Berichten],MATCH($B123,tab_MinKomp[[Stanowisko / Position ]:[Stanowisko / Position ]],0)))</f>
        <v>-2</v>
      </c>
      <c r="CN124" s="315">
        <f>IF(INDEX(tab_MinKomp[NARZĘDZIA JAKOŚCIOWE (5WHY, Ishikawa, etc) / QS-Werkzeuge],MATCH($B123,tab_MinKomp[[Stanowisko / Position ]:[Stanowisko / Position ]],0))="n/a","n/a",CN123-INDEX(tab_MinKomp[NARZĘDZIA JAKOŚCIOWE (5WHY, Ishikawa, etc) / QS-Werkzeuge],MATCH($B123,tab_MinKomp[[Stanowisko / Position ]:[Stanowisko / Position ]],0)))</f>
        <v>-2</v>
      </c>
      <c r="CO124" s="315">
        <f>IF(INDEX(tab_MinKomp[PDCA],MATCH($B123,tab_MinKomp[[Stanowisko / Position ]:[Stanowisko / Position ]],0))="n/a","n/a",CO123-INDEX(tab_MinKomp[PDCA],MATCH($B123,tab_MinKomp[[Stanowisko / Position ]:[Stanowisko / Position ]],0)))</f>
        <v>-2</v>
      </c>
      <c r="CP124" s="315">
        <f>IF(INDEX(tab_MinKomp[Pareto],MATCH($B123,tab_MinKomp[[Stanowisko / Position ]:[Stanowisko / Position ]],0))="n/a","n/a",CP123-INDEX(tab_MinKomp[Pareto],MATCH($B123,tab_MinKomp[[Stanowisko / Position ]:[Stanowisko / Position ]],0)))</f>
        <v>-3</v>
      </c>
      <c r="CQ124" s="315">
        <f>IF(INDEX(tab_MinKomp[PPAP/PSW],MATCH($B123,tab_MinKomp[[Stanowisko / Position ]:[Stanowisko / Position ]],0))="n/a","n/a",CQ123-INDEX(tab_MinKomp[PPAP/PSW],MATCH($B123,tab_MinKomp[[Stanowisko / Position ]:[Stanowisko / Position ]],0)))</f>
        <v>-1</v>
      </c>
      <c r="CR124" s="315">
        <f>IF(INDEX(tab_MinKomp[SUPPLIER MANAGEMENT],MATCH($B123,tab_MinKomp[[Stanowisko / Position ]:[Stanowisko / Position ]],0))="n/a","n/a",CR123-INDEX(tab_MinKomp[SUPPLIER MANAGEMENT],MATCH($B123,tab_MinKomp[[Stanowisko / Position ]:[Stanowisko / Position ]],0)))</f>
        <v>-1</v>
      </c>
      <c r="CS124" s="315">
        <v>-1</v>
      </c>
      <c r="CT124" s="315" t="str">
        <f>IF(INDEX(tab_MinKomp[Obsługa systemu BABTECQ / BABTECQ System],MATCH($B123,tab_MinKomp[[Stanowisko / Position ]:[Stanowisko / Position ]],0))="n/a","n/a",CT123-INDEX(tab_MinKomp[Obsługa systemu BABTECQ / BABTECQ System],MATCH($B123,tab_MinKomp[[Stanowisko / Position ]:[Stanowisko / Position ]],0)))</f>
        <v>n/a</v>
      </c>
      <c r="CU124" s="315">
        <f>IF(INDEX(tab_MinKomp[Rysunek techniczny / technische Zeichnung],MATCH($B123,tab_MinKomp[[Stanowisko / Position ]:[Stanowisko / Position ]],0))="n/a","n/a",CU123-INDEX(tab_MinKomp[Rysunek techniczny / technische Zeichnung],MATCH($B123,tab_MinKomp[[Stanowisko / Position ]:[Stanowisko / Position ]],0)))</f>
        <v>-2</v>
      </c>
      <c r="CV124" s="315">
        <f>IF(INDEX(tab_MinKomp[Kalibracja / Kalibrierung],MATCH($B123,tab_MinKomp[[Stanowisko / Position ]:[Stanowisko / Position ]],0))="n/a","n/a",CV123-INDEX(tab_MinKomp[Kalibracja / Kalibrierung],MATCH($B123,tab_MinKomp[[Stanowisko / Position ]:[Stanowisko / Position ]],0)))</f>
        <v>-1</v>
      </c>
      <c r="CW124" s="315">
        <f>IF(INDEX(tab_MinKomp[Rekwalifikacja / Requalifizierung],MATCH($B123,tab_MinKomp[[Stanowisko / Position ]:[Stanowisko / Position ]],0))="n/a","n/a",CW123-INDEX(tab_MinKomp[Rekwalifikacja / Requalifizierung],MATCH($B123,tab_MinKomp[[Stanowisko / Position ]:[Stanowisko / Position ]],0)))</f>
        <v>-1</v>
      </c>
      <c r="CX124" s="315">
        <v>-1</v>
      </c>
      <c r="CY124" s="315" t="s">
        <v>176</v>
      </c>
      <c r="CZ124" s="315" t="s">
        <v>176</v>
      </c>
      <c r="DA124" s="315" t="s">
        <v>176</v>
      </c>
      <c r="DB124" s="315" t="str">
        <f>IF(INDEX(tab_MinKomp[CMM - Contura Zeiss],MATCH($B123,tab_MinKomp[[Stanowisko / Position ]:[Stanowisko / Position ]],0))="n/a","n/a",DB123-INDEX(tab_MinKomp[CMM - Contura Zeiss],MATCH($B123,tab_MinKomp[[Stanowisko / Position ]:[Stanowisko / Position ]],0)))</f>
        <v>n/a</v>
      </c>
      <c r="DC124" s="315" t="s">
        <v>176</v>
      </c>
      <c r="DD124" s="315" t="str">
        <f>IF(INDEX(tab_MinKomp[Pisanie programów / Programme schreiben],MATCH($B123,tab_MinKomp[[Stanowisko / Position ]:[Stanowisko / Position ]],0))="n/a","n/a",DD123-INDEX(tab_MinKomp[Pisanie programów / Programme schreiben],MATCH($B123,tab_MinKomp[[Stanowisko / Position ]:[Stanowisko / Position ]],0)))</f>
        <v>n/a</v>
      </c>
      <c r="DE124" s="315" t="s">
        <v>176</v>
      </c>
      <c r="DF124" s="315">
        <f>IF(INDEX(tab_MinKomp[Testy czystości / Reinheitstests],MATCH($B123,tab_MinKomp[[Stanowisko / Position ]:[Stanowisko / Position ]],0))="n/a","n/a",DF123-INDEX(tab_MinKomp[Testy czystości / Reinheitstests],MATCH($B123,tab_MinKomp[[Stanowisko / Position ]:[Stanowisko / Position ]],0)))</f>
        <v>-1</v>
      </c>
      <c r="DG124" s="315" t="s">
        <v>176</v>
      </c>
      <c r="DH124" s="315" t="s">
        <v>176</v>
      </c>
      <c r="DI124" s="315" t="s">
        <v>176</v>
      </c>
      <c r="DJ124" s="315" t="s">
        <v>176</v>
      </c>
      <c r="DK124" s="315" t="str">
        <f>IF(INDEX(tab_MinKomp[Pisanie programów / Programme schreiben],MATCH($B123,tab_MinKomp[[Stanowisko / Position ]:[Stanowisko / Position ]],0))="n/a","n/a",DK123-INDEX(tab_MinKomp[Pisanie programów / Programme schreiben],MATCH($B123,tab_MinKomp[[Stanowisko / Position ]:[Stanowisko / Position ]],0)))</f>
        <v>n/a</v>
      </c>
      <c r="DL124" s="315" t="s">
        <v>176</v>
      </c>
      <c r="DM124" s="315" t="s">
        <v>176</v>
      </c>
      <c r="DN124" s="315" t="s">
        <v>176</v>
      </c>
      <c r="DO124" s="315" t="s">
        <v>176</v>
      </c>
      <c r="DP124" s="315" t="s">
        <v>176</v>
      </c>
      <c r="DQ124" s="315" t="s">
        <v>176</v>
      </c>
      <c r="DR124" s="315" t="str">
        <f>IF(INDEX(tab_MinKomp[Pisanie programów / Programme schreiben],MATCH($B123,tab_MinKomp[[Stanowisko / Position ]:[Stanowisko / Position ]],0))="n/a","n/a",DR123-INDEX(tab_MinKomp[Pisanie programów / Programme schreiben],MATCH($B123,tab_MinKomp[[Stanowisko / Position ]:[Stanowisko / Position ]],0)))</f>
        <v>n/a</v>
      </c>
      <c r="DS124" s="315" t="s">
        <v>176</v>
      </c>
      <c r="DT124" s="315" t="s">
        <v>176</v>
      </c>
      <c r="DU124" s="315">
        <f>IF(INDEX(tab_MinKomp[MSA i SPC],MATCH($B123,tab_MinKomp[[Stanowisko / Position ]:[Stanowisko / Position ]],0))="n/a","n/a",DU123-INDEX(tab_MinKomp[MSA i SPC],MATCH($B123,tab_MinKomp[[Stanowisko / Position ]:[Stanowisko / Position ]],0)))</f>
        <v>-1</v>
      </c>
      <c r="DV124" s="315" t="str">
        <f>IF(INDEX(tab_MinKomp[Kontrola wejściowa komponentów/ Eingangskontrolle],MATCH($B123,tab_MinKomp[[Stanowisko / Position ]:[Stanowisko / Position ]],0))="n/a","n/a",DV123-INDEX(tab_MinKomp[Kontrola wejściowa komponentów/ Eingangskontrolle],MATCH($B123,tab_MinKomp[[Stanowisko / Position ]:[Stanowisko / Position ]],0)))</f>
        <v>n/a</v>
      </c>
      <c r="DW124" s="315" t="str">
        <f>IF(INDEX(tab_MinKomp[Kontrola wyjściowa produktu / Ausgangskontrolle],MATCH($B123,tab_MinKomp[[Stanowisko / Position ]:[Stanowisko / Position ]],0))="n/a","n/a",DW123-INDEX(tab_MinKomp[Kontrola wyjściowa produktu / Ausgangskontrolle],MATCH($B123,tab_MinKomp[[Stanowisko / Position ]:[Stanowisko / Position ]],0)))</f>
        <v>n/a</v>
      </c>
      <c r="DX124" s="315" t="str">
        <f>IF(INDEX(tab_MinKomp[Kontrola codzienna produkcji / Tägliche Produktionskontrolle],MATCH($B123,tab_MinKomp[[Stanowisko / Position ]:[Stanowisko / Position ]],0))="n/a","n/a",DX123-INDEX(tab_MinKomp[Kontrola codzienna produkcji / Tägliche Produktionskontrolle],MATCH($B123,tab_MinKomp[[Stanowisko / Position ]:[Stanowisko / Position ]],0)))</f>
        <v>n/a</v>
      </c>
      <c r="DY124" s="315" t="str">
        <f>IF(INDEX(tab_MinKomp[Konserwacja Rep],MATCH($B123,tab_MinKomp[[Stanowisko / Position ]:[Stanowisko / Position ]],0))="n/a","n/a",DY123-INDEX(tab_MinKomp[Konserwacja Rep],MATCH($B123,tab_MinKomp[[Stanowisko / Position ]:[Stanowisko / Position ]],0)))</f>
        <v>n/a</v>
      </c>
      <c r="DZ124" s="315" t="str">
        <f>IF(INDEX(tab_MinKomp[[Konserwacja Engel ]],MATCH($B123,tab_MinKomp[[Stanowisko / Position ]:[Stanowisko / Position ]],0))="n/a","n/a",DZ123-INDEX(tab_MinKomp[[Konserwacja Engel ]],MATCH($B123,tab_MinKomp[[Stanowisko / Position ]:[Stanowisko / Position ]],0)))</f>
        <v>n/a</v>
      </c>
      <c r="EA124" s="315" t="str">
        <f>IF(INDEX(tab_MinKomp[Konserwacja B 50],MATCH($B123,tab_MinKomp[[Stanowisko / Position ]:[Stanowisko / Position ]],0))="n/a","n/a",EA123-INDEX(tab_MinKomp[Konserwacja B 50],MATCH($B123,tab_MinKomp[[Stanowisko / Position ]:[Stanowisko / Position ]],0)))</f>
        <v>n/a</v>
      </c>
      <c r="EB124" s="315" t="str">
        <f>IF(INDEX(tab_MinKomp[[Konserwacja EOL ]],MATCH($B123,tab_MinKomp[[Stanowisko / Position ]:[Stanowisko / Position ]],0))="n/a","n/a",EB123-INDEX(tab_MinKomp[[Konserwacja EOL ]],MATCH($B123,tab_MinKomp[[Stanowisko / Position ]:[Stanowisko / Position ]],0)))</f>
        <v>n/a</v>
      </c>
      <c r="EC124" s="315" t="str">
        <f>IF(INDEX(tab_MinKomp[Konserwacja Branson],MATCH($B123,tab_MinKomp[[Stanowisko / Position ]:[Stanowisko / Position ]],0))="n/a","n/a",EC123-INDEX(tab_MinKomp[Konserwacja Branson],MATCH($B123,tab_MinKomp[[Stanowisko / Position ]:[Stanowisko / Position ]],0)))</f>
        <v>n/a</v>
      </c>
      <c r="ED124" s="315" t="str">
        <f>IF(INDEX(tab_MinKomp[Konserwacja coolery],MATCH($B123,tab_MinKomp[[Stanowisko / Position ]:[Stanowisko / Position ]],0))="n/a","n/a",ED123-INDEX(tab_MinKomp[Konserwacja coolery],MATCH($B123,tab_MinKomp[[Stanowisko / Position ]:[Stanowisko / Position ]],0)))</f>
        <v>n/a</v>
      </c>
      <c r="EE124" s="315" t="str">
        <f>IF(INDEX(tab_MinKomp[Konserwacja piecy],MATCH($B123,tab_MinKomp[[Stanowisko / Position ]:[Stanowisko / Position ]],0))="n/a","n/a",EE123-INDEX(tab_MinKomp[Konserwacja piecy],MATCH($B123,tab_MinKomp[[Stanowisko / Position ]:[Stanowisko / Position ]],0)))</f>
        <v>n/a</v>
      </c>
      <c r="EF124" s="315">
        <v>-1</v>
      </c>
      <c r="EG124" s="315" t="str">
        <f>IF(INDEX(tab_MinKomp[Elektryka],MATCH($B123,tab_MinKomp[[Stanowisko / Position ]:[Stanowisko / Position ]],0))="n/a","n/a",EG123-INDEX(tab_MinKomp[Elektryka],MATCH($B123,tab_MinKomp[[Stanowisko / Position ]:[Stanowisko / Position ]],0)))</f>
        <v>n/a</v>
      </c>
      <c r="EH124" s="315" t="str">
        <f>IF(INDEX(tab_MinKomp[Pneumatyka],MATCH($B123,tab_MinKomp[[Stanowisko / Position ]:[Stanowisko / Position ]],0))="n/a","n/a",EH123-INDEX(tab_MinKomp[Pneumatyka],MATCH($B123,tab_MinKomp[[Stanowisko / Position ]:[Stanowisko / Position ]],0)))</f>
        <v>n/a</v>
      </c>
      <c r="EI124" s="315" t="str">
        <f>IF(INDEX(tab_MinKomp[[Hydraulika ]],MATCH($B123,tab_MinKomp[[Stanowisko / Position ]:[Stanowisko / Position ]],0))="n/a","n/a",EI123-INDEX(tab_MinKomp[[Hydraulika ]],MATCH($B123,tab_MinKomp[[Stanowisko / Position ]:[Stanowisko / Position ]],0)))</f>
        <v>n/a</v>
      </c>
      <c r="EJ124" s="315" t="str">
        <f>IF(INDEX(tab_MinKomp[Podciśnienie],MATCH($B123,tab_MinKomp[[Stanowisko / Position ]:[Stanowisko / Position ]],0))="n/a","n/a",EJ123-INDEX(tab_MinKomp[Podciśnienie],MATCH($B123,tab_MinKomp[[Stanowisko / Position ]:[Stanowisko / Position ]],0)))</f>
        <v>n/a</v>
      </c>
      <c r="EK124" s="315" t="str">
        <f>IF(INDEX(tab_MinKomp[Usuwanie awarii],MATCH($B123,tab_MinKomp[[Stanowisko / Position ]:[Stanowisko / Position ]],0))="n/a","n/a",EK123-INDEX(tab_MinKomp[Usuwanie awarii],MATCH($B123,tab_MinKomp[[Stanowisko / Position ]:[Stanowisko / Position ]],0)))</f>
        <v>n/a</v>
      </c>
      <c r="EL124" s="315" t="str">
        <f>IF(INDEX(tab_MinKomp[Obsługa robotów],MATCH($B123,tab_MinKomp[[Stanowisko / Position ]:[Stanowisko / Position ]],0))="n/a","n/a",EL123-INDEX(tab_MinKomp[Obsługa robotów],MATCH($B123,tab_MinKomp[[Stanowisko / Position ]:[Stanowisko / Position ]],0)))</f>
        <v>n/a</v>
      </c>
      <c r="EM124" s="315" t="str">
        <f>IF(INDEX(tab_MinKomp[Obsługa sterowania maszyny],MATCH($B123,tab_MinKomp[[Stanowisko / Position ]:[Stanowisko / Position ]],0))="n/a","n/a",EM123-INDEX(tab_MinKomp[Obsługa sterowania maszyny],MATCH($B123,tab_MinKomp[[Stanowisko / Position ]:[Stanowisko / Position ]],0)))</f>
        <v>n/a</v>
      </c>
      <c r="EN124" s="315" t="str">
        <f>IF(INDEX(tab_MinKomp[Usuwanie przyczyn żródłowych],MATCH($B123,tab_MinKomp[[Stanowisko / Position ]:[Stanowisko / Position ]],0))="n/a","n/a",EN123-INDEX(tab_MinKomp[Usuwanie przyczyn żródłowych],MATCH($B123,tab_MinKomp[[Stanowisko / Position ]:[Stanowisko / Position ]],0)))</f>
        <v>n/a</v>
      </c>
      <c r="EO124" s="315">
        <f>IF(INDEX(tab_MinKomp[Cmms stosowanie],MATCH($B123,tab_MinKomp[[Stanowisko / Position ]:[Stanowisko / Position ]],0))="n/a","n/a",EO123-INDEX(tab_MinKomp[Cmms stosowanie],MATCH($B123,tab_MinKomp[[Stanowisko / Position ]:[Stanowisko / Position ]],0)))</f>
        <v>-2</v>
      </c>
      <c r="EP124" s="315">
        <f>IF(INDEX(tab_MinKomp[[Czyszczenie form gumowych ]],MATCH($B123,tab_MinKomp[[Stanowisko / Position ]:[Stanowisko / Position ]],0))="n/a","n/a",EP123-INDEX(tab_MinKomp[[Czyszczenie form gumowych ]],MATCH($B123,tab_MinKomp[[Stanowisko / Position ]:[Stanowisko / Position ]],0)))</f>
        <v>-1</v>
      </c>
      <c r="EQ124" s="315" t="str">
        <f>IF(INDEX(tab_MinKomp[Czyszczenie form plastikowych],MATCH($B123,tab_MinKomp[[Stanowisko / Position ]:[Stanowisko / Position ]],0))="n/a","n/a",EQ123-INDEX(tab_MinKomp[Czyszczenie form plastikowych],MATCH($B123,tab_MinKomp[[Stanowisko / Position ]:[Stanowisko / Position ]],0)))</f>
        <v>n/a</v>
      </c>
      <c r="ER124" s="315" t="str">
        <f>IF(INDEX(tab_MinKomp[Wymiana form plastik],MATCH($B123,tab_MinKomp[[Stanowisko / Position ]:[Stanowisko / Position ]],0))="n/a","n/a",ER123-INDEX(tab_MinKomp[Wymiana form plastik],MATCH($B123,tab_MinKomp[[Stanowisko / Position ]:[Stanowisko / Position ]],0)))</f>
        <v>n/a</v>
      </c>
      <c r="ES124" s="315" t="str">
        <f>IF(INDEX(tab_MinKomp[Wymiana form guma],MATCH($B123,tab_MinKomp[[Stanowisko / Position ]:[Stanowisko / Position ]],0))="n/a","n/a",ES123-INDEX(tab_MinKomp[Wymiana form guma],MATCH($B123,tab_MinKomp[[Stanowisko / Position ]:[Stanowisko / Position ]],0)))</f>
        <v>n/a</v>
      </c>
      <c r="ET124" s="315" t="str">
        <f>IF(INDEX(tab_MinKomp[Konserwacja KK],MATCH($B123,tab_MinKomp[[Stanowisko / Position ]:[Stanowisko / Position ]],0))="n/a","n/a",ET123-INDEX(tab_MinKomp[Konserwacja KK],MATCH($B123,tab_MinKomp[[Stanowisko / Position ]:[Stanowisko / Position ]],0)))</f>
        <v>n/a</v>
      </c>
      <c r="EU124" s="315" t="str">
        <f>IF(INDEX(tab_MinKomp[Konserwacja form guma],MATCH($B123,tab_MinKomp[[Stanowisko / Position ]:[Stanowisko / Position ]],0))="n/a","n/a",EU123-INDEX(tab_MinKomp[Konserwacja form guma],MATCH($B123,tab_MinKomp[[Stanowisko / Position ]:[Stanowisko / Position ]],0)))</f>
        <v>n/a</v>
      </c>
      <c r="EV124" s="315" t="str">
        <f>IF(INDEX(tab_MinKomp[Konserwacja form plastiki],MATCH($B123,tab_MinKomp[[Stanowisko / Position ]:[Stanowisko / Position ]],0))="n/a","n/a",EV123-INDEX(tab_MinKomp[Konserwacja form plastiki],MATCH($B123,tab_MinKomp[[Stanowisko / Position ]:[Stanowisko / Position ]],0)))</f>
        <v>n/a</v>
      </c>
      <c r="EW124" s="330" t="str">
        <f>IF(INDEX(tab_MinKomp[Konserwacja form plastiki],MATCH($B123,tab_MinKomp[[Stanowisko / Position ]:[Stanowisko / Position ]],0))="n/a","n/a",EW123-INDEX(tab_MinKomp[Konserwacja form plastiki],MATCH($B123,tab_MinKomp[[Stanowisko / Position ]:[Stanowisko / Position ]],0)))</f>
        <v>n/a</v>
      </c>
      <c r="EX124" s="315" t="str">
        <f>IF(INDEX(tab_MinKomp[Konserwacja Gorącego Kanału],MATCH($B123,tab_MinKomp[[Stanowisko / Position ]:[Stanowisko / Position ]],0))="n/a","n/a",EX123-INDEX(tab_MinKomp[Konserwacja Gorącego Kanału],MATCH($B123,tab_MinKomp[[Stanowisko / Position ]:[Stanowisko / Position ]],0)))</f>
        <v>n/a</v>
      </c>
      <c r="EY124" s="315">
        <f>IF(INDEX(tab_MinKomp[MS Office (Excel)],MATCH($B123,tab_MinKomp[[Stanowisko / Position ]:[Stanowisko / Position ]],0))="n/a","n/a",EY123-INDEX(tab_MinKomp[MS Office (Excel)],MATCH($B123,tab_MinKomp[[Stanowisko / Position ]:[Stanowisko / Position ]],0)))</f>
        <v>-2</v>
      </c>
      <c r="EZ124" s="315">
        <f>IF(INDEX(tab_MinKomp[MS Office (Word)],MATCH($B123,tab_MinKomp[[Stanowisko / Position ]:[Stanowisko / Position ]],0))="n/a","n/a",EZ123-INDEX(tab_MinKomp[MS Office (Word)],MATCH($B123,tab_MinKomp[[Stanowisko / Position ]:[Stanowisko / Position ]],0)))</f>
        <v>-2</v>
      </c>
      <c r="FA124" s="315">
        <f>IF(INDEX(tab_MinKomp[MS Office (Power Point)],MATCH($B123,tab_MinKomp[[Stanowisko / Position ]:[Stanowisko / Position ]],0))="n/a","n/a",FA123-INDEX(tab_MinKomp[MS Office (Power Point)],MATCH($B123,tab_MinKomp[[Stanowisko / Position ]:[Stanowisko / Position ]],0)))</f>
        <v>-2</v>
      </c>
      <c r="FB124" s="317">
        <f>IF(INDEX(tab_MinKomp[Język angielski / Englisch],MATCH($B123,tab_MinKomp[[Stanowisko / Position ]:[Stanowisko / Position ]],0))="n/a","n/a",FB123-INDEX(tab_MinKomp[Język angielski / Englisch],MATCH($B123,tab_MinKomp[[Stanowisko / Position ]:[Stanowisko / Position ]],0)))</f>
        <v>-2</v>
      </c>
      <c r="FC124" s="317" t="str">
        <f>IF(INDEX(tab_MinKomp[Konserwacja Gorącego Kanału],MATCH($B123,tab_MinKomp[[Stanowisko / Position ]:[Stanowisko / Position ]],0))="n/a","n/a",FC123-INDEX(tab_MinKomp[Konserwacja Gorącego Kanału],MATCH($B123,tab_MinKomp[[Stanowisko / Position ]:[Stanowisko / Position ]],0)))</f>
        <v>n/a</v>
      </c>
      <c r="FD124" s="315">
        <f>IF(INDEX(tab_MinKomp[Zarządzanie dokumentacją procesową / Process dokumentation management],MATCH($B123,tab_MinKomp[[Stanowisko / Position ]:[Stanowisko / Position ]],0))="n/a","n/a",FD123-INDEX(tab_MinKomp[Zarządzanie dokumentacją procesową / Process dokumentation management],MATCH($B123,tab_MinKomp[[Stanowisko / Position ]:[Stanowisko / Position ]],0)))</f>
        <v>-3</v>
      </c>
      <c r="FE124" s="315">
        <f>IF(INDEX(tab_MinKomp[Znajomość procesów z obszaru / Kenntiss der prozesse in dem Bereich],MATCH($B123,tab_MinKomp[[Stanowisko / Position ]:[Stanowisko / Position ]],0))="n/a","n/a",FE123-INDEX(tab_MinKomp[Znajomość procesów z obszaru / Kenntiss der prozesse in dem Bereich],MATCH($B123,tab_MinKomp[[Stanowisko / Position ]:[Stanowisko / Position ]],0)))</f>
        <v>-2</v>
      </c>
      <c r="FF124" s="315">
        <f>IF(INDEX(tab_MinKomp[optymalizacja procesów / Prozessoptymalisierung],MATCH($B123,tab_MinKomp[[Stanowisko / Position ]:[Stanowisko / Position ]],0))="n/a","n/a",FF123-INDEX(tab_MinKomp[optymalizacja procesów / Prozessoptymalisierung],MATCH($B123,tab_MinKomp[[Stanowisko / Position ]:[Stanowisko / Position ]],0)))</f>
        <v>-2</v>
      </c>
      <c r="FG124" s="315">
        <f>IF(INDEX(tab_MinKomp[Umiejętności szkoleniowe / Trainingsfähigkeiten],MATCH($B123,tab_MinKomp[[Stanowisko / Position ]:[Stanowisko / Position ]],0))="n/a","n/a",FG123-INDEX(tab_MinKomp[Umiejętności szkoleniowe / Trainingsfähigkeiten],MATCH($B123,tab_MinKomp[[Stanowisko / Position ]:[Stanowisko / Position ]],0)))</f>
        <v>-2</v>
      </c>
      <c r="FH124" s="315">
        <f>IF(INDEX(tab_MinKomp[Analityczne myślenie, podejście / Analitysches Denken, Einstellung],MATCH($B123,tab_MinKomp[[Stanowisko / Position ]:[Stanowisko / Position ]],0))="n/a","n/a",FH123-INDEX(tab_MinKomp[Analityczne myślenie, podejście / Analitysches Denken, Einstellung],MATCH($B123,tab_MinKomp[[Stanowisko / Position ]:[Stanowisko / Position ]],0)))</f>
        <v>-2</v>
      </c>
      <c r="FI124" s="315">
        <f>IF(INDEX(tab_MinKomp[Dokładność, precyzja w dzialaniu / Genauigkeit, Präzision in die Arbeit],MATCH($B123,tab_MinKomp[[Stanowisko / Position ]:[Stanowisko / Position ]],0))="n/a","n/a",FI123-INDEX(tab_MinKomp[Dokładność, precyzja w dzialaniu / Genauigkeit, Präzision in die Arbeit],MATCH($B123,tab_MinKomp[[Stanowisko / Position ]:[Stanowisko / Position ]],0)))</f>
        <v>-2</v>
      </c>
      <c r="FJ124" s="315">
        <f>IF(INDEX(tab_MinKomp[Dyspozycyjność / Verfügbarkeit],MATCH($B123,tab_MinKomp[[Stanowisko / Position ]:[Stanowisko / Position ]],0))="n/a","n/a",FJ123-INDEX(tab_MinKomp[Dyspozycyjność / Verfügbarkeit],MATCH($B123,tab_MinKomp[[Stanowisko / Position ]:[Stanowisko / Position ]],0)))</f>
        <v>-2</v>
      </c>
      <c r="FK124" s="315">
        <f>IF(INDEX(tab_MinKomp[Zaangażowanie / 
Engagement],MATCH($B123,tab_MinKomp[[Stanowisko / Position ]:[Stanowisko / Position ]],0))="n/a","n/a",FK123-INDEX(tab_MinKomp[Zaangażowanie / 
Engagement],MATCH($B123,tab_MinKomp[[Stanowisko / Position ]:[Stanowisko / Position ]],0)))</f>
        <v>-2</v>
      </c>
      <c r="FL124" s="315">
        <f>IF(INDEX(tab_MinKomp[Planowanie strategiczne / Strategische Planung],MATCH($B123,tab_MinKomp[[Stanowisko / Position ]:[Stanowisko / Position ]],0))="n/a","n/a",FL123-INDEX(tab_MinKomp[Planowanie strategiczne / Strategische Planung],MATCH($B123,tab_MinKomp[[Stanowisko / Position ]:[Stanowisko / Position ]],0)))</f>
        <v>-2</v>
      </c>
      <c r="FM124" s="315">
        <f>IF(INDEX(tab_MinKomp[Konsekwentne i dynamiczne działanie],MATCH($B123,tab_MinKomp[[Stanowisko / Position ]:[Stanowisko / Position ]],0))="n/a","n/a",FM123-INDEX(tab_MinKomp[Konsekwentne i dynamiczne działanie],MATCH($B123,tab_MinKomp[[Stanowisko / Position ]:[Stanowisko / Position ]],0)))</f>
        <v>-2</v>
      </c>
      <c r="FN124" s="315">
        <f>IF(INDEX(tab_MinKomp[Elastyczność w działaniu],MATCH($B123,tab_MinKomp[[Stanowisko / Position ]:[Stanowisko / Position ]],0))="n/a","n/a",FN123-INDEX(tab_MinKomp[Elastyczność w działaniu],MATCH($B123,tab_MinKomp[[Stanowisko / Position ]:[Stanowisko / Position ]],0)))</f>
        <v>-2</v>
      </c>
      <c r="FO124" s="315">
        <f>IF(INDEX(tab_MinKomp[Komunikatywność],MATCH($B123,tab_MinKomp[[Stanowisko / Position ]:[Stanowisko / Position ]],0))="n/a","n/a",FO123-INDEX(tab_MinKomp[Komunikatywność],MATCH($B123,tab_MinKomp[[Stanowisko / Position ]:[Stanowisko / Position ]],0)))</f>
        <v>-2</v>
      </c>
      <c r="FP124" s="314">
        <f>IF(INDEX(tab_MinKomp[Motywowanie i budowanie zaangażowania zespołu],MATCH($B123,tab_MinKomp[[Stanowisko / Position ]:[Stanowisko / Position ]],0))="n/a","n/a",FP123-INDEX(tab_MinKomp[Motywowanie i budowanie zaangażowania zespołu],MATCH($B123,tab_MinKomp[[Stanowisko / Position ]:[Stanowisko / Position ]],0)))</f>
        <v>-2</v>
      </c>
      <c r="FQ124" s="318" t="str">
        <f>IFERROR(IF(INDEX(tab_MinKomp[BRAK / Keine],MATCH($B123,tab_MinKomp[[Stanowisko / Position ]:[Stanowisko / Position ]],0))="n/a","n/a",INDEX(tab_MinKomp[BRAK / Keine],MATCH($B123,tab_MinKomp[[Stanowisko / Position ]:[Stanowisko / Position ]],0))-FQ123),"")</f>
        <v>n/a</v>
      </c>
      <c r="FR124" s="315" t="str">
        <f>IF(INDEX(tab_MinKomp[MINIMUM 1 ROK / min. 1 Jahr],MATCH($B123,tab_MinKomp[[Stanowisko / Position ]:[Stanowisko / Position ]],0))="n/a","n/a",INDEX(tab_MinKomp[MINIMUM 1 ROK / min. 1 Jahr],MATCH($B123,tab_MinKomp[[Stanowisko / Position ]:[Stanowisko / Position ]],0)))</f>
        <v>x</v>
      </c>
      <c r="FS124" s="315" t="str">
        <f>IF(INDEX(tab_MinKomp[MINIMUM 2 LATA / min. 2 Jahre],MATCH($B123,tab_MinKomp[[Stanowisko / Position ]:[Stanowisko / Position ]],0))="n/a","n/a",INDEX(tab_MinKomp[MINIMUM 2 LATA / min. 2 Jahre],MATCH($B123,tab_MinKomp[[Stanowisko / Position ]:[Stanowisko / Position ]],0)))</f>
        <v>n/a</v>
      </c>
      <c r="FT124" s="315" t="str">
        <f>IF(INDEX(tab_MinKomp[MINIMUM 3 LATA / min. 3 Jahre],MATCH($B123,tab_MinKomp[[Stanowisko / Position ]:[Stanowisko / Position ]],0))="n/a","n/a",INDEX(tab_MinKomp[MINIMUM 3 LATA / min. 3 Jahre],MATCH($B123,tab_MinKomp[[Stanowisko / Position ]:[Stanowisko / Position ]],0)))</f>
        <v>n/a</v>
      </c>
      <c r="FU124" s="315" t="str">
        <f>IF(INDEX(tab_MinKomp[MINIMUM 4 LATA / min. 4 Jahre],MATCH($B123,tab_MinKomp[[Stanowisko / Position ]:[Stanowisko / Position ]],0))="n/a","n/a",INDEX(tab_MinKomp[MINIMUM 4 LATA / min. 4 Jahre],MATCH($B123,tab_MinKomp[[Stanowisko / Position ]:[Stanowisko / Position ]],0)))</f>
        <v>n/a</v>
      </c>
      <c r="FV124" s="319" t="str">
        <f>IF(INDEX(tab_MinKomp[MINIMUM 5 LAT / min. 5 Jahre],MATCH($B123,tab_MinKomp[[Stanowisko / Position ]:[Stanowisko / Position ]],0))="n/a","n/a",INDEX(tab_MinKomp[MINIMUM 5 LAT / min. 5 Jahre],MATCH($B123,tab_MinKomp[[Stanowisko / Position ]:[Stanowisko / Position ]],0)))</f>
        <v>n/a</v>
      </c>
      <c r="FW124" s="318" t="str">
        <f>IF(INDEX(tab_MinKomp[BRAK / Keine9],MATCH($B123,tab_MinKomp[[Stanowisko / Position ]:[Stanowisko / Position ]],0))="n/a","n/a",INDEX(tab_MinKomp[BRAK / Keine9],MATCH($B123,tab_MinKomp[[Stanowisko / Position ]:[Stanowisko / Position ]],0)))</f>
        <v>n/a</v>
      </c>
      <c r="FX124" s="315" t="str">
        <f>IF(INDEX(tab_MinKomp[ZAWODOWE / Berufsausbildung],MATCH($B123,tab_MinKomp[[Stanowisko / Position ]:[Stanowisko / Position ]],0))="n/a","n/a",INDEX(tab_MinKomp[ZAWODOWE / Berufsausbildung],MATCH($B123,tab_MinKomp[[Stanowisko / Position ]:[Stanowisko / Position ]],0)))</f>
        <v>n/a</v>
      </c>
      <c r="FY124" s="315" t="str">
        <f>IF(INDEX(tab_MinKomp[ŚREDNIE OGÓLNE / Abitur allgemeine],MATCH($B123,tab_MinKomp[[Stanowisko / Position ]:[Stanowisko / Position ]],0))="n/a","n/a",INDEX(tab_MinKomp[ŚREDNIE OGÓLNE / Abitur allgemeine],MATCH($B123,tab_MinKomp[[Stanowisko / Position ]:[Stanowisko / Position ]],0)))</f>
        <v>n/a</v>
      </c>
      <c r="FZ124" s="315" t="str">
        <f>IF(INDEX(tab_MinKomp[ŚREDNIE KIERUNKOWE / berufliches Gymnasium],MATCH($B123,tab_MinKomp[[Stanowisko / Position ]:[Stanowisko / Position ]],0))="n/a","n/a",INDEX(tab_MinKomp[ŚREDNIE KIERUNKOWE / berufliches Gymnasium],MATCH($B123,tab_MinKomp[[Stanowisko / Position ]:[Stanowisko / Position ]],0)))</f>
        <v>n/a</v>
      </c>
      <c r="GA124" s="315" t="str">
        <f>IF(INDEX(tab_MinKomp[WYŻSZE OGÓLNE / Hochschule allgemeine],MATCH($B123,tab_MinKomp[[Stanowisko / Position ]:[Stanowisko / Position ]],0))="n/a","n/a",INDEX(tab_MinKomp[WYŻSZE OGÓLNE / Hochschule allgemeine],MATCH($B123,tab_MinKomp[[Stanowisko / Position ]:[Stanowisko / Position ]],0)))</f>
        <v>X</v>
      </c>
      <c r="GB124" s="319" t="str">
        <f>IF(INDEX(tab_MinKomp[WYŻSZE KIERUNKOWE / Hochschule berufliche],MATCH($B123,tab_MinKomp[[Stanowisko / Position ]:[Stanowisko / Position ]],0))="n/a","n/a",INDEX(tab_MinKomp[WYŻSZE KIERUNKOWE / Hochschule berufliche],MATCH($B123,tab_MinKomp[[Stanowisko / Position ]:[Stanowisko / Position ]],0)))</f>
        <v>n/a</v>
      </c>
      <c r="GC124" s="318" t="str">
        <f>IF(INDEX(tab_MinKomp[PIERWSZA POMOC / Erste Hilfe],MATCH($B123,tab_MinKomp[[Stanowisko / Position ]:[Stanowisko / Position ]],0))="n/a","n/a",INDEX(tab_MinKomp[PIERWSZA POMOC / Erste Hilfe],MATCH($B123,tab_MinKomp[[Stanowisko / Position ]:[Stanowisko / Position ]],0)))</f>
        <v>n/a</v>
      </c>
      <c r="GD124" s="315" t="str">
        <f>IF(INDEX(tab_MinKomp[Specjalista BHP / BHP Spezialist],MATCH($B123,tab_MinKomp[[Stanowisko / Position ]:[Stanowisko / Position ]],0))="n/a","n/a",INDEX(tab_MinKomp[Specjalista BHP / BHP Spezialist],MATCH($B123,tab_MinKomp[[Stanowisko / Position ]:[Stanowisko / Position ]],0)))</f>
        <v>n/a</v>
      </c>
      <c r="GE124" s="315" t="str">
        <f>IF(INDEX(tab_MinKomp[Inspektor ochrony PPOŻ / Brandschutzinspektor],MATCH($B123,tab_MinKomp[[Stanowisko / Position ]:[Stanowisko / Position ]],0))="n/a","n/a",INDEX(tab_MinKomp[Inspektor ochrony PPOŻ / Brandschutzinspektor],MATCH($B123,tab_MinKomp[[Stanowisko / Position ]:[Stanowisko / Position ]],0)))</f>
        <v>n/a</v>
      </c>
      <c r="GF124" s="315" t="s">
        <v>176</v>
      </c>
      <c r="GG124" s="315" t="s">
        <v>176</v>
      </c>
      <c r="GH124" s="315" t="s">
        <v>176</v>
      </c>
      <c r="GI124" s="315" t="str">
        <f>IF(INDEX(tab_MinKomp[PODNOŚNIKI / Hebevorrichtung],MATCH($B123,tab_MinKomp[[Stanowisko / Position ]:[Stanowisko / Position ]],0))="n/a","n/a",INDEX(tab_MinKomp[PODNOŚNIKI / Hebevorrichtung],MATCH($B123,tab_MinKomp[[Stanowisko / Position ]:[Stanowisko / Position ]],0)))</f>
        <v>n/a</v>
      </c>
      <c r="GJ124" s="315" t="str">
        <f>IF(INDEX(tab_MinKomp[SUWNICE / Laufkran],MATCH($B123,tab_MinKomp[[Stanowisko / Position ]:[Stanowisko / Position ]],0))="n/a","n/a",INDEX(tab_MinKomp[SUWNICE / Laufkran],MATCH($B123,tab_MinKomp[[Stanowisko / Position ]:[Stanowisko / Position ]],0)))</f>
        <v>n/a</v>
      </c>
      <c r="GK124" s="319" t="str">
        <f>IF(INDEX(tab_MinKomp[WYSOKOŚCIOWE / Höhenberechtigungen],MATCH($B123,tab_MinKomp[[Stanowisko / Position ]:[Stanowisko / Position ]],0))="n/a","n/a",INDEX(tab_MinKomp[WYSOKOŚCIOWE / Höhenberechtigungen],MATCH($B123,tab_MinKomp[[Stanowisko / Position ]:[Stanowisko / Position ]],0)))</f>
        <v>n/a</v>
      </c>
      <c r="GL124" s="320">
        <f>SUM(G124:FP124)/(GL123-(SUM(G124:FP124)))</f>
        <v>-1</v>
      </c>
      <c r="GM124" s="132"/>
    </row>
    <row r="125" spans="1:195" s="133" customFormat="1" ht="28.35" customHeight="1" x14ac:dyDescent="0.25">
      <c r="A125" s="138" t="s">
        <v>161</v>
      </c>
      <c r="B125" s="138" t="s">
        <v>215</v>
      </c>
      <c r="C125" s="138" t="s">
        <v>657</v>
      </c>
      <c r="D125" s="138">
        <v>2081</v>
      </c>
      <c r="E125" s="563" t="s">
        <v>744</v>
      </c>
      <c r="F125" s="307" t="s">
        <v>165</v>
      </c>
      <c r="G125" s="308">
        <v>1</v>
      </c>
      <c r="H125" s="308">
        <v>1</v>
      </c>
      <c r="I125" s="308">
        <v>1</v>
      </c>
      <c r="J125" s="308">
        <v>1</v>
      </c>
      <c r="K125" s="308">
        <v>1</v>
      </c>
      <c r="L125" s="308">
        <v>1</v>
      </c>
      <c r="M125" s="308" t="s">
        <v>176</v>
      </c>
      <c r="N125" s="308" t="s">
        <v>176</v>
      </c>
      <c r="O125" s="308">
        <v>1</v>
      </c>
      <c r="P125" s="308">
        <v>1</v>
      </c>
      <c r="Q125" s="308" t="s">
        <v>176</v>
      </c>
      <c r="R125" s="308" t="s">
        <v>176</v>
      </c>
      <c r="S125" s="308" t="s">
        <v>176</v>
      </c>
      <c r="T125" s="308" t="s">
        <v>176</v>
      </c>
      <c r="U125" s="308" t="s">
        <v>176</v>
      </c>
      <c r="V125" s="308" t="s">
        <v>176</v>
      </c>
      <c r="W125" s="308" t="s">
        <v>176</v>
      </c>
      <c r="X125" s="308" t="s">
        <v>176</v>
      </c>
      <c r="Y125" s="308" t="s">
        <v>176</v>
      </c>
      <c r="Z125" s="308" t="s">
        <v>176</v>
      </c>
      <c r="AA125" s="308" t="s">
        <v>176</v>
      </c>
      <c r="AB125" s="308">
        <v>1</v>
      </c>
      <c r="AC125" s="308"/>
      <c r="AD125" s="308"/>
      <c r="AE125" s="308" t="s">
        <v>176</v>
      </c>
      <c r="AF125" s="308" t="s">
        <v>176</v>
      </c>
      <c r="AG125" s="308"/>
      <c r="AH125" s="308"/>
      <c r="AI125" s="308" t="s">
        <v>176</v>
      </c>
      <c r="AJ125" s="308" t="s">
        <v>176</v>
      </c>
      <c r="AK125" s="308" t="s">
        <v>176</v>
      </c>
      <c r="AL125" s="308">
        <v>1</v>
      </c>
      <c r="AM125" s="308">
        <v>1</v>
      </c>
      <c r="AN125" s="308">
        <v>1</v>
      </c>
      <c r="AO125" s="308">
        <v>1</v>
      </c>
      <c r="AP125" s="308"/>
      <c r="AQ125" s="308">
        <v>1</v>
      </c>
      <c r="AR125" s="308">
        <v>1</v>
      </c>
      <c r="AS125" s="308"/>
      <c r="AT125" s="308"/>
      <c r="AU125" s="308"/>
      <c r="AV125" s="308">
        <v>1</v>
      </c>
      <c r="AW125" s="308"/>
      <c r="AX125" s="308"/>
      <c r="AY125" s="308"/>
      <c r="AZ125" s="308"/>
      <c r="BA125" s="308" t="s">
        <v>176</v>
      </c>
      <c r="BB125" s="308"/>
      <c r="BC125" s="308"/>
      <c r="BD125" s="308"/>
      <c r="BE125" s="308" t="s">
        <v>176</v>
      </c>
      <c r="BF125" s="308" t="s">
        <v>176</v>
      </c>
      <c r="BG125" s="308" t="s">
        <v>176</v>
      </c>
      <c r="BH125" s="308" t="s">
        <v>176</v>
      </c>
      <c r="BI125" s="308" t="s">
        <v>176</v>
      </c>
      <c r="BJ125" s="308" t="s">
        <v>176</v>
      </c>
      <c r="BK125" s="308" t="s">
        <v>176</v>
      </c>
      <c r="BL125" s="308" t="s">
        <v>176</v>
      </c>
      <c r="BM125" s="308"/>
      <c r="BN125" s="308" t="s">
        <v>176</v>
      </c>
      <c r="BO125" s="308"/>
      <c r="BP125" s="308"/>
      <c r="BQ125" s="308"/>
      <c r="BR125" s="308"/>
      <c r="BS125" s="308"/>
      <c r="BT125" s="308"/>
      <c r="BU125" s="308"/>
      <c r="BV125" s="308" t="s">
        <v>176</v>
      </c>
      <c r="BW125" s="308" t="s">
        <v>176</v>
      </c>
      <c r="BX125" s="308" t="s">
        <v>176</v>
      </c>
      <c r="BY125" s="308" t="s">
        <v>176</v>
      </c>
      <c r="BZ125" s="308" t="s">
        <v>176</v>
      </c>
      <c r="CA125" s="308" t="s">
        <v>176</v>
      </c>
      <c r="CB125" s="308" t="s">
        <v>176</v>
      </c>
      <c r="CC125" s="308" t="s">
        <v>176</v>
      </c>
      <c r="CD125" s="308" t="s">
        <v>176</v>
      </c>
      <c r="CE125" s="308" t="s">
        <v>176</v>
      </c>
      <c r="CF125" s="308" t="s">
        <v>176</v>
      </c>
      <c r="CG125" s="308"/>
      <c r="CH125" s="308" t="s">
        <v>176</v>
      </c>
      <c r="CI125" s="308">
        <v>1</v>
      </c>
      <c r="CJ125" s="308">
        <v>1</v>
      </c>
      <c r="CK125" s="308">
        <v>1</v>
      </c>
      <c r="CL125" s="308">
        <v>1</v>
      </c>
      <c r="CM125" s="308">
        <v>1</v>
      </c>
      <c r="CN125" s="308">
        <v>1</v>
      </c>
      <c r="CO125" s="308"/>
      <c r="CP125" s="308"/>
      <c r="CQ125" s="308"/>
      <c r="CR125" s="308"/>
      <c r="CS125" s="308"/>
      <c r="CT125" s="308" t="s">
        <v>176</v>
      </c>
      <c r="CU125" s="308">
        <v>2</v>
      </c>
      <c r="CV125" s="308"/>
      <c r="CW125" s="308"/>
      <c r="CX125" s="308"/>
      <c r="CY125" s="308" t="s">
        <v>176</v>
      </c>
      <c r="CZ125" s="308" t="s">
        <v>176</v>
      </c>
      <c r="DA125" s="308" t="s">
        <v>176</v>
      </c>
      <c r="DB125" s="308" t="s">
        <v>176</v>
      </c>
      <c r="DC125" s="308" t="s">
        <v>176</v>
      </c>
      <c r="DD125" s="308" t="s">
        <v>176</v>
      </c>
      <c r="DE125" s="308" t="s">
        <v>176</v>
      </c>
      <c r="DF125" s="308"/>
      <c r="DG125" s="308" t="s">
        <v>176</v>
      </c>
      <c r="DH125" s="308" t="s">
        <v>176</v>
      </c>
      <c r="DI125" s="308" t="s">
        <v>176</v>
      </c>
      <c r="DJ125" s="308" t="s">
        <v>176</v>
      </c>
      <c r="DK125" s="308" t="s">
        <v>176</v>
      </c>
      <c r="DL125" s="308" t="s">
        <v>176</v>
      </c>
      <c r="DM125" s="308" t="s">
        <v>176</v>
      </c>
      <c r="DN125" s="308" t="s">
        <v>176</v>
      </c>
      <c r="DO125" s="308" t="s">
        <v>176</v>
      </c>
      <c r="DP125" s="308" t="s">
        <v>176</v>
      </c>
      <c r="DQ125" s="308" t="s">
        <v>176</v>
      </c>
      <c r="DR125" s="308" t="s">
        <v>176</v>
      </c>
      <c r="DS125" s="308" t="s">
        <v>176</v>
      </c>
      <c r="DT125" s="308" t="s">
        <v>176</v>
      </c>
      <c r="DU125" s="308"/>
      <c r="DV125" s="308" t="s">
        <v>176</v>
      </c>
      <c r="DW125" s="308" t="s">
        <v>176</v>
      </c>
      <c r="DX125" s="308" t="s">
        <v>176</v>
      </c>
      <c r="DY125" s="308" t="s">
        <v>176</v>
      </c>
      <c r="DZ125" s="308" t="s">
        <v>176</v>
      </c>
      <c r="EA125" s="308" t="s">
        <v>176</v>
      </c>
      <c r="EB125" s="308" t="s">
        <v>176</v>
      </c>
      <c r="EC125" s="308" t="s">
        <v>176</v>
      </c>
      <c r="ED125" s="308" t="s">
        <v>176</v>
      </c>
      <c r="EE125" s="308" t="s">
        <v>176</v>
      </c>
      <c r="EF125" s="308">
        <v>1</v>
      </c>
      <c r="EG125" s="308" t="s">
        <v>176</v>
      </c>
      <c r="EH125" s="308" t="s">
        <v>176</v>
      </c>
      <c r="EI125" s="308" t="s">
        <v>176</v>
      </c>
      <c r="EJ125" s="308" t="s">
        <v>176</v>
      </c>
      <c r="EK125" s="308" t="s">
        <v>176</v>
      </c>
      <c r="EL125" s="308" t="s">
        <v>176</v>
      </c>
      <c r="EM125" s="308" t="s">
        <v>176</v>
      </c>
      <c r="EN125" s="308" t="s">
        <v>176</v>
      </c>
      <c r="EO125" s="308"/>
      <c r="EP125" s="308"/>
      <c r="EQ125" s="308" t="s">
        <v>176</v>
      </c>
      <c r="ER125" s="308" t="s">
        <v>176</v>
      </c>
      <c r="ES125" s="308" t="s">
        <v>176</v>
      </c>
      <c r="ET125" s="308" t="s">
        <v>176</v>
      </c>
      <c r="EU125" s="308" t="s">
        <v>176</v>
      </c>
      <c r="EV125" s="308" t="s">
        <v>176</v>
      </c>
      <c r="EW125" s="308" t="s">
        <v>176</v>
      </c>
      <c r="EX125" s="308" t="s">
        <v>176</v>
      </c>
      <c r="EY125" s="308">
        <v>2</v>
      </c>
      <c r="EZ125" s="308">
        <v>2</v>
      </c>
      <c r="FA125" s="308">
        <v>2</v>
      </c>
      <c r="FB125" s="308">
        <v>3</v>
      </c>
      <c r="FC125" s="308" t="s">
        <v>176</v>
      </c>
      <c r="FD125" s="308">
        <v>1</v>
      </c>
      <c r="FE125" s="308"/>
      <c r="FF125" s="308"/>
      <c r="FG125" s="308">
        <v>2</v>
      </c>
      <c r="FH125" s="308">
        <v>1</v>
      </c>
      <c r="FI125" s="308">
        <v>2</v>
      </c>
      <c r="FJ125" s="308">
        <v>1</v>
      </c>
      <c r="FK125" s="308">
        <v>1</v>
      </c>
      <c r="FL125" s="308">
        <v>2</v>
      </c>
      <c r="FM125" s="308">
        <v>2</v>
      </c>
      <c r="FN125" s="308">
        <v>2</v>
      </c>
      <c r="FO125" s="308">
        <v>2</v>
      </c>
      <c r="FP125" s="308">
        <v>2</v>
      </c>
      <c r="FQ125" s="308" t="s">
        <v>176</v>
      </c>
      <c r="FR125" s="308"/>
      <c r="FS125" s="308" t="s">
        <v>176</v>
      </c>
      <c r="FT125" s="308" t="s">
        <v>176</v>
      </c>
      <c r="FU125" s="308" t="s">
        <v>176</v>
      </c>
      <c r="FV125" s="308" t="s">
        <v>176</v>
      </c>
      <c r="FW125" s="308" t="s">
        <v>176</v>
      </c>
      <c r="FX125" s="308" t="s">
        <v>176</v>
      </c>
      <c r="FY125" s="308" t="s">
        <v>176</v>
      </c>
      <c r="FZ125" s="308" t="s">
        <v>176</v>
      </c>
      <c r="GA125" s="322" t="s">
        <v>387</v>
      </c>
      <c r="GB125" s="308" t="s">
        <v>176</v>
      </c>
      <c r="GC125" s="308" t="s">
        <v>176</v>
      </c>
      <c r="GD125" s="308" t="s">
        <v>176</v>
      </c>
      <c r="GE125" s="308" t="s">
        <v>176</v>
      </c>
      <c r="GF125" s="308" t="s">
        <v>176</v>
      </c>
      <c r="GG125" s="308" t="s">
        <v>176</v>
      </c>
      <c r="GH125" s="308" t="s">
        <v>176</v>
      </c>
      <c r="GI125" s="308" t="s">
        <v>176</v>
      </c>
      <c r="GJ125" s="308" t="s">
        <v>176</v>
      </c>
      <c r="GK125" s="308" t="s">
        <v>176</v>
      </c>
      <c r="GL125" s="311">
        <f>SUM(G125:FP125)</f>
        <v>52</v>
      </c>
      <c r="GM125" s="132"/>
    </row>
    <row r="126" spans="1:195" s="133" customFormat="1" ht="28.35" customHeight="1" thickBot="1" x14ac:dyDescent="0.3">
      <c r="A126" s="138" t="s">
        <v>161</v>
      </c>
      <c r="B126" s="138" t="s">
        <v>215</v>
      </c>
      <c r="C126" s="138" t="s">
        <v>657</v>
      </c>
      <c r="D126" s="138">
        <v>2081</v>
      </c>
      <c r="E126" s="564"/>
      <c r="F126" s="312" t="s">
        <v>166</v>
      </c>
      <c r="G126" s="313">
        <f>IF(INDEX(tab_MinKomp[Przepisy BHP / BHP Vorschriften],MATCH($B125,tab_MinKomp[[Stanowisko / Position ]:[Stanowisko / Position ]],0))="n/a","n/a",G125-INDEX(tab_MinKomp[Przepisy BHP / BHP Vorschriften],MATCH($B125,tab_MinKomp[[Stanowisko / Position ]:[Stanowisko / Position ]],0)))</f>
        <v>-1</v>
      </c>
      <c r="H126" s="314">
        <f>IF(INDEX(tab_MinKomp[Przepisy PPOŻ / Brandschutzbestimmungen],MATCH($B125,tab_MinKomp[[Stanowisko / Position ]:[Stanowisko / Position ]],0))="n/a","n/a",H125-INDEX(tab_MinKomp[Przepisy PPOŻ / Brandschutzbestimmungen],MATCH($B125,tab_MinKomp[[Stanowisko / Position ]:[Stanowisko / Position ]],0)))</f>
        <v>-1</v>
      </c>
      <c r="I126" s="314">
        <f>IF(INDEX(tab_MinKomp[Ryzyko zawodowe na stanowiskach pracyv/ Berufliche Risiken an Arbeitsstellen],MATCH($B125,tab_MinKomp[[Stanowisko / Position ]:[Stanowisko / Position ]],0))="n/a","n/a",I125-INDEX(tab_MinKomp[Ryzyko zawodowe na stanowiskach pracyv/ Berufliche Risiken an Arbeitsstellen],MATCH($B125,tab_MinKomp[[Stanowisko / Position ]:[Stanowisko / Position ]],0)))</f>
        <v>-1</v>
      </c>
      <c r="J126" s="314">
        <f>IF(INDEX(tab_MinKomp[Gospodarka substancjami niebezpiecznymi / Gefahrstoffmanagement],MATCH($B125,tab_MinKomp[[Stanowisko / Position ]:[Stanowisko / Position ]],0))="n/a","n/a",J125-INDEX(tab_MinKomp[Gospodarka substancjami niebezpiecznymi / Gefahrstoffmanagement],MATCH($B125,tab_MinKomp[[Stanowisko / Position ]:[Stanowisko / Position ]],0)))</f>
        <v>-1</v>
      </c>
      <c r="K126" s="314">
        <f>IF(INDEX(tab_MinKomp[Gospodarka odpadami / Abfallwirtschaft],MATCH($B125,tab_MinKomp[[Stanowisko / Position ]:[Stanowisko / Position ]],0))="n/a","n/a",K125-INDEX(tab_MinKomp[Gospodarka odpadami / Abfallwirtschaft],MATCH($B125,tab_MinKomp[[Stanowisko / Position ]:[Stanowisko / Position ]],0)))</f>
        <v>-1</v>
      </c>
      <c r="L126" s="315">
        <f>IF(INDEX(tab_MinKomp[Przepisy kodeksu pracy / Bestimmungen des Arbeitsgesetzes],MATCH($B125,tab_MinKomp[[Stanowisko / Position ]:[Stanowisko / Position ]],0))="n/a","n/a",L125-INDEX(tab_MinKomp[Przepisy kodeksu pracy / Bestimmungen des Arbeitsgesetzes],MATCH($B125,tab_MinKomp[[Stanowisko / Position ]:[Stanowisko / Position ]],0)))</f>
        <v>0</v>
      </c>
      <c r="M126" s="316" t="str">
        <f>IF(INDEX(tab_MinKomp[Przepisy o ub.społ. ZUS  / Sozialversicherungsvorschriften],MATCH($B125,tab_MinKomp[[Stanowisko / Position ]:[Stanowisko / Position ]],0))="n/a","n/a",M125-INDEX(tab_MinKomp[Przepisy o ub.społ. ZUS  / Sozialversicherungsvorschriften],MATCH($B125,tab_MinKomp[[Stanowisko / Position ]:[Stanowisko / Position ]],0)))</f>
        <v>n/a</v>
      </c>
      <c r="N126" s="315" t="str">
        <f>IF(INDEX(tab_MinKomp[PRZEPISY O PDOF /persönlich Einkommensteuergesetz ],MATCH($B125,tab_MinKomp[[Stanowisko / Position ]:[Stanowisko / Position ]],0))="n/a","n/a",N125-INDEX(tab_MinKomp[PRZEPISY O PDOF /persönlich Einkommensteuergesetz ],MATCH($B125,tab_MinKomp[[Stanowisko / Position ]:[Stanowisko / Position ]],0)))</f>
        <v>n/a</v>
      </c>
      <c r="O126" s="315">
        <f>IF(INDEX(tab_MinKomp[Regulamin pracy / Arbeitsordnung],MATCH($B125,tab_MinKomp[[Stanowisko / Position ]:[Stanowisko / Position ]],0))="n/a","n/a",O125-INDEX(tab_MinKomp[Regulamin pracy / Arbeitsordnung],MATCH($B125,tab_MinKomp[[Stanowisko / Position ]:[Stanowisko / Position ]],0)))</f>
        <v>0</v>
      </c>
      <c r="P126" s="315">
        <f>IF(INDEX(tab_MinKomp[Regulamin wynagradzania / Vergütungsordnung],MATCH($B125,tab_MinKomp[[Stanowisko / Position ]:[Stanowisko / Position ]],0))="n/a","n/a",P125-INDEX(tab_MinKomp[Regulamin wynagradzania / Vergütungsordnung],MATCH($B125,tab_MinKomp[[Stanowisko / Position ]:[Stanowisko / Position ]],0)))</f>
        <v>0</v>
      </c>
      <c r="Q126" s="315" t="str">
        <f>IF(INDEX(tab_MinKomp[System R2PŁATNIK PRO: Płace / Lohnabrechnung],MATCH($B125,tab_MinKomp[[Stanowisko / Position ]:[Stanowisko / Position ]],0))="n/a","n/a",Q125-INDEX(tab_MinKomp[System R2PŁATNIK PRO: Płace / Lohnabrechnung],MATCH($B125,tab_MinKomp[[Stanowisko / Position ]:[Stanowisko / Position ]],0)))</f>
        <v>n/a</v>
      </c>
      <c r="R126" s="315" t="str">
        <f>IF(INDEX(tab_MinKomp[SystemR2PŁATNIK PRO: KADRY / Personaldaten],MATCH($B125,tab_MinKomp[[Stanowisko / Position ]:[Stanowisko / Position ]],0))="n/a","n/a",R125-INDEX(tab_MinKomp[SystemR2PŁATNIK PRO: KADRY / Personaldaten],MATCH($B125,tab_MinKomp[[Stanowisko / Position ]:[Stanowisko / Position ]],0)))</f>
        <v>n/a</v>
      </c>
      <c r="S126" s="315" t="str">
        <f>IF(INDEX(tab_MinKomp[SYSTEM R2PŁATNIK PRO: zarządzanie pracownikami / Arbeitsverwaltung],MATCH($B125,tab_MinKomp[[Stanowisko / Position ]:[Stanowisko / Position ]],0))="n/a","n/a",S125-INDEX(tab_MinKomp[SYSTEM R2PŁATNIK PRO: zarządzanie pracownikami / Arbeitsverwaltung],MATCH($B125,tab_MinKomp[[Stanowisko / Position ]:[Stanowisko / Position ]],0)))</f>
        <v>n/a</v>
      </c>
      <c r="T126" s="315" t="str">
        <f>IF(INDEX(tab_MinKomp[Doradztwo, wsparcie personalne / Personalberatung und Unterstützung],MATCH($B125,tab_MinKomp[[Stanowisko / Position ]:[Stanowisko / Position ]],0))="n/a","n/a",T125-INDEX(tab_MinKomp[Doradztwo, wsparcie personalne / Personalberatung und Unterstützung],MATCH($B125,tab_MinKomp[[Stanowisko / Position ]:[Stanowisko / Position ]],0)))</f>
        <v>n/a</v>
      </c>
      <c r="U126" s="315" t="str">
        <f>IF(INDEX(tab_MinKomp[Przepisy o podatku VAT / MwSt.- Gesetz],MATCH($B125,tab_MinKomp[[Stanowisko / Position ]:[Stanowisko / Position ]],0))="n/a","n/a",U125-INDEX(tab_MinKomp[Przepisy o podatku VAT / MwSt.- Gesetz],MATCH($B125,tab_MinKomp[[Stanowisko / Position ]:[Stanowisko / Position ]],0)))</f>
        <v>n/a</v>
      </c>
      <c r="V126" s="315" t="str">
        <f>IF(INDEX(tab_MinKomp[PrzepisyPDOP / geschäftlich Einkommensteuergesetz],MATCH($B125,tab_MinKomp[[Stanowisko / Position ]:[Stanowisko / Position ]],0))="n/a","n/a",V125-INDEX(tab_MinKomp[PrzepisyPDOP / geschäftlich Einkommensteuergesetz],MATCH($B125,tab_MinKomp[[Stanowisko / Position ]:[Stanowisko / Position ]],0)))</f>
        <v>n/a</v>
      </c>
      <c r="W126" s="315" t="str">
        <f>IF(INDEX(tab_MinKomp[System BAAN / FINANSE (FIBU)],MATCH($B125,tab_MinKomp[[Stanowisko / Position ]:[Stanowisko / Position ]],0))="n/a","n/a",W125-INDEX(tab_MinKomp[System BAAN / FINANSE (FIBU)],MATCH($B125,tab_MinKomp[[Stanowisko / Position ]:[Stanowisko / Position ]],0)))</f>
        <v>n/a</v>
      </c>
      <c r="X126" s="315" t="str">
        <f>IF(INDEX(tab_MinKomp[Systemy pomocnicze / Hilfssysteme(STOCKPROGRAM, KALK2000 etc.)],MATCH($B125,tab_MinKomp[[Stanowisko / Position ]:[Stanowisko / Position ]],0))="n/a","n/a",X125-INDEX(tab_MinKomp[Systemy pomocnicze / Hilfssysteme(STOCKPROGRAM, KALK2000 etc.)],MATCH($B125,tab_MinKomp[[Stanowisko / Position ]:[Stanowisko / Position ]],0)))</f>
        <v>n/a</v>
      </c>
      <c r="Y126" s="315" t="str">
        <f>IF(INDEX(tab_MinKomp[Polityka rachunkowości / Buchführungspolitik],MATCH($B125,tab_MinKomp[[Stanowisko / Position ]:[Stanowisko / Position ]],0))="n/a","n/a",Y125-INDEX(tab_MinKomp[Polityka rachunkowości / Buchführungspolitik],MATCH($B125,tab_MinKomp[[Stanowisko / Position ]:[Stanowisko / Position ]],0)))</f>
        <v>n/a</v>
      </c>
      <c r="Z126" s="315" t="str">
        <f>IF(INDEX(tab_MinKomp[Ustawa o rachunkowości / Rechnungslegungsgesetz],MATCH($B125,tab_MinKomp[[Stanowisko / Position ]:[Stanowisko / Position ]],0))="n/a","n/a",Z125-INDEX(tab_MinKomp[Ustawa o rachunkowości / Rechnungslegungsgesetz],MATCH($B125,tab_MinKomp[[Stanowisko / Position ]:[Stanowisko / Position ]],0)))</f>
        <v>n/a</v>
      </c>
      <c r="AA126" s="315" t="str">
        <f>IF(INDEX(tab_MinKomp[WORKFLOW - TS-100],MATCH($B125,tab_MinKomp[[Stanowisko / Position ]:[Stanowisko / Position ]],0))="n/a","n/a",AA125-INDEX(tab_MinKomp[WORKFLOW - TS-100],MATCH($B125,tab_MinKomp[[Stanowisko / Position ]:[Stanowisko / Position ]],0)))</f>
        <v>n/a</v>
      </c>
      <c r="AB126" s="315">
        <f>IF(INDEX(tab_MinKomp[WORKFLOW - SFMS],MATCH($B125,tab_MinKomp[[Stanowisko / Position ]:[Stanowisko / Position ]],0))="n/a","n/a",AB125-INDEX(tab_MinKomp[WORKFLOW - SFMS],MATCH($B125,tab_MinKomp[[Stanowisko / Position ]:[Stanowisko / Position ]],0)))</f>
        <v>-1</v>
      </c>
      <c r="AC126" s="315">
        <f>IF(INDEX(tab_MinKomp[System ISO 9001:2015],MATCH($B125,tab_MinKomp[[Stanowisko / Position ]:[Stanowisko / Position ]],0))="n/a","n/a",AC125-INDEX(tab_MinKomp[System ISO 9001:2015],MATCH($B125,tab_MinKomp[[Stanowisko / Position ]:[Stanowisko / Position ]],0)))</f>
        <v>-2</v>
      </c>
      <c r="AD126" s="315">
        <f>IF(INDEX(tab_MinKomp[System IATF 16949:2016],MATCH($B125,tab_MinKomp[[Stanowisko / Position ]:[Stanowisko / Position ]],0))="n/a","n/a",AD125-INDEX(tab_MinKomp[System IATF 16949:2016],MATCH($B125,tab_MinKomp[[Stanowisko / Position ]:[Stanowisko / Position ]],0)))</f>
        <v>-2</v>
      </c>
      <c r="AE126" s="315" t="str">
        <f>IF(INDEX(tab_MinKomp[System ISO 14001:2015],MATCH($B125,tab_MinKomp[[Stanowisko / Position ]:[Stanowisko / Position ]],0))="n/a","n/a",AE125-INDEX(tab_MinKomp[System ISO 14001:2015],MATCH($B125,tab_MinKomp[[Stanowisko / Position ]:[Stanowisko / Position ]],0)))</f>
        <v>n/a</v>
      </c>
      <c r="AF126" s="315" t="str">
        <f>IF(INDEX(tab_MinKomp[System PN-N 18001:2004 / ISO 45001:2018],MATCH($B125,tab_MinKomp[[Stanowisko / Position ]:[Stanowisko / Position ]],0))="n/a","n/a",AF125-INDEX(tab_MinKomp[System PN-N 18001:2004 / ISO 45001:2018],MATCH($B125,tab_MinKomp[[Stanowisko / Position ]:[Stanowisko / Position ]],0)))</f>
        <v>n/a</v>
      </c>
      <c r="AG126" s="315">
        <f>IF(INDEX(tab_MinKomp[Wymagania VDA 6.3 Process / Forderungen],MATCH($B125,tab_MinKomp[[Stanowisko / Position ]:[Stanowisko / Position ]],0))="n/a","n/a",AG125-INDEX(tab_MinKomp[Wymagania VDA 6.3 Process / Forderungen],MATCH($B125,tab_MinKomp[[Stanowisko / Position ]:[Stanowisko / Position ]],0)))</f>
        <v>-2</v>
      </c>
      <c r="AH126" s="315">
        <f>IF(INDEX(tab_MinKomp[Wymagania VDA 6.5 Product / Forderungen],MATCH($B125,tab_MinKomp[[Stanowisko / Position ]:[Stanowisko / Position ]],0))="n/a","n/a",AH125-INDEX(tab_MinKomp[Wymagania VDA 6.5 Product / Forderungen],MATCH($B125,tab_MinKomp[[Stanowisko / Position ]:[Stanowisko / Position ]],0)))</f>
        <v>-2</v>
      </c>
      <c r="AI126" s="315" t="str">
        <f>IF(INDEX(tab_MinKomp[PSCR (VW Product Safety &amp; Conformity Representative)],MATCH($B125,tab_MinKomp[[Stanowisko / Position ]:[Stanowisko / Position ]],0))="n/a","n/a",AI125-INDEX(tab_MinKomp[PSCR (VW Product Safety &amp; Conformity Representative)],MATCH($B125,tab_MinKomp[[Stanowisko / Position ]:[Stanowisko / Position ]],0)))</f>
        <v>n/a</v>
      </c>
      <c r="AJ126" s="315" t="str">
        <f>IF(INDEX(tab_MinKomp[Auditor systemu ISO 17025:2018],MATCH($B125,tab_MinKomp[[Stanowisko / Position ]:[Stanowisko / Position ]],0))="n/a","n/a",AJ125-INDEX(tab_MinKomp[Auditor systemu ISO 17025:2018],MATCH($B125,tab_MinKomp[[Stanowisko / Position ]:[Stanowisko / Position ]],0)))</f>
        <v>n/a</v>
      </c>
      <c r="AK126" s="315" t="str">
        <f>IF(INDEX(tab_MinKomp[Pełnomocnik systemu / Systemvertreter],MATCH($B125,tab_MinKomp[[Stanowisko / Position ]:[Stanowisko / Position ]],0))="n/a","n/a",AK125-INDEX(tab_MinKomp[Pełnomocnik systemu / Systemvertreter],MATCH($B125,tab_MinKomp[[Stanowisko / Position ]:[Stanowisko / Position ]],0)))</f>
        <v>n/a</v>
      </c>
      <c r="AL126" s="315">
        <f>IF(INDEX(tab_MinKomp[Polityka Etyczna - Compliance],MATCH($B125,tab_MinKomp[[Stanowisko / Position ]:[Stanowisko / Position ]],0))="n/a","n/a",AL125-INDEX(tab_MinKomp[Polityka Etyczna - Compliance],MATCH($B125,tab_MinKomp[[Stanowisko / Position ]:[Stanowisko / Position ]],0)))</f>
        <v>-1</v>
      </c>
      <c r="AM126" s="315">
        <f>IF(INDEX(tab_MinKomp[WDRAŻANIE NOWYCH PROJEKTÓW/ PROCEDURA CTM],MATCH($B125,tab_MinKomp[[Stanowisko / Position ]:[Stanowisko / Position ]],0))="n/a","n/a",AM125-INDEX(tab_MinKomp[WDRAŻANIE NOWYCH PROJEKTÓW/ PROCEDURA CTM],MATCH($B125,tab_MinKomp[[Stanowisko / Position ]:[Stanowisko / Position ]],0)))</f>
        <v>-1</v>
      </c>
      <c r="AN126" s="315">
        <f>IF(INDEX(tab_MinKomp[KAMIENIE MILOWE MSL/PIFF],MATCH($B125,tab_MinKomp[[Stanowisko / Position ]:[Stanowisko / Position ]],0))="n/a","n/a",AN125-INDEX(tab_MinKomp[KAMIENIE MILOWE MSL/PIFF],MATCH($B125,tab_MinKomp[[Stanowisko / Position ]:[Stanowisko / Position ]],0)))</f>
        <v>-1</v>
      </c>
      <c r="AO126" s="315">
        <f>IF(INDEX(tab_MinKomp[CP],MATCH($B125,tab_MinKomp[[Stanowisko / Position ]:[Stanowisko / Position ]],0))="n/a","n/a",AO125-INDEX(tab_MinKomp[CP],MATCH($B125,tab_MinKomp[[Stanowisko / Position ]:[Stanowisko / Position ]],0)))</f>
        <v>-1</v>
      </c>
      <c r="AP126" s="315">
        <f>IF(INDEX(tab_MinKomp[FMEA],MATCH($B125,tab_MinKomp[[Stanowisko / Position ]:[Stanowisko / Position ]],0))="n/a","n/a",AP125-INDEX(tab_MinKomp[FMEA],MATCH($B125,tab_MinKomp[[Stanowisko / Position ]:[Stanowisko / Position ]],0)))</f>
        <v>-2</v>
      </c>
      <c r="AQ126" s="315">
        <f>IF(INDEX(tab_MinKomp[FLOW CHART],MATCH($B125,tab_MinKomp[[Stanowisko / Position ]:[Stanowisko / Position ]],0))="n/a","n/a",AQ125-INDEX(tab_MinKomp[FLOW CHART],MATCH($B125,tab_MinKomp[[Stanowisko / Position ]:[Stanowisko / Position ]],0)))</f>
        <v>-1</v>
      </c>
      <c r="AR126" s="315">
        <f>IF(INDEX(tab_MinKomp[APQP],MATCH($B125,tab_MinKomp[[Stanowisko / Position ]:[Stanowisko / Position ]],0))="n/a","n/a",AR125-INDEX(tab_MinKomp[APQP],MATCH($B125,tab_MinKomp[[Stanowisko / Position ]:[Stanowisko / Position ]],0)))</f>
        <v>-1</v>
      </c>
      <c r="AS126" s="315">
        <f>IF(INDEX(tab_MinKomp[MSA],MATCH($B125,tab_MinKomp[[Stanowisko / Position ]:[Stanowisko / Position ]],0))="n/a","n/a",AS125-INDEX(tab_MinKomp[MSA],MATCH($B125,tab_MinKomp[[Stanowisko / Position ]:[Stanowisko / Position ]],0)))</f>
        <v>-2</v>
      </c>
      <c r="AT126" s="315">
        <f>IF(INDEX(tab_MinKomp[SPC],MATCH($B125,tab_MinKomp[[Stanowisko / Position ]:[Stanowisko / Position ]],0))="n/a","n/a",AT125-INDEX(tab_MinKomp[SPC],MATCH($B125,tab_MinKomp[[Stanowisko / Position ]:[Stanowisko / Position ]],0)))</f>
        <v>-2</v>
      </c>
      <c r="AU126" s="315">
        <f>IF(INDEX(tab_MinKomp[CSR (SPECYFICZNE WYMAGANIA KLIENTA)],MATCH($B125,tab_MinKomp[[Stanowisko / Position ]:[Stanowisko / Position ]],0))="n/a","n/a",AU125-INDEX(tab_MinKomp[CSR (SPECYFICZNE WYMAGANIA KLIENTA)],MATCH($B125,tab_MinKomp[[Stanowisko / Position ]:[Stanowisko / Position ]],0)))</f>
        <v>-2</v>
      </c>
      <c r="AV126" s="315">
        <f>IF(INDEX(tab_MinKomp[5S],MATCH($B125,tab_MinKomp[[Stanowisko / Position ]:[Stanowisko / Position ]],0))="n/a","n/a",AV125-INDEX(tab_MinKomp[5S],MATCH($B125,tab_MinKomp[[Stanowisko / Position ]:[Stanowisko / Position ]],0)))</f>
        <v>-1</v>
      </c>
      <c r="AW126" s="315">
        <f>IF(INDEX(tab_MinKomp[LEAN MANAGEMENT],MATCH($B125,tab_MinKomp[[Stanowisko / Position ]:[Stanowisko / Position ]],0))="n/a","n/a",AW125-INDEX(tab_MinKomp[LEAN MANAGEMENT],MATCH($B125,tab_MinKomp[[Stanowisko / Position ]:[Stanowisko / Position ]],0)))</f>
        <v>-2</v>
      </c>
      <c r="AX126" s="315">
        <f>IF(INDEX(tab_MinKomp[5R],MATCH($B125,tab_MinKomp[[Stanowisko / Position ]:[Stanowisko / Position ]],0))="n/a","n/a",AX125-INDEX(tab_MinKomp[5R],MATCH($B125,tab_MinKomp[[Stanowisko / Position ]:[Stanowisko / Position ]],0)))</f>
        <v>-2</v>
      </c>
      <c r="AY126" s="315">
        <f>IF(INDEX(tab_MinKomp[Six Sigma],MATCH($B125,tab_MinKomp[[Stanowisko / Position ]:[Stanowisko / Position ]],0))="n/a","n/a",AY125-INDEX(tab_MinKomp[Six Sigma],MATCH($B125,tab_MinKomp[[Stanowisko / Position ]:[Stanowisko / Position ]],0)))</f>
        <v>-1</v>
      </c>
      <c r="AZ126" s="315">
        <f>IF(INDEX(tab_MinKomp[System BAAN / Distribution &amp; Supply Chain],MATCH($B125,tab_MinKomp[[Stanowisko / Position ]:[Stanowisko / Position ]],0))="n/a","n/a",AZ125-INDEX(tab_MinKomp[System BAAN / Distribution &amp; Supply Chain],MATCH($B125,tab_MinKomp[[Stanowisko / Position ]:[Stanowisko / Position ]],0)))</f>
        <v>-1</v>
      </c>
      <c r="BA126" s="315" t="str">
        <f>IF(INDEX(tab_MinKomp[Gospodarka magazynowa / Lagerverwaltung],MATCH($B125,tab_MinKomp[[Stanowisko / Position ]:[Stanowisko / Position ]],0))="n/a","n/a",BA125-INDEX(tab_MinKomp[Gospodarka magazynowa / Lagerverwaltung],MATCH($B125,tab_MinKomp[[Stanowisko / Position ]:[Stanowisko / Position ]],0)))</f>
        <v>n/a</v>
      </c>
      <c r="BB126" s="315">
        <f>IF(INDEX(tab_MinKomp[Inwentaryzacja - organizacja i przebieg / Inventurprozess],MATCH($B125,tab_MinKomp[[Stanowisko / Position ]:[Stanowisko / Position ]],0))="n/a","n/a",BB125-INDEX(tab_MinKomp[Inwentaryzacja - organizacja i przebieg / Inventurprozess],MATCH($B125,tab_MinKomp[[Stanowisko / Position ]:[Stanowisko / Position ]],0)))</f>
        <v>-2</v>
      </c>
      <c r="BC126" s="315">
        <f>IF(INDEX(tab_MinKomp[Organizacja dostaw / Versorgungsorganisation],MATCH($B125,tab_MinKomp[[Stanowisko / Position ]:[Stanowisko / Position ]],0))="n/a","n/a",BC125-INDEX(tab_MinKomp[Organizacja dostaw / Versorgungsorganisation],MATCH($B125,tab_MinKomp[[Stanowisko / Position ]:[Stanowisko / Position ]],0)))</f>
        <v>-1</v>
      </c>
      <c r="BD126" s="315">
        <f>IF(INDEX(tab_MinKomp[Organizacja wysyłek / Organisation von Lieferungen],MATCH($B125,tab_MinKomp[[Stanowisko / Position ]:[Stanowisko / Position ]],0))="n/a","n/a",BD125-INDEX(tab_MinKomp[Organizacja wysyłek / Organisation von Lieferungen],MATCH($B125,tab_MinKomp[[Stanowisko / Position ]:[Stanowisko / Position ]],0)))</f>
        <v>-1</v>
      </c>
      <c r="BE126" s="315" t="str">
        <f>IF(INDEX(tab_MinKomp[Analiza magazynowa - Program Polen.mdb / Inventuranalyse],MATCH($B125,tab_MinKomp[[Stanowisko / Position ]:[Stanowisko / Position ]],0))="n/a","n/a",BE125-INDEX(tab_MinKomp[Analiza magazynowa - Program Polen.mdb / Inventuranalyse],MATCH($B125,tab_MinKomp[[Stanowisko / Position ]:[Stanowisko / Position ]],0)))</f>
        <v>n/a</v>
      </c>
      <c r="BF126" s="315" t="str">
        <f>IF(INDEX(tab_MinKomp[MMOG (Materials Management Operations Guidelines)],MATCH($B125,tab_MinKomp[[Stanowisko / Position ]:[Stanowisko / Position ]],0))="n/a","n/a",BF125-INDEX(tab_MinKomp[MMOG (Materials Management Operations Guidelines)],MATCH($B125,tab_MinKomp[[Stanowisko / Position ]:[Stanowisko / Position ]],0)))</f>
        <v>n/a</v>
      </c>
      <c r="BG126" s="315" t="str">
        <f>IF(INDEX(tab_MinKomp[GPP],MATCH($B125,tab_MinKomp[[Stanowisko / Position ]:[Stanowisko / Position ]],0))="n/a","n/a",BG125-INDEX(tab_MinKomp[GPP],MATCH($B125,tab_MinKomp[[Stanowisko / Position ]:[Stanowisko / Position ]],0)))</f>
        <v>n/a</v>
      </c>
      <c r="BH126" s="315" t="str">
        <f>IF(INDEX(tab_MinKomp[AIAG (Automotive Industry Action Group)],MATCH($B125,tab_MinKomp[[Stanowisko / Position ]:[Stanowisko / Position ]],0))="n/a","n/a",BH125-INDEX(tab_MinKomp[AIAG (Automotive Industry Action Group)],MATCH($B125,tab_MinKomp[[Stanowisko / Position ]:[Stanowisko / Position ]],0)))</f>
        <v>n/a</v>
      </c>
      <c r="BI126" s="315" t="str">
        <f>IF(INDEX(tab_MinKomp[Super-G disputes],MATCH($B125,tab_MinKomp[[Stanowisko / Position ]:[Stanowisko / Position ]],0))="n/a","n/a",BI125-INDEX(tab_MinKomp[Super-G disputes],MATCH($B125,tab_MinKomp[[Stanowisko / Position ]:[Stanowisko / Position ]],0)))</f>
        <v>n/a</v>
      </c>
      <c r="BJ126" s="315" t="str">
        <f>IF(INDEX(tab_MinKomp[CMMS3/eDDL (Direct Data Link)],MATCH($B125,tab_MinKomp[[Stanowisko / Position ]:[Stanowisko / Position ]],0))="n/a","n/a",BJ125-INDEX(tab_MinKomp[CMMS3/eDDL (Direct Data Link)],MATCH($B125,tab_MinKomp[[Stanowisko / Position ]:[Stanowisko / Position ]],0)))</f>
        <v>n/a</v>
      </c>
      <c r="BK126" s="315" t="str">
        <f>IF(INDEX(tab_MinKomp[MP&amp;L (Material Planning and Logistics)],MATCH($B125,tab_MinKomp[[Stanowisko / Position ]:[Stanowisko / Position ]],0))="n/a","n/a",BK125-INDEX(tab_MinKomp[MP&amp;L (Material Planning and Logistics)],MATCH($B125,tab_MinKomp[[Stanowisko / Position ]:[Stanowisko / Position ]],0)))</f>
        <v>n/a</v>
      </c>
      <c r="BL126" s="315" t="str">
        <f>IF(INDEX(tab_MinKomp[Supplier delivery rating],MATCH($B125,tab_MinKomp[[Stanowisko / Position ]:[Stanowisko / Position ]],0))="n/a","n/a",BL125-INDEX(tab_MinKomp[Supplier delivery rating],MATCH($B125,tab_MinKomp[[Stanowisko / Position ]:[Stanowisko / Position ]],0)))</f>
        <v>n/a</v>
      </c>
      <c r="BM126" s="315">
        <f>IF(INDEX(tab_MinKomp[Planowanie produkcji / Produktionsplanung],MATCH($B125,tab_MinKomp[[Stanowisko / Position ]:[Stanowisko / Position ]],0))="n/a","n/a",BM125-INDEX(tab_MinKomp[Planowanie produkcji / Produktionsplanung],MATCH($B125,tab_MinKomp[[Stanowisko / Position ]:[Stanowisko / Position ]],0)))</f>
        <v>-1</v>
      </c>
      <c r="BN126" s="315" t="str">
        <f>IF(INDEX(tab_MinKomp[Obsługa maszyn Engel / Engel Maschinenbedienung],MATCH($B125,tab_MinKomp[[Stanowisko / Position ]:[Stanowisko / Position ]],0))="n/a","n/a",BN125-INDEX(tab_MinKomp[Obsługa maszyn Engel / Engel Maschinenbedienung],MATCH($B125,tab_MinKomp[[Stanowisko / Position ]:[Stanowisko / Position ]],0)))</f>
        <v>n/a</v>
      </c>
      <c r="BO126" s="315">
        <f>IF(INDEX(tab_MinKomp[Obsługa maszyn Novapax / Novapax Maschinenbedienung],MATCH($B125,tab_MinKomp[[Stanowisko / Position ]:[Stanowisko / Position ]],0))="n/a","n/a",BO125-INDEX(tab_MinKomp[Obsługa maszyn Novapax / Novapax Maschinenbedienung],MATCH($B125,tab_MinKomp[[Stanowisko / Position ]:[Stanowisko / Position ]],0)))</f>
        <v>-1</v>
      </c>
      <c r="BP126" s="315">
        <f>IF(INDEX(tab_MinKomp[Obsługa maszyn KVT / KVT Maschinenbedienung],MATCH($B125,tab_MinKomp[[Stanowisko / Position ]:[Stanowisko / Position ]],0))="n/a","n/a",BP125-INDEX(tab_MinKomp[Obsługa maszyn KVT / KVT Maschinenbedienung],MATCH($B125,tab_MinKomp[[Stanowisko / Position ]:[Stanowisko / Position ]],0)))</f>
        <v>-1</v>
      </c>
      <c r="BQ126" s="315">
        <f>IF(INDEX(tab_MinKomp[Obsługa maszyn ASL / ASL Maschinenbedienung],MATCH($B125,tab_MinKomp[[Stanowisko / Position ]:[Stanowisko / Position ]],0))="n/a","n/a",BQ125-INDEX(tab_MinKomp[Obsługa maszyn ASL / ASL Maschinenbedienung],MATCH($B125,tab_MinKomp[[Stanowisko / Position ]:[Stanowisko / Position ]],0)))</f>
        <v>-1</v>
      </c>
      <c r="BR126" s="315">
        <f>IF(INDEX(tab_MinKomp[Obsługa maszyn Branson / Branson Maschinenbedienung],MATCH($B125,tab_MinKomp[[Stanowisko / Position ]:[Stanowisko / Position ]],0))="n/a","n/a",BR125-INDEX(tab_MinKomp[Obsługa maszyn Branson / Branson Maschinenbedienung],MATCH($B125,tab_MinKomp[[Stanowisko / Position ]:[Stanowisko / Position ]],0)))</f>
        <v>-1</v>
      </c>
      <c r="BS126" s="315">
        <f>IF(INDEX(tab_MinKomp[Obsługa maszyn Kamtec / Kamtec Maschinenbedienung],MATCH($B125,tab_MinKomp[[Stanowisko / Position ]:[Stanowisko / Position ]],0))="n/a","n/a",BS125-INDEX(tab_MinKomp[Obsługa maszyn Kamtec / Kamtec Maschinenbedienung],MATCH($B125,tab_MinKomp[[Stanowisko / Position ]:[Stanowisko / Position ]],0)))</f>
        <v>-1</v>
      </c>
      <c r="BT126" s="315">
        <f>IF(INDEX(tab_MinKomp[Obsługa maszyn Piovan / Piovan Maschinenbedienung],MATCH($B125,tab_MinKomp[[Stanowisko / Position ]:[Stanowisko / Position ]],0))="n/a","n/a",BT125-INDEX(tab_MinKomp[Obsługa maszyn Piovan / Piovan Maschinenbedienung],MATCH($B125,tab_MinKomp[[Stanowisko / Position ]:[Stanowisko / Position ]],0)))</f>
        <v>-1</v>
      </c>
      <c r="BU126" s="315">
        <f>IF(INDEX(tab_MinKomp[Obsługa maszyn REP / REP Maschinenbedienung],MATCH($B125,tab_MinKomp[[Stanowisko / Position ]:[Stanowisko / Position ]],0))="n/a","n/a",BU125-INDEX(tab_MinKomp[Obsługa maszyn REP / REP Maschinenbedienung],MATCH($B125,tab_MinKomp[[Stanowisko / Position ]:[Stanowisko / Position ]],0)))</f>
        <v>-1</v>
      </c>
      <c r="BV126" s="315" t="str">
        <f>IF(INDEX(tab_MinKomp[Eliminacja awarii / Beseitigung von Ausfällen],MATCH($B125,tab_MinKomp[[Stanowisko / Position ]:[Stanowisko / Position ]],0))="n/a","n/a",BV125-INDEX(tab_MinKomp[Eliminacja awarii / Beseitigung von Ausfällen],MATCH($B125,tab_MinKomp[[Stanowisko / Position ]:[Stanowisko / Position ]],0)))</f>
        <v>n/a</v>
      </c>
      <c r="BW126" s="315" t="str">
        <f>IF(INDEX(tab_MinKomp[Informatyka ogólna (techniczne i systemowe) / Allgemeine IT (Technik und System)],MATCH($B125,tab_MinKomp[[Stanowisko / Position ]:[Stanowisko / Position ]],0))="n/a","n/a",BW125-INDEX(tab_MinKomp[Informatyka ogólna (techniczne i systemowe) / Allgemeine IT (Technik und System)],MATCH($B125,tab_MinKomp[[Stanowisko / Position ]:[Stanowisko / Position ]],0)))</f>
        <v>n/a</v>
      </c>
      <c r="BX126" s="315" t="str">
        <f>IF(INDEX(tab_MinKomp[Sieci komputerowe / Computernetzwerke],MATCH($B125,tab_MinKomp[[Stanowisko / Position ]:[Stanowisko / Position ]],0))="n/a","n/a",BX125-INDEX(tab_MinKomp[Sieci komputerowe / Computernetzwerke],MATCH($B125,tab_MinKomp[[Stanowisko / Position ]:[Stanowisko / Position ]],0)))</f>
        <v>n/a</v>
      </c>
      <c r="BY126" s="315" t="str">
        <f>IF(INDEX(tab_MinKomp[Hardware (komputery PC, drukarki biurowe i etykietowe, telefonia stacjonarna i mobilna) (PC, Drucker, Telefpne, Handys)],MATCH($B125,tab_MinKomp[[Stanowisko / Position ]:[Stanowisko / Position ]],0))="n/a","n/a",BY125-INDEX(tab_MinKomp[Hardware (komputery PC, drukarki biurowe i etykietowe, telefonia stacjonarna i mobilna) (PC, Drucker, Telefpne, Handys)],MATCH($B125,tab_MinKomp[[Stanowisko / Position ]:[Stanowisko / Position ]],0)))</f>
        <v>n/a</v>
      </c>
      <c r="BZ126" s="315" t="str">
        <f>IF(INDEX(tab_MinKomp[Software &amp; Systems (MS Office, MS Remote Desktop)],MATCH($B125,tab_MinKomp[[Stanowisko / Position ]:[Stanowisko / Position ]],0))="n/a","n/a",BZ125-INDEX(tab_MinKomp[Software &amp; Systems (MS Office, MS Remote Desktop)],MATCH($B125,tab_MinKomp[[Stanowisko / Position ]:[Stanowisko / Position ]],0)))</f>
        <v>n/a</v>
      </c>
      <c r="CA126" s="315" t="str">
        <f>IF(INDEX(tab_MinKomp[Programowanie obiektowe (PHP) / Objektprogrammierung],MATCH($B125,tab_MinKomp[[Stanowisko / Position ]:[Stanowisko / Position ]],0))="n/a","n/a",CA125-INDEX(tab_MinKomp[Programowanie obiektowe (PHP) / Objektprogrammierung],MATCH($B125,tab_MinKomp[[Stanowisko / Position ]:[Stanowisko / Position ]],0)))</f>
        <v>n/a</v>
      </c>
      <c r="CB126" s="315" t="str">
        <f>IF(INDEX(tab_MinKomp[Scrum],MATCH($B125,tab_MinKomp[[Stanowisko / Position ]:[Stanowisko / Position ]],0))="n/a","n/a",CB125-INDEX(tab_MinKomp[Scrum],MATCH($B125,tab_MinKomp[[Stanowisko / Position ]:[Stanowisko / Position ]],0)))</f>
        <v>n/a</v>
      </c>
      <c r="CC126" s="315" t="str">
        <f>IF(INDEX(tab_MinKomp[SQL (MySQL)],MATCH($B125,tab_MinKomp[[Stanowisko / Position ]:[Stanowisko / Position ]],0))="n/a","n/a",CC125-INDEX(tab_MinKomp[SQL (MySQL)],MATCH($B125,tab_MinKomp[[Stanowisko / Position ]:[Stanowisko / Position ]],0)))</f>
        <v>n/a</v>
      </c>
      <c r="CD126" s="315" t="str">
        <f>IF(INDEX(tab_MinKomp[Javascript],MATCH($B125,tab_MinKomp[[Stanowisko / Position ]:[Stanowisko / Position ]],0))="n/a","n/a",CD125-INDEX(tab_MinKomp[Javascript],MATCH($B125,tab_MinKomp[[Stanowisko / Position ]:[Stanowisko / Position ]],0)))</f>
        <v>n/a</v>
      </c>
      <c r="CE126" s="315" t="str">
        <f>IF(INDEX(tab_MinKomp[Joomla],MATCH($B125,tab_MinKomp[[Stanowisko / Position ]:[Stanowisko / Position ]],0))="n/a","n/a",CE125-INDEX(tab_MinKomp[Joomla],MATCH($B125,tab_MinKomp[[Stanowisko / Position ]:[Stanowisko / Position ]],0)))</f>
        <v>n/a</v>
      </c>
      <c r="CF126" s="315" t="str">
        <f>IF(INDEX(tab_MinKomp[Bash],MATCH($B125,tab_MinKomp[[Stanowisko / Position ]:[Stanowisko / Position ]],0))="n/a","n/a",CF125-INDEX(tab_MinKomp[Bash],MATCH($B125,tab_MinKomp[[Stanowisko / Position ]:[Stanowisko / Position ]],0)))</f>
        <v>n/a</v>
      </c>
      <c r="CG126" s="315">
        <f>IF(INDEX(tab_MinKomp[Systemy MES (HYDRA / SFMS)],MATCH($B125,tab_MinKomp[[Stanowisko / Position ]:[Stanowisko / Position ]],0))="n/a","n/a",CG125-INDEX(tab_MinKomp[Systemy MES (HYDRA / SFMS)],MATCH($B125,tab_MinKomp[[Stanowisko / Position ]:[Stanowisko / Position ]],0)))</f>
        <v>-1</v>
      </c>
      <c r="CH126" s="315" t="str">
        <f>IF(INDEX(tab_MinKomp[HTML / CSS],MATCH($B125,tab_MinKomp[[Stanowisko / Position ]:[Stanowisko / Position ]],0))="n/a","n/a",CH125-INDEX(tab_MinKomp[HTML / CSS],MATCH($B125,tab_MinKomp[[Stanowisko / Position ]:[Stanowisko / Position ]],0)))</f>
        <v>n/a</v>
      </c>
      <c r="CI126" s="315">
        <f>IF(INDEX(tab_MinKomp[SYSTEM PR],MATCH($B125,tab_MinKomp[[Stanowisko / Position ]:[Stanowisko / Position ]],0))="n/a","n/a",CI125-INDEX(tab_MinKomp[SYSTEM PR],MATCH($B125,tab_MinKomp[[Stanowisko / Position ]:[Stanowisko / Position ]],0)))</f>
        <v>-1</v>
      </c>
      <c r="CJ126" s="315">
        <f>IF(INDEX(tab_MinKomp[System Einkauf XP / EBA],MATCH($B125,tab_MinKomp[[Stanowisko / Position ]:[Stanowisko / Position ]],0))="n/a","n/a",CJ125-INDEX(tab_MinKomp[System Einkauf XP / EBA],MATCH($B125,tab_MinKomp[[Stanowisko / Position ]:[Stanowisko / Position ]],0)))</f>
        <v>-1</v>
      </c>
      <c r="CK126" s="315">
        <f>IF(INDEX(tab_MinKomp[Techniki negocjacyjne / Verhandlungstechniken],MATCH($B125,tab_MinKomp[[Stanowisko / Position ]:[Stanowisko / Position ]],0))="n/a","n/a",CK125-INDEX(tab_MinKomp[Techniki negocjacyjne / Verhandlungstechniken],MATCH($B125,tab_MinKomp[[Stanowisko / Position ]:[Stanowisko / Position ]],0)))</f>
        <v>0</v>
      </c>
      <c r="CL126" s="315">
        <f>IF(INDEX(tab_MinKomp[Znajomość rynku branżowego / Kenntnis des Industrie Marktes],MATCH($B125,tab_MinKomp[[Stanowisko / Position ]:[Stanowisko / Position ]],0))="n/a","n/a",CL125-INDEX(tab_MinKomp[Znajomość rynku branżowego / Kenntnis des Industrie Marktes],MATCH($B125,tab_MinKomp[[Stanowisko / Position ]:[Stanowisko / Position ]],0)))</f>
        <v>-1</v>
      </c>
      <c r="CM126" s="315">
        <f>IF(INDEX(tab_MinKomp[RAPORTY 8D / 8D Berichten],MATCH($B125,tab_MinKomp[[Stanowisko / Position ]:[Stanowisko / Position ]],0))="n/a","n/a",CM125-INDEX(tab_MinKomp[RAPORTY 8D / 8D Berichten],MATCH($B125,tab_MinKomp[[Stanowisko / Position ]:[Stanowisko / Position ]],0)))</f>
        <v>-1</v>
      </c>
      <c r="CN126" s="315">
        <f>IF(INDEX(tab_MinKomp[NARZĘDZIA JAKOŚCIOWE (5WHY, Ishikawa, etc) / QS-Werkzeuge],MATCH($B125,tab_MinKomp[[Stanowisko / Position ]:[Stanowisko / Position ]],0))="n/a","n/a",CN125-INDEX(tab_MinKomp[NARZĘDZIA JAKOŚCIOWE (5WHY, Ishikawa, etc) / QS-Werkzeuge],MATCH($B125,tab_MinKomp[[Stanowisko / Position ]:[Stanowisko / Position ]],0)))</f>
        <v>-1</v>
      </c>
      <c r="CO126" s="315">
        <f>IF(INDEX(tab_MinKomp[PDCA],MATCH($B125,tab_MinKomp[[Stanowisko / Position ]:[Stanowisko / Position ]],0))="n/a","n/a",CO125-INDEX(tab_MinKomp[PDCA],MATCH($B125,tab_MinKomp[[Stanowisko / Position ]:[Stanowisko / Position ]],0)))</f>
        <v>-2</v>
      </c>
      <c r="CP126" s="315">
        <f>IF(INDEX(tab_MinKomp[Pareto],MATCH($B125,tab_MinKomp[[Stanowisko / Position ]:[Stanowisko / Position ]],0))="n/a","n/a",CP125-INDEX(tab_MinKomp[Pareto],MATCH($B125,tab_MinKomp[[Stanowisko / Position ]:[Stanowisko / Position ]],0)))</f>
        <v>-3</v>
      </c>
      <c r="CQ126" s="315">
        <f>IF(INDEX(tab_MinKomp[PPAP/PSW],MATCH($B125,tab_MinKomp[[Stanowisko / Position ]:[Stanowisko / Position ]],0))="n/a","n/a",CQ125-INDEX(tab_MinKomp[PPAP/PSW],MATCH($B125,tab_MinKomp[[Stanowisko / Position ]:[Stanowisko / Position ]],0)))</f>
        <v>-1</v>
      </c>
      <c r="CR126" s="315">
        <f>IF(INDEX(tab_MinKomp[SUPPLIER MANAGEMENT],MATCH($B125,tab_MinKomp[[Stanowisko / Position ]:[Stanowisko / Position ]],0))="n/a","n/a",CR125-INDEX(tab_MinKomp[SUPPLIER MANAGEMENT],MATCH($B125,tab_MinKomp[[Stanowisko / Position ]:[Stanowisko / Position ]],0)))</f>
        <v>-1</v>
      </c>
      <c r="CS126" s="315">
        <v>-1</v>
      </c>
      <c r="CT126" s="315" t="str">
        <f>IF(INDEX(tab_MinKomp[Obsługa systemu BABTECQ / BABTECQ System],MATCH($B125,tab_MinKomp[[Stanowisko / Position ]:[Stanowisko / Position ]],0))="n/a","n/a",CT125-INDEX(tab_MinKomp[Obsługa systemu BABTECQ / BABTECQ System],MATCH($B125,tab_MinKomp[[Stanowisko / Position ]:[Stanowisko / Position ]],0)))</f>
        <v>n/a</v>
      </c>
      <c r="CU126" s="315">
        <f>IF(INDEX(tab_MinKomp[Rysunek techniczny / technische Zeichnung],MATCH($B125,tab_MinKomp[[Stanowisko / Position ]:[Stanowisko / Position ]],0))="n/a","n/a",CU125-INDEX(tab_MinKomp[Rysunek techniczny / technische Zeichnung],MATCH($B125,tab_MinKomp[[Stanowisko / Position ]:[Stanowisko / Position ]],0)))</f>
        <v>0</v>
      </c>
      <c r="CV126" s="315">
        <f>IF(INDEX(tab_MinKomp[Kalibracja / Kalibrierung],MATCH($B125,tab_MinKomp[[Stanowisko / Position ]:[Stanowisko / Position ]],0))="n/a","n/a",CV125-INDEX(tab_MinKomp[Kalibracja / Kalibrierung],MATCH($B125,tab_MinKomp[[Stanowisko / Position ]:[Stanowisko / Position ]],0)))</f>
        <v>-1</v>
      </c>
      <c r="CW126" s="315">
        <f>IF(INDEX(tab_MinKomp[Rekwalifikacja / Requalifizierung],MATCH($B125,tab_MinKomp[[Stanowisko / Position ]:[Stanowisko / Position ]],0))="n/a","n/a",CW125-INDEX(tab_MinKomp[Rekwalifikacja / Requalifizierung],MATCH($B125,tab_MinKomp[[Stanowisko / Position ]:[Stanowisko / Position ]],0)))</f>
        <v>-1</v>
      </c>
      <c r="CX126" s="315">
        <v>-1</v>
      </c>
      <c r="CY126" s="315" t="s">
        <v>176</v>
      </c>
      <c r="CZ126" s="315" t="s">
        <v>176</v>
      </c>
      <c r="DA126" s="315" t="s">
        <v>176</v>
      </c>
      <c r="DB126" s="315" t="str">
        <f>IF(INDEX(tab_MinKomp[CMM - Contura Zeiss],MATCH($B125,tab_MinKomp[[Stanowisko / Position ]:[Stanowisko / Position ]],0))="n/a","n/a",DB125-INDEX(tab_MinKomp[CMM - Contura Zeiss],MATCH($B125,tab_MinKomp[[Stanowisko / Position ]:[Stanowisko / Position ]],0)))</f>
        <v>n/a</v>
      </c>
      <c r="DC126" s="315" t="s">
        <v>176</v>
      </c>
      <c r="DD126" s="315" t="str">
        <f>IF(INDEX(tab_MinKomp[Pisanie programów / Programme schreiben],MATCH($B125,tab_MinKomp[[Stanowisko / Position ]:[Stanowisko / Position ]],0))="n/a","n/a",DD125-INDEX(tab_MinKomp[Pisanie programów / Programme schreiben],MATCH($B125,tab_MinKomp[[Stanowisko / Position ]:[Stanowisko / Position ]],0)))</f>
        <v>n/a</v>
      </c>
      <c r="DE126" s="315" t="s">
        <v>176</v>
      </c>
      <c r="DF126" s="315">
        <f>IF(INDEX(tab_MinKomp[Testy czystości / Reinheitstests],MATCH($B125,tab_MinKomp[[Stanowisko / Position ]:[Stanowisko / Position ]],0))="n/a","n/a",DF125-INDEX(tab_MinKomp[Testy czystości / Reinheitstests],MATCH($B125,tab_MinKomp[[Stanowisko / Position ]:[Stanowisko / Position ]],0)))</f>
        <v>-1</v>
      </c>
      <c r="DG126" s="315" t="s">
        <v>176</v>
      </c>
      <c r="DH126" s="315" t="s">
        <v>176</v>
      </c>
      <c r="DI126" s="315" t="s">
        <v>176</v>
      </c>
      <c r="DJ126" s="315" t="s">
        <v>176</v>
      </c>
      <c r="DK126" s="315" t="str">
        <f>IF(INDEX(tab_MinKomp[Pisanie programów / Programme schreiben],MATCH($B125,tab_MinKomp[[Stanowisko / Position ]:[Stanowisko / Position ]],0))="n/a","n/a",DK125-INDEX(tab_MinKomp[Pisanie programów / Programme schreiben],MATCH($B125,tab_MinKomp[[Stanowisko / Position ]:[Stanowisko / Position ]],0)))</f>
        <v>n/a</v>
      </c>
      <c r="DL126" s="315" t="s">
        <v>176</v>
      </c>
      <c r="DM126" s="315" t="s">
        <v>176</v>
      </c>
      <c r="DN126" s="315" t="s">
        <v>176</v>
      </c>
      <c r="DO126" s="315" t="s">
        <v>176</v>
      </c>
      <c r="DP126" s="315" t="s">
        <v>176</v>
      </c>
      <c r="DQ126" s="315" t="s">
        <v>176</v>
      </c>
      <c r="DR126" s="315" t="str">
        <f>IF(INDEX(tab_MinKomp[Pisanie programów / Programme schreiben],MATCH($B125,tab_MinKomp[[Stanowisko / Position ]:[Stanowisko / Position ]],0))="n/a","n/a",DR125-INDEX(tab_MinKomp[Pisanie programów / Programme schreiben],MATCH($B125,tab_MinKomp[[Stanowisko / Position ]:[Stanowisko / Position ]],0)))</f>
        <v>n/a</v>
      </c>
      <c r="DS126" s="315" t="s">
        <v>176</v>
      </c>
      <c r="DT126" s="315" t="s">
        <v>176</v>
      </c>
      <c r="DU126" s="315">
        <f>IF(INDEX(tab_MinKomp[MSA i SPC],MATCH($B125,tab_MinKomp[[Stanowisko / Position ]:[Stanowisko / Position ]],0))="n/a","n/a",DU125-INDEX(tab_MinKomp[MSA i SPC],MATCH($B125,tab_MinKomp[[Stanowisko / Position ]:[Stanowisko / Position ]],0)))</f>
        <v>-1</v>
      </c>
      <c r="DV126" s="315" t="str">
        <f>IF(INDEX(tab_MinKomp[Kontrola wejściowa komponentów/ Eingangskontrolle],MATCH($B125,tab_MinKomp[[Stanowisko / Position ]:[Stanowisko / Position ]],0))="n/a","n/a",DV125-INDEX(tab_MinKomp[Kontrola wejściowa komponentów/ Eingangskontrolle],MATCH($B125,tab_MinKomp[[Stanowisko / Position ]:[Stanowisko / Position ]],0)))</f>
        <v>n/a</v>
      </c>
      <c r="DW126" s="315" t="str">
        <f>IF(INDEX(tab_MinKomp[Kontrola wyjściowa produktu / Ausgangskontrolle],MATCH($B125,tab_MinKomp[[Stanowisko / Position ]:[Stanowisko / Position ]],0))="n/a","n/a",DW125-INDEX(tab_MinKomp[Kontrola wyjściowa produktu / Ausgangskontrolle],MATCH($B125,tab_MinKomp[[Stanowisko / Position ]:[Stanowisko / Position ]],0)))</f>
        <v>n/a</v>
      </c>
      <c r="DX126" s="315" t="str">
        <f>IF(INDEX(tab_MinKomp[Kontrola codzienna produkcji / Tägliche Produktionskontrolle],MATCH($B125,tab_MinKomp[[Stanowisko / Position ]:[Stanowisko / Position ]],0))="n/a","n/a",DX125-INDEX(tab_MinKomp[Kontrola codzienna produkcji / Tägliche Produktionskontrolle],MATCH($B125,tab_MinKomp[[Stanowisko / Position ]:[Stanowisko / Position ]],0)))</f>
        <v>n/a</v>
      </c>
      <c r="DY126" s="315" t="str">
        <f>IF(INDEX(tab_MinKomp[Konserwacja Rep],MATCH($B125,tab_MinKomp[[Stanowisko / Position ]:[Stanowisko / Position ]],0))="n/a","n/a",DY125-INDEX(tab_MinKomp[Konserwacja Rep],MATCH($B125,tab_MinKomp[[Stanowisko / Position ]:[Stanowisko / Position ]],0)))</f>
        <v>n/a</v>
      </c>
      <c r="DZ126" s="315" t="str">
        <f>IF(INDEX(tab_MinKomp[[Konserwacja Engel ]],MATCH($B125,tab_MinKomp[[Stanowisko / Position ]:[Stanowisko / Position ]],0))="n/a","n/a",DZ125-INDEX(tab_MinKomp[[Konserwacja Engel ]],MATCH($B125,tab_MinKomp[[Stanowisko / Position ]:[Stanowisko / Position ]],0)))</f>
        <v>n/a</v>
      </c>
      <c r="EA126" s="315" t="str">
        <f>IF(INDEX(tab_MinKomp[Konserwacja B 50],MATCH($B125,tab_MinKomp[[Stanowisko / Position ]:[Stanowisko / Position ]],0))="n/a","n/a",EA125-INDEX(tab_MinKomp[Konserwacja B 50],MATCH($B125,tab_MinKomp[[Stanowisko / Position ]:[Stanowisko / Position ]],0)))</f>
        <v>n/a</v>
      </c>
      <c r="EB126" s="315" t="str">
        <f>IF(INDEX(tab_MinKomp[[Konserwacja EOL ]],MATCH($B125,tab_MinKomp[[Stanowisko / Position ]:[Stanowisko / Position ]],0))="n/a","n/a",EB125-INDEX(tab_MinKomp[[Konserwacja EOL ]],MATCH($B125,tab_MinKomp[[Stanowisko / Position ]:[Stanowisko / Position ]],0)))</f>
        <v>n/a</v>
      </c>
      <c r="EC126" s="315" t="str">
        <f>IF(INDEX(tab_MinKomp[Konserwacja Branson],MATCH($B125,tab_MinKomp[[Stanowisko / Position ]:[Stanowisko / Position ]],0))="n/a","n/a",EC125-INDEX(tab_MinKomp[Konserwacja Branson],MATCH($B125,tab_MinKomp[[Stanowisko / Position ]:[Stanowisko / Position ]],0)))</f>
        <v>n/a</v>
      </c>
      <c r="ED126" s="315" t="str">
        <f>IF(INDEX(tab_MinKomp[Konserwacja coolery],MATCH($B125,tab_MinKomp[[Stanowisko / Position ]:[Stanowisko / Position ]],0))="n/a","n/a",ED125-INDEX(tab_MinKomp[Konserwacja coolery],MATCH($B125,tab_MinKomp[[Stanowisko / Position ]:[Stanowisko / Position ]],0)))</f>
        <v>n/a</v>
      </c>
      <c r="EE126" s="315" t="str">
        <f>IF(INDEX(tab_MinKomp[Konserwacja piecy],MATCH($B125,tab_MinKomp[[Stanowisko / Position ]:[Stanowisko / Position ]],0))="n/a","n/a",EE125-INDEX(tab_MinKomp[Konserwacja piecy],MATCH($B125,tab_MinKomp[[Stanowisko / Position ]:[Stanowisko / Position ]],0)))</f>
        <v>n/a</v>
      </c>
      <c r="EF126" s="315">
        <v>-1</v>
      </c>
      <c r="EG126" s="315" t="str">
        <f>IF(INDEX(tab_MinKomp[Elektryka],MATCH($B125,tab_MinKomp[[Stanowisko / Position ]:[Stanowisko / Position ]],0))="n/a","n/a",EG125-INDEX(tab_MinKomp[Elektryka],MATCH($B125,tab_MinKomp[[Stanowisko / Position ]:[Stanowisko / Position ]],0)))</f>
        <v>n/a</v>
      </c>
      <c r="EH126" s="315" t="str">
        <f>IF(INDEX(tab_MinKomp[Pneumatyka],MATCH($B125,tab_MinKomp[[Stanowisko / Position ]:[Stanowisko / Position ]],0))="n/a","n/a",EH125-INDEX(tab_MinKomp[Pneumatyka],MATCH($B125,tab_MinKomp[[Stanowisko / Position ]:[Stanowisko / Position ]],0)))</f>
        <v>n/a</v>
      </c>
      <c r="EI126" s="315" t="str">
        <f>IF(INDEX(tab_MinKomp[[Hydraulika ]],MATCH($B125,tab_MinKomp[[Stanowisko / Position ]:[Stanowisko / Position ]],0))="n/a","n/a",EI125-INDEX(tab_MinKomp[[Hydraulika ]],MATCH($B125,tab_MinKomp[[Stanowisko / Position ]:[Stanowisko / Position ]],0)))</f>
        <v>n/a</v>
      </c>
      <c r="EJ126" s="315" t="str">
        <f>IF(INDEX(tab_MinKomp[Podciśnienie],MATCH($B125,tab_MinKomp[[Stanowisko / Position ]:[Stanowisko / Position ]],0))="n/a","n/a",EJ125-INDEX(tab_MinKomp[Podciśnienie],MATCH($B125,tab_MinKomp[[Stanowisko / Position ]:[Stanowisko / Position ]],0)))</f>
        <v>n/a</v>
      </c>
      <c r="EK126" s="315" t="str">
        <f>IF(INDEX(tab_MinKomp[Usuwanie awarii],MATCH($B125,tab_MinKomp[[Stanowisko / Position ]:[Stanowisko / Position ]],0))="n/a","n/a",EK125-INDEX(tab_MinKomp[Usuwanie awarii],MATCH($B125,tab_MinKomp[[Stanowisko / Position ]:[Stanowisko / Position ]],0)))</f>
        <v>n/a</v>
      </c>
      <c r="EL126" s="315" t="str">
        <f>IF(INDEX(tab_MinKomp[Obsługa robotów],MATCH($B125,tab_MinKomp[[Stanowisko / Position ]:[Stanowisko / Position ]],0))="n/a","n/a",EL125-INDEX(tab_MinKomp[Obsługa robotów],MATCH($B125,tab_MinKomp[[Stanowisko / Position ]:[Stanowisko / Position ]],0)))</f>
        <v>n/a</v>
      </c>
      <c r="EM126" s="315" t="str">
        <f>IF(INDEX(tab_MinKomp[Obsługa sterowania maszyny],MATCH($B125,tab_MinKomp[[Stanowisko / Position ]:[Stanowisko / Position ]],0))="n/a","n/a",EM125-INDEX(tab_MinKomp[Obsługa sterowania maszyny],MATCH($B125,tab_MinKomp[[Stanowisko / Position ]:[Stanowisko / Position ]],0)))</f>
        <v>n/a</v>
      </c>
      <c r="EN126" s="315" t="str">
        <f>IF(INDEX(tab_MinKomp[Usuwanie przyczyn żródłowych],MATCH($B125,tab_MinKomp[[Stanowisko / Position ]:[Stanowisko / Position ]],0))="n/a","n/a",EN125-INDEX(tab_MinKomp[Usuwanie przyczyn żródłowych],MATCH($B125,tab_MinKomp[[Stanowisko / Position ]:[Stanowisko / Position ]],0)))</f>
        <v>n/a</v>
      </c>
      <c r="EO126" s="315">
        <f>IF(INDEX(tab_MinKomp[Cmms stosowanie],MATCH($B125,tab_MinKomp[[Stanowisko / Position ]:[Stanowisko / Position ]],0))="n/a","n/a",EO125-INDEX(tab_MinKomp[Cmms stosowanie],MATCH($B125,tab_MinKomp[[Stanowisko / Position ]:[Stanowisko / Position ]],0)))</f>
        <v>-2</v>
      </c>
      <c r="EP126" s="315">
        <f>IF(INDEX(tab_MinKomp[[Czyszczenie form gumowych ]],MATCH($B125,tab_MinKomp[[Stanowisko / Position ]:[Stanowisko / Position ]],0))="n/a","n/a",EP125-INDEX(tab_MinKomp[[Czyszczenie form gumowych ]],MATCH($B125,tab_MinKomp[[Stanowisko / Position ]:[Stanowisko / Position ]],0)))</f>
        <v>-1</v>
      </c>
      <c r="EQ126" s="315" t="str">
        <f>IF(INDEX(tab_MinKomp[Czyszczenie form plastikowych],MATCH($B125,tab_MinKomp[[Stanowisko / Position ]:[Stanowisko / Position ]],0))="n/a","n/a",EQ125-INDEX(tab_MinKomp[Czyszczenie form plastikowych],MATCH($B125,tab_MinKomp[[Stanowisko / Position ]:[Stanowisko / Position ]],0)))</f>
        <v>n/a</v>
      </c>
      <c r="ER126" s="315" t="str">
        <f>IF(INDEX(tab_MinKomp[Wymiana form plastik],MATCH($B125,tab_MinKomp[[Stanowisko / Position ]:[Stanowisko / Position ]],0))="n/a","n/a",ER125-INDEX(tab_MinKomp[Wymiana form plastik],MATCH($B125,tab_MinKomp[[Stanowisko / Position ]:[Stanowisko / Position ]],0)))</f>
        <v>n/a</v>
      </c>
      <c r="ES126" s="315" t="str">
        <f>IF(INDEX(tab_MinKomp[Wymiana form guma],MATCH($B125,tab_MinKomp[[Stanowisko / Position ]:[Stanowisko / Position ]],0))="n/a","n/a",ES125-INDEX(tab_MinKomp[Wymiana form guma],MATCH($B125,tab_MinKomp[[Stanowisko / Position ]:[Stanowisko / Position ]],0)))</f>
        <v>n/a</v>
      </c>
      <c r="ET126" s="315" t="str">
        <f>IF(INDEX(tab_MinKomp[Konserwacja KK],MATCH($B125,tab_MinKomp[[Stanowisko / Position ]:[Stanowisko / Position ]],0))="n/a","n/a",ET125-INDEX(tab_MinKomp[Konserwacja KK],MATCH($B125,tab_MinKomp[[Stanowisko / Position ]:[Stanowisko / Position ]],0)))</f>
        <v>n/a</v>
      </c>
      <c r="EU126" s="315" t="str">
        <f>IF(INDEX(tab_MinKomp[Konserwacja form guma],MATCH($B125,tab_MinKomp[[Stanowisko / Position ]:[Stanowisko / Position ]],0))="n/a","n/a",EU125-INDEX(tab_MinKomp[Konserwacja form guma],MATCH($B125,tab_MinKomp[[Stanowisko / Position ]:[Stanowisko / Position ]],0)))</f>
        <v>n/a</v>
      </c>
      <c r="EV126" s="315" t="str">
        <f>IF(INDEX(tab_MinKomp[Konserwacja form plastiki],MATCH($B125,tab_MinKomp[[Stanowisko / Position ]:[Stanowisko / Position ]],0))="n/a","n/a",EV125-INDEX(tab_MinKomp[Konserwacja form plastiki],MATCH($B125,tab_MinKomp[[Stanowisko / Position ]:[Stanowisko / Position ]],0)))</f>
        <v>n/a</v>
      </c>
      <c r="EW126" s="330" t="str">
        <f>IF(INDEX(tab_MinKomp[Konserwacja form plastiki],MATCH($B125,tab_MinKomp[[Stanowisko / Position ]:[Stanowisko / Position ]],0))="n/a","n/a",EW125-INDEX(tab_MinKomp[Konserwacja form plastiki],MATCH($B125,tab_MinKomp[[Stanowisko / Position ]:[Stanowisko / Position ]],0)))</f>
        <v>n/a</v>
      </c>
      <c r="EX126" s="315" t="str">
        <f>IF(INDEX(tab_MinKomp[Konserwacja Gorącego Kanału],MATCH($B125,tab_MinKomp[[Stanowisko / Position ]:[Stanowisko / Position ]],0))="n/a","n/a",EX125-INDEX(tab_MinKomp[Konserwacja Gorącego Kanału],MATCH($B125,tab_MinKomp[[Stanowisko / Position ]:[Stanowisko / Position ]],0)))</f>
        <v>n/a</v>
      </c>
      <c r="EY126" s="315">
        <f>IF(INDEX(tab_MinKomp[MS Office (Excel)],MATCH($B125,tab_MinKomp[[Stanowisko / Position ]:[Stanowisko / Position ]],0))="n/a","n/a",EY125-INDEX(tab_MinKomp[MS Office (Excel)],MATCH($B125,tab_MinKomp[[Stanowisko / Position ]:[Stanowisko / Position ]],0)))</f>
        <v>0</v>
      </c>
      <c r="EZ126" s="315">
        <f>IF(INDEX(tab_MinKomp[MS Office (Word)],MATCH($B125,tab_MinKomp[[Stanowisko / Position ]:[Stanowisko / Position ]],0))="n/a","n/a",EZ125-INDEX(tab_MinKomp[MS Office (Word)],MATCH($B125,tab_MinKomp[[Stanowisko / Position ]:[Stanowisko / Position ]],0)))</f>
        <v>0</v>
      </c>
      <c r="FA126" s="315">
        <f>IF(INDEX(tab_MinKomp[MS Office (Power Point)],MATCH($B125,tab_MinKomp[[Stanowisko / Position ]:[Stanowisko / Position ]],0))="n/a","n/a",FA125-INDEX(tab_MinKomp[MS Office (Power Point)],MATCH($B125,tab_MinKomp[[Stanowisko / Position ]:[Stanowisko / Position ]],0)))</f>
        <v>0</v>
      </c>
      <c r="FB126" s="317">
        <f>IF(INDEX(tab_MinKomp[Język angielski / Englisch],MATCH($B125,tab_MinKomp[[Stanowisko / Position ]:[Stanowisko / Position ]],0))="n/a","n/a",FB125-INDEX(tab_MinKomp[Język angielski / Englisch],MATCH($B125,tab_MinKomp[[Stanowisko / Position ]:[Stanowisko / Position ]],0)))</f>
        <v>1</v>
      </c>
      <c r="FC126" s="317" t="str">
        <f>IF(INDEX(tab_MinKomp[Konserwacja Gorącego Kanału],MATCH($B125,tab_MinKomp[[Stanowisko / Position ]:[Stanowisko / Position ]],0))="n/a","n/a",FC125-INDEX(tab_MinKomp[Konserwacja Gorącego Kanału],MATCH($B125,tab_MinKomp[[Stanowisko / Position ]:[Stanowisko / Position ]],0)))</f>
        <v>n/a</v>
      </c>
      <c r="FD126" s="315">
        <f>IF(INDEX(tab_MinKomp[Zarządzanie dokumentacją procesową / Process dokumentation management],MATCH($B125,tab_MinKomp[[Stanowisko / Position ]:[Stanowisko / Position ]],0))="n/a","n/a",FD125-INDEX(tab_MinKomp[Zarządzanie dokumentacją procesową / Process dokumentation management],MATCH($B125,tab_MinKomp[[Stanowisko / Position ]:[Stanowisko / Position ]],0)))</f>
        <v>-2</v>
      </c>
      <c r="FE126" s="315">
        <f>IF(INDEX(tab_MinKomp[Znajomość procesów z obszaru / Kenntiss der prozesse in dem Bereich],MATCH($B125,tab_MinKomp[[Stanowisko / Position ]:[Stanowisko / Position ]],0))="n/a","n/a",FE125-INDEX(tab_MinKomp[Znajomość procesów z obszaru / Kenntiss der prozesse in dem Bereich],MATCH($B125,tab_MinKomp[[Stanowisko / Position ]:[Stanowisko / Position ]],0)))</f>
        <v>-2</v>
      </c>
      <c r="FF126" s="315">
        <f>IF(INDEX(tab_MinKomp[optymalizacja procesów / Prozessoptymalisierung],MATCH($B125,tab_MinKomp[[Stanowisko / Position ]:[Stanowisko / Position ]],0))="n/a","n/a",FF125-INDEX(tab_MinKomp[optymalizacja procesów / Prozessoptymalisierung],MATCH($B125,tab_MinKomp[[Stanowisko / Position ]:[Stanowisko / Position ]],0)))</f>
        <v>-2</v>
      </c>
      <c r="FG126" s="315">
        <f>IF(INDEX(tab_MinKomp[Umiejętności szkoleniowe / Trainingsfähigkeiten],MATCH($B125,tab_MinKomp[[Stanowisko / Position ]:[Stanowisko / Position ]],0))="n/a","n/a",FG125-INDEX(tab_MinKomp[Umiejętności szkoleniowe / Trainingsfähigkeiten],MATCH($B125,tab_MinKomp[[Stanowisko / Position ]:[Stanowisko / Position ]],0)))</f>
        <v>0</v>
      </c>
      <c r="FH126" s="315">
        <f>IF(INDEX(tab_MinKomp[Analityczne myślenie, podejście / Analitysches Denken, Einstellung],MATCH($B125,tab_MinKomp[[Stanowisko / Position ]:[Stanowisko / Position ]],0))="n/a","n/a",FH125-INDEX(tab_MinKomp[Analityczne myślenie, podejście / Analitysches Denken, Einstellung],MATCH($B125,tab_MinKomp[[Stanowisko / Position ]:[Stanowisko / Position ]],0)))</f>
        <v>-1</v>
      </c>
      <c r="FI126" s="315">
        <f>IF(INDEX(tab_MinKomp[Dokładność, precyzja w dzialaniu / Genauigkeit, Präzision in die Arbeit],MATCH($B125,tab_MinKomp[[Stanowisko / Position ]:[Stanowisko / Position ]],0))="n/a","n/a",FI125-INDEX(tab_MinKomp[Dokładność, precyzja w dzialaniu / Genauigkeit, Präzision in die Arbeit],MATCH($B125,tab_MinKomp[[Stanowisko / Position ]:[Stanowisko / Position ]],0)))</f>
        <v>0</v>
      </c>
      <c r="FJ126" s="315">
        <f>IF(INDEX(tab_MinKomp[Dyspozycyjność / Verfügbarkeit],MATCH($B125,tab_MinKomp[[Stanowisko / Position ]:[Stanowisko / Position ]],0))="n/a","n/a",FJ125-INDEX(tab_MinKomp[Dyspozycyjność / Verfügbarkeit],MATCH($B125,tab_MinKomp[[Stanowisko / Position ]:[Stanowisko / Position ]],0)))</f>
        <v>-1</v>
      </c>
      <c r="FK126" s="315">
        <f>IF(INDEX(tab_MinKomp[Zaangażowanie / 
Engagement],MATCH($B125,tab_MinKomp[[Stanowisko / Position ]:[Stanowisko / Position ]],0))="n/a","n/a",FK125-INDEX(tab_MinKomp[Zaangażowanie / 
Engagement],MATCH($B125,tab_MinKomp[[Stanowisko / Position ]:[Stanowisko / Position ]],0)))</f>
        <v>-1</v>
      </c>
      <c r="FL126" s="315">
        <f>IF(INDEX(tab_MinKomp[Planowanie strategiczne / Strategische Planung],MATCH($B125,tab_MinKomp[[Stanowisko / Position ]:[Stanowisko / Position ]],0))="n/a","n/a",FL125-INDEX(tab_MinKomp[Planowanie strategiczne / Strategische Planung],MATCH($B125,tab_MinKomp[[Stanowisko / Position ]:[Stanowisko / Position ]],0)))</f>
        <v>0</v>
      </c>
      <c r="FM126" s="315">
        <f>IF(INDEX(tab_MinKomp[Konsekwentne i dynamiczne działanie],MATCH($B125,tab_MinKomp[[Stanowisko / Position ]:[Stanowisko / Position ]],0))="n/a","n/a",FM125-INDEX(tab_MinKomp[Konsekwentne i dynamiczne działanie],MATCH($B125,tab_MinKomp[[Stanowisko / Position ]:[Stanowisko / Position ]],0)))</f>
        <v>0</v>
      </c>
      <c r="FN126" s="315">
        <f>IF(INDEX(tab_MinKomp[Elastyczność w działaniu],MATCH($B125,tab_MinKomp[[Stanowisko / Position ]:[Stanowisko / Position ]],0))="n/a","n/a",FN125-INDEX(tab_MinKomp[Elastyczność w działaniu],MATCH($B125,tab_MinKomp[[Stanowisko / Position ]:[Stanowisko / Position ]],0)))</f>
        <v>0</v>
      </c>
      <c r="FO126" s="315">
        <f>IF(INDEX(tab_MinKomp[Komunikatywność],MATCH($B125,tab_MinKomp[[Stanowisko / Position ]:[Stanowisko / Position ]],0))="n/a","n/a",FO125-INDEX(tab_MinKomp[Komunikatywność],MATCH($B125,tab_MinKomp[[Stanowisko / Position ]:[Stanowisko / Position ]],0)))</f>
        <v>0</v>
      </c>
      <c r="FP126" s="314">
        <f>IF(INDEX(tab_MinKomp[Motywowanie i budowanie zaangażowania zespołu],MATCH($B125,tab_MinKomp[[Stanowisko / Position ]:[Stanowisko / Position ]],0))="n/a","n/a",FP125-INDEX(tab_MinKomp[Motywowanie i budowanie zaangażowania zespołu],MATCH($B125,tab_MinKomp[[Stanowisko / Position ]:[Stanowisko / Position ]],0)))</f>
        <v>0</v>
      </c>
      <c r="FQ126" s="318" t="str">
        <f>IFERROR(IF(INDEX(tab_MinKomp[BRAK / Keine],MATCH($B125,tab_MinKomp[[Stanowisko / Position ]:[Stanowisko / Position ]],0))="n/a","n/a",INDEX(tab_MinKomp[BRAK / Keine],MATCH($B125,tab_MinKomp[[Stanowisko / Position ]:[Stanowisko / Position ]],0))-FQ125),"")</f>
        <v>n/a</v>
      </c>
      <c r="FR126" s="315" t="str">
        <f>IF(INDEX(tab_MinKomp[MINIMUM 1 ROK / min. 1 Jahr],MATCH($B125,tab_MinKomp[[Stanowisko / Position ]:[Stanowisko / Position ]],0))="n/a","n/a",INDEX(tab_MinKomp[MINIMUM 1 ROK / min. 1 Jahr],MATCH($B125,tab_MinKomp[[Stanowisko / Position ]:[Stanowisko / Position ]],0)))</f>
        <v>x</v>
      </c>
      <c r="FS126" s="315" t="str">
        <f>IF(INDEX(tab_MinKomp[MINIMUM 2 LATA / min. 2 Jahre],MATCH($B125,tab_MinKomp[[Stanowisko / Position ]:[Stanowisko / Position ]],0))="n/a","n/a",INDEX(tab_MinKomp[MINIMUM 2 LATA / min. 2 Jahre],MATCH($B125,tab_MinKomp[[Stanowisko / Position ]:[Stanowisko / Position ]],0)))</f>
        <v>n/a</v>
      </c>
      <c r="FT126" s="315" t="str">
        <f>IF(INDEX(tab_MinKomp[MINIMUM 3 LATA / min. 3 Jahre],MATCH($B125,tab_MinKomp[[Stanowisko / Position ]:[Stanowisko / Position ]],0))="n/a","n/a",INDEX(tab_MinKomp[MINIMUM 3 LATA / min. 3 Jahre],MATCH($B125,tab_MinKomp[[Stanowisko / Position ]:[Stanowisko / Position ]],0)))</f>
        <v>n/a</v>
      </c>
      <c r="FU126" s="315" t="str">
        <f>IF(INDEX(tab_MinKomp[MINIMUM 4 LATA / min. 4 Jahre],MATCH($B125,tab_MinKomp[[Stanowisko / Position ]:[Stanowisko / Position ]],0))="n/a","n/a",INDEX(tab_MinKomp[MINIMUM 4 LATA / min. 4 Jahre],MATCH($B125,tab_MinKomp[[Stanowisko / Position ]:[Stanowisko / Position ]],0)))</f>
        <v>n/a</v>
      </c>
      <c r="FV126" s="319" t="str">
        <f>IF(INDEX(tab_MinKomp[MINIMUM 5 LAT / min. 5 Jahre],MATCH($B125,tab_MinKomp[[Stanowisko / Position ]:[Stanowisko / Position ]],0))="n/a","n/a",INDEX(tab_MinKomp[MINIMUM 5 LAT / min. 5 Jahre],MATCH($B125,tab_MinKomp[[Stanowisko / Position ]:[Stanowisko / Position ]],0)))</f>
        <v>n/a</v>
      </c>
      <c r="FW126" s="318" t="str">
        <f>IF(INDEX(tab_MinKomp[BRAK / Keine9],MATCH($B125,tab_MinKomp[[Stanowisko / Position ]:[Stanowisko / Position ]],0))="n/a","n/a",INDEX(tab_MinKomp[BRAK / Keine9],MATCH($B125,tab_MinKomp[[Stanowisko / Position ]:[Stanowisko / Position ]],0)))</f>
        <v>n/a</v>
      </c>
      <c r="FX126" s="315" t="str">
        <f>IF(INDEX(tab_MinKomp[ZAWODOWE / Berufsausbildung],MATCH($B125,tab_MinKomp[[Stanowisko / Position ]:[Stanowisko / Position ]],0))="n/a","n/a",INDEX(tab_MinKomp[ZAWODOWE / Berufsausbildung],MATCH($B125,tab_MinKomp[[Stanowisko / Position ]:[Stanowisko / Position ]],0)))</f>
        <v>n/a</v>
      </c>
      <c r="FY126" s="315" t="str">
        <f>IF(INDEX(tab_MinKomp[ŚREDNIE OGÓLNE / Abitur allgemeine],MATCH($B125,tab_MinKomp[[Stanowisko / Position ]:[Stanowisko / Position ]],0))="n/a","n/a",INDEX(tab_MinKomp[ŚREDNIE OGÓLNE / Abitur allgemeine],MATCH($B125,tab_MinKomp[[Stanowisko / Position ]:[Stanowisko / Position ]],0)))</f>
        <v>n/a</v>
      </c>
      <c r="FZ126" s="315" t="str">
        <f>IF(INDEX(tab_MinKomp[ŚREDNIE KIERUNKOWE / berufliches Gymnasium],MATCH($B125,tab_MinKomp[[Stanowisko / Position ]:[Stanowisko / Position ]],0))="n/a","n/a",INDEX(tab_MinKomp[ŚREDNIE KIERUNKOWE / berufliches Gymnasium],MATCH($B125,tab_MinKomp[[Stanowisko / Position ]:[Stanowisko / Position ]],0)))</f>
        <v>n/a</v>
      </c>
      <c r="GA126" s="315" t="str">
        <f>IF(INDEX(tab_MinKomp[WYŻSZE OGÓLNE / Hochschule allgemeine],MATCH($B125,tab_MinKomp[[Stanowisko / Position ]:[Stanowisko / Position ]],0))="n/a","n/a",INDEX(tab_MinKomp[WYŻSZE OGÓLNE / Hochschule allgemeine],MATCH($B125,tab_MinKomp[[Stanowisko / Position ]:[Stanowisko / Position ]],0)))</f>
        <v>X</v>
      </c>
      <c r="GB126" s="319" t="str">
        <f>IF(INDEX(tab_MinKomp[WYŻSZE KIERUNKOWE / Hochschule berufliche],MATCH($B125,tab_MinKomp[[Stanowisko / Position ]:[Stanowisko / Position ]],0))="n/a","n/a",INDEX(tab_MinKomp[WYŻSZE KIERUNKOWE / Hochschule berufliche],MATCH($B125,tab_MinKomp[[Stanowisko / Position ]:[Stanowisko / Position ]],0)))</f>
        <v>n/a</v>
      </c>
      <c r="GC126" s="318" t="str">
        <f>IF(INDEX(tab_MinKomp[PIERWSZA POMOC / Erste Hilfe],MATCH($B125,tab_MinKomp[[Stanowisko / Position ]:[Stanowisko / Position ]],0))="n/a","n/a",INDEX(tab_MinKomp[PIERWSZA POMOC / Erste Hilfe],MATCH($B125,tab_MinKomp[[Stanowisko / Position ]:[Stanowisko / Position ]],0)))</f>
        <v>n/a</v>
      </c>
      <c r="GD126" s="315" t="str">
        <f>IF(INDEX(tab_MinKomp[Specjalista BHP / BHP Spezialist],MATCH($B125,tab_MinKomp[[Stanowisko / Position ]:[Stanowisko / Position ]],0))="n/a","n/a",INDEX(tab_MinKomp[Specjalista BHP / BHP Spezialist],MATCH($B125,tab_MinKomp[[Stanowisko / Position ]:[Stanowisko / Position ]],0)))</f>
        <v>n/a</v>
      </c>
      <c r="GE126" s="315" t="str">
        <f>IF(INDEX(tab_MinKomp[Inspektor ochrony PPOŻ / Brandschutzinspektor],MATCH($B125,tab_MinKomp[[Stanowisko / Position ]:[Stanowisko / Position ]],0))="n/a","n/a",INDEX(tab_MinKomp[Inspektor ochrony PPOŻ / Brandschutzinspektor],MATCH($B125,tab_MinKomp[[Stanowisko / Position ]:[Stanowisko / Position ]],0)))</f>
        <v>n/a</v>
      </c>
      <c r="GF126" s="315" t="s">
        <v>176</v>
      </c>
      <c r="GG126" s="315" t="s">
        <v>176</v>
      </c>
      <c r="GH126" s="315" t="s">
        <v>176</v>
      </c>
      <c r="GI126" s="315" t="str">
        <f>IF(INDEX(tab_MinKomp[PODNOŚNIKI / Hebevorrichtung],MATCH($B125,tab_MinKomp[[Stanowisko / Position ]:[Stanowisko / Position ]],0))="n/a","n/a",INDEX(tab_MinKomp[PODNOŚNIKI / Hebevorrichtung],MATCH($B125,tab_MinKomp[[Stanowisko / Position ]:[Stanowisko / Position ]],0)))</f>
        <v>n/a</v>
      </c>
      <c r="GJ126" s="315" t="str">
        <f>IF(INDEX(tab_MinKomp[SUWNICE / Laufkran],MATCH($B125,tab_MinKomp[[Stanowisko / Position ]:[Stanowisko / Position ]],0))="n/a","n/a",INDEX(tab_MinKomp[SUWNICE / Laufkran],MATCH($B125,tab_MinKomp[[Stanowisko / Position ]:[Stanowisko / Position ]],0)))</f>
        <v>n/a</v>
      </c>
      <c r="GK126" s="319" t="str">
        <f>IF(INDEX(tab_MinKomp[WYSOKOŚCIOWE / Höhenberechtigungen],MATCH($B125,tab_MinKomp[[Stanowisko / Position ]:[Stanowisko / Position ]],0))="n/a","n/a",INDEX(tab_MinKomp[WYSOKOŚCIOWE / Höhenberechtigungen],MATCH($B125,tab_MinKomp[[Stanowisko / Position ]:[Stanowisko / Position ]],0)))</f>
        <v>n/a</v>
      </c>
      <c r="GL126" s="320">
        <f>SUM(G126:FP126)/(GL125-(SUM(G126:FP126)))</f>
        <v>-0.6</v>
      </c>
      <c r="GM126" s="132"/>
    </row>
    <row r="127" spans="1:195" s="133" customFormat="1" ht="28.35" customHeight="1" x14ac:dyDescent="0.25">
      <c r="A127" s="135" t="s">
        <v>227</v>
      </c>
      <c r="B127" s="135" t="s">
        <v>739</v>
      </c>
      <c r="C127" s="135" t="s">
        <v>761</v>
      </c>
      <c r="D127" s="135">
        <v>515</v>
      </c>
      <c r="E127" s="565" t="s">
        <v>241</v>
      </c>
      <c r="F127" s="307" t="s">
        <v>165</v>
      </c>
      <c r="G127" s="308">
        <v>2</v>
      </c>
      <c r="H127" s="308">
        <v>2</v>
      </c>
      <c r="I127" s="308">
        <v>3</v>
      </c>
      <c r="J127" s="308">
        <v>2</v>
      </c>
      <c r="K127" s="308">
        <v>2</v>
      </c>
      <c r="L127" s="308">
        <v>1</v>
      </c>
      <c r="M127" s="308" t="s">
        <v>176</v>
      </c>
      <c r="N127" s="308" t="s">
        <v>176</v>
      </c>
      <c r="O127" s="308">
        <v>2</v>
      </c>
      <c r="P127" s="308">
        <v>2</v>
      </c>
      <c r="Q127" s="308" t="s">
        <v>176</v>
      </c>
      <c r="R127" s="308" t="s">
        <v>176</v>
      </c>
      <c r="S127" s="308">
        <v>2</v>
      </c>
      <c r="T127" s="308">
        <v>2</v>
      </c>
      <c r="U127" s="308" t="s">
        <v>176</v>
      </c>
      <c r="V127" s="308" t="s">
        <v>176</v>
      </c>
      <c r="W127" s="308" t="s">
        <v>176</v>
      </c>
      <c r="X127" s="308" t="s">
        <v>176</v>
      </c>
      <c r="Y127" s="308" t="s">
        <v>176</v>
      </c>
      <c r="Z127" s="308" t="s">
        <v>176</v>
      </c>
      <c r="AA127" s="308" t="s">
        <v>176</v>
      </c>
      <c r="AB127" s="308">
        <v>2</v>
      </c>
      <c r="AC127" s="308">
        <v>2</v>
      </c>
      <c r="AD127" s="308">
        <v>2</v>
      </c>
      <c r="AE127" s="308">
        <v>2</v>
      </c>
      <c r="AF127" s="308">
        <v>2</v>
      </c>
      <c r="AG127" s="308">
        <v>1</v>
      </c>
      <c r="AH127" s="308">
        <v>1</v>
      </c>
      <c r="AI127" s="308" t="s">
        <v>176</v>
      </c>
      <c r="AJ127" s="308" t="s">
        <v>176</v>
      </c>
      <c r="AK127" s="308" t="s">
        <v>176</v>
      </c>
      <c r="AL127" s="308">
        <v>3</v>
      </c>
      <c r="AM127" s="308">
        <v>1</v>
      </c>
      <c r="AN127" s="308" t="s">
        <v>176</v>
      </c>
      <c r="AO127" s="308" t="s">
        <v>176</v>
      </c>
      <c r="AP127" s="308">
        <v>2</v>
      </c>
      <c r="AQ127" s="308">
        <v>2</v>
      </c>
      <c r="AR127" s="308" t="s">
        <v>176</v>
      </c>
      <c r="AS127" s="308">
        <v>3</v>
      </c>
      <c r="AT127" s="308" t="s">
        <v>176</v>
      </c>
      <c r="AU127" s="308">
        <v>2</v>
      </c>
      <c r="AV127" s="308">
        <v>3</v>
      </c>
      <c r="AW127" s="308">
        <v>2</v>
      </c>
      <c r="AX127" s="308">
        <v>2</v>
      </c>
      <c r="AY127" s="308" t="s">
        <v>176</v>
      </c>
      <c r="AZ127" s="308" t="s">
        <v>176</v>
      </c>
      <c r="BA127" s="308" t="s">
        <v>176</v>
      </c>
      <c r="BB127" s="308" t="s">
        <v>176</v>
      </c>
      <c r="BC127" s="308" t="s">
        <v>176</v>
      </c>
      <c r="BD127" s="308" t="s">
        <v>176</v>
      </c>
      <c r="BE127" s="308" t="s">
        <v>176</v>
      </c>
      <c r="BF127" s="308" t="s">
        <v>176</v>
      </c>
      <c r="BG127" s="308" t="s">
        <v>176</v>
      </c>
      <c r="BH127" s="308" t="s">
        <v>176</v>
      </c>
      <c r="BI127" s="308" t="s">
        <v>176</v>
      </c>
      <c r="BJ127" s="308" t="s">
        <v>176</v>
      </c>
      <c r="BK127" s="308" t="s">
        <v>176</v>
      </c>
      <c r="BL127" s="308" t="s">
        <v>176</v>
      </c>
      <c r="BM127" s="308">
        <v>1</v>
      </c>
      <c r="BN127" s="308">
        <v>3</v>
      </c>
      <c r="BO127" s="308">
        <v>3</v>
      </c>
      <c r="BP127" s="308">
        <v>3</v>
      </c>
      <c r="BQ127" s="308">
        <v>3</v>
      </c>
      <c r="BR127" s="308">
        <v>2</v>
      </c>
      <c r="BS127" s="308">
        <v>2</v>
      </c>
      <c r="BT127" s="308">
        <v>2</v>
      </c>
      <c r="BU127" s="308">
        <v>2</v>
      </c>
      <c r="BV127" s="308">
        <v>3</v>
      </c>
      <c r="BW127" s="308" t="s">
        <v>176</v>
      </c>
      <c r="BX127" s="308" t="s">
        <v>176</v>
      </c>
      <c r="BY127" s="308" t="s">
        <v>176</v>
      </c>
      <c r="BZ127" s="308" t="s">
        <v>176</v>
      </c>
      <c r="CA127" s="308" t="s">
        <v>176</v>
      </c>
      <c r="CB127" s="308" t="s">
        <v>176</v>
      </c>
      <c r="CC127" s="308" t="s">
        <v>176</v>
      </c>
      <c r="CD127" s="308" t="s">
        <v>176</v>
      </c>
      <c r="CE127" s="308" t="s">
        <v>176</v>
      </c>
      <c r="CF127" s="308" t="s">
        <v>176</v>
      </c>
      <c r="CG127" s="308" t="s">
        <v>176</v>
      </c>
      <c r="CH127" s="308" t="s">
        <v>176</v>
      </c>
      <c r="CI127" s="308">
        <v>2</v>
      </c>
      <c r="CJ127" s="308">
        <v>2</v>
      </c>
      <c r="CK127" s="308">
        <v>2</v>
      </c>
      <c r="CL127" s="308" t="s">
        <v>176</v>
      </c>
      <c r="CM127" s="308">
        <v>3</v>
      </c>
      <c r="CN127" s="308">
        <v>3</v>
      </c>
      <c r="CO127" s="308">
        <v>3</v>
      </c>
      <c r="CP127" s="308">
        <v>3</v>
      </c>
      <c r="CQ127" s="308" t="s">
        <v>176</v>
      </c>
      <c r="CR127" s="308" t="s">
        <v>176</v>
      </c>
      <c r="CS127" s="308" t="s">
        <v>176</v>
      </c>
      <c r="CT127" s="308" t="s">
        <v>176</v>
      </c>
      <c r="CU127" s="308">
        <v>3</v>
      </c>
      <c r="CV127" s="308">
        <v>2</v>
      </c>
      <c r="CW127" s="308" t="s">
        <v>176</v>
      </c>
      <c r="CX127" s="308" t="s">
        <v>176</v>
      </c>
      <c r="CY127" s="308" t="s">
        <v>176</v>
      </c>
      <c r="CZ127" s="308" t="s">
        <v>176</v>
      </c>
      <c r="DA127" s="308" t="s">
        <v>176</v>
      </c>
      <c r="DB127" s="308" t="s">
        <v>176</v>
      </c>
      <c r="DC127" s="308" t="s">
        <v>176</v>
      </c>
      <c r="DD127" s="308" t="s">
        <v>176</v>
      </c>
      <c r="DE127" s="308" t="s">
        <v>176</v>
      </c>
      <c r="DF127" s="308" t="s">
        <v>176</v>
      </c>
      <c r="DG127" s="308" t="s">
        <v>176</v>
      </c>
      <c r="DH127" s="308" t="s">
        <v>176</v>
      </c>
      <c r="DI127" s="308" t="s">
        <v>176</v>
      </c>
      <c r="DJ127" s="308" t="s">
        <v>176</v>
      </c>
      <c r="DK127" s="308" t="s">
        <v>176</v>
      </c>
      <c r="DL127" s="308" t="s">
        <v>176</v>
      </c>
      <c r="DM127" s="308" t="s">
        <v>176</v>
      </c>
      <c r="DN127" s="308" t="s">
        <v>176</v>
      </c>
      <c r="DO127" s="308" t="s">
        <v>176</v>
      </c>
      <c r="DP127" s="308" t="s">
        <v>176</v>
      </c>
      <c r="DQ127" s="308" t="s">
        <v>176</v>
      </c>
      <c r="DR127" s="308" t="s">
        <v>176</v>
      </c>
      <c r="DS127" s="308" t="s">
        <v>176</v>
      </c>
      <c r="DT127" s="308" t="s">
        <v>176</v>
      </c>
      <c r="DU127" s="308" t="s">
        <v>176</v>
      </c>
      <c r="DV127" s="308" t="s">
        <v>176</v>
      </c>
      <c r="DW127" s="308" t="s">
        <v>176</v>
      </c>
      <c r="DX127" s="308" t="s">
        <v>176</v>
      </c>
      <c r="DY127" s="308">
        <v>2</v>
      </c>
      <c r="DZ127" s="308">
        <v>2</v>
      </c>
      <c r="EA127" s="308">
        <v>2</v>
      </c>
      <c r="EB127" s="308">
        <v>2</v>
      </c>
      <c r="EC127" s="308">
        <v>2</v>
      </c>
      <c r="ED127" s="308">
        <v>2</v>
      </c>
      <c r="EE127" s="308">
        <v>2</v>
      </c>
      <c r="EF127" s="308">
        <v>2</v>
      </c>
      <c r="EG127" s="308">
        <v>2</v>
      </c>
      <c r="EH127" s="308">
        <v>3</v>
      </c>
      <c r="EI127" s="308">
        <v>3</v>
      </c>
      <c r="EJ127" s="308">
        <v>3</v>
      </c>
      <c r="EK127" s="308">
        <v>3</v>
      </c>
      <c r="EL127" s="308">
        <v>2</v>
      </c>
      <c r="EM127" s="308">
        <v>2</v>
      </c>
      <c r="EN127" s="308">
        <v>3</v>
      </c>
      <c r="EO127" s="308">
        <v>3</v>
      </c>
      <c r="EP127" s="308" t="s">
        <v>176</v>
      </c>
      <c r="EQ127" s="308" t="s">
        <v>176</v>
      </c>
      <c r="ER127" s="308" t="s">
        <v>176</v>
      </c>
      <c r="ES127" s="308" t="s">
        <v>176</v>
      </c>
      <c r="ET127" s="308" t="s">
        <v>176</v>
      </c>
      <c r="EU127" s="308" t="s">
        <v>176</v>
      </c>
      <c r="EV127" s="308" t="s">
        <v>176</v>
      </c>
      <c r="EW127" s="308" t="s">
        <v>176</v>
      </c>
      <c r="EX127" s="308" t="s">
        <v>176</v>
      </c>
      <c r="EY127" s="308">
        <v>3</v>
      </c>
      <c r="EZ127" s="308">
        <v>2</v>
      </c>
      <c r="FA127" s="308">
        <v>2</v>
      </c>
      <c r="FB127" s="308">
        <v>2</v>
      </c>
      <c r="FC127" s="308" t="s">
        <v>176</v>
      </c>
      <c r="FD127" s="308">
        <v>3</v>
      </c>
      <c r="FE127" s="308">
        <v>3</v>
      </c>
      <c r="FF127" s="308">
        <v>3</v>
      </c>
      <c r="FG127" s="308">
        <v>3</v>
      </c>
      <c r="FH127" s="308">
        <v>3</v>
      </c>
      <c r="FI127" s="308">
        <v>3</v>
      </c>
      <c r="FJ127" s="308">
        <v>3</v>
      </c>
      <c r="FK127" s="308">
        <v>3</v>
      </c>
      <c r="FL127" s="308">
        <v>3</v>
      </c>
      <c r="FM127" s="308">
        <v>3</v>
      </c>
      <c r="FN127" s="308">
        <v>3</v>
      </c>
      <c r="FO127" s="308">
        <v>3</v>
      </c>
      <c r="FP127" s="308">
        <v>3</v>
      </c>
      <c r="FQ127" s="308"/>
      <c r="FR127" s="308"/>
      <c r="FS127" s="308"/>
      <c r="FT127" s="308"/>
      <c r="FU127" s="308" t="s">
        <v>176</v>
      </c>
      <c r="FV127" s="308" t="s">
        <v>176</v>
      </c>
      <c r="FW127" s="308" t="s">
        <v>176</v>
      </c>
      <c r="FX127" s="308" t="s">
        <v>176</v>
      </c>
      <c r="FY127" s="308" t="s">
        <v>176</v>
      </c>
      <c r="FZ127" s="308" t="s">
        <v>176</v>
      </c>
      <c r="GA127" s="308" t="s">
        <v>176</v>
      </c>
      <c r="GB127" s="308" t="s">
        <v>176</v>
      </c>
      <c r="GC127" s="308"/>
      <c r="GD127" s="308" t="s">
        <v>176</v>
      </c>
      <c r="GE127" s="308" t="s">
        <v>176</v>
      </c>
      <c r="GF127" s="308" t="s">
        <v>176</v>
      </c>
      <c r="GG127" s="308"/>
      <c r="GH127" s="308"/>
      <c r="GI127" s="308" t="s">
        <v>176</v>
      </c>
      <c r="GJ127" s="308" t="s">
        <v>176</v>
      </c>
      <c r="GK127" s="321"/>
      <c r="GL127" s="311">
        <f>SUM(G127:FP127)</f>
        <v>187</v>
      </c>
      <c r="GM127" s="132"/>
    </row>
    <row r="128" spans="1:195" s="133" customFormat="1" ht="28.35" customHeight="1" thickBot="1" x14ac:dyDescent="0.3">
      <c r="A128" s="138" t="s">
        <v>227</v>
      </c>
      <c r="B128" s="135" t="s">
        <v>739</v>
      </c>
      <c r="C128" s="138" t="str">
        <f>C127</f>
        <v>AS</v>
      </c>
      <c r="D128" s="138">
        <v>515</v>
      </c>
      <c r="E128" s="566" t="str">
        <f>E127</f>
        <v>Szymański Krystian</v>
      </c>
      <c r="F128" s="312" t="s">
        <v>166</v>
      </c>
      <c r="G128" s="313">
        <f>IF(INDEX(tab_MinKomp[Przepisy BHP / BHP Vorschriften],MATCH($B127,tab_MinKomp[[Stanowisko / Position ]:[Stanowisko / Position ]],0))="n/a","n/a",G127-INDEX(tab_MinKomp[Przepisy BHP / BHP Vorschriften],MATCH($B127,tab_MinKomp[[Stanowisko / Position ]:[Stanowisko / Position ]],0)))</f>
        <v>0</v>
      </c>
      <c r="H128" s="314">
        <f>IF(INDEX(tab_MinKomp[Przepisy PPOŻ / Brandschutzbestimmungen],MATCH($B127,tab_MinKomp[[Stanowisko / Position ]:[Stanowisko / Position ]],0))="n/a","n/a",H127-INDEX(tab_MinKomp[Przepisy PPOŻ / Brandschutzbestimmungen],MATCH($B127,tab_MinKomp[[Stanowisko / Position ]:[Stanowisko / Position ]],0)))</f>
        <v>0</v>
      </c>
      <c r="I128" s="314">
        <f>IF(INDEX(tab_MinKomp[Ryzyko zawodowe na stanowiskach pracyv/ Berufliche Risiken an Arbeitsstellen],MATCH($B127,tab_MinKomp[[Stanowisko / Position ]:[Stanowisko / Position ]],0))="n/a","n/a",I127-INDEX(tab_MinKomp[Ryzyko zawodowe na stanowiskach pracyv/ Berufliche Risiken an Arbeitsstellen],MATCH($B127,tab_MinKomp[[Stanowisko / Position ]:[Stanowisko / Position ]],0)))</f>
        <v>0</v>
      </c>
      <c r="J128" s="314">
        <f>IF(INDEX(tab_MinKomp[Gospodarka substancjami niebezpiecznymi / Gefahrstoffmanagement],MATCH($B127,tab_MinKomp[[Stanowisko / Position ]:[Stanowisko / Position ]],0))="n/a","n/a",J127-INDEX(tab_MinKomp[Gospodarka substancjami niebezpiecznymi / Gefahrstoffmanagement],MATCH($B127,tab_MinKomp[[Stanowisko / Position ]:[Stanowisko / Position ]],0)))</f>
        <v>0</v>
      </c>
      <c r="K128" s="314">
        <f>IF(INDEX(tab_MinKomp[Gospodarka odpadami / Abfallwirtschaft],MATCH($B127,tab_MinKomp[[Stanowisko / Position ]:[Stanowisko / Position ]],0))="n/a","n/a",K127-INDEX(tab_MinKomp[Gospodarka odpadami / Abfallwirtschaft],MATCH($B127,tab_MinKomp[[Stanowisko / Position ]:[Stanowisko / Position ]],0)))</f>
        <v>0</v>
      </c>
      <c r="L128" s="315">
        <f>IF(INDEX(tab_MinKomp[Przepisy kodeksu pracy / Bestimmungen des Arbeitsgesetzes],MATCH($B127,tab_MinKomp[[Stanowisko / Position ]:[Stanowisko / Position ]],0))="n/a","n/a",L127-INDEX(tab_MinKomp[Przepisy kodeksu pracy / Bestimmungen des Arbeitsgesetzes],MATCH($B127,tab_MinKomp[[Stanowisko / Position ]:[Stanowisko / Position ]],0)))</f>
        <v>0</v>
      </c>
      <c r="M128" s="316" t="str">
        <f>IF(INDEX(tab_MinKomp[Przepisy o ub.społ. ZUS  / Sozialversicherungsvorschriften],MATCH($B127,tab_MinKomp[[Stanowisko / Position ]:[Stanowisko / Position ]],0))="n/a","n/a",M127-INDEX(tab_MinKomp[Przepisy o ub.społ. ZUS  / Sozialversicherungsvorschriften],MATCH($B127,tab_MinKomp[[Stanowisko / Position ]:[Stanowisko / Position ]],0)))</f>
        <v>n/a</v>
      </c>
      <c r="N128" s="315" t="str">
        <f>IF(INDEX(tab_MinKomp[PRZEPISY O PDOF /persönlich Einkommensteuergesetz ],MATCH($B127,tab_MinKomp[[Stanowisko / Position ]:[Stanowisko / Position ]],0))="n/a","n/a",N127-INDEX(tab_MinKomp[PRZEPISY O PDOF /persönlich Einkommensteuergesetz ],MATCH($B127,tab_MinKomp[[Stanowisko / Position ]:[Stanowisko / Position ]],0)))</f>
        <v>n/a</v>
      </c>
      <c r="O128" s="315">
        <f>IF(INDEX(tab_MinKomp[Regulamin pracy / Arbeitsordnung],MATCH($B127,tab_MinKomp[[Stanowisko / Position ]:[Stanowisko / Position ]],0))="n/a","n/a",O127-INDEX(tab_MinKomp[Regulamin pracy / Arbeitsordnung],MATCH($B127,tab_MinKomp[[Stanowisko / Position ]:[Stanowisko / Position ]],0)))</f>
        <v>0</v>
      </c>
      <c r="P128" s="315">
        <f>IF(INDEX(tab_MinKomp[Regulamin wynagradzania / Vergütungsordnung],MATCH($B127,tab_MinKomp[[Stanowisko / Position ]:[Stanowisko / Position ]],0))="n/a","n/a",P127-INDEX(tab_MinKomp[Regulamin wynagradzania / Vergütungsordnung],MATCH($B127,tab_MinKomp[[Stanowisko / Position ]:[Stanowisko / Position ]],0)))</f>
        <v>0</v>
      </c>
      <c r="Q128" s="315" t="str">
        <f>IF(INDEX(tab_MinKomp[System R2PŁATNIK PRO: Płace / Lohnabrechnung],MATCH($B127,tab_MinKomp[[Stanowisko / Position ]:[Stanowisko / Position ]],0))="n/a","n/a",Q127-INDEX(tab_MinKomp[System R2PŁATNIK PRO: Płace / Lohnabrechnung],MATCH($B127,tab_MinKomp[[Stanowisko / Position ]:[Stanowisko / Position ]],0)))</f>
        <v>n/a</v>
      </c>
      <c r="R128" s="315" t="str">
        <f>IF(INDEX(tab_MinKomp[SystemR2PŁATNIK PRO: KADRY / Personaldaten],MATCH($B127,tab_MinKomp[[Stanowisko / Position ]:[Stanowisko / Position ]],0))="n/a","n/a",R127-INDEX(tab_MinKomp[SystemR2PŁATNIK PRO: KADRY / Personaldaten],MATCH($B127,tab_MinKomp[[Stanowisko / Position ]:[Stanowisko / Position ]],0)))</f>
        <v>n/a</v>
      </c>
      <c r="S128" s="315">
        <f>IF(INDEX(tab_MinKomp[SYSTEM R2PŁATNIK PRO: zarządzanie pracownikami / Arbeitsverwaltung],MATCH($B127,tab_MinKomp[[Stanowisko / Position ]:[Stanowisko / Position ]],0))="n/a","n/a",S127-INDEX(tab_MinKomp[SYSTEM R2PŁATNIK PRO: zarządzanie pracownikami / Arbeitsverwaltung],MATCH($B127,tab_MinKomp[[Stanowisko / Position ]:[Stanowisko / Position ]],0)))</f>
        <v>0</v>
      </c>
      <c r="T128" s="315">
        <f>IF(INDEX(tab_MinKomp[Doradztwo, wsparcie personalne / Personalberatung und Unterstützung],MATCH($B127,tab_MinKomp[[Stanowisko / Position ]:[Stanowisko / Position ]],0))="n/a","n/a",T127-INDEX(tab_MinKomp[Doradztwo, wsparcie personalne / Personalberatung und Unterstützung],MATCH($B127,tab_MinKomp[[Stanowisko / Position ]:[Stanowisko / Position ]],0)))</f>
        <v>0</v>
      </c>
      <c r="U128" s="315" t="str">
        <f>IF(INDEX(tab_MinKomp[Przepisy o podatku VAT / MwSt.- Gesetz],MATCH($B127,tab_MinKomp[[Stanowisko / Position ]:[Stanowisko / Position ]],0))="n/a","n/a",U127-INDEX(tab_MinKomp[Przepisy o podatku VAT / MwSt.- Gesetz],MATCH($B127,tab_MinKomp[[Stanowisko / Position ]:[Stanowisko / Position ]],0)))</f>
        <v>n/a</v>
      </c>
      <c r="V128" s="315" t="str">
        <f>IF(INDEX(tab_MinKomp[PrzepisyPDOP / geschäftlich Einkommensteuergesetz],MATCH($B127,tab_MinKomp[[Stanowisko / Position ]:[Stanowisko / Position ]],0))="n/a","n/a",V127-INDEX(tab_MinKomp[PrzepisyPDOP / geschäftlich Einkommensteuergesetz],MATCH($B127,tab_MinKomp[[Stanowisko / Position ]:[Stanowisko / Position ]],0)))</f>
        <v>n/a</v>
      </c>
      <c r="W128" s="315" t="str">
        <f>IF(INDEX(tab_MinKomp[System BAAN / FINANSE (FIBU)],MATCH($B127,tab_MinKomp[[Stanowisko / Position ]:[Stanowisko / Position ]],0))="n/a","n/a",W127-INDEX(tab_MinKomp[System BAAN / FINANSE (FIBU)],MATCH($B127,tab_MinKomp[[Stanowisko / Position ]:[Stanowisko / Position ]],0)))</f>
        <v>n/a</v>
      </c>
      <c r="X128" s="315" t="str">
        <f>IF(INDEX(tab_MinKomp[Systemy pomocnicze / Hilfssysteme(STOCKPROGRAM, KALK2000 etc.)],MATCH($B127,tab_MinKomp[[Stanowisko / Position ]:[Stanowisko / Position ]],0))="n/a","n/a",X127-INDEX(tab_MinKomp[Systemy pomocnicze / Hilfssysteme(STOCKPROGRAM, KALK2000 etc.)],MATCH($B127,tab_MinKomp[[Stanowisko / Position ]:[Stanowisko / Position ]],0)))</f>
        <v>n/a</v>
      </c>
      <c r="Y128" s="315" t="str">
        <f>IF(INDEX(tab_MinKomp[Polityka rachunkowości / Buchführungspolitik],MATCH($B127,tab_MinKomp[[Stanowisko / Position ]:[Stanowisko / Position ]],0))="n/a","n/a",Y127-INDEX(tab_MinKomp[Polityka rachunkowości / Buchführungspolitik],MATCH($B127,tab_MinKomp[[Stanowisko / Position ]:[Stanowisko / Position ]],0)))</f>
        <v>n/a</v>
      </c>
      <c r="Z128" s="315" t="str">
        <f>IF(INDEX(tab_MinKomp[Ustawa o rachunkowości / Rechnungslegungsgesetz],MATCH($B127,tab_MinKomp[[Stanowisko / Position ]:[Stanowisko / Position ]],0))="n/a","n/a",Z127-INDEX(tab_MinKomp[Ustawa o rachunkowości / Rechnungslegungsgesetz],MATCH($B127,tab_MinKomp[[Stanowisko / Position ]:[Stanowisko / Position ]],0)))</f>
        <v>n/a</v>
      </c>
      <c r="AA128" s="315" t="str">
        <f>IF(INDEX(tab_MinKomp[WORKFLOW - TS-100],MATCH($B127,tab_MinKomp[[Stanowisko / Position ]:[Stanowisko / Position ]],0))="n/a","n/a",AA127-INDEX(tab_MinKomp[WORKFLOW - TS-100],MATCH($B127,tab_MinKomp[[Stanowisko / Position ]:[Stanowisko / Position ]],0)))</f>
        <v>n/a</v>
      </c>
      <c r="AB128" s="315">
        <f>IF(INDEX(tab_MinKomp[WORKFLOW - SFMS],MATCH($B127,tab_MinKomp[[Stanowisko / Position ]:[Stanowisko / Position ]],0))="n/a","n/a",AB127-INDEX(tab_MinKomp[WORKFLOW - SFMS],MATCH($B127,tab_MinKomp[[Stanowisko / Position ]:[Stanowisko / Position ]],0)))</f>
        <v>0</v>
      </c>
      <c r="AC128" s="315">
        <f>IF(INDEX(tab_MinKomp[System ISO 9001:2015],MATCH($B127,tab_MinKomp[[Stanowisko / Position ]:[Stanowisko / Position ]],0))="n/a","n/a",AC127-INDEX(tab_MinKomp[System ISO 9001:2015],MATCH($B127,tab_MinKomp[[Stanowisko / Position ]:[Stanowisko / Position ]],0)))</f>
        <v>1</v>
      </c>
      <c r="AD128" s="315">
        <f>IF(INDEX(tab_MinKomp[System IATF 16949:2016],MATCH($B127,tab_MinKomp[[Stanowisko / Position ]:[Stanowisko / Position ]],0))="n/a","n/a",AD127-INDEX(tab_MinKomp[System IATF 16949:2016],MATCH($B127,tab_MinKomp[[Stanowisko / Position ]:[Stanowisko / Position ]],0)))</f>
        <v>1</v>
      </c>
      <c r="AE128" s="315">
        <f>IF(INDEX(tab_MinKomp[System ISO 14001:2015],MATCH($B127,tab_MinKomp[[Stanowisko / Position ]:[Stanowisko / Position ]],0))="n/a","n/a",AE127-INDEX(tab_MinKomp[System ISO 14001:2015],MATCH($B127,tab_MinKomp[[Stanowisko / Position ]:[Stanowisko / Position ]],0)))</f>
        <v>0</v>
      </c>
      <c r="AF128" s="315">
        <f>IF(INDEX(tab_MinKomp[System PN-N 18001:2004 / ISO 45001:2018],MATCH($B127,tab_MinKomp[[Stanowisko / Position ]:[Stanowisko / Position ]],0))="n/a","n/a",AF127-INDEX(tab_MinKomp[System PN-N 18001:2004 / ISO 45001:2018],MATCH($B127,tab_MinKomp[[Stanowisko / Position ]:[Stanowisko / Position ]],0)))</f>
        <v>1</v>
      </c>
      <c r="AG128" s="315">
        <f>IF(INDEX(tab_MinKomp[Wymagania VDA 6.3 Process / Forderungen],MATCH($B127,tab_MinKomp[[Stanowisko / Position ]:[Stanowisko / Position ]],0))="n/a","n/a",AG127-INDEX(tab_MinKomp[Wymagania VDA 6.3 Process / Forderungen],MATCH($B127,tab_MinKomp[[Stanowisko / Position ]:[Stanowisko / Position ]],0)))</f>
        <v>0</v>
      </c>
      <c r="AH128" s="315">
        <f>IF(INDEX(tab_MinKomp[Wymagania VDA 6.5 Product / Forderungen],MATCH($B127,tab_MinKomp[[Stanowisko / Position ]:[Stanowisko / Position ]],0))="n/a","n/a",AH127-INDEX(tab_MinKomp[Wymagania VDA 6.5 Product / Forderungen],MATCH($B127,tab_MinKomp[[Stanowisko / Position ]:[Stanowisko / Position ]],0)))</f>
        <v>0</v>
      </c>
      <c r="AI128" s="315" t="str">
        <f>IF(INDEX(tab_MinKomp[PSCR (VW Product Safety &amp; Conformity Representative)],MATCH($B127,tab_MinKomp[[Stanowisko / Position ]:[Stanowisko / Position ]],0))="n/a","n/a",AI127-INDEX(tab_MinKomp[PSCR (VW Product Safety &amp; Conformity Representative)],MATCH($B127,tab_MinKomp[[Stanowisko / Position ]:[Stanowisko / Position ]],0)))</f>
        <v>n/a</v>
      </c>
      <c r="AJ128" s="315" t="str">
        <f>IF(INDEX(tab_MinKomp[Auditor systemu ISO 17025:2018],MATCH($B127,tab_MinKomp[[Stanowisko / Position ]:[Stanowisko / Position ]],0))="n/a","n/a",AJ127-INDEX(tab_MinKomp[Auditor systemu ISO 17025:2018],MATCH($B127,tab_MinKomp[[Stanowisko / Position ]:[Stanowisko / Position ]],0)))</f>
        <v>n/a</v>
      </c>
      <c r="AK128" s="315" t="str">
        <f>IF(INDEX(tab_MinKomp[Pełnomocnik systemu / Systemvertreter],MATCH($B127,tab_MinKomp[[Stanowisko / Position ]:[Stanowisko / Position ]],0))="n/a","n/a",AK127-INDEX(tab_MinKomp[Pełnomocnik systemu / Systemvertreter],MATCH($B127,tab_MinKomp[[Stanowisko / Position ]:[Stanowisko / Position ]],0)))</f>
        <v>n/a</v>
      </c>
      <c r="AL128" s="315">
        <f>IF(INDEX(tab_MinKomp[Polityka Etyczna - Compliance],MATCH($B127,tab_MinKomp[[Stanowisko / Position ]:[Stanowisko / Position ]],0))="n/a","n/a",AL127-INDEX(tab_MinKomp[Polityka Etyczna - Compliance],MATCH($B127,tab_MinKomp[[Stanowisko / Position ]:[Stanowisko / Position ]],0)))</f>
        <v>0</v>
      </c>
      <c r="AM128" s="315">
        <f>IF(INDEX(tab_MinKomp[WDRAŻANIE NOWYCH PROJEKTÓW/ PROCEDURA CTM],MATCH($B127,tab_MinKomp[[Stanowisko / Position ]:[Stanowisko / Position ]],0))="n/a","n/a",AM127-INDEX(tab_MinKomp[WDRAŻANIE NOWYCH PROJEKTÓW/ PROCEDURA CTM],MATCH($B127,tab_MinKomp[[Stanowisko / Position ]:[Stanowisko / Position ]],0)))</f>
        <v>0</v>
      </c>
      <c r="AN128" s="315" t="str">
        <f>IF(INDEX(tab_MinKomp[KAMIENIE MILOWE MSL/PIFF],MATCH($B127,tab_MinKomp[[Stanowisko / Position ]:[Stanowisko / Position ]],0))="n/a","n/a",AN127-INDEX(tab_MinKomp[KAMIENIE MILOWE MSL/PIFF],MATCH($B127,tab_MinKomp[[Stanowisko / Position ]:[Stanowisko / Position ]],0)))</f>
        <v>n/a</v>
      </c>
      <c r="AO128" s="315" t="str">
        <f>IF(INDEX(tab_MinKomp[CP],MATCH($B127,tab_MinKomp[[Stanowisko / Position ]:[Stanowisko / Position ]],0))="n/a","n/a",AO127-INDEX(tab_MinKomp[CP],MATCH($B127,tab_MinKomp[[Stanowisko / Position ]:[Stanowisko / Position ]],0)))</f>
        <v>n/a</v>
      </c>
      <c r="AP128" s="315">
        <f>IF(INDEX(tab_MinKomp[FMEA],MATCH($B127,tab_MinKomp[[Stanowisko / Position ]:[Stanowisko / Position ]],0))="n/a","n/a",AP127-INDEX(tab_MinKomp[FMEA],MATCH($B127,tab_MinKomp[[Stanowisko / Position ]:[Stanowisko / Position ]],0)))</f>
        <v>1</v>
      </c>
      <c r="AQ128" s="315">
        <f>IF(INDEX(tab_MinKomp[FLOW CHART],MATCH($B127,tab_MinKomp[[Stanowisko / Position ]:[Stanowisko / Position ]],0))="n/a","n/a",AQ127-INDEX(tab_MinKomp[FLOW CHART],MATCH($B127,tab_MinKomp[[Stanowisko / Position ]:[Stanowisko / Position ]],0)))</f>
        <v>1</v>
      </c>
      <c r="AR128" s="315" t="str">
        <f>IF(INDEX(tab_MinKomp[APQP],MATCH($B127,tab_MinKomp[[Stanowisko / Position ]:[Stanowisko / Position ]],0))="n/a","n/a",AR127-INDEX(tab_MinKomp[APQP],MATCH($B127,tab_MinKomp[[Stanowisko / Position ]:[Stanowisko / Position ]],0)))</f>
        <v>n/a</v>
      </c>
      <c r="AS128" s="315">
        <f>IF(INDEX(tab_MinKomp[MSA],MATCH($B127,tab_MinKomp[[Stanowisko / Position ]:[Stanowisko / Position ]],0))="n/a","n/a",AS127-INDEX(tab_MinKomp[MSA],MATCH($B127,tab_MinKomp[[Stanowisko / Position ]:[Stanowisko / Position ]],0)))</f>
        <v>2</v>
      </c>
      <c r="AT128" s="315" t="str">
        <f>IF(INDEX(tab_MinKomp[SPC],MATCH($B127,tab_MinKomp[[Stanowisko / Position ]:[Stanowisko / Position ]],0))="n/a","n/a",AT127-INDEX(tab_MinKomp[SPC],MATCH($B127,tab_MinKomp[[Stanowisko / Position ]:[Stanowisko / Position ]],0)))</f>
        <v>n/a</v>
      </c>
      <c r="AU128" s="315">
        <f>IF(INDEX(tab_MinKomp[CSR (SPECYFICZNE WYMAGANIA KLIENTA)],MATCH($B127,tab_MinKomp[[Stanowisko / Position ]:[Stanowisko / Position ]],0))="n/a","n/a",AU127-INDEX(tab_MinKomp[CSR (SPECYFICZNE WYMAGANIA KLIENTA)],MATCH($B127,tab_MinKomp[[Stanowisko / Position ]:[Stanowisko / Position ]],0)))</f>
        <v>1</v>
      </c>
      <c r="AV128" s="315">
        <f>IF(INDEX(tab_MinKomp[5S],MATCH($B127,tab_MinKomp[[Stanowisko / Position ]:[Stanowisko / Position ]],0))="n/a","n/a",AV127-INDEX(tab_MinKomp[5S],MATCH($B127,tab_MinKomp[[Stanowisko / Position ]:[Stanowisko / Position ]],0)))</f>
        <v>0</v>
      </c>
      <c r="AW128" s="315">
        <f>IF(INDEX(tab_MinKomp[LEAN MANAGEMENT],MATCH($B127,tab_MinKomp[[Stanowisko / Position ]:[Stanowisko / Position ]],0))="n/a","n/a",AW127-INDEX(tab_MinKomp[LEAN MANAGEMENT],MATCH($B127,tab_MinKomp[[Stanowisko / Position ]:[Stanowisko / Position ]],0)))</f>
        <v>0</v>
      </c>
      <c r="AX128" s="315">
        <f>IF(INDEX(tab_MinKomp[5R],MATCH($B127,tab_MinKomp[[Stanowisko / Position ]:[Stanowisko / Position ]],0))="n/a","n/a",AX127-INDEX(tab_MinKomp[5R],MATCH($B127,tab_MinKomp[[Stanowisko / Position ]:[Stanowisko / Position ]],0)))</f>
        <v>0</v>
      </c>
      <c r="AY128" s="315" t="str">
        <f>IF(INDEX(tab_MinKomp[Six Sigma],MATCH($B127,tab_MinKomp[[Stanowisko / Position ]:[Stanowisko / Position ]],0))="n/a","n/a",AY127-INDEX(tab_MinKomp[Six Sigma],MATCH($B127,tab_MinKomp[[Stanowisko / Position ]:[Stanowisko / Position ]],0)))</f>
        <v>n/a</v>
      </c>
      <c r="AZ128" s="315" t="str">
        <f>IF(INDEX(tab_MinKomp[System BAAN / Distribution &amp; Supply Chain],MATCH($B127,tab_MinKomp[[Stanowisko / Position ]:[Stanowisko / Position ]],0))="n/a","n/a",AZ127-INDEX(tab_MinKomp[System BAAN / Distribution &amp; Supply Chain],MATCH($B127,tab_MinKomp[[Stanowisko / Position ]:[Stanowisko / Position ]],0)))</f>
        <v>n/a</v>
      </c>
      <c r="BA128" s="315" t="str">
        <f>IF(INDEX(tab_MinKomp[Gospodarka magazynowa / Lagerverwaltung],MATCH($B127,tab_MinKomp[[Stanowisko / Position ]:[Stanowisko / Position ]],0))="n/a","n/a",BA127-INDEX(tab_MinKomp[Gospodarka magazynowa / Lagerverwaltung],MATCH($B127,tab_MinKomp[[Stanowisko / Position ]:[Stanowisko / Position ]],0)))</f>
        <v>n/a</v>
      </c>
      <c r="BB128" s="315" t="str">
        <f>IF(INDEX(tab_MinKomp[Inwentaryzacja - organizacja i przebieg / Inventurprozess],MATCH($B127,tab_MinKomp[[Stanowisko / Position ]:[Stanowisko / Position ]],0))="n/a","n/a",BB127-INDEX(tab_MinKomp[Inwentaryzacja - organizacja i przebieg / Inventurprozess],MATCH($B127,tab_MinKomp[[Stanowisko / Position ]:[Stanowisko / Position ]],0)))</f>
        <v>n/a</v>
      </c>
      <c r="BC128" s="315" t="str">
        <f>IF(INDEX(tab_MinKomp[Organizacja dostaw / Versorgungsorganisation],MATCH($B127,tab_MinKomp[[Stanowisko / Position ]:[Stanowisko / Position ]],0))="n/a","n/a",BC127-INDEX(tab_MinKomp[Organizacja dostaw / Versorgungsorganisation],MATCH($B127,tab_MinKomp[[Stanowisko / Position ]:[Stanowisko / Position ]],0)))</f>
        <v>n/a</v>
      </c>
      <c r="BD128" s="315" t="str">
        <f>IF(INDEX(tab_MinKomp[Organizacja wysyłek / Organisation von Lieferungen],MATCH($B127,tab_MinKomp[[Stanowisko / Position ]:[Stanowisko / Position ]],0))="n/a","n/a",BD127-INDEX(tab_MinKomp[Organizacja wysyłek / Organisation von Lieferungen],MATCH($B127,tab_MinKomp[[Stanowisko / Position ]:[Stanowisko / Position ]],0)))</f>
        <v>n/a</v>
      </c>
      <c r="BE128" s="315" t="str">
        <f>IF(INDEX(tab_MinKomp[Analiza magazynowa - Program Polen.mdb / Inventuranalyse],MATCH($B127,tab_MinKomp[[Stanowisko / Position ]:[Stanowisko / Position ]],0))="n/a","n/a",BE127-INDEX(tab_MinKomp[Analiza magazynowa - Program Polen.mdb / Inventuranalyse],MATCH($B127,tab_MinKomp[[Stanowisko / Position ]:[Stanowisko / Position ]],0)))</f>
        <v>n/a</v>
      </c>
      <c r="BF128" s="315" t="str">
        <f>IF(INDEX(tab_MinKomp[MMOG (Materials Management Operations Guidelines)],MATCH($B127,tab_MinKomp[[Stanowisko / Position ]:[Stanowisko / Position ]],0))="n/a","n/a",BF127-INDEX(tab_MinKomp[MMOG (Materials Management Operations Guidelines)],MATCH($B127,tab_MinKomp[[Stanowisko / Position ]:[Stanowisko / Position ]],0)))</f>
        <v>n/a</v>
      </c>
      <c r="BG128" s="315" t="str">
        <f>IF(INDEX(tab_MinKomp[GPP],MATCH($B127,tab_MinKomp[[Stanowisko / Position ]:[Stanowisko / Position ]],0))="n/a","n/a",BG127-INDEX(tab_MinKomp[GPP],MATCH($B127,tab_MinKomp[[Stanowisko / Position ]:[Stanowisko / Position ]],0)))</f>
        <v>n/a</v>
      </c>
      <c r="BH128" s="315" t="str">
        <f>IF(INDEX(tab_MinKomp[AIAG (Automotive Industry Action Group)],MATCH($B127,tab_MinKomp[[Stanowisko / Position ]:[Stanowisko / Position ]],0))="n/a","n/a",BH127-INDEX(tab_MinKomp[AIAG (Automotive Industry Action Group)],MATCH($B127,tab_MinKomp[[Stanowisko / Position ]:[Stanowisko / Position ]],0)))</f>
        <v>n/a</v>
      </c>
      <c r="BI128" s="315" t="str">
        <f>IF(INDEX(tab_MinKomp[Super-G disputes],MATCH($B127,tab_MinKomp[[Stanowisko / Position ]:[Stanowisko / Position ]],0))="n/a","n/a",BI127-INDEX(tab_MinKomp[Super-G disputes],MATCH($B127,tab_MinKomp[[Stanowisko / Position ]:[Stanowisko / Position ]],0)))</f>
        <v>n/a</v>
      </c>
      <c r="BJ128" s="315" t="str">
        <f>IF(INDEX(tab_MinKomp[CMMS3/eDDL (Direct Data Link)],MATCH($B127,tab_MinKomp[[Stanowisko / Position ]:[Stanowisko / Position ]],0))="n/a","n/a",BJ127-INDEX(tab_MinKomp[CMMS3/eDDL (Direct Data Link)],MATCH($B127,tab_MinKomp[[Stanowisko / Position ]:[Stanowisko / Position ]],0)))</f>
        <v>n/a</v>
      </c>
      <c r="BK128" s="315" t="str">
        <f>IF(INDEX(tab_MinKomp[MP&amp;L (Material Planning and Logistics)],MATCH($B127,tab_MinKomp[[Stanowisko / Position ]:[Stanowisko / Position ]],0))="n/a","n/a",BK127-INDEX(tab_MinKomp[MP&amp;L (Material Planning and Logistics)],MATCH($B127,tab_MinKomp[[Stanowisko / Position ]:[Stanowisko / Position ]],0)))</f>
        <v>n/a</v>
      </c>
      <c r="BL128" s="315" t="str">
        <f>IF(INDEX(tab_MinKomp[Supplier delivery rating],MATCH($B127,tab_MinKomp[[Stanowisko / Position ]:[Stanowisko / Position ]],0))="n/a","n/a",BL127-INDEX(tab_MinKomp[Supplier delivery rating],MATCH($B127,tab_MinKomp[[Stanowisko / Position ]:[Stanowisko / Position ]],0)))</f>
        <v>n/a</v>
      </c>
      <c r="BM128" s="315">
        <f>IF(INDEX(tab_MinKomp[Planowanie produkcji / Produktionsplanung],MATCH($B127,tab_MinKomp[[Stanowisko / Position ]:[Stanowisko / Position ]],0))="n/a","n/a",BM127-INDEX(tab_MinKomp[Planowanie produkcji / Produktionsplanung],MATCH($B127,tab_MinKomp[[Stanowisko / Position ]:[Stanowisko / Position ]],0)))</f>
        <v>0</v>
      </c>
      <c r="BN128" s="315">
        <f>IF(INDEX(tab_MinKomp[Obsługa maszyn Engel / Engel Maschinenbedienung],MATCH($B127,tab_MinKomp[[Stanowisko / Position ]:[Stanowisko / Position ]],0))="n/a","n/a",BN127-INDEX(tab_MinKomp[Obsługa maszyn Engel / Engel Maschinenbedienung],MATCH($B127,tab_MinKomp[[Stanowisko / Position ]:[Stanowisko / Position ]],0)))</f>
        <v>2</v>
      </c>
      <c r="BO128" s="315">
        <f>IF(INDEX(tab_MinKomp[Obsługa maszyn Novapax / Novapax Maschinenbedienung],MATCH($B127,tab_MinKomp[[Stanowisko / Position ]:[Stanowisko / Position ]],0))="n/a","n/a",BO127-INDEX(tab_MinKomp[Obsługa maszyn Novapax / Novapax Maschinenbedienung],MATCH($B127,tab_MinKomp[[Stanowisko / Position ]:[Stanowisko / Position ]],0)))</f>
        <v>2</v>
      </c>
      <c r="BP128" s="315">
        <f>IF(INDEX(tab_MinKomp[Obsługa maszyn KVT / KVT Maschinenbedienung],MATCH($B127,tab_MinKomp[[Stanowisko / Position ]:[Stanowisko / Position ]],0))="n/a","n/a",BP127-INDEX(tab_MinKomp[Obsługa maszyn KVT / KVT Maschinenbedienung],MATCH($B127,tab_MinKomp[[Stanowisko / Position ]:[Stanowisko / Position ]],0)))</f>
        <v>2</v>
      </c>
      <c r="BQ128" s="315">
        <f>IF(INDEX(tab_MinKomp[Obsługa maszyn ASL / ASL Maschinenbedienung],MATCH($B127,tab_MinKomp[[Stanowisko / Position ]:[Stanowisko / Position ]],0))="n/a","n/a",BQ127-INDEX(tab_MinKomp[Obsługa maszyn ASL / ASL Maschinenbedienung],MATCH($B127,tab_MinKomp[[Stanowisko / Position ]:[Stanowisko / Position ]],0)))</f>
        <v>2</v>
      </c>
      <c r="BR128" s="315">
        <f>IF(INDEX(tab_MinKomp[Obsługa maszyn Branson / Branson Maschinenbedienung],MATCH($B127,tab_MinKomp[[Stanowisko / Position ]:[Stanowisko / Position ]],0))="n/a","n/a",BR127-INDEX(tab_MinKomp[Obsługa maszyn Branson / Branson Maschinenbedienung],MATCH($B127,tab_MinKomp[[Stanowisko / Position ]:[Stanowisko / Position ]],0)))</f>
        <v>1</v>
      </c>
      <c r="BS128" s="315">
        <f>IF(INDEX(tab_MinKomp[Obsługa maszyn Kamtec / Kamtec Maschinenbedienung],MATCH($B127,tab_MinKomp[[Stanowisko / Position ]:[Stanowisko / Position ]],0))="n/a","n/a",BS127-INDEX(tab_MinKomp[Obsługa maszyn Kamtec / Kamtec Maschinenbedienung],MATCH($B127,tab_MinKomp[[Stanowisko / Position ]:[Stanowisko / Position ]],0)))</f>
        <v>1</v>
      </c>
      <c r="BT128" s="315">
        <f>IF(INDEX(tab_MinKomp[Obsługa maszyn Piovan / Piovan Maschinenbedienung],MATCH($B127,tab_MinKomp[[Stanowisko / Position ]:[Stanowisko / Position ]],0))="n/a","n/a",BT127-INDEX(tab_MinKomp[Obsługa maszyn Piovan / Piovan Maschinenbedienung],MATCH($B127,tab_MinKomp[[Stanowisko / Position ]:[Stanowisko / Position ]],0)))</f>
        <v>1</v>
      </c>
      <c r="BU128" s="315">
        <f>IF(INDEX(tab_MinKomp[Obsługa maszyn REP / REP Maschinenbedienung],MATCH($B127,tab_MinKomp[[Stanowisko / Position ]:[Stanowisko / Position ]],0))="n/a","n/a",BU127-INDEX(tab_MinKomp[Obsługa maszyn REP / REP Maschinenbedienung],MATCH($B127,tab_MinKomp[[Stanowisko / Position ]:[Stanowisko / Position ]],0)))</f>
        <v>1</v>
      </c>
      <c r="BV128" s="315">
        <f>IF(INDEX(tab_MinKomp[Eliminacja awarii / Beseitigung von Ausfällen],MATCH($B127,tab_MinKomp[[Stanowisko / Position ]:[Stanowisko / Position ]],0))="n/a","n/a",BV127-INDEX(tab_MinKomp[Eliminacja awarii / Beseitigung von Ausfällen],MATCH($B127,tab_MinKomp[[Stanowisko / Position ]:[Stanowisko / Position ]],0)))</f>
        <v>0</v>
      </c>
      <c r="BW128" s="315" t="str">
        <f>IF(INDEX(tab_MinKomp[Informatyka ogólna (techniczne i systemowe) / Allgemeine IT (Technik und System)],MATCH($B127,tab_MinKomp[[Stanowisko / Position ]:[Stanowisko / Position ]],0))="n/a","n/a",BW127-INDEX(tab_MinKomp[Informatyka ogólna (techniczne i systemowe) / Allgemeine IT (Technik und System)],MATCH($B127,tab_MinKomp[[Stanowisko / Position ]:[Stanowisko / Position ]],0)))</f>
        <v>n/a</v>
      </c>
      <c r="BX128" s="315" t="str">
        <f>IF(INDEX(tab_MinKomp[Sieci komputerowe / Computernetzwerke],MATCH($B127,tab_MinKomp[[Stanowisko / Position ]:[Stanowisko / Position ]],0))="n/a","n/a",BX127-INDEX(tab_MinKomp[Sieci komputerowe / Computernetzwerke],MATCH($B127,tab_MinKomp[[Stanowisko / Position ]:[Stanowisko / Position ]],0)))</f>
        <v>n/a</v>
      </c>
      <c r="BY128" s="315" t="str">
        <f>IF(INDEX(tab_MinKomp[Hardware (komputery PC, drukarki biurowe i etykietowe, telefonia stacjonarna i mobilna) (PC, Drucker, Telefpne, Handys)],MATCH($B127,tab_MinKomp[[Stanowisko / Position ]:[Stanowisko / Position ]],0))="n/a","n/a",BY127-INDEX(tab_MinKomp[Hardware (komputery PC, drukarki biurowe i etykietowe, telefonia stacjonarna i mobilna) (PC, Drucker, Telefpne, Handys)],MATCH($B127,tab_MinKomp[[Stanowisko / Position ]:[Stanowisko / Position ]],0)))</f>
        <v>n/a</v>
      </c>
      <c r="BZ128" s="315" t="str">
        <f>IF(INDEX(tab_MinKomp[Software &amp; Systems (MS Office, MS Remote Desktop)],MATCH($B127,tab_MinKomp[[Stanowisko / Position ]:[Stanowisko / Position ]],0))="n/a","n/a",BZ127-INDEX(tab_MinKomp[Software &amp; Systems (MS Office, MS Remote Desktop)],MATCH($B127,tab_MinKomp[[Stanowisko / Position ]:[Stanowisko / Position ]],0)))</f>
        <v>n/a</v>
      </c>
      <c r="CA128" s="315" t="str">
        <f>IF(INDEX(tab_MinKomp[Programowanie obiektowe (PHP) / Objektprogrammierung],MATCH($B127,tab_MinKomp[[Stanowisko / Position ]:[Stanowisko / Position ]],0))="n/a","n/a",CA127-INDEX(tab_MinKomp[Programowanie obiektowe (PHP) / Objektprogrammierung],MATCH($B127,tab_MinKomp[[Stanowisko / Position ]:[Stanowisko / Position ]],0)))</f>
        <v>n/a</v>
      </c>
      <c r="CB128" s="315" t="str">
        <f>IF(INDEX(tab_MinKomp[Scrum],MATCH($B127,tab_MinKomp[[Stanowisko / Position ]:[Stanowisko / Position ]],0))="n/a","n/a",CB127-INDEX(tab_MinKomp[Scrum],MATCH($B127,tab_MinKomp[[Stanowisko / Position ]:[Stanowisko / Position ]],0)))</f>
        <v>n/a</v>
      </c>
      <c r="CC128" s="315" t="str">
        <f>IF(INDEX(tab_MinKomp[SQL (MySQL)],MATCH($B127,tab_MinKomp[[Stanowisko / Position ]:[Stanowisko / Position ]],0))="n/a","n/a",CC127-INDEX(tab_MinKomp[SQL (MySQL)],MATCH($B127,tab_MinKomp[[Stanowisko / Position ]:[Stanowisko / Position ]],0)))</f>
        <v>n/a</v>
      </c>
      <c r="CD128" s="315" t="str">
        <f>IF(INDEX(tab_MinKomp[Javascript],MATCH($B127,tab_MinKomp[[Stanowisko / Position ]:[Stanowisko / Position ]],0))="n/a","n/a",CD127-INDEX(tab_MinKomp[Javascript],MATCH($B127,tab_MinKomp[[Stanowisko / Position ]:[Stanowisko / Position ]],0)))</f>
        <v>n/a</v>
      </c>
      <c r="CE128" s="315" t="str">
        <f>IF(INDEX(tab_MinKomp[Joomla],MATCH($B127,tab_MinKomp[[Stanowisko / Position ]:[Stanowisko / Position ]],0))="n/a","n/a",CE127-INDEX(tab_MinKomp[Joomla],MATCH($B127,tab_MinKomp[[Stanowisko / Position ]:[Stanowisko / Position ]],0)))</f>
        <v>n/a</v>
      </c>
      <c r="CF128" s="315" t="str">
        <f>IF(INDEX(tab_MinKomp[Bash],MATCH($B127,tab_MinKomp[[Stanowisko / Position ]:[Stanowisko / Position ]],0))="n/a","n/a",CF127-INDEX(tab_MinKomp[Bash],MATCH($B127,tab_MinKomp[[Stanowisko / Position ]:[Stanowisko / Position ]],0)))</f>
        <v>n/a</v>
      </c>
      <c r="CG128" s="315" t="str">
        <f>IF(INDEX(tab_MinKomp[Systemy MES (HYDRA / SFMS)],MATCH($B127,tab_MinKomp[[Stanowisko / Position ]:[Stanowisko / Position ]],0))="n/a","n/a",CG127-INDEX(tab_MinKomp[Systemy MES (HYDRA / SFMS)],MATCH($B127,tab_MinKomp[[Stanowisko / Position ]:[Stanowisko / Position ]],0)))</f>
        <v>n/a</v>
      </c>
      <c r="CH128" s="315" t="str">
        <f>IF(INDEX(tab_MinKomp[HTML / CSS],MATCH($B127,tab_MinKomp[[Stanowisko / Position ]:[Stanowisko / Position ]],0))="n/a","n/a",CH127-INDEX(tab_MinKomp[HTML / CSS],MATCH($B127,tab_MinKomp[[Stanowisko / Position ]:[Stanowisko / Position ]],0)))</f>
        <v>n/a</v>
      </c>
      <c r="CI128" s="315">
        <f>IF(INDEX(tab_MinKomp[SYSTEM PR],MATCH($B127,tab_MinKomp[[Stanowisko / Position ]:[Stanowisko / Position ]],0))="n/a","n/a",CI127-INDEX(tab_MinKomp[SYSTEM PR],MATCH($B127,tab_MinKomp[[Stanowisko / Position ]:[Stanowisko / Position ]],0)))</f>
        <v>0</v>
      </c>
      <c r="CJ128" s="315">
        <f>IF(INDEX(tab_MinKomp[System Einkauf XP / EBA],MATCH($B127,tab_MinKomp[[Stanowisko / Position ]:[Stanowisko / Position ]],0))="n/a","n/a",CJ127-INDEX(tab_MinKomp[System Einkauf XP / EBA],MATCH($B127,tab_MinKomp[[Stanowisko / Position ]:[Stanowisko / Position ]],0)))</f>
        <v>0</v>
      </c>
      <c r="CK128" s="315">
        <f>IF(INDEX(tab_MinKomp[Techniki negocjacyjne / Verhandlungstechniken],MATCH($B127,tab_MinKomp[[Stanowisko / Position ]:[Stanowisko / Position ]],0))="n/a","n/a",CK127-INDEX(tab_MinKomp[Techniki negocjacyjne / Verhandlungstechniken],MATCH($B127,tab_MinKomp[[Stanowisko / Position ]:[Stanowisko / Position ]],0)))</f>
        <v>1</v>
      </c>
      <c r="CL128" s="315" t="str">
        <f>IF(INDEX(tab_MinKomp[Znajomość rynku branżowego / Kenntnis des Industrie Marktes],MATCH($B127,tab_MinKomp[[Stanowisko / Position ]:[Stanowisko / Position ]],0))="n/a","n/a",CL127-INDEX(tab_MinKomp[Znajomość rynku branżowego / Kenntnis des Industrie Marktes],MATCH($B127,tab_MinKomp[[Stanowisko / Position ]:[Stanowisko / Position ]],0)))</f>
        <v>n/a</v>
      </c>
      <c r="CM128" s="315">
        <f>IF(INDEX(tab_MinKomp[RAPORTY 8D / 8D Berichten],MATCH($B127,tab_MinKomp[[Stanowisko / Position ]:[Stanowisko / Position ]],0))="n/a","n/a",CM127-INDEX(tab_MinKomp[RAPORTY 8D / 8D Berichten],MATCH($B127,tab_MinKomp[[Stanowisko / Position ]:[Stanowisko / Position ]],0)))</f>
        <v>2</v>
      </c>
      <c r="CN128" s="315">
        <f>IF(INDEX(tab_MinKomp[NARZĘDZIA JAKOŚCIOWE (5WHY, Ishikawa, etc) / QS-Werkzeuge],MATCH($B127,tab_MinKomp[[Stanowisko / Position ]:[Stanowisko / Position ]],0))="n/a","n/a",CN127-INDEX(tab_MinKomp[NARZĘDZIA JAKOŚCIOWE (5WHY, Ishikawa, etc) / QS-Werkzeuge],MATCH($B127,tab_MinKomp[[Stanowisko / Position ]:[Stanowisko / Position ]],0)))</f>
        <v>2</v>
      </c>
      <c r="CO128" s="315">
        <f>IF(INDEX(tab_MinKomp[PDCA],MATCH($B127,tab_MinKomp[[Stanowisko / Position ]:[Stanowisko / Position ]],0))="n/a","n/a",CO127-INDEX(tab_MinKomp[PDCA],MATCH($B127,tab_MinKomp[[Stanowisko / Position ]:[Stanowisko / Position ]],0)))</f>
        <v>1</v>
      </c>
      <c r="CP128" s="315">
        <f>IF(INDEX(tab_MinKomp[Pareto],MATCH($B127,tab_MinKomp[[Stanowisko / Position ]:[Stanowisko / Position ]],0))="n/a","n/a",CP127-INDEX(tab_MinKomp[Pareto],MATCH($B127,tab_MinKomp[[Stanowisko / Position ]:[Stanowisko / Position ]],0)))</f>
        <v>1</v>
      </c>
      <c r="CQ128" s="315" t="str">
        <f>IF(INDEX(tab_MinKomp[PPAP/PSW],MATCH($B127,tab_MinKomp[[Stanowisko / Position ]:[Stanowisko / Position ]],0))="n/a","n/a",CQ127-INDEX(tab_MinKomp[PPAP/PSW],MATCH($B127,tab_MinKomp[[Stanowisko / Position ]:[Stanowisko / Position ]],0)))</f>
        <v>n/a</v>
      </c>
      <c r="CR128" s="315" t="str">
        <f>IF(INDEX(tab_MinKomp[SUPPLIER MANAGEMENT],MATCH($B127,tab_MinKomp[[Stanowisko / Position ]:[Stanowisko / Position ]],0))="n/a","n/a",CR127-INDEX(tab_MinKomp[SUPPLIER MANAGEMENT],MATCH($B127,tab_MinKomp[[Stanowisko / Position ]:[Stanowisko / Position ]],0)))</f>
        <v>n/a</v>
      </c>
      <c r="CS128" s="315" t="str">
        <f>IF(INDEX(tab_MinKomp[OBSŁUGA PORTALI KLIENTA / Kundenportale],MATCH($B127,tab_MinKomp[[Stanowisko / Position ]:[Stanowisko / Position ]],0))="n/a","n/a",CS127-INDEX(tab_MinKomp[OBSŁUGA PORTALI KLIENTA / Kundenportale],MATCH($B127,tab_MinKomp[[Stanowisko / Position ]:[Stanowisko / Position ]],0)))</f>
        <v>n/a</v>
      </c>
      <c r="CT128" s="315" t="str">
        <f>IF(INDEX(tab_MinKomp[Obsługa systemu BABTECQ / BABTECQ System],MATCH($B127,tab_MinKomp[[Stanowisko / Position ]:[Stanowisko / Position ]],0))="n/a","n/a",CT127-INDEX(tab_MinKomp[Obsługa systemu BABTECQ / BABTECQ System],MATCH($B127,tab_MinKomp[[Stanowisko / Position ]:[Stanowisko / Position ]],0)))</f>
        <v>n/a</v>
      </c>
      <c r="CU128" s="315">
        <f>IF(INDEX(tab_MinKomp[Rysunek techniczny / technische Zeichnung],MATCH($B127,tab_MinKomp[[Stanowisko / Position ]:[Stanowisko / Position ]],0))="n/a","n/a",CU127-INDEX(tab_MinKomp[Rysunek techniczny / technische Zeichnung],MATCH($B127,tab_MinKomp[[Stanowisko / Position ]:[Stanowisko / Position ]],0)))</f>
        <v>1</v>
      </c>
      <c r="CV128" s="315">
        <f>IF(INDEX(tab_MinKomp[Kalibracja / Kalibrierung],MATCH($B127,tab_MinKomp[[Stanowisko / Position ]:[Stanowisko / Position ]],0))="n/a","n/a",CV127-INDEX(tab_MinKomp[Kalibracja / Kalibrierung],MATCH($B127,tab_MinKomp[[Stanowisko / Position ]:[Stanowisko / Position ]],0)))</f>
        <v>1</v>
      </c>
      <c r="CW128" s="315" t="str">
        <f>IF(INDEX(tab_MinKomp[Rekwalifikacja / Requalifizierung],MATCH($B127,tab_MinKomp[[Stanowisko / Position ]:[Stanowisko / Position ]],0))="n/a","n/a",CW127-INDEX(tab_MinKomp[Rekwalifikacja / Requalifizierung],MATCH($B127,tab_MinKomp[[Stanowisko / Position ]:[Stanowisko / Position ]],0)))</f>
        <v>n/a</v>
      </c>
      <c r="CX128" s="315" t="str">
        <f>IF(INDEX(tab_MinKomp[CMM - Contura Zeiss],MATCH($B127,tab_MinKomp[[Stanowisko / Position ]:[Stanowisko / Position ]],0))="n/a","n/a",CX127-INDEX(tab_MinKomp[CMM - Contura Zeiss],MATCH($B127,tab_MinKomp[[Stanowisko / Position ]:[Stanowisko / Position ]],0)))</f>
        <v>n/a</v>
      </c>
      <c r="CY128" s="315" t="str">
        <f>IF(INDEX(tab_MinKomp[CMM - Contura Zeiss],MATCH($B127,tab_MinKomp[[Stanowisko / Position ]:[Stanowisko / Position ]],0))="n/a","n/a",CY127-INDEX(tab_MinKomp[CMM - Contura Zeiss],MATCH($B127,tab_MinKomp[[Stanowisko / Position ]:[Stanowisko / Position ]],0)))</f>
        <v>n/a</v>
      </c>
      <c r="CZ128" s="315" t="str">
        <f>IF(INDEX(tab_MinKomp[CMM - Contura Zeiss],MATCH($B127,tab_MinKomp[[Stanowisko / Position ]:[Stanowisko / Position ]],0))="n/a","n/a",CZ127-INDEX(tab_MinKomp[CMM - Contura Zeiss],MATCH($B127,tab_MinKomp[[Stanowisko / Position ]:[Stanowisko / Position ]],0)))</f>
        <v>n/a</v>
      </c>
      <c r="DA128" s="315" t="str">
        <f>IF(INDEX(tab_MinKomp[CMM - Contura Zeiss],MATCH($B127,tab_MinKomp[[Stanowisko / Position ]:[Stanowisko / Position ]],0))="n/a","n/a",DA127-INDEX(tab_MinKomp[CMM - Contura Zeiss],MATCH($B127,tab_MinKomp[[Stanowisko / Position ]:[Stanowisko / Position ]],0)))</f>
        <v>n/a</v>
      </c>
      <c r="DB128" s="315" t="str">
        <f>IF(INDEX(tab_MinKomp[CMM - Contura Zeiss],MATCH($B127,tab_MinKomp[[Stanowisko / Position ]:[Stanowisko / Position ]],0))="n/a","n/a",DB127-INDEX(tab_MinKomp[CMM - Contura Zeiss],MATCH($B127,tab_MinKomp[[Stanowisko / Position ]:[Stanowisko / Position ]],0)))</f>
        <v>n/a</v>
      </c>
      <c r="DC128" s="315" t="str">
        <f>IF(INDEX(tab_MinKomp[CMM - Contura Zeiss],MATCH($B127,tab_MinKomp[[Stanowisko / Position ]:[Stanowisko / Position ]],0))="n/a","n/a",DC127-INDEX(tab_MinKomp[CMM - Contura Zeiss],MATCH($B127,tab_MinKomp[[Stanowisko / Position ]:[Stanowisko / Position ]],0)))</f>
        <v>n/a</v>
      </c>
      <c r="DD128" s="315" t="str">
        <f>IF(INDEX(tab_MinKomp[Pisanie programów / Programme schreiben],MATCH($B127,tab_MinKomp[[Stanowisko / Position ]:[Stanowisko / Position ]],0))="n/a","n/a",DD127-INDEX(tab_MinKomp[Pisanie programów / Programme schreiben],MATCH($B127,tab_MinKomp[[Stanowisko / Position ]:[Stanowisko / Position ]],0)))</f>
        <v>n/a</v>
      </c>
      <c r="DE128" s="315" t="str">
        <f>IF(INDEX(tab_MinKomp[CMM - Contura Zeiss],MATCH($B127,tab_MinKomp[[Stanowisko / Position ]:[Stanowisko / Position ]],0))="n/a","n/a",DE127-INDEX(tab_MinKomp[CMM - Contura Zeiss],MATCH($B127,tab_MinKomp[[Stanowisko / Position ]:[Stanowisko / Position ]],0)))</f>
        <v>n/a</v>
      </c>
      <c r="DF128" s="315" t="str">
        <f>IF(INDEX(tab_MinKomp[CMM - Contura Zeiss],MATCH($B127,tab_MinKomp[[Stanowisko / Position ]:[Stanowisko / Position ]],0))="n/a","n/a",DF127-INDEX(tab_MinKomp[CMM - Contura Zeiss],MATCH($B127,tab_MinKomp[[Stanowisko / Position ]:[Stanowisko / Position ]],0)))</f>
        <v>n/a</v>
      </c>
      <c r="DG128" s="315" t="str">
        <f>IF(INDEX(tab_MinKomp[CMM - Contura Zeiss],MATCH($B127,tab_MinKomp[[Stanowisko / Position ]:[Stanowisko / Position ]],0))="n/a","n/a",DG127-INDEX(tab_MinKomp[CMM - Contura Zeiss],MATCH($B127,tab_MinKomp[[Stanowisko / Position ]:[Stanowisko / Position ]],0)))</f>
        <v>n/a</v>
      </c>
      <c r="DH128" s="315" t="str">
        <f>IF(INDEX(tab_MinKomp[CMM - Contura Zeiss],MATCH($B127,tab_MinKomp[[Stanowisko / Position ]:[Stanowisko / Position ]],0))="n/a","n/a",DH127-INDEX(tab_MinKomp[CMM - Contura Zeiss],MATCH($B127,tab_MinKomp[[Stanowisko / Position ]:[Stanowisko / Position ]],0)))</f>
        <v>n/a</v>
      </c>
      <c r="DI128" s="315" t="str">
        <f>IF(INDEX(tab_MinKomp[CMM - Contura Zeiss],MATCH($B127,tab_MinKomp[[Stanowisko / Position ]:[Stanowisko / Position ]],0))="n/a","n/a",DI127-INDEX(tab_MinKomp[CMM - Contura Zeiss],MATCH($B127,tab_MinKomp[[Stanowisko / Position ]:[Stanowisko / Position ]],0)))</f>
        <v>n/a</v>
      </c>
      <c r="DJ128" s="315" t="str">
        <f>IF(INDEX(tab_MinKomp[CMM - Contura Zeiss],MATCH($B127,tab_MinKomp[[Stanowisko / Position ]:[Stanowisko / Position ]],0))="n/a","n/a",DJ127-INDEX(tab_MinKomp[CMM - Contura Zeiss],MATCH($B127,tab_MinKomp[[Stanowisko / Position ]:[Stanowisko / Position ]],0)))</f>
        <v>n/a</v>
      </c>
      <c r="DK128" s="315" t="str">
        <f>IF(INDEX(tab_MinKomp[Pisanie programów / Programme schreiben],MATCH($B127,tab_MinKomp[[Stanowisko / Position ]:[Stanowisko / Position ]],0))="n/a","n/a",DK127-INDEX(tab_MinKomp[Pisanie programów / Programme schreiben],MATCH($B127,tab_MinKomp[[Stanowisko / Position ]:[Stanowisko / Position ]],0)))</f>
        <v>n/a</v>
      </c>
      <c r="DL128" s="315" t="str">
        <f>IF(INDEX(tab_MinKomp[CMM - Contura Zeiss],MATCH($B127,tab_MinKomp[[Stanowisko / Position ]:[Stanowisko / Position ]],0))="n/a","n/a",DL127-INDEX(tab_MinKomp[CMM - Contura Zeiss],MATCH($B127,tab_MinKomp[[Stanowisko / Position ]:[Stanowisko / Position ]],0)))</f>
        <v>n/a</v>
      </c>
      <c r="DM128" s="315" t="str">
        <f>IF(INDEX(tab_MinKomp[CMM - Contura Zeiss],MATCH($B127,tab_MinKomp[[Stanowisko / Position ]:[Stanowisko / Position ]],0))="n/a","n/a",DM127-INDEX(tab_MinKomp[CMM - Contura Zeiss],MATCH($B127,tab_MinKomp[[Stanowisko / Position ]:[Stanowisko / Position ]],0)))</f>
        <v>n/a</v>
      </c>
      <c r="DN128" s="315" t="str">
        <f>IF(INDEX(tab_MinKomp[CMM - Contura Zeiss],MATCH($B127,tab_MinKomp[[Stanowisko / Position ]:[Stanowisko / Position ]],0))="n/a","n/a",DN127-INDEX(tab_MinKomp[CMM - Contura Zeiss],MATCH($B127,tab_MinKomp[[Stanowisko / Position ]:[Stanowisko / Position ]],0)))</f>
        <v>n/a</v>
      </c>
      <c r="DO128" s="315" t="str">
        <f>IF(INDEX(tab_MinKomp[CMM - Contura Zeiss],MATCH($B127,tab_MinKomp[[Stanowisko / Position ]:[Stanowisko / Position ]],0))="n/a","n/a",DO127-INDEX(tab_MinKomp[CMM - Contura Zeiss],MATCH($B127,tab_MinKomp[[Stanowisko / Position ]:[Stanowisko / Position ]],0)))</f>
        <v>n/a</v>
      </c>
      <c r="DP128" s="315" t="str">
        <f>IF(INDEX(tab_MinKomp[CMM - Contura Zeiss],MATCH($B127,tab_MinKomp[[Stanowisko / Position ]:[Stanowisko / Position ]],0))="n/a","n/a",DP127-INDEX(tab_MinKomp[CMM - Contura Zeiss],MATCH($B127,tab_MinKomp[[Stanowisko / Position ]:[Stanowisko / Position ]],0)))</f>
        <v>n/a</v>
      </c>
      <c r="DQ128" s="315" t="str">
        <f>IF(INDEX(tab_MinKomp[CMM - Contura Zeiss],MATCH($B127,tab_MinKomp[[Stanowisko / Position ]:[Stanowisko / Position ]],0))="n/a","n/a",DQ127-INDEX(tab_MinKomp[CMM - Contura Zeiss],MATCH($B127,tab_MinKomp[[Stanowisko / Position ]:[Stanowisko / Position ]],0)))</f>
        <v>n/a</v>
      </c>
      <c r="DR128" s="315" t="str">
        <f>IF(INDEX(tab_MinKomp[Pisanie programów / Programme schreiben],MATCH($B127,tab_MinKomp[[Stanowisko / Position ]:[Stanowisko / Position ]],0))="n/a","n/a",DR127-INDEX(tab_MinKomp[Pisanie programów / Programme schreiben],MATCH($B127,tab_MinKomp[[Stanowisko / Position ]:[Stanowisko / Position ]],0)))</f>
        <v>n/a</v>
      </c>
      <c r="DS128" s="315" t="str">
        <f>IF(INDEX(tab_MinKomp[CMM - Contura Zeiss],MATCH($B127,tab_MinKomp[[Stanowisko / Position ]:[Stanowisko / Position ]],0))="n/a","n/a",DS127-INDEX(tab_MinKomp[CMM - Contura Zeiss],MATCH($B127,tab_MinKomp[[Stanowisko / Position ]:[Stanowisko / Position ]],0)))</f>
        <v>n/a</v>
      </c>
      <c r="DT128" s="315" t="str">
        <f>IF(INDEX(tab_MinKomp[CMM - Contura Zeiss],MATCH($B127,tab_MinKomp[[Stanowisko / Position ]:[Stanowisko / Position ]],0))="n/a","n/a",DT127-INDEX(tab_MinKomp[CMM - Contura Zeiss],MATCH($B127,tab_MinKomp[[Stanowisko / Position ]:[Stanowisko / Position ]],0)))</f>
        <v>n/a</v>
      </c>
      <c r="DU128" s="315" t="str">
        <f>IF(INDEX(tab_MinKomp[MSA i SPC],MATCH($B127,tab_MinKomp[[Stanowisko / Position ]:[Stanowisko / Position ]],0))="n/a","n/a",DU127-INDEX(tab_MinKomp[MSA i SPC],MATCH($B127,tab_MinKomp[[Stanowisko / Position ]:[Stanowisko / Position ]],0)))</f>
        <v>n/a</v>
      </c>
      <c r="DV128" s="315" t="str">
        <f>IF(INDEX(tab_MinKomp[Kontrola wejściowa komponentów/ Eingangskontrolle],MATCH($B127,tab_MinKomp[[Stanowisko / Position ]:[Stanowisko / Position ]],0))="n/a","n/a",DV127-INDEX(tab_MinKomp[Kontrola wejściowa komponentów/ Eingangskontrolle],MATCH($B127,tab_MinKomp[[Stanowisko / Position ]:[Stanowisko / Position ]],0)))</f>
        <v>n/a</v>
      </c>
      <c r="DW128" s="315" t="str">
        <f>IF(INDEX(tab_MinKomp[Kontrola wyjściowa produktu / Ausgangskontrolle],MATCH($B127,tab_MinKomp[[Stanowisko / Position ]:[Stanowisko / Position ]],0))="n/a","n/a",DW127-INDEX(tab_MinKomp[Kontrola wyjściowa produktu / Ausgangskontrolle],MATCH($B127,tab_MinKomp[[Stanowisko / Position ]:[Stanowisko / Position ]],0)))</f>
        <v>n/a</v>
      </c>
      <c r="DX128" s="315" t="str">
        <f>IF(INDEX(tab_MinKomp[Kontrola codzienna produkcji / Tägliche Produktionskontrolle],MATCH($B127,tab_MinKomp[[Stanowisko / Position ]:[Stanowisko / Position ]],0))="n/a","n/a",DX127-INDEX(tab_MinKomp[Kontrola codzienna produkcji / Tägliche Produktionskontrolle],MATCH($B127,tab_MinKomp[[Stanowisko / Position ]:[Stanowisko / Position ]],0)))</f>
        <v>n/a</v>
      </c>
      <c r="DY128" s="315">
        <f>IF(INDEX(tab_MinKomp[Konserwacja Rep],MATCH($B127,tab_MinKomp[[Stanowisko / Position ]:[Stanowisko / Position ]],0))="n/a","n/a",DY127-INDEX(tab_MinKomp[Konserwacja Rep],MATCH($B127,tab_MinKomp[[Stanowisko / Position ]:[Stanowisko / Position ]],0)))</f>
        <v>0</v>
      </c>
      <c r="DZ128" s="315">
        <f>IF(INDEX(tab_MinKomp[[Konserwacja Engel ]],MATCH($B127,tab_MinKomp[[Stanowisko / Position ]:[Stanowisko / Position ]],0))="n/a","n/a",DZ127-INDEX(tab_MinKomp[[Konserwacja Engel ]],MATCH($B127,tab_MinKomp[[Stanowisko / Position ]:[Stanowisko / Position ]],0)))</f>
        <v>0</v>
      </c>
      <c r="EA128" s="315">
        <f>IF(INDEX(tab_MinKomp[Konserwacja B 50],MATCH($B127,tab_MinKomp[[Stanowisko / Position ]:[Stanowisko / Position ]],0))="n/a","n/a",EA127-INDEX(tab_MinKomp[Konserwacja B 50],MATCH($B127,tab_MinKomp[[Stanowisko / Position ]:[Stanowisko / Position ]],0)))</f>
        <v>0</v>
      </c>
      <c r="EB128" s="315">
        <f>IF(INDEX(tab_MinKomp[[Konserwacja EOL ]],MATCH($B127,tab_MinKomp[[Stanowisko / Position ]:[Stanowisko / Position ]],0))="n/a","n/a",EB127-INDEX(tab_MinKomp[[Konserwacja EOL ]],MATCH($B127,tab_MinKomp[[Stanowisko / Position ]:[Stanowisko / Position ]],0)))</f>
        <v>0</v>
      </c>
      <c r="EC128" s="315">
        <f>IF(INDEX(tab_MinKomp[Konserwacja Branson],MATCH($B127,tab_MinKomp[[Stanowisko / Position ]:[Stanowisko / Position ]],0))="n/a","n/a",EC127-INDEX(tab_MinKomp[Konserwacja Branson],MATCH($B127,tab_MinKomp[[Stanowisko / Position ]:[Stanowisko / Position ]],0)))</f>
        <v>0</v>
      </c>
      <c r="ED128" s="315">
        <f>IF(INDEX(tab_MinKomp[Konserwacja coolery],MATCH($B127,tab_MinKomp[[Stanowisko / Position ]:[Stanowisko / Position ]],0))="n/a","n/a",ED127-INDEX(tab_MinKomp[Konserwacja coolery],MATCH($B127,tab_MinKomp[[Stanowisko / Position ]:[Stanowisko / Position ]],0)))</f>
        <v>0</v>
      </c>
      <c r="EE128" s="315">
        <f>IF(INDEX(tab_MinKomp[Konserwacja piecy],MATCH($B127,tab_MinKomp[[Stanowisko / Position ]:[Stanowisko / Position ]],0))="n/a","n/a",EE127-INDEX(tab_MinKomp[Konserwacja piecy],MATCH($B127,tab_MinKomp[[Stanowisko / Position ]:[Stanowisko / Position ]],0)))</f>
        <v>0</v>
      </c>
      <c r="EF128" s="315">
        <f>IF(INDEX(tab_MinKomp[Rysunek techniczny- czytanie],MATCH($B127,tab_MinKomp[[Stanowisko / Position ]:[Stanowisko / Position ]],0))="n/a","n/a",EF127-INDEX(tab_MinKomp[Rysunek techniczny- czytanie],MATCH($B127,tab_MinKomp[[Stanowisko / Position ]:[Stanowisko / Position ]],0)))</f>
        <v>0</v>
      </c>
      <c r="EG128" s="315">
        <f>IF(INDEX(tab_MinKomp[Elektryka],MATCH($B127,tab_MinKomp[[Stanowisko / Position ]:[Stanowisko / Position ]],0))="n/a","n/a",EG127-INDEX(tab_MinKomp[Elektryka],MATCH($B127,tab_MinKomp[[Stanowisko / Position ]:[Stanowisko / Position ]],0)))</f>
        <v>0</v>
      </c>
      <c r="EH128" s="315">
        <f>IF(INDEX(tab_MinKomp[Pneumatyka],MATCH($B127,tab_MinKomp[[Stanowisko / Position ]:[Stanowisko / Position ]],0))="n/a","n/a",EH127-INDEX(tab_MinKomp[Pneumatyka],MATCH($B127,tab_MinKomp[[Stanowisko / Position ]:[Stanowisko / Position ]],0)))</f>
        <v>1</v>
      </c>
      <c r="EI128" s="315">
        <f>IF(INDEX(tab_MinKomp[[Hydraulika ]],MATCH($B127,tab_MinKomp[[Stanowisko / Position ]:[Stanowisko / Position ]],0))="n/a","n/a",EI127-INDEX(tab_MinKomp[[Hydraulika ]],MATCH($B127,tab_MinKomp[[Stanowisko / Position ]:[Stanowisko / Position ]],0)))</f>
        <v>1</v>
      </c>
      <c r="EJ128" s="315">
        <f>IF(INDEX(tab_MinKomp[Podciśnienie],MATCH($B127,tab_MinKomp[[Stanowisko / Position ]:[Stanowisko / Position ]],0))="n/a","n/a",EJ127-INDEX(tab_MinKomp[Podciśnienie],MATCH($B127,tab_MinKomp[[Stanowisko / Position ]:[Stanowisko / Position ]],0)))</f>
        <v>1</v>
      </c>
      <c r="EK128" s="315">
        <f>IF(INDEX(tab_MinKomp[Usuwanie awarii],MATCH($B127,tab_MinKomp[[Stanowisko / Position ]:[Stanowisko / Position ]],0))="n/a","n/a",EK127-INDEX(tab_MinKomp[Usuwanie awarii],MATCH($B127,tab_MinKomp[[Stanowisko / Position ]:[Stanowisko / Position ]],0)))</f>
        <v>0</v>
      </c>
      <c r="EL128" s="315">
        <f>IF(INDEX(tab_MinKomp[Obsługa robotów],MATCH($B127,tab_MinKomp[[Stanowisko / Position ]:[Stanowisko / Position ]],0))="n/a","n/a",EL127-INDEX(tab_MinKomp[Obsługa robotów],MATCH($B127,tab_MinKomp[[Stanowisko / Position ]:[Stanowisko / Position ]],0)))</f>
        <v>0</v>
      </c>
      <c r="EM128" s="315">
        <f>IF(INDEX(tab_MinKomp[Obsługa sterowania maszyny],MATCH($B127,tab_MinKomp[[Stanowisko / Position ]:[Stanowisko / Position ]],0))="n/a","n/a",EM127-INDEX(tab_MinKomp[Obsługa sterowania maszyny],MATCH($B127,tab_MinKomp[[Stanowisko / Position ]:[Stanowisko / Position ]],0)))</f>
        <v>0</v>
      </c>
      <c r="EN128" s="315">
        <f>IF(INDEX(tab_MinKomp[Usuwanie przyczyn żródłowych],MATCH($B127,tab_MinKomp[[Stanowisko / Position ]:[Stanowisko / Position ]],0))="n/a","n/a",EN127-INDEX(tab_MinKomp[Usuwanie przyczyn żródłowych],MATCH($B127,tab_MinKomp[[Stanowisko / Position ]:[Stanowisko / Position ]],0)))</f>
        <v>0</v>
      </c>
      <c r="EO128" s="315">
        <f>IF(INDEX(tab_MinKomp[Cmms stosowanie],MATCH($B127,tab_MinKomp[[Stanowisko / Position ]:[Stanowisko / Position ]],0))="n/a","n/a",EO127-INDEX(tab_MinKomp[Cmms stosowanie],MATCH($B127,tab_MinKomp[[Stanowisko / Position ]:[Stanowisko / Position ]],0)))</f>
        <v>0</v>
      </c>
      <c r="EP128" s="315" t="str">
        <f>IF(INDEX(tab_MinKomp[[Czyszczenie form gumowych ]],MATCH($B127,tab_MinKomp[[Stanowisko / Position ]:[Stanowisko / Position ]],0))="n/a","n/a",EP127-INDEX(tab_MinKomp[[Czyszczenie form gumowych ]],MATCH($B127,tab_MinKomp[[Stanowisko / Position ]:[Stanowisko / Position ]],0)))</f>
        <v>n/a</v>
      </c>
      <c r="EQ128" s="315" t="str">
        <f>IF(INDEX(tab_MinKomp[Czyszczenie form plastikowych],MATCH($B127,tab_MinKomp[[Stanowisko / Position ]:[Stanowisko / Position ]],0))="n/a","n/a",EQ127-INDEX(tab_MinKomp[Czyszczenie form plastikowych],MATCH($B127,tab_MinKomp[[Stanowisko / Position ]:[Stanowisko / Position ]],0)))</f>
        <v>n/a</v>
      </c>
      <c r="ER128" s="315" t="str">
        <f>IF(INDEX(tab_MinKomp[Wymiana form plastik],MATCH($B127,tab_MinKomp[[Stanowisko / Position ]:[Stanowisko / Position ]],0))="n/a","n/a",ER127-INDEX(tab_MinKomp[Wymiana form plastik],MATCH($B127,tab_MinKomp[[Stanowisko / Position ]:[Stanowisko / Position ]],0)))</f>
        <v>n/a</v>
      </c>
      <c r="ES128" s="315" t="str">
        <f>IF(INDEX(tab_MinKomp[Wymiana form guma],MATCH($B127,tab_MinKomp[[Stanowisko / Position ]:[Stanowisko / Position ]],0))="n/a","n/a",ES127-INDEX(tab_MinKomp[Wymiana form guma],MATCH($B127,tab_MinKomp[[Stanowisko / Position ]:[Stanowisko / Position ]],0)))</f>
        <v>n/a</v>
      </c>
      <c r="ET128" s="315" t="str">
        <f>IF(INDEX(tab_MinKomp[Konserwacja KK],MATCH($B127,tab_MinKomp[[Stanowisko / Position ]:[Stanowisko / Position ]],0))="n/a","n/a",ET127-INDEX(tab_MinKomp[Konserwacja KK],MATCH($B127,tab_MinKomp[[Stanowisko / Position ]:[Stanowisko / Position ]],0)))</f>
        <v>n/a</v>
      </c>
      <c r="EU128" s="315" t="str">
        <f>IF(INDEX(tab_MinKomp[Konserwacja form guma],MATCH($B127,tab_MinKomp[[Stanowisko / Position ]:[Stanowisko / Position ]],0))="n/a","n/a",EU127-INDEX(tab_MinKomp[Konserwacja form guma],MATCH($B127,tab_MinKomp[[Stanowisko / Position ]:[Stanowisko / Position ]],0)))</f>
        <v>n/a</v>
      </c>
      <c r="EV128" s="315" t="str">
        <f>IF(INDEX(tab_MinKomp[Konserwacja form plastiki],MATCH($B127,tab_MinKomp[[Stanowisko / Position ]:[Stanowisko / Position ]],0))="n/a","n/a",EV127-INDEX(tab_MinKomp[Konserwacja form plastiki],MATCH($B127,tab_MinKomp[[Stanowisko / Position ]:[Stanowisko / Position ]],0)))</f>
        <v>n/a</v>
      </c>
      <c r="EW128" s="330" t="str">
        <f>IF(INDEX(tab_MinKomp[Konserwacja form plastiki],MATCH($B127,tab_MinKomp[[Stanowisko / Position ]:[Stanowisko / Position ]],0))="n/a","n/a",EW127-INDEX(tab_MinKomp[Konserwacja form plastiki],MATCH($B127,tab_MinKomp[[Stanowisko / Position ]:[Stanowisko / Position ]],0)))</f>
        <v>n/a</v>
      </c>
      <c r="EX128" s="315" t="str">
        <f>IF(INDEX(tab_MinKomp[Konserwacja Gorącego Kanału],MATCH($B127,tab_MinKomp[[Stanowisko / Position ]:[Stanowisko / Position ]],0))="n/a","n/a",EX127-INDEX(tab_MinKomp[Konserwacja Gorącego Kanału],MATCH($B127,tab_MinKomp[[Stanowisko / Position ]:[Stanowisko / Position ]],0)))</f>
        <v>n/a</v>
      </c>
      <c r="EY128" s="315">
        <f>IF(INDEX(tab_MinKomp[MS Office (Excel)],MATCH($B127,tab_MinKomp[[Stanowisko / Position ]:[Stanowisko / Position ]],0))="n/a","n/a",EY127-INDEX(tab_MinKomp[MS Office (Excel)],MATCH($B127,tab_MinKomp[[Stanowisko / Position ]:[Stanowisko / Position ]],0)))</f>
        <v>1</v>
      </c>
      <c r="EZ128" s="315">
        <f>IF(INDEX(tab_MinKomp[MS Office (Word)],MATCH($B127,tab_MinKomp[[Stanowisko / Position ]:[Stanowisko / Position ]],0))="n/a","n/a",EZ127-INDEX(tab_MinKomp[MS Office (Word)],MATCH($B127,tab_MinKomp[[Stanowisko / Position ]:[Stanowisko / Position ]],0)))</f>
        <v>0</v>
      </c>
      <c r="FA128" s="315">
        <f>IF(INDEX(tab_MinKomp[MS Office (Power Point)],MATCH($B127,tab_MinKomp[[Stanowisko / Position ]:[Stanowisko / Position ]],0))="n/a","n/a",FA127-INDEX(tab_MinKomp[MS Office (Power Point)],MATCH($B127,tab_MinKomp[[Stanowisko / Position ]:[Stanowisko / Position ]],0)))</f>
        <v>0</v>
      </c>
      <c r="FB128" s="317">
        <f>IF(INDEX(tab_MinKomp[Język angielski / Englisch],MATCH($B127,tab_MinKomp[[Stanowisko / Position ]:[Stanowisko / Position ]],0))="n/a","n/a",FB127-INDEX(tab_MinKomp[Język angielski / Englisch],MATCH($B127,tab_MinKomp[[Stanowisko / Position ]:[Stanowisko / Position ]],0)))</f>
        <v>0</v>
      </c>
      <c r="FC128" s="315" t="str">
        <f>IF(INDEX(tab_MinKomp[Język niemiecki / Deutsch],MATCH($B127,tab_MinKomp[[Stanowisko / Position ]:[Stanowisko / Position ]],0))="n/a","n/a",FC127-INDEX(tab_MinKomp[Język niemiecki / Deutsch],MATCH($B127,tab_MinKomp[[Stanowisko / Position ]:[Stanowisko / Position ]],0)))</f>
        <v>n/a</v>
      </c>
      <c r="FD128" s="315">
        <f>IF(INDEX(tab_MinKomp[Zarządzanie dokumentacją procesową / Process dokumentation management],MATCH($B127,tab_MinKomp[[Stanowisko / Position ]:[Stanowisko / Position ]],0))="n/a","n/a",FD127-INDEX(tab_MinKomp[Zarządzanie dokumentacją procesową / Process dokumentation management],MATCH($B127,tab_MinKomp[[Stanowisko / Position ]:[Stanowisko / Position ]],0)))</f>
        <v>0</v>
      </c>
      <c r="FE128" s="315">
        <f>IF(INDEX(tab_MinKomp[Znajomość procesów z obszaru / Kenntiss der prozesse in dem Bereich],MATCH($B127,tab_MinKomp[[Stanowisko / Position ]:[Stanowisko / Position ]],0))="n/a","n/a",FE127-INDEX(tab_MinKomp[Znajomość procesów z obszaru / Kenntiss der prozesse in dem Bereich],MATCH($B127,tab_MinKomp[[Stanowisko / Position ]:[Stanowisko / Position ]],0)))</f>
        <v>0</v>
      </c>
      <c r="FF128" s="315">
        <f>IF(INDEX(tab_MinKomp[optymalizacja procesów / Prozessoptymalisierung],MATCH($B127,tab_MinKomp[[Stanowisko / Position ]:[Stanowisko / Position ]],0))="n/a","n/a",FF127-INDEX(tab_MinKomp[optymalizacja procesów / Prozessoptymalisierung],MATCH($B127,tab_MinKomp[[Stanowisko / Position ]:[Stanowisko / Position ]],0)))</f>
        <v>0</v>
      </c>
      <c r="FG128" s="315">
        <f>IF(INDEX(tab_MinKomp[Umiejętności szkoleniowe / Trainingsfähigkeiten],MATCH($B127,tab_MinKomp[[Stanowisko / Position ]:[Stanowisko / Position ]],0))="n/a","n/a",FG127-INDEX(tab_MinKomp[Umiejętności szkoleniowe / Trainingsfähigkeiten],MATCH($B127,tab_MinKomp[[Stanowisko / Position ]:[Stanowisko / Position ]],0)))</f>
        <v>0</v>
      </c>
      <c r="FH128" s="315">
        <f>IF(INDEX(tab_MinKomp[Analityczne myślenie, podejście / Analitysches Denken, Einstellung],MATCH($B127,tab_MinKomp[[Stanowisko / Position ]:[Stanowisko / Position ]],0))="n/a","n/a",FH127-INDEX(tab_MinKomp[Analityczne myślenie, podejście / Analitysches Denken, Einstellung],MATCH($B127,tab_MinKomp[[Stanowisko / Position ]:[Stanowisko / Position ]],0)))</f>
        <v>0</v>
      </c>
      <c r="FI128" s="315">
        <f>IF(INDEX(tab_MinKomp[Dokładność, precyzja w dzialaniu / Genauigkeit, Präzision in die Arbeit],MATCH($B127,tab_MinKomp[[Stanowisko / Position ]:[Stanowisko / Position ]],0))="n/a","n/a",FI127-INDEX(tab_MinKomp[Dokładność, precyzja w dzialaniu / Genauigkeit, Präzision in die Arbeit],MATCH($B127,tab_MinKomp[[Stanowisko / Position ]:[Stanowisko / Position ]],0)))</f>
        <v>0</v>
      </c>
      <c r="FJ128" s="315">
        <f>IF(INDEX(tab_MinKomp[Dyspozycyjność / Verfügbarkeit],MATCH($B127,tab_MinKomp[[Stanowisko / Position ]:[Stanowisko / Position ]],0))="n/a","n/a",FJ127-INDEX(tab_MinKomp[Dyspozycyjność / Verfügbarkeit],MATCH($B127,tab_MinKomp[[Stanowisko / Position ]:[Stanowisko / Position ]],0)))</f>
        <v>0</v>
      </c>
      <c r="FK128" s="315">
        <f>IF(INDEX(tab_MinKomp[Zaangażowanie / 
Engagement],MATCH($B127,tab_MinKomp[[Stanowisko / Position ]:[Stanowisko / Position ]],0))="n/a","n/a",FK127-INDEX(tab_MinKomp[Zaangażowanie / 
Engagement],MATCH($B127,tab_MinKomp[[Stanowisko / Position ]:[Stanowisko / Position ]],0)))</f>
        <v>0</v>
      </c>
      <c r="FL128" s="315">
        <f>IF(INDEX(tab_MinKomp[Planowanie strategiczne / Strategische Planung],MATCH($B127,tab_MinKomp[[Stanowisko / Position ]:[Stanowisko / Position ]],0))="n/a","n/a",FL127-INDEX(tab_MinKomp[Planowanie strategiczne / Strategische Planung],MATCH($B127,tab_MinKomp[[Stanowisko / Position ]:[Stanowisko / Position ]],0)))</f>
        <v>0</v>
      </c>
      <c r="FM128" s="315">
        <f>IF(INDEX(tab_MinKomp[Konsekwentne i dynamiczne działanie],MATCH($B127,tab_MinKomp[[Stanowisko / Position ]:[Stanowisko / Position ]],0))="n/a","n/a",FM127-INDEX(tab_MinKomp[Konsekwentne i dynamiczne działanie],MATCH($B127,tab_MinKomp[[Stanowisko / Position ]:[Stanowisko / Position ]],0)))</f>
        <v>0</v>
      </c>
      <c r="FN128" s="315">
        <f>IF(INDEX(tab_MinKomp[Elastyczność w działaniu],MATCH($B127,tab_MinKomp[[Stanowisko / Position ]:[Stanowisko / Position ]],0))="n/a","n/a",FN127-INDEX(tab_MinKomp[Elastyczność w działaniu],MATCH($B127,tab_MinKomp[[Stanowisko / Position ]:[Stanowisko / Position ]],0)))</f>
        <v>0</v>
      </c>
      <c r="FO128" s="315">
        <f>IF(INDEX(tab_MinKomp[Komunikatywność],MATCH($B127,tab_MinKomp[[Stanowisko / Position ]:[Stanowisko / Position ]],0))="n/a","n/a",FO127-INDEX(tab_MinKomp[Komunikatywność],MATCH($B127,tab_MinKomp[[Stanowisko / Position ]:[Stanowisko / Position ]],0)))</f>
        <v>0</v>
      </c>
      <c r="FP128" s="314">
        <f>IF(INDEX(tab_MinKomp[Motywowanie i budowanie zaangażowania zespołu],MATCH($B127,tab_MinKomp[[Stanowisko / Position ]:[Stanowisko / Position ]],0))="n/a","n/a",FP127-INDEX(tab_MinKomp[Motywowanie i budowanie zaangażowania zespołu],MATCH($B127,tab_MinKomp[[Stanowisko / Position ]:[Stanowisko / Position ]],0)))</f>
        <v>0</v>
      </c>
      <c r="FQ128" s="318" t="str">
        <f>IFERROR(IF(INDEX(tab_MinKomp[BRAK / Keine],MATCH($B127,tab_MinKomp[[Stanowisko / Position ]:[Stanowisko / Position ]],0))="n/a","n/a",INDEX(tab_MinKomp[BRAK / Keine],MATCH($B127,tab_MinKomp[[Stanowisko / Position ]:[Stanowisko / Position ]],0))-FQ127),"")</f>
        <v>n/a</v>
      </c>
      <c r="FR128" s="315" t="str">
        <f>IF(INDEX(tab_MinKomp[MINIMUM 1 ROK / min. 1 Jahr],MATCH($B127,tab_MinKomp[[Stanowisko / Position ]:[Stanowisko / Position ]],0))="n/a","n/a",INDEX(tab_MinKomp[MINIMUM 1 ROK / min. 1 Jahr],MATCH($B127,tab_MinKomp[[Stanowisko / Position ]:[Stanowisko / Position ]],0)))</f>
        <v>n/a</v>
      </c>
      <c r="FS128" s="315" t="str">
        <f>IF(INDEX(tab_MinKomp[MINIMUM 2 LATA / min. 2 Jahre],MATCH($B127,tab_MinKomp[[Stanowisko / Position ]:[Stanowisko / Position ]],0))="n/a","n/a",INDEX(tab_MinKomp[MINIMUM 2 LATA / min. 2 Jahre],MATCH($B127,tab_MinKomp[[Stanowisko / Position ]:[Stanowisko / Position ]],0)))</f>
        <v>n/a</v>
      </c>
      <c r="FT128" s="315" t="str">
        <f>IF(INDEX(tab_MinKomp[MINIMUM 3 LATA / min. 3 Jahre],MATCH($B127,tab_MinKomp[[Stanowisko / Position ]:[Stanowisko / Position ]],0))="n/a","n/a",INDEX(tab_MinKomp[MINIMUM 3 LATA / min. 3 Jahre],MATCH($B127,tab_MinKomp[[Stanowisko / Position ]:[Stanowisko / Position ]],0)))</f>
        <v>X</v>
      </c>
      <c r="FU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FV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FW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FX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FY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FZ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GA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GB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GC128" s="318" t="str">
        <f>IF(INDEX(tab_MinKomp[PIERWSZA POMOC / Erste Hilfe],MATCH($B127,tab_MinKomp[[Stanowisko / Position ]:[Stanowisko / Position ]],0))="n/a","n/a",INDEX(tab_MinKomp[PIERWSZA POMOC / Erste Hilfe],MATCH($B127,tab_MinKomp[[Stanowisko / Position ]:[Stanowisko / Position ]],0)))</f>
        <v>X</v>
      </c>
      <c r="GD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GE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GF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GG128" s="315" t="str">
        <f>IF(INDEX(tab_MinKomp[SEP],MATCH($B127,tab_MinKomp[[Stanowisko / Position ]:[Stanowisko / Position ]],0))="n/a","n/a",INDEX(tab_MinKomp[SEP],MATCH($B127,tab_MinKomp[[Stanowisko / Position ]:[Stanowisko / Position ]],0)))</f>
        <v>X</v>
      </c>
      <c r="GH128" s="315" t="str">
        <f>IF(INDEX(tab_MinKomp[SEP  DOZÓR / SEP Aufsicht],MATCH($B127,tab_MinKomp[[Stanowisko / Position ]:[Stanowisko / Position ]],0))="n/a","n/a",INDEX(tab_MinKomp[SEP  DOZÓR / SEP Aufsicht],MATCH($B127,tab_MinKomp[[Stanowisko / Position ]:[Stanowisko / Position ]],0)))</f>
        <v>X</v>
      </c>
      <c r="GI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GJ128" s="319" t="str">
        <f>IF(INDEX(tab_MinKomp[MINIMUM 5 LAT / min. 5 Jahre],MATCH($B127,tab_MinKomp[[Stanowisko / Position ]:[Stanowisko / Position ]],0))="n/a","n/a",INDEX(tab_MinKomp[MINIMUM 5 LAT / min. 5 Jahre],MATCH($B127,tab_MinKomp[[Stanowisko / Position ]:[Stanowisko / Position ]],0)))</f>
        <v>n/a</v>
      </c>
      <c r="GK128" s="319" t="str">
        <f>IF(INDEX(tab_MinKomp[WYSOKOŚCIOWE / Höhenberechtigungen],MATCH($B127,tab_MinKomp[[Stanowisko / Position ]:[Stanowisko / Position ]],0))="n/a","n/a",INDEX(tab_MinKomp[WYSOKOŚCIOWE / Höhenberechtigungen],MATCH($B127,tab_MinKomp[[Stanowisko / Position ]:[Stanowisko / Position ]],0)))</f>
        <v>X</v>
      </c>
      <c r="GL128" s="320">
        <f>SUM(G128:FP128)/(GL127-(SUM(G128:FP128)))</f>
        <v>0.21428571428571427</v>
      </c>
      <c r="GM128" s="132"/>
    </row>
    <row r="129" spans="1:195" s="133" customFormat="1" ht="28.35" customHeight="1" x14ac:dyDescent="0.25">
      <c r="A129" s="138" t="s">
        <v>559</v>
      </c>
      <c r="B129" s="138" t="s">
        <v>225</v>
      </c>
      <c r="C129" s="138" t="s">
        <v>226</v>
      </c>
      <c r="D129" s="138">
        <v>797</v>
      </c>
      <c r="E129" s="563" t="s">
        <v>231</v>
      </c>
      <c r="F129" s="307" t="s">
        <v>165</v>
      </c>
      <c r="G129" s="322">
        <v>2</v>
      </c>
      <c r="H129" s="322">
        <v>2</v>
      </c>
      <c r="I129" s="322">
        <v>2</v>
      </c>
      <c r="J129" s="322">
        <v>2</v>
      </c>
      <c r="K129" s="322">
        <v>2</v>
      </c>
      <c r="L129" s="322">
        <v>1</v>
      </c>
      <c r="M129" s="322" t="s">
        <v>176</v>
      </c>
      <c r="N129" s="322" t="s">
        <v>176</v>
      </c>
      <c r="O129" s="322">
        <v>1</v>
      </c>
      <c r="P129" s="322">
        <v>1</v>
      </c>
      <c r="Q129" s="322" t="s">
        <v>176</v>
      </c>
      <c r="R129" s="322" t="s">
        <v>176</v>
      </c>
      <c r="S129" s="322" t="s">
        <v>176</v>
      </c>
      <c r="T129" s="322" t="s">
        <v>176</v>
      </c>
      <c r="U129" s="322" t="s">
        <v>176</v>
      </c>
      <c r="V129" s="322" t="s">
        <v>176</v>
      </c>
      <c r="W129" s="322" t="s">
        <v>176</v>
      </c>
      <c r="X129" s="322" t="s">
        <v>176</v>
      </c>
      <c r="Y129" s="322" t="s">
        <v>176</v>
      </c>
      <c r="Z129" s="322" t="s">
        <v>176</v>
      </c>
      <c r="AA129" s="322" t="s">
        <v>176</v>
      </c>
      <c r="AB129" s="322" t="s">
        <v>176</v>
      </c>
      <c r="AC129" s="322"/>
      <c r="AD129" s="322"/>
      <c r="AE129" s="322"/>
      <c r="AF129" s="322"/>
      <c r="AG129" s="322"/>
      <c r="AH129" s="322" t="s">
        <v>176</v>
      </c>
      <c r="AI129" s="322" t="s">
        <v>176</v>
      </c>
      <c r="AJ129" s="322" t="s">
        <v>176</v>
      </c>
      <c r="AK129" s="322" t="s">
        <v>176</v>
      </c>
      <c r="AL129" s="308">
        <v>2</v>
      </c>
      <c r="AM129" s="322"/>
      <c r="AN129" s="322"/>
      <c r="AO129" s="322">
        <v>1</v>
      </c>
      <c r="AP129" s="322">
        <v>1</v>
      </c>
      <c r="AQ129" s="322">
        <v>1</v>
      </c>
      <c r="AR129" s="322" t="s">
        <v>176</v>
      </c>
      <c r="AS129" s="322" t="s">
        <v>176</v>
      </c>
      <c r="AT129" s="322" t="s">
        <v>176</v>
      </c>
      <c r="AU129" s="322"/>
      <c r="AV129" s="322">
        <v>2</v>
      </c>
      <c r="AW129" s="322">
        <v>1</v>
      </c>
      <c r="AX129" s="322">
        <v>1</v>
      </c>
      <c r="AY129" s="322">
        <v>1</v>
      </c>
      <c r="AZ129" s="322" t="s">
        <v>176</v>
      </c>
      <c r="BA129" s="322" t="s">
        <v>176</v>
      </c>
      <c r="BB129" s="322" t="s">
        <v>176</v>
      </c>
      <c r="BC129" s="322" t="s">
        <v>176</v>
      </c>
      <c r="BD129" s="322" t="s">
        <v>176</v>
      </c>
      <c r="BE129" s="322" t="s">
        <v>176</v>
      </c>
      <c r="BF129" s="322" t="s">
        <v>176</v>
      </c>
      <c r="BG129" s="322" t="s">
        <v>176</v>
      </c>
      <c r="BH129" s="322" t="s">
        <v>176</v>
      </c>
      <c r="BI129" s="322" t="s">
        <v>176</v>
      </c>
      <c r="BJ129" s="322" t="s">
        <v>176</v>
      </c>
      <c r="BK129" s="322" t="s">
        <v>176</v>
      </c>
      <c r="BL129" s="322" t="s">
        <v>176</v>
      </c>
      <c r="BM129" s="322" t="s">
        <v>176</v>
      </c>
      <c r="BN129" s="322">
        <v>1</v>
      </c>
      <c r="BO129" s="322" t="s">
        <v>176</v>
      </c>
      <c r="BP129" s="322" t="s">
        <v>176</v>
      </c>
      <c r="BQ129" s="322" t="s">
        <v>176</v>
      </c>
      <c r="BR129" s="322" t="s">
        <v>176</v>
      </c>
      <c r="BS129" s="322" t="s">
        <v>176</v>
      </c>
      <c r="BT129" s="322" t="s">
        <v>176</v>
      </c>
      <c r="BU129" s="322" t="s">
        <v>176</v>
      </c>
      <c r="BV129" s="322">
        <v>1</v>
      </c>
      <c r="BW129" s="322">
        <v>1</v>
      </c>
      <c r="BX129" s="322" t="s">
        <v>176</v>
      </c>
      <c r="BY129" s="322" t="s">
        <v>176</v>
      </c>
      <c r="BZ129" s="322" t="s">
        <v>176</v>
      </c>
      <c r="CA129" s="322" t="s">
        <v>176</v>
      </c>
      <c r="CB129" s="322" t="s">
        <v>176</v>
      </c>
      <c r="CC129" s="322" t="s">
        <v>176</v>
      </c>
      <c r="CD129" s="322" t="s">
        <v>176</v>
      </c>
      <c r="CE129" s="322" t="s">
        <v>176</v>
      </c>
      <c r="CF129" s="322" t="s">
        <v>176</v>
      </c>
      <c r="CG129" s="322" t="s">
        <v>176</v>
      </c>
      <c r="CH129" s="322" t="s">
        <v>176</v>
      </c>
      <c r="CI129" s="322">
        <v>2</v>
      </c>
      <c r="CJ129" s="322" t="s">
        <v>176</v>
      </c>
      <c r="CK129" s="322" t="s">
        <v>176</v>
      </c>
      <c r="CL129" s="322">
        <v>1</v>
      </c>
      <c r="CM129" s="322"/>
      <c r="CN129" s="322"/>
      <c r="CO129" s="322">
        <v>2</v>
      </c>
      <c r="CP129" s="322">
        <v>2</v>
      </c>
      <c r="CQ129" s="322" t="s">
        <v>176</v>
      </c>
      <c r="CR129" s="322" t="s">
        <v>176</v>
      </c>
      <c r="CS129" s="322" t="s">
        <v>176</v>
      </c>
      <c r="CT129" s="322" t="s">
        <v>176</v>
      </c>
      <c r="CU129" s="322">
        <v>2</v>
      </c>
      <c r="CV129" s="322" t="s">
        <v>176</v>
      </c>
      <c r="CW129" s="322" t="s">
        <v>176</v>
      </c>
      <c r="CX129" s="308" t="s">
        <v>176</v>
      </c>
      <c r="CY129" s="308" t="s">
        <v>176</v>
      </c>
      <c r="CZ129" s="308" t="s">
        <v>176</v>
      </c>
      <c r="DA129" s="308" t="s">
        <v>176</v>
      </c>
      <c r="DB129" s="322" t="s">
        <v>176</v>
      </c>
      <c r="DC129" s="308" t="s">
        <v>176</v>
      </c>
      <c r="DD129" s="308" t="s">
        <v>176</v>
      </c>
      <c r="DE129" s="308" t="s">
        <v>176</v>
      </c>
      <c r="DF129" s="308"/>
      <c r="DG129" s="322" t="s">
        <v>176</v>
      </c>
      <c r="DH129" s="308" t="s">
        <v>176</v>
      </c>
      <c r="DI129" s="308" t="s">
        <v>176</v>
      </c>
      <c r="DJ129" s="308" t="s">
        <v>176</v>
      </c>
      <c r="DK129" s="308" t="s">
        <v>176</v>
      </c>
      <c r="DL129" s="322" t="s">
        <v>176</v>
      </c>
      <c r="DM129" s="308" t="s">
        <v>176</v>
      </c>
      <c r="DN129" s="308" t="s">
        <v>176</v>
      </c>
      <c r="DO129" s="308" t="s">
        <v>176</v>
      </c>
      <c r="DP129" s="308" t="s">
        <v>176</v>
      </c>
      <c r="DQ129" s="322" t="s">
        <v>176</v>
      </c>
      <c r="DR129" s="308" t="s">
        <v>176</v>
      </c>
      <c r="DS129" s="308" t="s">
        <v>176</v>
      </c>
      <c r="DT129" s="308" t="s">
        <v>176</v>
      </c>
      <c r="DU129" s="308" t="s">
        <v>176</v>
      </c>
      <c r="DV129" s="322" t="s">
        <v>176</v>
      </c>
      <c r="DW129" s="322" t="s">
        <v>176</v>
      </c>
      <c r="DX129" s="322" t="s">
        <v>176</v>
      </c>
      <c r="DY129" s="322" t="s">
        <v>176</v>
      </c>
      <c r="DZ129" s="322" t="s">
        <v>176</v>
      </c>
      <c r="EA129" s="322" t="s">
        <v>176</v>
      </c>
      <c r="EB129" s="322" t="s">
        <v>176</v>
      </c>
      <c r="EC129" s="322" t="s">
        <v>176</v>
      </c>
      <c r="ED129" s="322" t="s">
        <v>176</v>
      </c>
      <c r="EE129" s="322" t="s">
        <v>176</v>
      </c>
      <c r="EF129" s="322">
        <v>2</v>
      </c>
      <c r="EG129" s="322" t="s">
        <v>176</v>
      </c>
      <c r="EH129" s="322" t="s">
        <v>176</v>
      </c>
      <c r="EI129" s="322" t="s">
        <v>176</v>
      </c>
      <c r="EJ129" s="322" t="s">
        <v>176</v>
      </c>
      <c r="EK129" s="322" t="s">
        <v>176</v>
      </c>
      <c r="EL129" s="322" t="s">
        <v>176</v>
      </c>
      <c r="EM129" s="322" t="s">
        <v>176</v>
      </c>
      <c r="EN129" s="322" t="s">
        <v>176</v>
      </c>
      <c r="EO129" s="322">
        <v>2</v>
      </c>
      <c r="EP129" s="322" t="s">
        <v>176</v>
      </c>
      <c r="EQ129" s="322" t="s">
        <v>176</v>
      </c>
      <c r="ER129" s="322" t="s">
        <v>176</v>
      </c>
      <c r="ES129" s="322" t="s">
        <v>176</v>
      </c>
      <c r="ET129" s="322" t="s">
        <v>176</v>
      </c>
      <c r="EU129" s="322" t="s">
        <v>176</v>
      </c>
      <c r="EV129" s="322" t="s">
        <v>176</v>
      </c>
      <c r="EW129" s="308" t="s">
        <v>176</v>
      </c>
      <c r="EX129" s="322" t="s">
        <v>176</v>
      </c>
      <c r="EY129" s="322">
        <v>2</v>
      </c>
      <c r="EZ129" s="322">
        <v>2</v>
      </c>
      <c r="FA129" s="322">
        <v>2</v>
      </c>
      <c r="FB129" s="325"/>
      <c r="FC129" s="325"/>
      <c r="FD129" s="322">
        <v>2</v>
      </c>
      <c r="FE129" s="322">
        <v>1</v>
      </c>
      <c r="FF129" s="322">
        <v>2</v>
      </c>
      <c r="FG129" s="322">
        <v>2</v>
      </c>
      <c r="FH129" s="322">
        <v>1</v>
      </c>
      <c r="FI129" s="322">
        <v>2</v>
      </c>
      <c r="FJ129" s="322" t="s">
        <v>176</v>
      </c>
      <c r="FK129" s="322">
        <v>2</v>
      </c>
      <c r="FL129" s="322" t="s">
        <v>176</v>
      </c>
      <c r="FM129" s="322">
        <v>2</v>
      </c>
      <c r="FN129" s="322">
        <v>2</v>
      </c>
      <c r="FO129" s="322">
        <v>2</v>
      </c>
      <c r="FP129" s="322">
        <v>1</v>
      </c>
      <c r="FQ129" s="322" t="s">
        <v>176</v>
      </c>
      <c r="FR129" s="322" t="s">
        <v>387</v>
      </c>
      <c r="FS129" s="322" t="s">
        <v>176</v>
      </c>
      <c r="FT129" s="322" t="s">
        <v>176</v>
      </c>
      <c r="FU129" s="322" t="s">
        <v>176</v>
      </c>
      <c r="FV129" s="322" t="s">
        <v>176</v>
      </c>
      <c r="FW129" s="322" t="s">
        <v>176</v>
      </c>
      <c r="FX129" s="322"/>
      <c r="FY129" s="322" t="s">
        <v>176</v>
      </c>
      <c r="FZ129" s="322" t="s">
        <v>176</v>
      </c>
      <c r="GA129" s="322" t="s">
        <v>176</v>
      </c>
      <c r="GB129" s="322" t="s">
        <v>176</v>
      </c>
      <c r="GC129" s="322" t="s">
        <v>176</v>
      </c>
      <c r="GD129" s="322" t="s">
        <v>176</v>
      </c>
      <c r="GE129" s="322" t="s">
        <v>176</v>
      </c>
      <c r="GF129" s="322" t="s">
        <v>176</v>
      </c>
      <c r="GG129" s="322" t="s">
        <v>176</v>
      </c>
      <c r="GH129" s="322" t="s">
        <v>176</v>
      </c>
      <c r="GI129" s="322" t="s">
        <v>176</v>
      </c>
      <c r="GJ129" s="322" t="s">
        <v>176</v>
      </c>
      <c r="GK129" s="348" t="s">
        <v>176</v>
      </c>
      <c r="GL129" s="311">
        <f>SUM(G129:FP129)</f>
        <v>64</v>
      </c>
      <c r="GM129" s="348"/>
    </row>
    <row r="130" spans="1:195" s="133" customFormat="1" ht="28.35" customHeight="1" thickBot="1" x14ac:dyDescent="0.3">
      <c r="A130" s="138" t="s">
        <v>559</v>
      </c>
      <c r="B130" s="138" t="s">
        <v>225</v>
      </c>
      <c r="C130" s="138" t="str">
        <f>C129</f>
        <v>DD</v>
      </c>
      <c r="D130" s="138">
        <v>797</v>
      </c>
      <c r="E130" s="564"/>
      <c r="F130" s="312" t="s">
        <v>166</v>
      </c>
      <c r="G130" s="313">
        <f>IF(INDEX(tab_MinKomp[Przepisy BHP / BHP Vorschriften],MATCH($B129,tab_MinKomp[[Stanowisko / Position ]:[Stanowisko / Position ]],0))="n/a","n/a",G129-INDEX(tab_MinKomp[Przepisy BHP / BHP Vorschriften],MATCH($B129,tab_MinKomp[[Stanowisko / Position ]:[Stanowisko / Position ]],0)))</f>
        <v>0</v>
      </c>
      <c r="H130" s="314">
        <f>IF(INDEX(tab_MinKomp[Przepisy PPOŻ / Brandschutzbestimmungen],MATCH($B129,tab_MinKomp[[Stanowisko / Position ]:[Stanowisko / Position ]],0))="n/a","n/a",H129-INDEX(tab_MinKomp[Przepisy PPOŻ / Brandschutzbestimmungen],MATCH($B129,tab_MinKomp[[Stanowisko / Position ]:[Stanowisko / Position ]],0)))</f>
        <v>0</v>
      </c>
      <c r="I130" s="314">
        <f>IF(INDEX(tab_MinKomp[Ryzyko zawodowe na stanowiskach pracyv/ Berufliche Risiken an Arbeitsstellen],MATCH($B129,tab_MinKomp[[Stanowisko / Position ]:[Stanowisko / Position ]],0))="n/a","n/a",I129-INDEX(tab_MinKomp[Ryzyko zawodowe na stanowiskach pracyv/ Berufliche Risiken an Arbeitsstellen],MATCH($B129,tab_MinKomp[[Stanowisko / Position ]:[Stanowisko / Position ]],0)))</f>
        <v>0</v>
      </c>
      <c r="J130" s="314">
        <f>IF(INDEX(tab_MinKomp[Gospodarka substancjami niebezpiecznymi / Gefahrstoffmanagement],MATCH($B129,tab_MinKomp[[Stanowisko / Position ]:[Stanowisko / Position ]],0))="n/a","n/a",J129-INDEX(tab_MinKomp[Gospodarka substancjami niebezpiecznymi / Gefahrstoffmanagement],MATCH($B129,tab_MinKomp[[Stanowisko / Position ]:[Stanowisko / Position ]],0)))</f>
        <v>0</v>
      </c>
      <c r="K130" s="314">
        <f>IF(INDEX(tab_MinKomp[Gospodarka odpadami / Abfallwirtschaft],MATCH($B129,tab_MinKomp[[Stanowisko / Position ]:[Stanowisko / Position ]],0))="n/a","n/a",K129-INDEX(tab_MinKomp[Gospodarka odpadami / Abfallwirtschaft],MATCH($B129,tab_MinKomp[[Stanowisko / Position ]:[Stanowisko / Position ]],0)))</f>
        <v>0</v>
      </c>
      <c r="L130" s="315">
        <f>IF(INDEX(tab_MinKomp[Przepisy kodeksu pracy / Bestimmungen des Arbeitsgesetzes],MATCH($B129,tab_MinKomp[[Stanowisko / Position ]:[Stanowisko / Position ]],0))="n/a","n/a",L129-INDEX(tab_MinKomp[Przepisy kodeksu pracy / Bestimmungen des Arbeitsgesetzes],MATCH($B129,tab_MinKomp[[Stanowisko / Position ]:[Stanowisko / Position ]],0)))</f>
        <v>0</v>
      </c>
      <c r="M130" s="316" t="str">
        <f>IF(INDEX(tab_MinKomp[Przepisy o ub.społ. ZUS  / Sozialversicherungsvorschriften],MATCH($B129,tab_MinKomp[[Stanowisko / Position ]:[Stanowisko / Position ]],0))="n/a","n/a",M129-INDEX(tab_MinKomp[Przepisy o ub.społ. ZUS  / Sozialversicherungsvorschriften],MATCH($B129,tab_MinKomp[[Stanowisko / Position ]:[Stanowisko / Position ]],0)))</f>
        <v>n/a</v>
      </c>
      <c r="N130" s="315" t="str">
        <f>IF(INDEX(tab_MinKomp[PRZEPISY O PDOF /persönlich Einkommensteuergesetz ],MATCH($B129,tab_MinKomp[[Stanowisko / Position ]:[Stanowisko / Position ]],0))="n/a","n/a",N129-INDEX(tab_MinKomp[PRZEPISY O PDOF /persönlich Einkommensteuergesetz ],MATCH($B129,tab_MinKomp[[Stanowisko / Position ]:[Stanowisko / Position ]],0)))</f>
        <v>n/a</v>
      </c>
      <c r="O130" s="315">
        <f>IF(INDEX(tab_MinKomp[Regulamin pracy / Arbeitsordnung],MATCH($B129,tab_MinKomp[[Stanowisko / Position ]:[Stanowisko / Position ]],0))="n/a","n/a",O129-INDEX(tab_MinKomp[Regulamin pracy / Arbeitsordnung],MATCH($B129,tab_MinKomp[[Stanowisko / Position ]:[Stanowisko / Position ]],0)))</f>
        <v>0</v>
      </c>
      <c r="P130" s="315">
        <f>IF(INDEX(tab_MinKomp[Regulamin wynagradzania / Vergütungsordnung],MATCH($B129,tab_MinKomp[[Stanowisko / Position ]:[Stanowisko / Position ]],0))="n/a","n/a",P129-INDEX(tab_MinKomp[Regulamin wynagradzania / Vergütungsordnung],MATCH($B129,tab_MinKomp[[Stanowisko / Position ]:[Stanowisko / Position ]],0)))</f>
        <v>0</v>
      </c>
      <c r="Q130" s="315" t="str">
        <f>IF(INDEX(tab_MinKomp[System R2PŁATNIK PRO: Płace / Lohnabrechnung],MATCH($B129,tab_MinKomp[[Stanowisko / Position ]:[Stanowisko / Position ]],0))="n/a","n/a",Q129-INDEX(tab_MinKomp[System R2PŁATNIK PRO: Płace / Lohnabrechnung],MATCH($B129,tab_MinKomp[[Stanowisko / Position ]:[Stanowisko / Position ]],0)))</f>
        <v>n/a</v>
      </c>
      <c r="R130" s="315" t="str">
        <f>IF(INDEX(tab_MinKomp[SystemR2PŁATNIK PRO: KADRY / Personaldaten],MATCH($B129,tab_MinKomp[[Stanowisko / Position ]:[Stanowisko / Position ]],0))="n/a","n/a",R129-INDEX(tab_MinKomp[SystemR2PŁATNIK PRO: KADRY / Personaldaten],MATCH($B129,tab_MinKomp[[Stanowisko / Position ]:[Stanowisko / Position ]],0)))</f>
        <v>n/a</v>
      </c>
      <c r="S130" s="315" t="str">
        <f>IF(INDEX(tab_MinKomp[SYSTEM R2PŁATNIK PRO: zarządzanie pracownikami / Arbeitsverwaltung],MATCH($B129,tab_MinKomp[[Stanowisko / Position ]:[Stanowisko / Position ]],0))="n/a","n/a",S129-INDEX(tab_MinKomp[SYSTEM R2PŁATNIK PRO: zarządzanie pracownikami / Arbeitsverwaltung],MATCH($B129,tab_MinKomp[[Stanowisko / Position ]:[Stanowisko / Position ]],0)))</f>
        <v>n/a</v>
      </c>
      <c r="T130" s="315" t="str">
        <f>IF(INDEX(tab_MinKomp[Doradztwo, wsparcie personalne / Personalberatung und Unterstützung],MATCH($B129,tab_MinKomp[[Stanowisko / Position ]:[Stanowisko / Position ]],0))="n/a","n/a",T129-INDEX(tab_MinKomp[Doradztwo, wsparcie personalne / Personalberatung und Unterstützung],MATCH($B129,tab_MinKomp[[Stanowisko / Position ]:[Stanowisko / Position ]],0)))</f>
        <v>n/a</v>
      </c>
      <c r="U130" s="315" t="str">
        <f>IF(INDEX(tab_MinKomp[Przepisy o podatku VAT / MwSt.- Gesetz],MATCH($B129,tab_MinKomp[[Stanowisko / Position ]:[Stanowisko / Position ]],0))="n/a","n/a",U129-INDEX(tab_MinKomp[Przepisy o podatku VAT / MwSt.- Gesetz],MATCH($B129,tab_MinKomp[[Stanowisko / Position ]:[Stanowisko / Position ]],0)))</f>
        <v>n/a</v>
      </c>
      <c r="V130" s="315" t="str">
        <f>IF(INDEX(tab_MinKomp[PrzepisyPDOP / geschäftlich Einkommensteuergesetz],MATCH($B129,tab_MinKomp[[Stanowisko / Position ]:[Stanowisko / Position ]],0))="n/a","n/a",V129-INDEX(tab_MinKomp[PrzepisyPDOP / geschäftlich Einkommensteuergesetz],MATCH($B129,tab_MinKomp[[Stanowisko / Position ]:[Stanowisko / Position ]],0)))</f>
        <v>n/a</v>
      </c>
      <c r="W130" s="315" t="str">
        <f>IF(INDEX(tab_MinKomp[System BAAN / FINANSE (FIBU)],MATCH($B129,tab_MinKomp[[Stanowisko / Position ]:[Stanowisko / Position ]],0))="n/a","n/a",W129-INDEX(tab_MinKomp[System BAAN / FINANSE (FIBU)],MATCH($B129,tab_MinKomp[[Stanowisko / Position ]:[Stanowisko / Position ]],0)))</f>
        <v>n/a</v>
      </c>
      <c r="X130" s="315" t="str">
        <f>IF(INDEX(tab_MinKomp[Systemy pomocnicze / Hilfssysteme(STOCKPROGRAM, KALK2000 etc.)],MATCH($B129,tab_MinKomp[[Stanowisko / Position ]:[Stanowisko / Position ]],0))="n/a","n/a",X129-INDEX(tab_MinKomp[Systemy pomocnicze / Hilfssysteme(STOCKPROGRAM, KALK2000 etc.)],MATCH($B129,tab_MinKomp[[Stanowisko / Position ]:[Stanowisko / Position ]],0)))</f>
        <v>n/a</v>
      </c>
      <c r="Y130" s="315" t="str">
        <f>IF(INDEX(tab_MinKomp[Polityka rachunkowości / Buchführungspolitik],MATCH($B129,tab_MinKomp[[Stanowisko / Position ]:[Stanowisko / Position ]],0))="n/a","n/a",Y129-INDEX(tab_MinKomp[Polityka rachunkowości / Buchführungspolitik],MATCH($B129,tab_MinKomp[[Stanowisko / Position ]:[Stanowisko / Position ]],0)))</f>
        <v>n/a</v>
      </c>
      <c r="Z130" s="315" t="str">
        <f>IF(INDEX(tab_MinKomp[Ustawa o rachunkowości / Rechnungslegungsgesetz],MATCH($B129,tab_MinKomp[[Stanowisko / Position ]:[Stanowisko / Position ]],0))="n/a","n/a",Z129-INDEX(tab_MinKomp[Ustawa o rachunkowości / Rechnungslegungsgesetz],MATCH($B129,tab_MinKomp[[Stanowisko / Position ]:[Stanowisko / Position ]],0)))</f>
        <v>n/a</v>
      </c>
      <c r="AA130" s="315" t="str">
        <f>IF(INDEX(tab_MinKomp[WORKFLOW - TS-100],MATCH($B129,tab_MinKomp[[Stanowisko / Position ]:[Stanowisko / Position ]],0))="n/a","n/a",AA129-INDEX(tab_MinKomp[WORKFLOW - TS-100],MATCH($B129,tab_MinKomp[[Stanowisko / Position ]:[Stanowisko / Position ]],0)))</f>
        <v>n/a</v>
      </c>
      <c r="AB130" s="315" t="str">
        <f>IF(INDEX(tab_MinKomp[WORKFLOW - SFMS],MATCH($B129,tab_MinKomp[[Stanowisko / Position ]:[Stanowisko / Position ]],0))="n/a","n/a",AB129-INDEX(tab_MinKomp[WORKFLOW - SFMS],MATCH($B129,tab_MinKomp[[Stanowisko / Position ]:[Stanowisko / Position ]],0)))</f>
        <v>n/a</v>
      </c>
      <c r="AC130" s="315">
        <f>IF(INDEX(tab_MinKomp[System ISO 9001:2015],MATCH($B129,tab_MinKomp[[Stanowisko / Position ]:[Stanowisko / Position ]],0))="n/a","n/a",AC129-INDEX(tab_MinKomp[System ISO 9001:2015],MATCH($B129,tab_MinKomp[[Stanowisko / Position ]:[Stanowisko / Position ]],0)))</f>
        <v>-1</v>
      </c>
      <c r="AD130" s="315">
        <f>IF(INDEX(tab_MinKomp[System IATF 16949:2016],MATCH($B129,tab_MinKomp[[Stanowisko / Position ]:[Stanowisko / Position ]],0))="n/a","n/a",AD129-INDEX(tab_MinKomp[System IATF 16949:2016],MATCH($B129,tab_MinKomp[[Stanowisko / Position ]:[Stanowisko / Position ]],0)))</f>
        <v>-1</v>
      </c>
      <c r="AE130" s="315">
        <f>IF(INDEX(tab_MinKomp[System ISO 14001:2015],MATCH($B129,tab_MinKomp[[Stanowisko / Position ]:[Stanowisko / Position ]],0))="n/a","n/a",AE129-INDEX(tab_MinKomp[System ISO 14001:2015],MATCH($B129,tab_MinKomp[[Stanowisko / Position ]:[Stanowisko / Position ]],0)))</f>
        <v>-1</v>
      </c>
      <c r="AF130" s="315">
        <f>IF(INDEX(tab_MinKomp[System PN-N 18001:2004 / ISO 45001:2018],MATCH($B129,tab_MinKomp[[Stanowisko / Position ]:[Stanowisko / Position ]],0))="n/a","n/a",AF129-INDEX(tab_MinKomp[System PN-N 18001:2004 / ISO 45001:2018],MATCH($B129,tab_MinKomp[[Stanowisko / Position ]:[Stanowisko / Position ]],0)))</f>
        <v>-1</v>
      </c>
      <c r="AG130" s="315">
        <f>IF(INDEX(tab_MinKomp[Wymagania VDA 6.3 Process / Forderungen],MATCH($B129,tab_MinKomp[[Stanowisko / Position ]:[Stanowisko / Position ]],0))="n/a","n/a",AG129-INDEX(tab_MinKomp[Wymagania VDA 6.3 Process / Forderungen],MATCH($B129,tab_MinKomp[[Stanowisko / Position ]:[Stanowisko / Position ]],0)))</f>
        <v>-1</v>
      </c>
      <c r="AH130" s="315" t="str">
        <f>IF(INDEX(tab_MinKomp[Wymagania VDA 6.5 Product / Forderungen],MATCH($B129,tab_MinKomp[[Stanowisko / Position ]:[Stanowisko / Position ]],0))="n/a","n/a",AH129-INDEX(tab_MinKomp[Wymagania VDA 6.5 Product / Forderungen],MATCH($B129,tab_MinKomp[[Stanowisko / Position ]:[Stanowisko / Position ]],0)))</f>
        <v>n/a</v>
      </c>
      <c r="AI130" s="315" t="str">
        <f>IF(INDEX(tab_MinKomp[PSCR (VW Product Safety &amp; Conformity Representative)],MATCH($B129,tab_MinKomp[[Stanowisko / Position ]:[Stanowisko / Position ]],0))="n/a","n/a",AI129-INDEX(tab_MinKomp[PSCR (VW Product Safety &amp; Conformity Representative)],MATCH($B129,tab_MinKomp[[Stanowisko / Position ]:[Stanowisko / Position ]],0)))</f>
        <v>n/a</v>
      </c>
      <c r="AJ130" s="315" t="str">
        <f>IF(INDEX(tab_MinKomp[Auditor systemu ISO 17025:2018],MATCH($B129,tab_MinKomp[[Stanowisko / Position ]:[Stanowisko / Position ]],0))="n/a","n/a",AJ129-INDEX(tab_MinKomp[Auditor systemu ISO 17025:2018],MATCH($B129,tab_MinKomp[[Stanowisko / Position ]:[Stanowisko / Position ]],0)))</f>
        <v>n/a</v>
      </c>
      <c r="AK130" s="315" t="str">
        <f>IF(INDEX(tab_MinKomp[Pełnomocnik systemu / Systemvertreter],MATCH($B129,tab_MinKomp[[Stanowisko / Position ]:[Stanowisko / Position ]],0))="n/a","n/a",AK129-INDEX(tab_MinKomp[Pełnomocnik systemu / Systemvertreter],MATCH($B129,tab_MinKomp[[Stanowisko / Position ]:[Stanowisko / Position ]],0)))</f>
        <v>n/a</v>
      </c>
      <c r="AL130" s="333">
        <v>0</v>
      </c>
      <c r="AM130" s="315">
        <f>IF(INDEX(tab_MinKomp[WDRAŻANIE NOWYCH PROJEKTÓW/ PROCEDURA CTM],MATCH($B129,tab_MinKomp[[Stanowisko / Position ]:[Stanowisko / Position ]],0))="n/a","n/a",AM129-INDEX(tab_MinKomp[WDRAŻANIE NOWYCH PROJEKTÓW/ PROCEDURA CTM],MATCH($B129,tab_MinKomp[[Stanowisko / Position ]:[Stanowisko / Position ]],0)))</f>
        <v>-1</v>
      </c>
      <c r="AN130" s="315">
        <v>-1</v>
      </c>
      <c r="AO130" s="315">
        <f>IF(INDEX(tab_MinKomp[CP],MATCH($B129,tab_MinKomp[[Stanowisko / Position ]:[Stanowisko / Position ]],0))="n/a","n/a",AO129-INDEX(tab_MinKomp[CP],MATCH($B129,tab_MinKomp[[Stanowisko / Position ]:[Stanowisko / Position ]],0)))</f>
        <v>-1</v>
      </c>
      <c r="AP130" s="315">
        <f>IF(INDEX(tab_MinKomp[FMEA],MATCH($B129,tab_MinKomp[[Stanowisko / Position ]:[Stanowisko / Position ]],0))="n/a","n/a",AP129-INDEX(tab_MinKomp[FMEA],MATCH($B129,tab_MinKomp[[Stanowisko / Position ]:[Stanowisko / Position ]],0)))</f>
        <v>-1</v>
      </c>
      <c r="AQ130" s="315">
        <f>IF(INDEX(tab_MinKomp[FLOW CHART],MATCH($B129,tab_MinKomp[[Stanowisko / Position ]:[Stanowisko / Position ]],0))="n/a","n/a",AQ129-INDEX(tab_MinKomp[FLOW CHART],MATCH($B129,tab_MinKomp[[Stanowisko / Position ]:[Stanowisko / Position ]],0)))</f>
        <v>-1</v>
      </c>
      <c r="AR130" s="315" t="str">
        <f>IF(INDEX(tab_MinKomp[APQP],MATCH($B129,tab_MinKomp[[Stanowisko / Position ]:[Stanowisko / Position ]],0))="n/a","n/a",AR129-INDEX(tab_MinKomp[APQP],MATCH($B129,tab_MinKomp[[Stanowisko / Position ]:[Stanowisko / Position ]],0)))</f>
        <v>n/a</v>
      </c>
      <c r="AS130" s="315" t="str">
        <f>IF(INDEX(tab_MinKomp[MSA],MATCH($B129,tab_MinKomp[[Stanowisko / Position ]:[Stanowisko / Position ]],0))="n/a","n/a",AS129-INDEX(tab_MinKomp[MSA],MATCH($B129,tab_MinKomp[[Stanowisko / Position ]:[Stanowisko / Position ]],0)))</f>
        <v>n/a</v>
      </c>
      <c r="AT130" s="315" t="str">
        <f>IF(INDEX(tab_MinKomp[SPC],MATCH($B129,tab_MinKomp[[Stanowisko / Position ]:[Stanowisko / Position ]],0))="n/a","n/a",AT129-INDEX(tab_MinKomp[SPC],MATCH($B129,tab_MinKomp[[Stanowisko / Position ]:[Stanowisko / Position ]],0)))</f>
        <v>n/a</v>
      </c>
      <c r="AU130" s="315">
        <f>IF(INDEX(tab_MinKomp[CSR (SPECYFICZNE WYMAGANIA KLIENTA)],MATCH($B129,tab_MinKomp[[Stanowisko / Position ]:[Stanowisko / Position ]],0))="n/a","n/a",AU129-INDEX(tab_MinKomp[CSR (SPECYFICZNE WYMAGANIA KLIENTA)],MATCH($B129,tab_MinKomp[[Stanowisko / Position ]:[Stanowisko / Position ]],0)))</f>
        <v>-1</v>
      </c>
      <c r="AV130" s="315">
        <f>IF(INDEX(tab_MinKomp[5S],MATCH($B129,tab_MinKomp[[Stanowisko / Position ]:[Stanowisko / Position ]],0))="n/a","n/a",AV129-INDEX(tab_MinKomp[5S],MATCH($B129,tab_MinKomp[[Stanowisko / Position ]:[Stanowisko / Position ]],0)))</f>
        <v>0</v>
      </c>
      <c r="AW130" s="315">
        <f>IF(INDEX(tab_MinKomp[LEAN MANAGEMENT],MATCH($B129,tab_MinKomp[[Stanowisko / Position ]:[Stanowisko / Position ]],0))="n/a","n/a",AW129-INDEX(tab_MinKomp[LEAN MANAGEMENT],MATCH($B129,tab_MinKomp[[Stanowisko / Position ]:[Stanowisko / Position ]],0)))</f>
        <v>-1</v>
      </c>
      <c r="AX130" s="315">
        <f>IF(INDEX(tab_MinKomp[5R],MATCH($B129,tab_MinKomp[[Stanowisko / Position ]:[Stanowisko / Position ]],0))="n/a","n/a",AX129-INDEX(tab_MinKomp[5R],MATCH($B129,tab_MinKomp[[Stanowisko / Position ]:[Stanowisko / Position ]],0)))</f>
        <v>-1</v>
      </c>
      <c r="AY130" s="315">
        <f>IF(INDEX(tab_MinKomp[Six Sigma],MATCH($B129,tab_MinKomp[[Stanowisko / Position ]:[Stanowisko / Position ]],0))="n/a","n/a",AY129-INDEX(tab_MinKomp[Six Sigma],MATCH($B129,tab_MinKomp[[Stanowisko / Position ]:[Stanowisko / Position ]],0)))</f>
        <v>-1</v>
      </c>
      <c r="AZ130" s="315" t="str">
        <f>IF(INDEX(tab_MinKomp[System BAAN / Distribution &amp; Supply Chain],MATCH($B129,tab_MinKomp[[Stanowisko / Position ]:[Stanowisko / Position ]],0))="n/a","n/a",AZ129-INDEX(tab_MinKomp[System BAAN / Distribution &amp; Supply Chain],MATCH($B129,tab_MinKomp[[Stanowisko / Position ]:[Stanowisko / Position ]],0)))</f>
        <v>n/a</v>
      </c>
      <c r="BA130" s="315" t="str">
        <f>IF(INDEX(tab_MinKomp[Gospodarka magazynowa / Lagerverwaltung],MATCH($B129,tab_MinKomp[[Stanowisko / Position ]:[Stanowisko / Position ]],0))="n/a","n/a",BA129-INDEX(tab_MinKomp[Gospodarka magazynowa / Lagerverwaltung],MATCH($B129,tab_MinKomp[[Stanowisko / Position ]:[Stanowisko / Position ]],0)))</f>
        <v>n/a</v>
      </c>
      <c r="BB130" s="315" t="str">
        <f>IF(INDEX(tab_MinKomp[Inwentaryzacja - organizacja i przebieg / Inventurprozess],MATCH($B129,tab_MinKomp[[Stanowisko / Position ]:[Stanowisko / Position ]],0))="n/a","n/a",BB129-INDEX(tab_MinKomp[Inwentaryzacja - organizacja i przebieg / Inventurprozess],MATCH($B129,tab_MinKomp[[Stanowisko / Position ]:[Stanowisko / Position ]],0)))</f>
        <v>n/a</v>
      </c>
      <c r="BC130" s="315" t="str">
        <f>IF(INDEX(tab_MinKomp[Organizacja dostaw / Versorgungsorganisation],MATCH($B129,tab_MinKomp[[Stanowisko / Position ]:[Stanowisko / Position ]],0))="n/a","n/a",BC129-INDEX(tab_MinKomp[Organizacja dostaw / Versorgungsorganisation],MATCH($B129,tab_MinKomp[[Stanowisko / Position ]:[Stanowisko / Position ]],0)))</f>
        <v>n/a</v>
      </c>
      <c r="BD130" s="315" t="str">
        <f>IF(INDEX(tab_MinKomp[Organizacja wysyłek / Organisation von Lieferungen],MATCH($B129,tab_MinKomp[[Stanowisko / Position ]:[Stanowisko / Position ]],0))="n/a","n/a",BD129-INDEX(tab_MinKomp[Organizacja wysyłek / Organisation von Lieferungen],MATCH($B129,tab_MinKomp[[Stanowisko / Position ]:[Stanowisko / Position ]],0)))</f>
        <v>n/a</v>
      </c>
      <c r="BE130" s="315" t="str">
        <f>IF(INDEX(tab_MinKomp[Analiza magazynowa - Program Polen.mdb / Inventuranalyse],MATCH($B129,tab_MinKomp[[Stanowisko / Position ]:[Stanowisko / Position ]],0))="n/a","n/a",BE129-INDEX(tab_MinKomp[Analiza magazynowa - Program Polen.mdb / Inventuranalyse],MATCH($B129,tab_MinKomp[[Stanowisko / Position ]:[Stanowisko / Position ]],0)))</f>
        <v>n/a</v>
      </c>
      <c r="BF130" s="315" t="str">
        <f>IF(INDEX(tab_MinKomp[MMOG (Materials Management Operations Guidelines)],MATCH($B129,tab_MinKomp[[Stanowisko / Position ]:[Stanowisko / Position ]],0))="n/a","n/a",BF129-INDEX(tab_MinKomp[MMOG (Materials Management Operations Guidelines)],MATCH($B129,tab_MinKomp[[Stanowisko / Position ]:[Stanowisko / Position ]],0)))</f>
        <v>n/a</v>
      </c>
      <c r="BG130" s="315" t="str">
        <f>IF(INDEX(tab_MinKomp[GPP],MATCH($B129,tab_MinKomp[[Stanowisko / Position ]:[Stanowisko / Position ]],0))="n/a","n/a",BG129-INDEX(tab_MinKomp[GPP],MATCH($B129,tab_MinKomp[[Stanowisko / Position ]:[Stanowisko / Position ]],0)))</f>
        <v>n/a</v>
      </c>
      <c r="BH130" s="315" t="str">
        <f>IF(INDEX(tab_MinKomp[AIAG (Automotive Industry Action Group)],MATCH($B129,tab_MinKomp[[Stanowisko / Position ]:[Stanowisko / Position ]],0))="n/a","n/a",BH129-INDEX(tab_MinKomp[AIAG (Automotive Industry Action Group)],MATCH($B129,tab_MinKomp[[Stanowisko / Position ]:[Stanowisko / Position ]],0)))</f>
        <v>n/a</v>
      </c>
      <c r="BI130" s="315" t="str">
        <f>IF(INDEX(tab_MinKomp[Super-G disputes],MATCH($B129,tab_MinKomp[[Stanowisko / Position ]:[Stanowisko / Position ]],0))="n/a","n/a",BI129-INDEX(tab_MinKomp[Super-G disputes],MATCH($B129,tab_MinKomp[[Stanowisko / Position ]:[Stanowisko / Position ]],0)))</f>
        <v>n/a</v>
      </c>
      <c r="BJ130" s="315" t="str">
        <f>IF(INDEX(tab_MinKomp[CMMS3/eDDL (Direct Data Link)],MATCH($B129,tab_MinKomp[[Stanowisko / Position ]:[Stanowisko / Position ]],0))="n/a","n/a",BJ129-INDEX(tab_MinKomp[CMMS3/eDDL (Direct Data Link)],MATCH($B129,tab_MinKomp[[Stanowisko / Position ]:[Stanowisko / Position ]],0)))</f>
        <v>n/a</v>
      </c>
      <c r="BK130" s="315" t="str">
        <f>IF(INDEX(tab_MinKomp[MP&amp;L (Material Planning and Logistics)],MATCH($B129,tab_MinKomp[[Stanowisko / Position ]:[Stanowisko / Position ]],0))="n/a","n/a",BK129-INDEX(tab_MinKomp[MP&amp;L (Material Planning and Logistics)],MATCH($B129,tab_MinKomp[[Stanowisko / Position ]:[Stanowisko / Position ]],0)))</f>
        <v>n/a</v>
      </c>
      <c r="BL130" s="315" t="str">
        <f>IF(INDEX(tab_MinKomp[Supplier delivery rating],MATCH($B129,tab_MinKomp[[Stanowisko / Position ]:[Stanowisko / Position ]],0))="n/a","n/a",BL129-INDEX(tab_MinKomp[Supplier delivery rating],MATCH($B129,tab_MinKomp[[Stanowisko / Position ]:[Stanowisko / Position ]],0)))</f>
        <v>n/a</v>
      </c>
      <c r="BM130" s="318" t="str">
        <f>IFERROR(IF(INDEX(tab_MinKomp[BRAK / Keine],MATCH($B129,tab_MinKomp[[Stanowisko / Position ]:[Stanowisko / Position ]],0))="n/a","n/a",INDEX(tab_MinKomp[BRAK / Keine],MATCH($B129,tab_MinKomp[[Stanowisko / Position ]:[Stanowisko / Position ]],0))-BM129),"")</f>
        <v>n/a</v>
      </c>
      <c r="BN130" s="315">
        <f>IF(INDEX(tab_MinKomp[Obsługa maszyn Engel / Engel Maschinenbedienung],MATCH($B129,tab_MinKomp[[Stanowisko / Position ]:[Stanowisko / Position ]],0))="n/a","n/a",BN129-INDEX(tab_MinKomp[Obsługa maszyn Engel / Engel Maschinenbedienung],MATCH($B129,tab_MinKomp[[Stanowisko / Position ]:[Stanowisko / Position ]],0)))</f>
        <v>0</v>
      </c>
      <c r="BO130" s="318" t="str">
        <f>IFERROR(IF(INDEX(tab_MinKomp[BRAK / Keine],MATCH($B129,tab_MinKomp[[Stanowisko / Position ]:[Stanowisko / Position ]],0))="n/a","n/a",INDEX(tab_MinKomp[BRAK / Keine],MATCH($B129,tab_MinKomp[[Stanowisko / Position ]:[Stanowisko / Position ]],0))-BO129),"")</f>
        <v>n/a</v>
      </c>
      <c r="BP130" s="318" t="str">
        <f>IFERROR(IF(INDEX(tab_MinKomp[BRAK / Keine],MATCH($B129,tab_MinKomp[[Stanowisko / Position ]:[Stanowisko / Position ]],0))="n/a","n/a",INDEX(tab_MinKomp[BRAK / Keine],MATCH($B129,tab_MinKomp[[Stanowisko / Position ]:[Stanowisko / Position ]],0))-BP129),"")</f>
        <v>n/a</v>
      </c>
      <c r="BQ130" s="318" t="str">
        <f>IFERROR(IF(INDEX(tab_MinKomp[BRAK / Keine],MATCH($B129,tab_MinKomp[[Stanowisko / Position ]:[Stanowisko / Position ]],0))="n/a","n/a",INDEX(tab_MinKomp[BRAK / Keine],MATCH($B129,tab_MinKomp[[Stanowisko / Position ]:[Stanowisko / Position ]],0))-BQ129),"")</f>
        <v>n/a</v>
      </c>
      <c r="BR130" s="318" t="str">
        <f>IFERROR(IF(INDEX(tab_MinKomp[BRAK / Keine],MATCH($B129,tab_MinKomp[[Stanowisko / Position ]:[Stanowisko / Position ]],0))="n/a","n/a",INDEX(tab_MinKomp[BRAK / Keine],MATCH($B129,tab_MinKomp[[Stanowisko / Position ]:[Stanowisko / Position ]],0))-BR129),"")</f>
        <v>n/a</v>
      </c>
      <c r="BS130" s="318" t="str">
        <f>IFERROR(IF(INDEX(tab_MinKomp[BRAK / Keine],MATCH($B129,tab_MinKomp[[Stanowisko / Position ]:[Stanowisko / Position ]],0))="n/a","n/a",INDEX(tab_MinKomp[BRAK / Keine],MATCH($B129,tab_MinKomp[[Stanowisko / Position ]:[Stanowisko / Position ]],0))-BS129),"")</f>
        <v>n/a</v>
      </c>
      <c r="BT130" s="318" t="str">
        <f>IFERROR(IF(INDEX(tab_MinKomp[BRAK / Keine],MATCH($B129,tab_MinKomp[[Stanowisko / Position ]:[Stanowisko / Position ]],0))="n/a","n/a",INDEX(tab_MinKomp[BRAK / Keine],MATCH($B129,tab_MinKomp[[Stanowisko / Position ]:[Stanowisko / Position ]],0))-BT129),"")</f>
        <v>n/a</v>
      </c>
      <c r="BU130" s="318" t="str">
        <f>IFERROR(IF(INDEX(tab_MinKomp[BRAK / Keine],MATCH($B129,tab_MinKomp[[Stanowisko / Position ]:[Stanowisko / Position ]],0))="n/a","n/a",INDEX(tab_MinKomp[BRAK / Keine],MATCH($B129,tab_MinKomp[[Stanowisko / Position ]:[Stanowisko / Position ]],0))-BU129),"")</f>
        <v>n/a</v>
      </c>
      <c r="BV130" s="315">
        <f>IF(INDEX(tab_MinKomp[Eliminacja awarii / Beseitigung von Ausfällen],MATCH($B129,tab_MinKomp[[Stanowisko / Position ]:[Stanowisko / Position ]],0))="n/a","n/a",BV129-INDEX(tab_MinKomp[Eliminacja awarii / Beseitigung von Ausfällen],MATCH($B129,tab_MinKomp[[Stanowisko / Position ]:[Stanowisko / Position ]],0)))</f>
        <v>0</v>
      </c>
      <c r="BW130" s="315">
        <f>IF(INDEX(tab_MinKomp[Informatyka ogólna (techniczne i systemowe) / Allgemeine IT (Technik und System)],MATCH($B129,tab_MinKomp[[Stanowisko / Position ]:[Stanowisko / Position ]],0))="n/a","n/a",BW129-INDEX(tab_MinKomp[Informatyka ogólna (techniczne i systemowe) / Allgemeine IT (Technik und System)],MATCH($B129,tab_MinKomp[[Stanowisko / Position ]:[Stanowisko / Position ]],0)))</f>
        <v>0</v>
      </c>
      <c r="BX130" s="315" t="str">
        <f>IF(INDEX(tab_MinKomp[Sieci komputerowe / Computernetzwerke],MATCH($B129,tab_MinKomp[[Stanowisko / Position ]:[Stanowisko / Position ]],0))="n/a","n/a",BX129-INDEX(tab_MinKomp[Sieci komputerowe / Computernetzwerke],MATCH($B129,tab_MinKomp[[Stanowisko / Position ]:[Stanowisko / Position ]],0)))</f>
        <v>n/a</v>
      </c>
      <c r="BY130" s="315" t="str">
        <f>IF(INDEX(tab_MinKomp[Hardware (komputery PC, drukarki biurowe i etykietowe, telefonia stacjonarna i mobilna) (PC, Drucker, Telefpne, Handys)],MATCH($B129,tab_MinKomp[[Stanowisko / Position ]:[Stanowisko / Position ]],0))="n/a","n/a",BY129-INDEX(tab_MinKomp[Hardware (komputery PC, drukarki biurowe i etykietowe, telefonia stacjonarna i mobilna) (PC, Drucker, Telefpne, Handys)],MATCH($B129,tab_MinKomp[[Stanowisko / Position ]:[Stanowisko / Position ]],0)))</f>
        <v>n/a</v>
      </c>
      <c r="BZ130" s="315" t="str">
        <f>IF(INDEX(tab_MinKomp[Software &amp; Systems (MS Office, MS Remote Desktop)],MATCH($B129,tab_MinKomp[[Stanowisko / Position ]:[Stanowisko / Position ]],0))="n/a","n/a",BZ129-INDEX(tab_MinKomp[Software &amp; Systems (MS Office, MS Remote Desktop)],MATCH($B129,tab_MinKomp[[Stanowisko / Position ]:[Stanowisko / Position ]],0)))</f>
        <v>n/a</v>
      </c>
      <c r="CA130" s="315" t="str">
        <f>IF(INDEX(tab_MinKomp[Programowanie obiektowe (PHP) / Objektprogrammierung],MATCH($B129,tab_MinKomp[[Stanowisko / Position ]:[Stanowisko / Position ]],0))="n/a","n/a",CA129-INDEX(tab_MinKomp[Programowanie obiektowe (PHP) / Objektprogrammierung],MATCH($B129,tab_MinKomp[[Stanowisko / Position ]:[Stanowisko / Position ]],0)))</f>
        <v>n/a</v>
      </c>
      <c r="CB130" s="315" t="str">
        <f>IF(INDEX(tab_MinKomp[Scrum],MATCH($B129,tab_MinKomp[[Stanowisko / Position ]:[Stanowisko / Position ]],0))="n/a","n/a",CB129-INDEX(tab_MinKomp[Scrum],MATCH($B129,tab_MinKomp[[Stanowisko / Position ]:[Stanowisko / Position ]],0)))</f>
        <v>n/a</v>
      </c>
      <c r="CC130" s="315" t="str">
        <f>IF(INDEX(tab_MinKomp[SQL (MySQL)],MATCH($B129,tab_MinKomp[[Stanowisko / Position ]:[Stanowisko / Position ]],0))="n/a","n/a",CC129-INDEX(tab_MinKomp[SQL (MySQL)],MATCH($B129,tab_MinKomp[[Stanowisko / Position ]:[Stanowisko / Position ]],0)))</f>
        <v>n/a</v>
      </c>
      <c r="CD130" s="315" t="str">
        <f>IF(INDEX(tab_MinKomp[Javascript],MATCH($B129,tab_MinKomp[[Stanowisko / Position ]:[Stanowisko / Position ]],0))="n/a","n/a",CD129-INDEX(tab_MinKomp[Javascript],MATCH($B129,tab_MinKomp[[Stanowisko / Position ]:[Stanowisko / Position ]],0)))</f>
        <v>n/a</v>
      </c>
      <c r="CE130" s="315" t="str">
        <f>IF(INDEX(tab_MinKomp[Joomla],MATCH($B129,tab_MinKomp[[Stanowisko / Position ]:[Stanowisko / Position ]],0))="n/a","n/a",CE129-INDEX(tab_MinKomp[Joomla],MATCH($B129,tab_MinKomp[[Stanowisko / Position ]:[Stanowisko / Position ]],0)))</f>
        <v>n/a</v>
      </c>
      <c r="CF130" s="315" t="str">
        <f>IF(INDEX(tab_MinKomp[Bash],MATCH($B129,tab_MinKomp[[Stanowisko / Position ]:[Stanowisko / Position ]],0))="n/a","n/a",CF129-INDEX(tab_MinKomp[Bash],MATCH($B129,tab_MinKomp[[Stanowisko / Position ]:[Stanowisko / Position ]],0)))</f>
        <v>n/a</v>
      </c>
      <c r="CG130" s="315" t="str">
        <f>IF(INDEX(tab_MinKomp[Systemy MES (HYDRA / SFMS)],MATCH($B129,tab_MinKomp[[Stanowisko / Position ]:[Stanowisko / Position ]],0))="n/a","n/a",CG129-INDEX(tab_MinKomp[Systemy MES (HYDRA / SFMS)],MATCH($B129,tab_MinKomp[[Stanowisko / Position ]:[Stanowisko / Position ]],0)))</f>
        <v>n/a</v>
      </c>
      <c r="CH130" s="315" t="str">
        <f>IF(INDEX(tab_MinKomp[HTML / CSS],MATCH($B129,tab_MinKomp[[Stanowisko / Position ]:[Stanowisko / Position ]],0))="n/a","n/a",CH129-INDEX(tab_MinKomp[HTML / CSS],MATCH($B129,tab_MinKomp[[Stanowisko / Position ]:[Stanowisko / Position ]],0)))</f>
        <v>n/a</v>
      </c>
      <c r="CI130" s="315">
        <f>IF(INDEX(tab_MinKomp[SYSTEM PR],MATCH($B129,tab_MinKomp[[Stanowisko / Position ]:[Stanowisko / Position ]],0))="n/a","n/a",CI129-INDEX(tab_MinKomp[SYSTEM PR],MATCH($B129,tab_MinKomp[[Stanowisko / Position ]:[Stanowisko / Position ]],0)))</f>
        <v>0</v>
      </c>
      <c r="CJ130" s="318" t="str">
        <f>IFERROR(IF(INDEX(tab_MinKomp[BRAK / Keine],MATCH($B129,tab_MinKomp[[Stanowisko / Position ]:[Stanowisko / Position ]],0))="n/a","n/a",INDEX(tab_MinKomp[BRAK / Keine],MATCH($B129,tab_MinKomp[[Stanowisko / Position ]:[Stanowisko / Position ]],0))-CJ129),"")</f>
        <v>n/a</v>
      </c>
      <c r="CK130" s="318" t="str">
        <f>IFERROR(IF(INDEX(tab_MinKomp[BRAK / Keine],MATCH($B129,tab_MinKomp[[Stanowisko / Position ]:[Stanowisko / Position ]],0))="n/a","n/a",INDEX(tab_MinKomp[BRAK / Keine],MATCH($B129,tab_MinKomp[[Stanowisko / Position ]:[Stanowisko / Position ]],0))-CK129),"")</f>
        <v>n/a</v>
      </c>
      <c r="CL130" s="315">
        <v>0</v>
      </c>
      <c r="CM130" s="315">
        <f>IF(INDEX(tab_MinKomp[RAPORTY 8D / 8D Berichten],MATCH($B129,tab_MinKomp[[Stanowisko / Position ]:[Stanowisko / Position ]],0))="n/a","n/a",CM129-INDEX(tab_MinKomp[RAPORTY 8D / 8D Berichten],MATCH($B129,tab_MinKomp[[Stanowisko / Position ]:[Stanowisko / Position ]],0)))</f>
        <v>-2</v>
      </c>
      <c r="CN130" s="315">
        <f>IF(INDEX(tab_MinKomp[NARZĘDZIA JAKOŚCIOWE (5WHY, Ishikawa, etc) / QS-Werkzeuge],MATCH($B129,tab_MinKomp[[Stanowisko / Position ]:[Stanowisko / Position ]],0))="n/a","n/a",CN129-INDEX(tab_MinKomp[NARZĘDZIA JAKOŚCIOWE (5WHY, Ishikawa, etc) / QS-Werkzeuge],MATCH($B129,tab_MinKomp[[Stanowisko / Position ]:[Stanowisko / Position ]],0)))</f>
        <v>-2</v>
      </c>
      <c r="CO130" s="315">
        <f>IF(INDEX(tab_MinKomp[PDCA],MATCH($B129,tab_MinKomp[[Stanowisko / Position ]:[Stanowisko / Position ]],0))="n/a","n/a",CO129-INDEX(tab_MinKomp[PDCA],MATCH($B129,tab_MinKomp[[Stanowisko / Position ]:[Stanowisko / Position ]],0)))</f>
        <v>0</v>
      </c>
      <c r="CP130" s="315">
        <f>IF(INDEX(tab_MinKomp[Pareto],MATCH($B129,tab_MinKomp[[Stanowisko / Position ]:[Stanowisko / Position ]],0))="n/a","n/a",CP129-INDEX(tab_MinKomp[Pareto],MATCH($B129,tab_MinKomp[[Stanowisko / Position ]:[Stanowisko / Position ]],0)))</f>
        <v>0</v>
      </c>
      <c r="CQ130" s="315" t="str">
        <f>IF(INDEX(tab_MinKomp[PPAP/PSW],MATCH($B129,tab_MinKomp[[Stanowisko / Position ]:[Stanowisko / Position ]],0))="n/a","n/a",CQ129-INDEX(tab_MinKomp[PPAP/PSW],MATCH($B129,tab_MinKomp[[Stanowisko / Position ]:[Stanowisko / Position ]],0)))</f>
        <v>n/a</v>
      </c>
      <c r="CR130" s="315" t="str">
        <f>IF(INDEX(tab_MinKomp[SUPPLIER MANAGEMENT],MATCH($B129,tab_MinKomp[[Stanowisko / Position ]:[Stanowisko / Position ]],0))="n/a","n/a",CR129-INDEX(tab_MinKomp[SUPPLIER MANAGEMENT],MATCH($B129,tab_MinKomp[[Stanowisko / Position ]:[Stanowisko / Position ]],0)))</f>
        <v>n/a</v>
      </c>
      <c r="CS130" s="315" t="str">
        <f>IF(INDEX(tab_MinKomp[OBSŁUGA PORTALI KLIENTA / Kundenportale],MATCH($B129,tab_MinKomp[[Stanowisko / Position ]:[Stanowisko / Position ]],0))="n/a","n/a",CS129-INDEX(tab_MinKomp[OBSŁUGA PORTALI KLIENTA / Kundenportale],MATCH($B129,tab_MinKomp[[Stanowisko / Position ]:[Stanowisko / Position ]],0)))</f>
        <v>n/a</v>
      </c>
      <c r="CT130" s="315" t="str">
        <f>IF(INDEX(tab_MinKomp[Obsługa systemu BABTECQ / BABTECQ System],MATCH($B129,tab_MinKomp[[Stanowisko / Position ]:[Stanowisko / Position ]],0))="n/a","n/a",CT129-INDEX(tab_MinKomp[Obsługa systemu BABTECQ / BABTECQ System],MATCH($B129,tab_MinKomp[[Stanowisko / Position ]:[Stanowisko / Position ]],0)))</f>
        <v>n/a</v>
      </c>
      <c r="CU130" s="315">
        <v>0</v>
      </c>
      <c r="CV130" s="315" t="str">
        <f>IF(INDEX(tab_MinKomp[Kalibracja / Kalibrierung],MATCH($B129,tab_MinKomp[[Stanowisko / Position ]:[Stanowisko / Position ]],0))="n/a","n/a",CV129-INDEX(tab_MinKomp[Kalibracja / Kalibrierung],MATCH($B129,tab_MinKomp[[Stanowisko / Position ]:[Stanowisko / Position ]],0)))</f>
        <v>n/a</v>
      </c>
      <c r="CW130" s="315" t="str">
        <f>IF(INDEX(tab_MinKomp[Rekwalifikacja / Requalifizierung],MATCH($B129,tab_MinKomp[[Stanowisko / Position ]:[Stanowisko / Position ]],0))="n/a","n/a",CW129-INDEX(tab_MinKomp[Rekwalifikacja / Requalifizierung],MATCH($B129,tab_MinKomp[[Stanowisko / Position ]:[Stanowisko / Position ]],0)))</f>
        <v>n/a</v>
      </c>
      <c r="CX130" s="315" t="s">
        <v>176</v>
      </c>
      <c r="CY130" s="315" t="s">
        <v>176</v>
      </c>
      <c r="CZ130" s="315" t="s">
        <v>176</v>
      </c>
      <c r="DA130" s="315" t="s">
        <v>176</v>
      </c>
      <c r="DB130" s="318" t="str">
        <f>IFERROR(IF(INDEX(tab_MinKomp[BRAK / Keine],MATCH($B129,tab_MinKomp[[Stanowisko / Position ]:[Stanowisko / Position ]],0))="n/a","n/a",INDEX(tab_MinKomp[BRAK / Keine],MATCH($B129,tab_MinKomp[[Stanowisko / Position ]:[Stanowisko / Position ]],0))-DB129),"")</f>
        <v>n/a</v>
      </c>
      <c r="DC130" s="315" t="s">
        <v>176</v>
      </c>
      <c r="DD130" s="315" t="s">
        <v>176</v>
      </c>
      <c r="DE130" s="315" t="s">
        <v>176</v>
      </c>
      <c r="DF130" s="315">
        <v>-1</v>
      </c>
      <c r="DG130" s="315" t="s">
        <v>176</v>
      </c>
      <c r="DH130" s="315" t="s">
        <v>176</v>
      </c>
      <c r="DI130" s="315" t="s">
        <v>176</v>
      </c>
      <c r="DJ130" s="315" t="s">
        <v>176</v>
      </c>
      <c r="DK130" s="315" t="s">
        <v>176</v>
      </c>
      <c r="DL130" s="315" t="s">
        <v>176</v>
      </c>
      <c r="DM130" s="315" t="s">
        <v>176</v>
      </c>
      <c r="DN130" s="315" t="s">
        <v>176</v>
      </c>
      <c r="DO130" s="315" t="s">
        <v>176</v>
      </c>
      <c r="DP130" s="315" t="s">
        <v>176</v>
      </c>
      <c r="DQ130" s="315" t="s">
        <v>176</v>
      </c>
      <c r="DR130" s="315" t="s">
        <v>176</v>
      </c>
      <c r="DS130" s="315" t="s">
        <v>176</v>
      </c>
      <c r="DT130" s="315" t="s">
        <v>176</v>
      </c>
      <c r="DU130" s="315" t="s">
        <v>176</v>
      </c>
      <c r="DV130" s="315" t="s">
        <v>176</v>
      </c>
      <c r="DW130" s="315" t="str">
        <f>IF(INDEX(tab_MinKomp[Kontrola wyjściowa produktu / Ausgangskontrolle],MATCH($B129,tab_MinKomp[[Stanowisko / Position ]:[Stanowisko / Position ]],0))="n/a","n/a",DW129-INDEX(tab_MinKomp[Kontrola wyjściowa produktu / Ausgangskontrolle],MATCH($B129,tab_MinKomp[[Stanowisko / Position ]:[Stanowisko / Position ]],0)))</f>
        <v>n/a</v>
      </c>
      <c r="DX130" s="315" t="str">
        <f>IF(INDEX(tab_MinKomp[Kontrola codzienna produkcji / Tägliche Produktionskontrolle],MATCH($B129,tab_MinKomp[[Stanowisko / Position ]:[Stanowisko / Position ]],0))="n/a","n/a",DX129-INDEX(tab_MinKomp[Kontrola codzienna produkcji / Tägliche Produktionskontrolle],MATCH($B129,tab_MinKomp[[Stanowisko / Position ]:[Stanowisko / Position ]],0)))</f>
        <v>n/a</v>
      </c>
      <c r="DY130" s="315" t="str">
        <f>IF(INDEX(tab_MinKomp[Konserwacja Rep],MATCH($B129,tab_MinKomp[[Stanowisko / Position ]:[Stanowisko / Position ]],0))="n/a","n/a",DY129-INDEX(tab_MinKomp[Konserwacja Rep],MATCH($B129,tab_MinKomp[[Stanowisko / Position ]:[Stanowisko / Position ]],0)))</f>
        <v>n/a</v>
      </c>
      <c r="DZ130" s="315" t="str">
        <f>IF(INDEX(tab_MinKomp[[Konserwacja Engel ]],MATCH($B129,tab_MinKomp[[Stanowisko / Position ]:[Stanowisko / Position ]],0))="n/a","n/a",DZ129-INDEX(tab_MinKomp[[Konserwacja Engel ]],MATCH($B129,tab_MinKomp[[Stanowisko / Position ]:[Stanowisko / Position ]],0)))</f>
        <v>n/a</v>
      </c>
      <c r="EA130" s="315" t="str">
        <f>IF(INDEX(tab_MinKomp[Konserwacja B 50],MATCH($B129,tab_MinKomp[[Stanowisko / Position ]:[Stanowisko / Position ]],0))="n/a","n/a",EA129-INDEX(tab_MinKomp[Konserwacja B 50],MATCH($B129,tab_MinKomp[[Stanowisko / Position ]:[Stanowisko / Position ]],0)))</f>
        <v>n/a</v>
      </c>
      <c r="EB130" s="315" t="str">
        <f>IF(INDEX(tab_MinKomp[[Konserwacja EOL ]],MATCH($B129,tab_MinKomp[[Stanowisko / Position ]:[Stanowisko / Position ]],0))="n/a","n/a",EB129-INDEX(tab_MinKomp[[Konserwacja EOL ]],MATCH($B129,tab_MinKomp[[Stanowisko / Position ]:[Stanowisko / Position ]],0)))</f>
        <v>n/a</v>
      </c>
      <c r="EC130" s="315" t="str">
        <f>IF(INDEX(tab_MinKomp[Konserwacja Branson],MATCH($B129,tab_MinKomp[[Stanowisko / Position ]:[Stanowisko / Position ]],0))="n/a","n/a",EC129-INDEX(tab_MinKomp[Konserwacja Branson],MATCH($B129,tab_MinKomp[[Stanowisko / Position ]:[Stanowisko / Position ]],0)))</f>
        <v>n/a</v>
      </c>
      <c r="ED130" s="315" t="str">
        <f>IF(INDEX(tab_MinKomp[Konserwacja coolery],MATCH($B129,tab_MinKomp[[Stanowisko / Position ]:[Stanowisko / Position ]],0))="n/a","n/a",ED129-INDEX(tab_MinKomp[Konserwacja coolery],MATCH($B129,tab_MinKomp[[Stanowisko / Position ]:[Stanowisko / Position ]],0)))</f>
        <v>n/a</v>
      </c>
      <c r="EE130" s="315" t="str">
        <f>IF(INDEX(tab_MinKomp[Konserwacja piecy],MATCH($B129,tab_MinKomp[[Stanowisko / Position ]:[Stanowisko / Position ]],0))="n/a","n/a",EE129-INDEX(tab_MinKomp[Konserwacja piecy],MATCH($B129,tab_MinKomp[[Stanowisko / Position ]:[Stanowisko / Position ]],0)))</f>
        <v>n/a</v>
      </c>
      <c r="EF130" s="315">
        <v>0</v>
      </c>
      <c r="EG130" s="315" t="str">
        <f>IF(INDEX(tab_MinKomp[Elektryka],MATCH($B129,tab_MinKomp[[Stanowisko / Position ]:[Stanowisko / Position ]],0))="n/a","n/a",EG129-INDEX(tab_MinKomp[Elektryka],MATCH($B129,tab_MinKomp[[Stanowisko / Position ]:[Stanowisko / Position ]],0)))</f>
        <v>n/a</v>
      </c>
      <c r="EH130" s="315" t="str">
        <f>IF(INDEX(tab_MinKomp[Pneumatyka],MATCH($B129,tab_MinKomp[[Stanowisko / Position ]:[Stanowisko / Position ]],0))="n/a","n/a",EH129-INDEX(tab_MinKomp[Pneumatyka],MATCH($B129,tab_MinKomp[[Stanowisko / Position ]:[Stanowisko / Position ]],0)))</f>
        <v>n/a</v>
      </c>
      <c r="EI130" s="315" t="str">
        <f>IF(INDEX(tab_MinKomp[[Hydraulika ]],MATCH($B129,tab_MinKomp[[Stanowisko / Position ]:[Stanowisko / Position ]],0))="n/a","n/a",EI129-INDEX(tab_MinKomp[[Hydraulika ]],MATCH($B129,tab_MinKomp[[Stanowisko / Position ]:[Stanowisko / Position ]],0)))</f>
        <v>n/a</v>
      </c>
      <c r="EJ130" s="315" t="str">
        <f>IF(INDEX(tab_MinKomp[Podciśnienie],MATCH($B129,tab_MinKomp[[Stanowisko / Position ]:[Stanowisko / Position ]],0))="n/a","n/a",EJ129-INDEX(tab_MinKomp[Podciśnienie],MATCH($B129,tab_MinKomp[[Stanowisko / Position ]:[Stanowisko / Position ]],0)))</f>
        <v>n/a</v>
      </c>
      <c r="EK130" s="315" t="str">
        <f>IF(INDEX(tab_MinKomp[Usuwanie awarii],MATCH($B129,tab_MinKomp[[Stanowisko / Position ]:[Stanowisko / Position ]],0))="n/a","n/a",EK129-INDEX(tab_MinKomp[Usuwanie awarii],MATCH($B129,tab_MinKomp[[Stanowisko / Position ]:[Stanowisko / Position ]],0)))</f>
        <v>n/a</v>
      </c>
      <c r="EL130" s="315" t="str">
        <f>IF(INDEX(tab_MinKomp[Obsługa robotów],MATCH($B129,tab_MinKomp[[Stanowisko / Position ]:[Stanowisko / Position ]],0))="n/a","n/a",EL129-INDEX(tab_MinKomp[Obsługa robotów],MATCH($B129,tab_MinKomp[[Stanowisko / Position ]:[Stanowisko / Position ]],0)))</f>
        <v>n/a</v>
      </c>
      <c r="EM130" s="315" t="str">
        <f>IF(INDEX(tab_MinKomp[Obsługa sterowania maszyny],MATCH($B129,tab_MinKomp[[Stanowisko / Position ]:[Stanowisko / Position ]],0))="n/a","n/a",EM129-INDEX(tab_MinKomp[Obsługa sterowania maszyny],MATCH($B129,tab_MinKomp[[Stanowisko / Position ]:[Stanowisko / Position ]],0)))</f>
        <v>n/a</v>
      </c>
      <c r="EN130" s="315" t="str">
        <f>IF(INDEX(tab_MinKomp[Usuwanie przyczyn żródłowych],MATCH($B129,tab_MinKomp[[Stanowisko / Position ]:[Stanowisko / Position ]],0))="n/a","n/a",EN129-INDEX(tab_MinKomp[Usuwanie przyczyn żródłowych],MATCH($B129,tab_MinKomp[[Stanowisko / Position ]:[Stanowisko / Position ]],0)))</f>
        <v>n/a</v>
      </c>
      <c r="EO130" s="318">
        <v>0</v>
      </c>
      <c r="EP130" s="315" t="str">
        <f>IF(INDEX(tab_MinKomp[[Czyszczenie form gumowych ]],MATCH($B129,tab_MinKomp[[Stanowisko / Position ]:[Stanowisko / Position ]],0))="n/a","n/a",EP129-INDEX(tab_MinKomp[[Czyszczenie form gumowych ]],MATCH($B129,tab_MinKomp[[Stanowisko / Position ]:[Stanowisko / Position ]],0)))</f>
        <v>n/a</v>
      </c>
      <c r="EQ130" s="315" t="str">
        <f>IF(INDEX(tab_MinKomp[Czyszczenie form plastikowych],MATCH($B129,tab_MinKomp[[Stanowisko / Position ]:[Stanowisko / Position ]],0))="n/a","n/a",EQ129-INDEX(tab_MinKomp[Czyszczenie form plastikowych],MATCH($B129,tab_MinKomp[[Stanowisko / Position ]:[Stanowisko / Position ]],0)))</f>
        <v>n/a</v>
      </c>
      <c r="ER130" s="315" t="str">
        <f>IF(INDEX(tab_MinKomp[Wymiana form plastik],MATCH($B129,tab_MinKomp[[Stanowisko / Position ]:[Stanowisko / Position ]],0))="n/a","n/a",ER129-INDEX(tab_MinKomp[Wymiana form plastik],MATCH($B129,tab_MinKomp[[Stanowisko / Position ]:[Stanowisko / Position ]],0)))</f>
        <v>n/a</v>
      </c>
      <c r="ES130" s="315" t="str">
        <f>IF(INDEX(tab_MinKomp[Wymiana form guma],MATCH($B129,tab_MinKomp[[Stanowisko / Position ]:[Stanowisko / Position ]],0))="n/a","n/a",ES129-INDEX(tab_MinKomp[Wymiana form guma],MATCH($B129,tab_MinKomp[[Stanowisko / Position ]:[Stanowisko / Position ]],0)))</f>
        <v>n/a</v>
      </c>
      <c r="ET130" s="315" t="str">
        <f>IF(INDEX(tab_MinKomp[Konserwacja KK],MATCH($B129,tab_MinKomp[[Stanowisko / Position ]:[Stanowisko / Position ]],0))="n/a","n/a",ET129-INDEX(tab_MinKomp[Konserwacja KK],MATCH($B129,tab_MinKomp[[Stanowisko / Position ]:[Stanowisko / Position ]],0)))</f>
        <v>n/a</v>
      </c>
      <c r="EU130" s="315" t="str">
        <f>IF(INDEX(tab_MinKomp[Konserwacja form guma],MATCH($B129,tab_MinKomp[[Stanowisko / Position ]:[Stanowisko / Position ]],0))="n/a","n/a",EU129-INDEX(tab_MinKomp[Konserwacja form guma],MATCH($B129,tab_MinKomp[[Stanowisko / Position ]:[Stanowisko / Position ]],0)))</f>
        <v>n/a</v>
      </c>
      <c r="EV130" s="315" t="str">
        <f>IF(INDEX(tab_MinKomp[Konserwacja form plastiki],MATCH($B129,tab_MinKomp[[Stanowisko / Position ]:[Stanowisko / Position ]],0))="n/a","n/a",EV129-INDEX(tab_MinKomp[Konserwacja form plastiki],MATCH($B129,tab_MinKomp[[Stanowisko / Position ]:[Stanowisko / Position ]],0)))</f>
        <v>n/a</v>
      </c>
      <c r="EW130" s="330" t="str">
        <f>IF(INDEX(tab_MinKomp[Konserwacja form plastiki],MATCH($B129,tab_MinKomp[[Stanowisko / Position ]:[Stanowisko / Position ]],0))="n/a","n/a",EW129-INDEX(tab_MinKomp[Konserwacja form plastiki],MATCH($B129,tab_MinKomp[[Stanowisko / Position ]:[Stanowisko / Position ]],0)))</f>
        <v>n/a</v>
      </c>
      <c r="EX130" s="315" t="str">
        <f>IF(INDEX(tab_MinKomp[Konserwacja Gorącego Kanału],MATCH($B129,tab_MinKomp[[Stanowisko / Position ]:[Stanowisko / Position ]],0))="n/a","n/a",EX129-INDEX(tab_MinKomp[Konserwacja Gorącego Kanału],MATCH($B129,tab_MinKomp[[Stanowisko / Position ]:[Stanowisko / Position ]],0)))</f>
        <v>n/a</v>
      </c>
      <c r="EY130" s="315">
        <f>IF(INDEX(tab_MinKomp[MS Office (Excel)],MATCH($B129,tab_MinKomp[[Stanowisko / Position ]:[Stanowisko / Position ]],0))="n/a","n/a",EY129-INDEX(tab_MinKomp[MS Office (Excel)],MATCH($B129,tab_MinKomp[[Stanowisko / Position ]:[Stanowisko / Position ]],0)))</f>
        <v>0</v>
      </c>
      <c r="EZ130" s="315">
        <f>IF(INDEX(tab_MinKomp[MS Office (Word)],MATCH($B129,tab_MinKomp[[Stanowisko / Position ]:[Stanowisko / Position ]],0))="n/a","n/a",EZ129-INDEX(tab_MinKomp[MS Office (Word)],MATCH($B129,tab_MinKomp[[Stanowisko / Position ]:[Stanowisko / Position ]],0)))</f>
        <v>0</v>
      </c>
      <c r="FA130" s="315">
        <f>IF(INDEX(tab_MinKomp[MS Office (Power Point)],MATCH($B129,tab_MinKomp[[Stanowisko / Position ]:[Stanowisko / Position ]],0))="n/a","n/a",FA129-INDEX(tab_MinKomp[MS Office (Power Point)],MATCH($B129,tab_MinKomp[[Stanowisko / Position ]:[Stanowisko / Position ]],0)))</f>
        <v>0</v>
      </c>
      <c r="FB130" s="317">
        <f>IF(INDEX(tab_MinKomp[Język angielski / Englisch],MATCH($B129,tab_MinKomp[[Stanowisko / Position ]:[Stanowisko / Position ]],0))="n/a","n/a",FB129-INDEX(tab_MinKomp[Język angielski / Englisch],MATCH($B129,tab_MinKomp[[Stanowisko / Position ]:[Stanowisko / Position ]],0)))</f>
        <v>-1</v>
      </c>
      <c r="FC130" s="317">
        <f>IF(INDEX(tab_MinKomp[Język niemiecki / Deutsch],MATCH($B129,tab_MinKomp[[Stanowisko / Position ]:[Stanowisko / Position ]],0))="n/a","n/a",FC129-INDEX(tab_MinKomp[Język niemiecki / Deutsch],MATCH($B129,tab_MinKomp[[Stanowisko / Position ]:[Stanowisko / Position ]],0)))</f>
        <v>-1</v>
      </c>
      <c r="FD130" s="315">
        <f>IF(INDEX(tab_MinKomp[Zarządzanie dokumentacją procesową / Process dokumentation management],MATCH($B129,tab_MinKomp[[Stanowisko / Position ]:[Stanowisko / Position ]],0))="n/a","n/a",FD129-INDEX(tab_MinKomp[Zarządzanie dokumentacją procesową / Process dokumentation management],MATCH($B129,tab_MinKomp[[Stanowisko / Position ]:[Stanowisko / Position ]],0)))</f>
        <v>0</v>
      </c>
      <c r="FE130" s="315">
        <f>IF(INDEX(tab_MinKomp[Znajomość procesów z obszaru / Kenntiss der prozesse in dem Bereich],MATCH($B129,tab_MinKomp[[Stanowisko / Position ]:[Stanowisko / Position ]],0))="n/a","n/a",FE129-INDEX(tab_MinKomp[Znajomość procesów z obszaru / Kenntiss der prozesse in dem Bereich],MATCH($B129,tab_MinKomp[[Stanowisko / Position ]:[Stanowisko / Position ]],0)))</f>
        <v>-1</v>
      </c>
      <c r="FF130" s="315">
        <f>IF(INDEX(tab_MinKomp[optymalizacja procesów / Prozessoptymalisierung],MATCH($B129,tab_MinKomp[[Stanowisko / Position ]:[Stanowisko / Position ]],0))="n/a","n/a",FF129-INDEX(tab_MinKomp[optymalizacja procesów / Prozessoptymalisierung],MATCH($B129,tab_MinKomp[[Stanowisko / Position ]:[Stanowisko / Position ]],0)))</f>
        <v>0</v>
      </c>
      <c r="FG130" s="315">
        <f>IF(INDEX(tab_MinKomp[Umiejętności szkoleniowe / Trainingsfähigkeiten],MATCH($B129,tab_MinKomp[[Stanowisko / Position ]:[Stanowisko / Position ]],0))="n/a","n/a",FG129-INDEX(tab_MinKomp[Umiejętności szkoleniowe / Trainingsfähigkeiten],MATCH($B129,tab_MinKomp[[Stanowisko / Position ]:[Stanowisko / Position ]],0)))</f>
        <v>0</v>
      </c>
      <c r="FH130" s="315">
        <f>IF(INDEX(tab_MinKomp[Analityczne myślenie, podejście / Analitysches Denken, Einstellung],MATCH($B129,tab_MinKomp[[Stanowisko / Position ]:[Stanowisko / Position ]],0))="n/a","n/a",FH129-INDEX(tab_MinKomp[Analityczne myślenie, podejście / Analitysches Denken, Einstellung],MATCH($B129,tab_MinKomp[[Stanowisko / Position ]:[Stanowisko / Position ]],0)))</f>
        <v>-1</v>
      </c>
      <c r="FI130" s="315">
        <f>IF(INDEX(tab_MinKomp[Dokładność, precyzja w dzialaniu / Genauigkeit, Präzision in die Arbeit],MATCH($B129,tab_MinKomp[[Stanowisko / Position ]:[Stanowisko / Position ]],0))="n/a","n/a",FI129-INDEX(tab_MinKomp[Dokładność, precyzja w dzialaniu / Genauigkeit, Präzision in die Arbeit],MATCH($B129,tab_MinKomp[[Stanowisko / Position ]:[Stanowisko / Position ]],0)))</f>
        <v>0</v>
      </c>
      <c r="FJ130" s="318" t="str">
        <f>IFERROR(IF(INDEX(tab_MinKomp[BRAK / Keine],MATCH($B129,tab_MinKomp[[Stanowisko / Position ]:[Stanowisko / Position ]],0))="n/a","n/a",INDEX(tab_MinKomp[BRAK / Keine],MATCH($B129,tab_MinKomp[[Stanowisko / Position ]:[Stanowisko / Position ]],0))-FJ129),"")</f>
        <v>n/a</v>
      </c>
      <c r="FK130" s="315">
        <f>IF(INDEX(tab_MinKomp[Zaangażowanie / 
Engagement],MATCH($B129,tab_MinKomp[[Stanowisko / Position ]:[Stanowisko / Position ]],0))="n/a","n/a",FK129-INDEX(tab_MinKomp[Zaangażowanie / 
Engagement],MATCH($B129,tab_MinKomp[[Stanowisko / Position ]:[Stanowisko / Position ]],0)))</f>
        <v>0</v>
      </c>
      <c r="FL130" s="318" t="str">
        <f>IFERROR(IF(INDEX(tab_MinKomp[BRAK / Keine],MATCH($B129,tab_MinKomp[[Stanowisko / Position ]:[Stanowisko / Position ]],0))="n/a","n/a",INDEX(tab_MinKomp[BRAK / Keine],MATCH($B129,tab_MinKomp[[Stanowisko / Position ]:[Stanowisko / Position ]],0))-FL129),"")</f>
        <v>n/a</v>
      </c>
      <c r="FM130" s="315">
        <f>IF(INDEX(tab_MinKomp[Konsekwentne i dynamiczne działanie],MATCH($B129,tab_MinKomp[[Stanowisko / Position ]:[Stanowisko / Position ]],0))="n/a","n/a",FM129-INDEX(tab_MinKomp[Konsekwentne i dynamiczne działanie],MATCH($B129,tab_MinKomp[[Stanowisko / Position ]:[Stanowisko / Position ]],0)))</f>
        <v>0</v>
      </c>
      <c r="FN130" s="315">
        <f>IF(INDEX(tab_MinKomp[Elastyczność w działaniu],MATCH($B129,tab_MinKomp[[Stanowisko / Position ]:[Stanowisko / Position ]],0))="n/a","n/a",FN129-INDEX(tab_MinKomp[Elastyczność w działaniu],MATCH($B129,tab_MinKomp[[Stanowisko / Position ]:[Stanowisko / Position ]],0)))</f>
        <v>0</v>
      </c>
      <c r="FO130" s="315">
        <f>IF(INDEX(tab_MinKomp[Komunikatywność],MATCH($B129,tab_MinKomp[[Stanowisko / Position ]:[Stanowisko / Position ]],0))="n/a","n/a",FO129-INDEX(tab_MinKomp[Komunikatywność],MATCH($B129,tab_MinKomp[[Stanowisko / Position ]:[Stanowisko / Position ]],0)))</f>
        <v>0</v>
      </c>
      <c r="FP130" s="314">
        <f>IF(INDEX(tab_MinKomp[Motywowanie i budowanie zaangażowania zespołu],MATCH($B129,tab_MinKomp[[Stanowisko / Position ]:[Stanowisko / Position ]],0))="n/a","n/a",FP129-INDEX(tab_MinKomp[Motywowanie i budowanie zaangażowania zespołu],MATCH($B129,tab_MinKomp[[Stanowisko / Position ]:[Stanowisko / Position ]],0)))</f>
        <v>0</v>
      </c>
      <c r="FQ130" s="318" t="str">
        <f>IFERROR(IF(INDEX(tab_MinKomp[BRAK / Keine],MATCH($B129,tab_MinKomp[[Stanowisko / Position ]:[Stanowisko / Position ]],0))="n/a","n/a",INDEX(tab_MinKomp[BRAK / Keine],MATCH($B129,tab_MinKomp[[Stanowisko / Position ]:[Stanowisko / Position ]],0))-FQ129),"")</f>
        <v>n/a</v>
      </c>
      <c r="FR130" s="315" t="str">
        <f>IF(INDEX(tab_MinKomp[MINIMUM 1 ROK / min. 1 Jahr],MATCH($B129,tab_MinKomp[[Stanowisko / Position ]:[Stanowisko / Position ]],0))="n/a","n/a",INDEX(tab_MinKomp[MINIMUM 1 ROK / min. 1 Jahr],MATCH($B129,tab_MinKomp[[Stanowisko / Position ]:[Stanowisko / Position ]],0)))</f>
        <v>X</v>
      </c>
      <c r="FS130" s="315" t="str">
        <f>IF(INDEX(tab_MinKomp[MINIMUM 2 LATA / min. 2 Jahre],MATCH($B129,tab_MinKomp[[Stanowisko / Position ]:[Stanowisko / Position ]],0))="n/a","n/a",INDEX(tab_MinKomp[MINIMUM 2 LATA / min. 2 Jahre],MATCH($B129,tab_MinKomp[[Stanowisko / Position ]:[Stanowisko / Position ]],0)))</f>
        <v>n/a</v>
      </c>
      <c r="FT130" s="315" t="str">
        <f>IF(INDEX(tab_MinKomp[MINIMUM 3 LATA / min. 3 Jahre],MATCH($B129,tab_MinKomp[[Stanowisko / Position ]:[Stanowisko / Position ]],0))="n/a","n/a",INDEX(tab_MinKomp[MINIMUM 3 LATA / min. 3 Jahre],MATCH($B129,tab_MinKomp[[Stanowisko / Position ]:[Stanowisko / Position ]],0)))</f>
        <v>n/a</v>
      </c>
      <c r="FU130" s="315" t="str">
        <f>IF(INDEX(tab_MinKomp[MINIMUM 4 LATA / min. 4 Jahre],MATCH($B129,tab_MinKomp[[Stanowisko / Position ]:[Stanowisko / Position ]],0))="n/a","n/a",INDEX(tab_MinKomp[MINIMUM 4 LATA / min. 4 Jahre],MATCH($B129,tab_MinKomp[[Stanowisko / Position ]:[Stanowisko / Position ]],0)))</f>
        <v>n/a</v>
      </c>
      <c r="FV130" s="319" t="str">
        <f>IF(INDEX(tab_MinKomp[MINIMUM 5 LAT / min. 5 Jahre],MATCH($B129,tab_MinKomp[[Stanowisko / Position ]:[Stanowisko / Position ]],0))="n/a","n/a",INDEX(tab_MinKomp[MINIMUM 5 LAT / min. 5 Jahre],MATCH($B129,tab_MinKomp[[Stanowisko / Position ]:[Stanowisko / Position ]],0)))</f>
        <v>n/a</v>
      </c>
      <c r="FW130" s="319" t="s">
        <v>176</v>
      </c>
      <c r="FX130" s="315" t="s">
        <v>387</v>
      </c>
      <c r="FY130" s="315" t="str">
        <f>IF(INDEX(tab_MinKomp[ŚREDNIE OGÓLNE / Abitur allgemeine],MATCH($B129,tab_MinKomp[[Stanowisko / Position ]:[Stanowisko / Position ]],0))="n/a","n/a",INDEX(tab_MinKomp[ŚREDNIE OGÓLNE / Abitur allgemeine],MATCH($B129,tab_MinKomp[[Stanowisko / Position ]:[Stanowisko / Position ]],0)))</f>
        <v>n/a</v>
      </c>
      <c r="FZ130" s="315" t="str">
        <f>IF(INDEX(tab_MinKomp[ŚREDNIE KIERUNKOWE / berufliches Gymnasium],MATCH($B129,tab_MinKomp[[Stanowisko / Position ]:[Stanowisko / Position ]],0))="n/a","n/a",INDEX(tab_MinKomp[ŚREDNIE KIERUNKOWE / berufliches Gymnasium],MATCH($B129,tab_MinKomp[[Stanowisko / Position ]:[Stanowisko / Position ]],0)))</f>
        <v>n/a</v>
      </c>
      <c r="GA130" s="315" t="str">
        <f>IF(INDEX(tab_MinKomp[WYŻSZE OGÓLNE / Hochschule allgemeine],MATCH($B129,tab_MinKomp[[Stanowisko / Position ]:[Stanowisko / Position ]],0))="n/a","n/a",INDEX(tab_MinKomp[WYŻSZE OGÓLNE / Hochschule allgemeine],MATCH($B129,tab_MinKomp[[Stanowisko / Position ]:[Stanowisko / Position ]],0)))</f>
        <v>n/a</v>
      </c>
      <c r="GB130" s="319" t="str">
        <f>IF(INDEX(tab_MinKomp[WYŻSZE KIERUNKOWE / Hochschule berufliche],MATCH($B129,tab_MinKomp[[Stanowisko / Position ]:[Stanowisko / Position ]],0))="n/a","n/a",INDEX(tab_MinKomp[WYŻSZE KIERUNKOWE / Hochschule berufliche],MATCH($B129,tab_MinKomp[[Stanowisko / Position ]:[Stanowisko / Position ]],0)))</f>
        <v>n/a</v>
      </c>
      <c r="GC130" s="315" t="s">
        <v>176</v>
      </c>
      <c r="GD130" s="315" t="str">
        <f>IF(INDEX(tab_MinKomp[Specjalista BHP / BHP Spezialist],MATCH($B129,tab_MinKomp[[Stanowisko / Position ]:[Stanowisko / Position ]],0))="n/a","n/a",INDEX(tab_MinKomp[Specjalista BHP / BHP Spezialist],MATCH($B129,tab_MinKomp[[Stanowisko / Position ]:[Stanowisko / Position ]],0)))</f>
        <v>n/a</v>
      </c>
      <c r="GE130" s="315" t="str">
        <f>IF(INDEX(tab_MinKomp[Inspektor ochrony PPOŻ / Brandschutzinspektor],MATCH($B129,tab_MinKomp[[Stanowisko / Position ]:[Stanowisko / Position ]],0))="n/a","n/a",INDEX(tab_MinKomp[Inspektor ochrony PPOŻ / Brandschutzinspektor],MATCH($B129,tab_MinKomp[[Stanowisko / Position ]:[Stanowisko / Position ]],0)))</f>
        <v>n/a</v>
      </c>
      <c r="GF130" s="315" t="str">
        <f>IF(INDEX(tab_MinKomp[WÓZKI JEZDNIOWE / Gebelstapler],MATCH($B129,tab_MinKomp[[Stanowisko / Position ]:[Stanowisko / Position ]],0))="n/a","n/a",INDEX(tab_MinKomp[WÓZKI JEZDNIOWE / Gebelstapler],MATCH($B129,tab_MinKomp[[Stanowisko / Position ]:[Stanowisko / Position ]],0)))</f>
        <v>n/a</v>
      </c>
      <c r="GG130" s="315" t="str">
        <f>IF(INDEX(tab_MinKomp[SEP],MATCH($B129,tab_MinKomp[[Stanowisko / Position ]:[Stanowisko / Position ]],0))="n/a","n/a",INDEX(tab_MinKomp[SEP],MATCH($B129,tab_MinKomp[[Stanowisko / Position ]:[Stanowisko / Position ]],0)))</f>
        <v>n/a</v>
      </c>
      <c r="GH130" s="315" t="str">
        <f>IF(INDEX(tab_MinKomp[SEP  DOZÓR / SEP Aufsicht],MATCH($B129,tab_MinKomp[[Stanowisko / Position ]:[Stanowisko / Position ]],0))="n/a","n/a",INDEX(tab_MinKomp[SEP  DOZÓR / SEP Aufsicht],MATCH($B129,tab_MinKomp[[Stanowisko / Position ]:[Stanowisko / Position ]],0)))</f>
        <v>n/a</v>
      </c>
      <c r="GI130" s="315" t="str">
        <f>IF(INDEX(tab_MinKomp[PODNOŚNIKI / Hebevorrichtung],MATCH($B129,tab_MinKomp[[Stanowisko / Position ]:[Stanowisko / Position ]],0))="n/a","n/a",INDEX(tab_MinKomp[PODNOŚNIKI / Hebevorrichtung],MATCH($B129,tab_MinKomp[[Stanowisko / Position ]:[Stanowisko / Position ]],0)))</f>
        <v>n/a</v>
      </c>
      <c r="GJ130" s="315" t="str">
        <f>IF(INDEX(tab_MinKomp[SUWNICE / Laufkran],MATCH($B129,tab_MinKomp[[Stanowisko / Position ]:[Stanowisko / Position ]],0))="n/a","n/a",INDEX(tab_MinKomp[SUWNICE / Laufkran],MATCH($B129,tab_MinKomp[[Stanowisko / Position ]:[Stanowisko / Position ]],0)))</f>
        <v>n/a</v>
      </c>
      <c r="GK130" s="319" t="str">
        <f>IF(INDEX(tab_MinKomp[WYSOKOŚCIOWE / Höhenberechtigungen],MATCH($B129,tab_MinKomp[[Stanowisko / Position ]:[Stanowisko / Position ]],0))="n/a","n/a",INDEX(tab_MinKomp[WYSOKOŚCIOWE / Höhenberechtigungen],MATCH($B129,tab_MinKomp[[Stanowisko / Position ]:[Stanowisko / Position ]],0)))</f>
        <v>n/a</v>
      </c>
      <c r="GL130" s="320">
        <f>SUM(G130:FP130)/(GL129-(SUM(G130:FP130)))</f>
        <v>-0.26436781609195403</v>
      </c>
      <c r="GM130" s="132"/>
    </row>
    <row r="131" spans="1:195" s="133" customFormat="1" ht="28.35" customHeight="1" x14ac:dyDescent="0.25">
      <c r="A131" s="135" t="s">
        <v>161</v>
      </c>
      <c r="B131" s="135" t="s">
        <v>212</v>
      </c>
      <c r="C131" s="135" t="s">
        <v>657</v>
      </c>
      <c r="D131" s="135">
        <v>513</v>
      </c>
      <c r="E131" s="565" t="s">
        <v>237</v>
      </c>
      <c r="F131" s="307" t="s">
        <v>165</v>
      </c>
      <c r="G131" s="308">
        <v>2</v>
      </c>
      <c r="H131" s="308">
        <v>2</v>
      </c>
      <c r="I131" s="308">
        <v>2</v>
      </c>
      <c r="J131" s="308">
        <v>2</v>
      </c>
      <c r="K131" s="308">
        <v>2</v>
      </c>
      <c r="L131" s="308">
        <v>1</v>
      </c>
      <c r="M131" s="308" t="s">
        <v>176</v>
      </c>
      <c r="N131" s="308" t="s">
        <v>176</v>
      </c>
      <c r="O131" s="308">
        <v>1</v>
      </c>
      <c r="P131" s="308">
        <v>1</v>
      </c>
      <c r="Q131" s="308" t="s">
        <v>176</v>
      </c>
      <c r="R131" s="308" t="s">
        <v>176</v>
      </c>
      <c r="S131" s="308" t="s">
        <v>176</v>
      </c>
      <c r="T131" s="308" t="s">
        <v>176</v>
      </c>
      <c r="U131" s="308" t="s">
        <v>176</v>
      </c>
      <c r="V131" s="308" t="s">
        <v>176</v>
      </c>
      <c r="W131" s="308" t="s">
        <v>176</v>
      </c>
      <c r="X131" s="308" t="s">
        <v>176</v>
      </c>
      <c r="Y131" s="308" t="s">
        <v>176</v>
      </c>
      <c r="Z131" s="308" t="s">
        <v>176</v>
      </c>
      <c r="AA131" s="308" t="s">
        <v>176</v>
      </c>
      <c r="AB131" s="308">
        <v>2</v>
      </c>
      <c r="AC131" s="308">
        <v>1</v>
      </c>
      <c r="AD131" s="308">
        <v>1</v>
      </c>
      <c r="AE131" s="308" t="s">
        <v>176</v>
      </c>
      <c r="AF131" s="308" t="s">
        <v>176</v>
      </c>
      <c r="AG131" s="308" t="s">
        <v>176</v>
      </c>
      <c r="AH131" s="308">
        <v>1</v>
      </c>
      <c r="AI131" s="308" t="s">
        <v>176</v>
      </c>
      <c r="AJ131" s="308" t="s">
        <v>176</v>
      </c>
      <c r="AK131" s="308" t="s">
        <v>176</v>
      </c>
      <c r="AL131" s="308">
        <v>2</v>
      </c>
      <c r="AM131" s="308">
        <v>1</v>
      </c>
      <c r="AN131" s="308">
        <v>1</v>
      </c>
      <c r="AO131" s="308">
        <v>2</v>
      </c>
      <c r="AP131" s="308">
        <v>1</v>
      </c>
      <c r="AQ131" s="308">
        <v>2</v>
      </c>
      <c r="AR131" s="308">
        <v>1</v>
      </c>
      <c r="AS131" s="308">
        <v>2</v>
      </c>
      <c r="AT131" s="308">
        <v>1</v>
      </c>
      <c r="AU131" s="308">
        <v>2</v>
      </c>
      <c r="AV131" s="308">
        <v>2</v>
      </c>
      <c r="AW131" s="308">
        <v>1</v>
      </c>
      <c r="AX131" s="308"/>
      <c r="AY131" s="308"/>
      <c r="AZ131" s="308">
        <v>1</v>
      </c>
      <c r="BA131" s="308" t="s">
        <v>176</v>
      </c>
      <c r="BB131" s="308">
        <v>3</v>
      </c>
      <c r="BC131" s="308">
        <v>1</v>
      </c>
      <c r="BD131" s="308">
        <v>2</v>
      </c>
      <c r="BE131" s="308" t="s">
        <v>176</v>
      </c>
      <c r="BF131" s="308" t="s">
        <v>176</v>
      </c>
      <c r="BG131" s="308" t="s">
        <v>176</v>
      </c>
      <c r="BH131" s="308" t="s">
        <v>176</v>
      </c>
      <c r="BI131" s="308" t="s">
        <v>176</v>
      </c>
      <c r="BJ131" s="308" t="s">
        <v>176</v>
      </c>
      <c r="BK131" s="308" t="s">
        <v>176</v>
      </c>
      <c r="BL131" s="308" t="s">
        <v>176</v>
      </c>
      <c r="BM131" s="308">
        <v>2</v>
      </c>
      <c r="BN131" s="308" t="s">
        <v>176</v>
      </c>
      <c r="BO131" s="308">
        <v>1</v>
      </c>
      <c r="BP131" s="308">
        <v>1</v>
      </c>
      <c r="BQ131" s="308">
        <v>2</v>
      </c>
      <c r="BR131" s="308">
        <v>1</v>
      </c>
      <c r="BS131" s="308">
        <v>2</v>
      </c>
      <c r="BT131" s="308" t="s">
        <v>176</v>
      </c>
      <c r="BU131" s="308">
        <v>1</v>
      </c>
      <c r="BV131" s="308" t="s">
        <v>176</v>
      </c>
      <c r="BW131" s="308" t="s">
        <v>176</v>
      </c>
      <c r="BX131" s="308" t="s">
        <v>176</v>
      </c>
      <c r="BY131" s="308" t="s">
        <v>176</v>
      </c>
      <c r="BZ131" s="308" t="s">
        <v>176</v>
      </c>
      <c r="CA131" s="308" t="s">
        <v>176</v>
      </c>
      <c r="CB131" s="308" t="s">
        <v>176</v>
      </c>
      <c r="CC131" s="308" t="s">
        <v>176</v>
      </c>
      <c r="CD131" s="308" t="s">
        <v>176</v>
      </c>
      <c r="CE131" s="308" t="s">
        <v>176</v>
      </c>
      <c r="CF131" s="308" t="s">
        <v>176</v>
      </c>
      <c r="CG131" s="308">
        <v>1</v>
      </c>
      <c r="CH131" s="308" t="s">
        <v>176</v>
      </c>
      <c r="CI131" s="308">
        <v>2</v>
      </c>
      <c r="CJ131" s="308" t="s">
        <v>176</v>
      </c>
      <c r="CK131" s="308" t="s">
        <v>176</v>
      </c>
      <c r="CL131" s="308" t="s">
        <v>176</v>
      </c>
      <c r="CM131" s="308">
        <v>2</v>
      </c>
      <c r="CN131" s="308">
        <v>2</v>
      </c>
      <c r="CO131" s="308">
        <v>2</v>
      </c>
      <c r="CP131" s="308">
        <v>2</v>
      </c>
      <c r="CQ131" s="308">
        <v>1</v>
      </c>
      <c r="CR131" s="308" t="s">
        <v>176</v>
      </c>
      <c r="CS131" s="308" t="s">
        <v>176</v>
      </c>
      <c r="CT131" s="308" t="s">
        <v>176</v>
      </c>
      <c r="CU131" s="308">
        <v>1</v>
      </c>
      <c r="CV131" s="308">
        <v>1</v>
      </c>
      <c r="CW131" s="308">
        <v>1</v>
      </c>
      <c r="CX131" s="308">
        <v>1</v>
      </c>
      <c r="CY131" s="308" t="s">
        <v>176</v>
      </c>
      <c r="CZ131" s="308" t="s">
        <v>176</v>
      </c>
      <c r="DA131" s="308" t="s">
        <v>176</v>
      </c>
      <c r="DB131" s="322" t="s">
        <v>176</v>
      </c>
      <c r="DC131" s="308" t="s">
        <v>176</v>
      </c>
      <c r="DD131" s="308" t="s">
        <v>176</v>
      </c>
      <c r="DE131" s="308" t="s">
        <v>176</v>
      </c>
      <c r="DF131" s="308"/>
      <c r="DG131" s="322" t="s">
        <v>176</v>
      </c>
      <c r="DH131" s="308" t="s">
        <v>176</v>
      </c>
      <c r="DI131" s="308" t="s">
        <v>176</v>
      </c>
      <c r="DJ131" s="308" t="s">
        <v>176</v>
      </c>
      <c r="DK131" s="308" t="s">
        <v>176</v>
      </c>
      <c r="DL131" s="322" t="s">
        <v>176</v>
      </c>
      <c r="DM131" s="308" t="s">
        <v>176</v>
      </c>
      <c r="DN131" s="308" t="s">
        <v>176</v>
      </c>
      <c r="DO131" s="308" t="s">
        <v>176</v>
      </c>
      <c r="DP131" s="308" t="s">
        <v>176</v>
      </c>
      <c r="DQ131" s="322" t="s">
        <v>176</v>
      </c>
      <c r="DR131" s="308" t="s">
        <v>176</v>
      </c>
      <c r="DS131" s="308" t="s">
        <v>176</v>
      </c>
      <c r="DT131" s="308" t="s">
        <v>176</v>
      </c>
      <c r="DU131" s="308" t="s">
        <v>176</v>
      </c>
      <c r="DV131" s="322" t="s">
        <v>176</v>
      </c>
      <c r="DW131" s="308" t="s">
        <v>176</v>
      </c>
      <c r="DX131" s="308" t="s">
        <v>176</v>
      </c>
      <c r="DY131" s="308" t="s">
        <v>176</v>
      </c>
      <c r="DZ131" s="308" t="s">
        <v>176</v>
      </c>
      <c r="EA131" s="308" t="s">
        <v>176</v>
      </c>
      <c r="EB131" s="308" t="s">
        <v>176</v>
      </c>
      <c r="EC131" s="308" t="s">
        <v>176</v>
      </c>
      <c r="ED131" s="308" t="s">
        <v>176</v>
      </c>
      <c r="EE131" s="308" t="s">
        <v>176</v>
      </c>
      <c r="EF131" s="308">
        <v>1</v>
      </c>
      <c r="EG131" s="308" t="s">
        <v>176</v>
      </c>
      <c r="EH131" s="308" t="s">
        <v>176</v>
      </c>
      <c r="EI131" s="308" t="s">
        <v>176</v>
      </c>
      <c r="EJ131" s="308" t="s">
        <v>176</v>
      </c>
      <c r="EK131" s="308" t="s">
        <v>176</v>
      </c>
      <c r="EL131" s="308" t="s">
        <v>176</v>
      </c>
      <c r="EM131" s="308" t="s">
        <v>176</v>
      </c>
      <c r="EN131" s="308" t="s">
        <v>176</v>
      </c>
      <c r="EO131" s="308">
        <v>2</v>
      </c>
      <c r="EP131" s="308">
        <v>1</v>
      </c>
      <c r="EQ131" s="308" t="s">
        <v>176</v>
      </c>
      <c r="ER131" s="308" t="s">
        <v>176</v>
      </c>
      <c r="ES131" s="308" t="s">
        <v>176</v>
      </c>
      <c r="ET131" s="308" t="s">
        <v>176</v>
      </c>
      <c r="EU131" s="308" t="s">
        <v>176</v>
      </c>
      <c r="EV131" s="308" t="s">
        <v>176</v>
      </c>
      <c r="EW131" s="308" t="s">
        <v>176</v>
      </c>
      <c r="EX131" s="308" t="s">
        <v>176</v>
      </c>
      <c r="EY131" s="308">
        <v>1</v>
      </c>
      <c r="EZ131" s="308">
        <v>2</v>
      </c>
      <c r="FA131" s="308">
        <v>2</v>
      </c>
      <c r="FB131" s="309">
        <v>1</v>
      </c>
      <c r="FC131" s="309" t="s">
        <v>176</v>
      </c>
      <c r="FD131" s="308">
        <v>3</v>
      </c>
      <c r="FE131" s="308">
        <v>2</v>
      </c>
      <c r="FF131" s="308">
        <v>1</v>
      </c>
      <c r="FG131" s="308" t="s">
        <v>176</v>
      </c>
      <c r="FH131" s="308">
        <v>2</v>
      </c>
      <c r="FI131" s="308">
        <v>2</v>
      </c>
      <c r="FJ131" s="308">
        <v>3</v>
      </c>
      <c r="FK131" s="308">
        <v>2</v>
      </c>
      <c r="FL131" s="308" t="s">
        <v>176</v>
      </c>
      <c r="FM131" s="308">
        <v>2</v>
      </c>
      <c r="FN131" s="308">
        <v>2</v>
      </c>
      <c r="FO131" s="308">
        <v>2</v>
      </c>
      <c r="FP131" s="308">
        <v>2</v>
      </c>
      <c r="FQ131" s="308" t="s">
        <v>176</v>
      </c>
      <c r="FR131" s="308" t="s">
        <v>387</v>
      </c>
      <c r="FS131" s="308" t="s">
        <v>176</v>
      </c>
      <c r="FT131" s="308" t="s">
        <v>176</v>
      </c>
      <c r="FU131" s="308" t="s">
        <v>176</v>
      </c>
      <c r="FV131" s="308" t="s">
        <v>176</v>
      </c>
      <c r="FW131" s="308" t="s">
        <v>176</v>
      </c>
      <c r="FX131" s="308"/>
      <c r="FY131" s="308" t="s">
        <v>176</v>
      </c>
      <c r="FZ131" s="308" t="s">
        <v>176</v>
      </c>
      <c r="GA131" s="308" t="s">
        <v>176</v>
      </c>
      <c r="GB131" s="308" t="s">
        <v>176</v>
      </c>
      <c r="GC131" s="308" t="s">
        <v>176</v>
      </c>
      <c r="GD131" s="308" t="s">
        <v>176</v>
      </c>
      <c r="GE131" s="308" t="s">
        <v>176</v>
      </c>
      <c r="GF131" s="308" t="s">
        <v>176</v>
      </c>
      <c r="GG131" s="308" t="s">
        <v>176</v>
      </c>
      <c r="GH131" s="308" t="s">
        <v>176</v>
      </c>
      <c r="GI131" s="308" t="s">
        <v>176</v>
      </c>
      <c r="GJ131" s="308" t="s">
        <v>176</v>
      </c>
      <c r="GK131" s="321" t="s">
        <v>176</v>
      </c>
      <c r="GL131" s="311">
        <f>SUM(G131:GK131)</f>
        <v>102</v>
      </c>
      <c r="GM131" s="132"/>
    </row>
    <row r="132" spans="1:195" s="133" customFormat="1" ht="28.35" customHeight="1" thickBot="1" x14ac:dyDescent="0.3">
      <c r="A132" s="138" t="str">
        <f>A131</f>
        <v>Launch &amp; process</v>
      </c>
      <c r="B132" s="138" t="str">
        <f>B131</f>
        <v>Technik procesu</v>
      </c>
      <c r="C132" s="138" t="s">
        <v>657</v>
      </c>
      <c r="D132" s="138">
        <f>D131</f>
        <v>513</v>
      </c>
      <c r="E132" s="566" t="str">
        <f>E131</f>
        <v>Balonis Paulina</v>
      </c>
      <c r="F132" s="312" t="s">
        <v>166</v>
      </c>
      <c r="G132" s="351">
        <f>IF(INDEX(tab_MinKomp[Przepisy BHP / BHP Vorschriften],MATCH($B131,tab_MinKomp[[Stanowisko / Position ]:[Stanowisko / Position ]],0))="n/a","n/a",G131-INDEX(tab_MinKomp[Przepisy BHP / BHP Vorschriften],MATCH($B131,tab_MinKomp[[Stanowisko / Position ]:[Stanowisko / Position ]],0)))</f>
        <v>0</v>
      </c>
      <c r="H132" s="334">
        <f>IF(INDEX(tab_MinKomp[Przepisy PPOŻ / Brandschutzbestimmungen],MATCH($B131,tab_MinKomp[[Stanowisko / Position ]:[Stanowisko / Position ]],0))="n/a","n/a",H131-INDEX(tab_MinKomp[Przepisy PPOŻ / Brandschutzbestimmungen],MATCH($B131,tab_MinKomp[[Stanowisko / Position ]:[Stanowisko / Position ]],0)))</f>
        <v>0</v>
      </c>
      <c r="I132" s="334">
        <f>IF(INDEX(tab_MinKomp[Ryzyko zawodowe na stanowiskach pracyv/ Berufliche Risiken an Arbeitsstellen],MATCH($B131,tab_MinKomp[[Stanowisko / Position ]:[Stanowisko / Position ]],0))="n/a","n/a",I131-INDEX(tab_MinKomp[Ryzyko zawodowe na stanowiskach pracyv/ Berufliche Risiken an Arbeitsstellen],MATCH($B131,tab_MinKomp[[Stanowisko / Position ]:[Stanowisko / Position ]],0)))</f>
        <v>0</v>
      </c>
      <c r="J132" s="334">
        <f>IF(INDEX(tab_MinKomp[Gospodarka substancjami niebezpiecznymi / Gefahrstoffmanagement],MATCH($B131,tab_MinKomp[[Stanowisko / Position ]:[Stanowisko / Position ]],0))="n/a","n/a",J131-INDEX(tab_MinKomp[Gospodarka substancjami niebezpiecznymi / Gefahrstoffmanagement],MATCH($B131,tab_MinKomp[[Stanowisko / Position ]:[Stanowisko / Position ]],0)))</f>
        <v>0</v>
      </c>
      <c r="K132" s="334">
        <f>IF(INDEX(tab_MinKomp[Gospodarka odpadami / Abfallwirtschaft],MATCH($B131,tab_MinKomp[[Stanowisko / Position ]:[Stanowisko / Position ]],0))="n/a","n/a",K131-INDEX(tab_MinKomp[Gospodarka odpadami / Abfallwirtschaft],MATCH($B131,tab_MinKomp[[Stanowisko / Position ]:[Stanowisko / Position ]],0)))</f>
        <v>0</v>
      </c>
      <c r="L132" s="333">
        <f>IF(INDEX(tab_MinKomp[Przepisy kodeksu pracy / Bestimmungen des Arbeitsgesetzes],MATCH($B131,tab_MinKomp[[Stanowisko / Position ]:[Stanowisko / Position ]],0))="n/a","n/a",L131-INDEX(tab_MinKomp[Przepisy kodeksu pracy / Bestimmungen des Arbeitsgesetzes],MATCH($B131,tab_MinKomp[[Stanowisko / Position ]:[Stanowisko / Position ]],0)))</f>
        <v>0</v>
      </c>
      <c r="M132" s="332" t="str">
        <f>IF(INDEX(tab_MinKomp[Przepisy o ub.społ. ZUS  / Sozialversicherungsvorschriften],MATCH($B131,tab_MinKomp[[Stanowisko / Position ]:[Stanowisko / Position ]],0))="n/a","n/a",M131-INDEX(tab_MinKomp[Przepisy o ub.społ. ZUS  / Sozialversicherungsvorschriften],MATCH($B131,tab_MinKomp[[Stanowisko / Position ]:[Stanowisko / Position ]],0)))</f>
        <v>n/a</v>
      </c>
      <c r="N132" s="333" t="str">
        <f>IF(INDEX(tab_MinKomp[PRZEPISY O PDOF /persönlich Einkommensteuergesetz ],MATCH($B131,tab_MinKomp[[Stanowisko / Position ]:[Stanowisko / Position ]],0))="n/a","n/a",N131-INDEX(tab_MinKomp[PRZEPISY O PDOF /persönlich Einkommensteuergesetz ],MATCH($B131,tab_MinKomp[[Stanowisko / Position ]:[Stanowisko / Position ]],0)))</f>
        <v>n/a</v>
      </c>
      <c r="O132" s="333">
        <f>IF(INDEX(tab_MinKomp[Regulamin pracy / Arbeitsordnung],MATCH($B131,tab_MinKomp[[Stanowisko / Position ]:[Stanowisko / Position ]],0))="n/a","n/a",O131-INDEX(tab_MinKomp[Regulamin pracy / Arbeitsordnung],MATCH($B131,tab_MinKomp[[Stanowisko / Position ]:[Stanowisko / Position ]],0)))</f>
        <v>0</v>
      </c>
      <c r="P132" s="333">
        <f>IF(INDEX(tab_MinKomp[Regulamin wynagradzania / Vergütungsordnung],MATCH($B131,tab_MinKomp[[Stanowisko / Position ]:[Stanowisko / Position ]],0))="n/a","n/a",P131-INDEX(tab_MinKomp[Regulamin wynagradzania / Vergütungsordnung],MATCH($B131,tab_MinKomp[[Stanowisko / Position ]:[Stanowisko / Position ]],0)))</f>
        <v>0</v>
      </c>
      <c r="Q132" s="333" t="str">
        <f>IF(INDEX(tab_MinKomp[System R2PŁATNIK PRO: Płace / Lohnabrechnung],MATCH($B131,tab_MinKomp[[Stanowisko / Position ]:[Stanowisko / Position ]],0))="n/a","n/a",Q131-INDEX(tab_MinKomp[System R2PŁATNIK PRO: Płace / Lohnabrechnung],MATCH($B131,tab_MinKomp[[Stanowisko / Position ]:[Stanowisko / Position ]],0)))</f>
        <v>n/a</v>
      </c>
      <c r="R132" s="333" t="str">
        <f>IF(INDEX(tab_MinKomp[SystemR2PŁATNIK PRO: KADRY / Personaldaten],MATCH($B131,tab_MinKomp[[Stanowisko / Position ]:[Stanowisko / Position ]],0))="n/a","n/a",R131-INDEX(tab_MinKomp[SystemR2PŁATNIK PRO: KADRY / Personaldaten],MATCH($B131,tab_MinKomp[[Stanowisko / Position ]:[Stanowisko / Position ]],0)))</f>
        <v>n/a</v>
      </c>
      <c r="S132" s="333" t="str">
        <f>IF(INDEX(tab_MinKomp[SYSTEM R2PŁATNIK PRO: zarządzanie pracownikami / Arbeitsverwaltung],MATCH($B131,tab_MinKomp[[Stanowisko / Position ]:[Stanowisko / Position ]],0))="n/a","n/a",S131-INDEX(tab_MinKomp[SYSTEM R2PŁATNIK PRO: zarządzanie pracownikami / Arbeitsverwaltung],MATCH($B131,tab_MinKomp[[Stanowisko / Position ]:[Stanowisko / Position ]],0)))</f>
        <v>n/a</v>
      </c>
      <c r="T132" s="333" t="str">
        <f>IF(INDEX(tab_MinKomp[Doradztwo, wsparcie personalne / Personalberatung und Unterstützung],MATCH($B131,tab_MinKomp[[Stanowisko / Position ]:[Stanowisko / Position ]],0))="n/a","n/a",T131-INDEX(tab_MinKomp[Doradztwo, wsparcie personalne / Personalberatung und Unterstützung],MATCH($B131,tab_MinKomp[[Stanowisko / Position ]:[Stanowisko / Position ]],0)))</f>
        <v>n/a</v>
      </c>
      <c r="U132" s="333" t="str">
        <f>IF(INDEX(tab_MinKomp[Przepisy o podatku VAT / MwSt.- Gesetz],MATCH($B131,tab_MinKomp[[Stanowisko / Position ]:[Stanowisko / Position ]],0))="n/a","n/a",U131-INDEX(tab_MinKomp[Przepisy o podatku VAT / MwSt.- Gesetz],MATCH($B131,tab_MinKomp[[Stanowisko / Position ]:[Stanowisko / Position ]],0)))</f>
        <v>n/a</v>
      </c>
      <c r="V132" s="333" t="str">
        <f>IF(INDEX(tab_MinKomp[PrzepisyPDOP / geschäftlich Einkommensteuergesetz],MATCH($B131,tab_MinKomp[[Stanowisko / Position ]:[Stanowisko / Position ]],0))="n/a","n/a",V131-INDEX(tab_MinKomp[PrzepisyPDOP / geschäftlich Einkommensteuergesetz],MATCH($B131,tab_MinKomp[[Stanowisko / Position ]:[Stanowisko / Position ]],0)))</f>
        <v>n/a</v>
      </c>
      <c r="W132" s="333" t="str">
        <f>IF(INDEX(tab_MinKomp[System BAAN / FINANSE (FIBU)],MATCH($B131,tab_MinKomp[[Stanowisko / Position ]:[Stanowisko / Position ]],0))="n/a","n/a",W131-INDEX(tab_MinKomp[System BAAN / FINANSE (FIBU)],MATCH($B131,tab_MinKomp[[Stanowisko / Position ]:[Stanowisko / Position ]],0)))</f>
        <v>n/a</v>
      </c>
      <c r="X132" s="333" t="str">
        <f>IF(INDEX(tab_MinKomp[Systemy pomocnicze / Hilfssysteme(STOCKPROGRAM, KALK2000 etc.)],MATCH($B131,tab_MinKomp[[Stanowisko / Position ]:[Stanowisko / Position ]],0))="n/a","n/a",X131-INDEX(tab_MinKomp[Systemy pomocnicze / Hilfssysteme(STOCKPROGRAM, KALK2000 etc.)],MATCH($B131,tab_MinKomp[[Stanowisko / Position ]:[Stanowisko / Position ]],0)))</f>
        <v>n/a</v>
      </c>
      <c r="Y132" s="333" t="str">
        <f>IF(INDEX(tab_MinKomp[Polityka rachunkowości / Buchführungspolitik],MATCH($B131,tab_MinKomp[[Stanowisko / Position ]:[Stanowisko / Position ]],0))="n/a","n/a",Y131-INDEX(tab_MinKomp[Polityka rachunkowości / Buchführungspolitik],MATCH($B131,tab_MinKomp[[Stanowisko / Position ]:[Stanowisko / Position ]],0)))</f>
        <v>n/a</v>
      </c>
      <c r="Z132" s="333" t="str">
        <f>IF(INDEX(tab_MinKomp[Ustawa o rachunkowości / Rechnungslegungsgesetz],MATCH($B131,tab_MinKomp[[Stanowisko / Position ]:[Stanowisko / Position ]],0))="n/a","n/a",Z131-INDEX(tab_MinKomp[Ustawa o rachunkowości / Rechnungslegungsgesetz],MATCH($B131,tab_MinKomp[[Stanowisko / Position ]:[Stanowisko / Position ]],0)))</f>
        <v>n/a</v>
      </c>
      <c r="AA132" s="333" t="str">
        <f>IF(INDEX(tab_MinKomp[WORKFLOW - TS-100],MATCH($B131,tab_MinKomp[[Stanowisko / Position ]:[Stanowisko / Position ]],0))="n/a","n/a",AA131-INDEX(tab_MinKomp[WORKFLOW - TS-100],MATCH($B131,tab_MinKomp[[Stanowisko / Position ]:[Stanowisko / Position ]],0)))</f>
        <v>n/a</v>
      </c>
      <c r="AB132" s="333">
        <v>1</v>
      </c>
      <c r="AC132" s="333">
        <f>IF(INDEX(tab_MinKomp[System ISO 9001:2015],MATCH($B131,tab_MinKomp[[Stanowisko / Position ]:[Stanowisko / Position ]],0))="n/a","n/a",AC131-INDEX(tab_MinKomp[System ISO 9001:2015],MATCH($B131,tab_MinKomp[[Stanowisko / Position ]:[Stanowisko / Position ]],0)))</f>
        <v>0</v>
      </c>
      <c r="AD132" s="333">
        <f>IF(INDEX(tab_MinKomp[System IATF 16949:2016],MATCH($B131,tab_MinKomp[[Stanowisko / Position ]:[Stanowisko / Position ]],0))="n/a","n/a",AD131-INDEX(tab_MinKomp[System IATF 16949:2016],MATCH($B131,tab_MinKomp[[Stanowisko / Position ]:[Stanowisko / Position ]],0)))</f>
        <v>0</v>
      </c>
      <c r="AE132" s="333" t="str">
        <f>IF(INDEX(tab_MinKomp[PSCR (VW Product Safety &amp; Conformity Representative)],MATCH($B131,tab_MinKomp[[Stanowisko / Position ]:[Stanowisko / Position ]],0))="n/a","n/a",AE131-INDEX(tab_MinKomp[PSCR (VW Product Safety &amp; Conformity Representative)],MATCH($B131,tab_MinKomp[[Stanowisko / Position ]:[Stanowisko / Position ]],0)))</f>
        <v>n/a</v>
      </c>
      <c r="AF132" s="333" t="str">
        <f>IF(INDEX(tab_MinKomp[PSCR (VW Product Safety &amp; Conformity Representative)],MATCH($B131,tab_MinKomp[[Stanowisko / Position ]:[Stanowisko / Position ]],0))="n/a","n/a",AF131-INDEX(tab_MinKomp[PSCR (VW Product Safety &amp; Conformity Representative)],MATCH($B131,tab_MinKomp[[Stanowisko / Position ]:[Stanowisko / Position ]],0)))</f>
        <v>n/a</v>
      </c>
      <c r="AG132" s="333" t="str">
        <f>IF(INDEX(tab_MinKomp[MSA i SPC],MATCH($B131,tab_MinKomp[[Stanowisko / Position ]:[Stanowisko / Position ]],0))="n/a","n/a",AG131-INDEX(tab_MinKomp[MSA i SPC],MATCH($B131,tab_MinKomp[[Stanowisko / Position ]:[Stanowisko / Position ]],0)))</f>
        <v>n/a</v>
      </c>
      <c r="AH132" s="333">
        <f>IF(INDEX(tab_MinKomp[Wymagania VDA 6.5 Product / Forderungen],MATCH($B131,tab_MinKomp[[Stanowisko / Position ]:[Stanowisko / Position ]],0))="n/a","n/a",AH131-INDEX(tab_MinKomp[Wymagania VDA 6.5 Product / Forderungen],MATCH($B131,tab_MinKomp[[Stanowisko / Position ]:[Stanowisko / Position ]],0)))</f>
        <v>0</v>
      </c>
      <c r="AI132" s="333" t="str">
        <f>IF(INDEX(tab_MinKomp[PSCR (VW Product Safety &amp; Conformity Representative)],MATCH($B131,tab_MinKomp[[Stanowisko / Position ]:[Stanowisko / Position ]],0))="n/a","n/a",AI131-INDEX(tab_MinKomp[PSCR (VW Product Safety &amp; Conformity Representative)],MATCH($B131,tab_MinKomp[[Stanowisko / Position ]:[Stanowisko / Position ]],0)))</f>
        <v>n/a</v>
      </c>
      <c r="AJ132" s="333" t="str">
        <f>IF(INDEX(tab_MinKomp[Auditor systemu ISO 17025:2018],MATCH($B131,tab_MinKomp[[Stanowisko / Position ]:[Stanowisko / Position ]],0))="n/a","n/a",AJ131-INDEX(tab_MinKomp[Auditor systemu ISO 17025:2018],MATCH($B131,tab_MinKomp[[Stanowisko / Position ]:[Stanowisko / Position ]],0)))</f>
        <v>n/a</v>
      </c>
      <c r="AK132" s="333" t="str">
        <f>IF(INDEX(tab_MinKomp[Pełnomocnik systemu / Systemvertreter],MATCH($B131,tab_MinKomp[[Stanowisko / Position ]:[Stanowisko / Position ]],0))="n/a","n/a",AK131-INDEX(tab_MinKomp[Pełnomocnik systemu / Systemvertreter],MATCH($B131,tab_MinKomp[[Stanowisko / Position ]:[Stanowisko / Position ]],0)))</f>
        <v>n/a</v>
      </c>
      <c r="AL132" s="333">
        <f>IF(INDEX(tab_MinKomp[Polityka Etyczna - Compliance],MATCH($B131,tab_MinKomp[[Stanowisko / Position ]:[Stanowisko / Position ]],0))="n/a","n/a",AL131-INDEX(tab_MinKomp[Polityka Etyczna - Compliance],MATCH($B131,tab_MinKomp[[Stanowisko / Position ]:[Stanowisko / Position ]],0)))</f>
        <v>0</v>
      </c>
      <c r="AM132" s="333">
        <f>IF(INDEX(tab_MinKomp[WDRAŻANIE NOWYCH PROJEKTÓW/ PROCEDURA CTM],MATCH($B131,tab_MinKomp[[Stanowisko / Position ]:[Stanowisko / Position ]],0))="n/a","n/a",AM131-INDEX(tab_MinKomp[WDRAŻANIE NOWYCH PROJEKTÓW/ PROCEDURA CTM],MATCH($B131,tab_MinKomp[[Stanowisko / Position ]:[Stanowisko / Position ]],0)))</f>
        <v>0</v>
      </c>
      <c r="AN132" s="315">
        <f>IF(INDEX(tab_MinKomp[Six Sigma],MATCH($B131,tab_MinKomp[[Stanowisko / Position ]:[Stanowisko / Position ]],0))="n/a","n/a",AN131-INDEX(tab_MinKomp[Six Sigma],MATCH($B131,tab_MinKomp[[Stanowisko / Position ]:[Stanowisko / Position ]],0)))</f>
        <v>0</v>
      </c>
      <c r="AO132" s="333">
        <f>IF(INDEX(tab_MinKomp[CP],MATCH($B131,tab_MinKomp[[Stanowisko / Position ]:[Stanowisko / Position ]],0))="n/a","n/a",AO131-INDEX(tab_MinKomp[CP],MATCH($B131,tab_MinKomp[[Stanowisko / Position ]:[Stanowisko / Position ]],0)))</f>
        <v>1</v>
      </c>
      <c r="AP132" s="333">
        <f>IF(INDEX(tab_MinKomp[FMEA],MATCH($B131,tab_MinKomp[[Stanowisko / Position ]:[Stanowisko / Position ]],0))="n/a","n/a",AP131-INDEX(tab_MinKomp[FMEA],MATCH($B131,tab_MinKomp[[Stanowisko / Position ]:[Stanowisko / Position ]],0)))</f>
        <v>0</v>
      </c>
      <c r="AQ132" s="333">
        <f>IF(INDEX(tab_MinKomp[FLOW CHART],MATCH($B131,tab_MinKomp[[Stanowisko / Position ]:[Stanowisko / Position ]],0))="n/a","n/a",AQ131-INDEX(tab_MinKomp[FLOW CHART],MATCH($B131,tab_MinKomp[[Stanowisko / Position ]:[Stanowisko / Position ]],0)))</f>
        <v>1</v>
      </c>
      <c r="AR132" s="333">
        <f>IF(INDEX(tab_MinKomp[APQP],MATCH($B131,tab_MinKomp[[Stanowisko / Position ]:[Stanowisko / Position ]],0))="n/a","n/a",AR131-INDEX(tab_MinKomp[APQP],MATCH($B131,tab_MinKomp[[Stanowisko / Position ]:[Stanowisko / Position ]],0)))</f>
        <v>0</v>
      </c>
      <c r="AS132" s="333">
        <f>IF(INDEX(tab_MinKomp[MSA],MATCH($B131,tab_MinKomp[[Stanowisko / Position ]:[Stanowisko / Position ]],0))="n/a","n/a",AS131-INDEX(tab_MinKomp[MSA],MATCH($B131,tab_MinKomp[[Stanowisko / Position ]:[Stanowisko / Position ]],0)))</f>
        <v>0</v>
      </c>
      <c r="AT132" s="333">
        <f>IF(INDEX(tab_MinKomp[SPC],MATCH($B131,tab_MinKomp[[Stanowisko / Position ]:[Stanowisko / Position ]],0))="n/a","n/a",AT131-INDEX(tab_MinKomp[SPC],MATCH($B131,tab_MinKomp[[Stanowisko / Position ]:[Stanowisko / Position ]],0)))</f>
        <v>0</v>
      </c>
      <c r="AU132" s="333">
        <f>IF(INDEX(tab_MinKomp[CSR (SPECYFICZNE WYMAGANIA KLIENTA)],MATCH($B131,tab_MinKomp[[Stanowisko / Position ]:[Stanowisko / Position ]],0))="n/a","n/a",AU131-INDEX(tab_MinKomp[CSR (SPECYFICZNE WYMAGANIA KLIENTA)],MATCH($B131,tab_MinKomp[[Stanowisko / Position ]:[Stanowisko / Position ]],0)))</f>
        <v>0</v>
      </c>
      <c r="AV132" s="333">
        <f>IF(INDEX(tab_MinKomp[5S],MATCH($B131,tab_MinKomp[[Stanowisko / Position ]:[Stanowisko / Position ]],0))="n/a","n/a",AV131-INDEX(tab_MinKomp[5S],MATCH($B131,tab_MinKomp[[Stanowisko / Position ]:[Stanowisko / Position ]],0)))</f>
        <v>0</v>
      </c>
      <c r="AW132" s="333">
        <f>IF(INDEX(tab_MinKomp[LEAN MANAGEMENT],MATCH($B131,tab_MinKomp[[Stanowisko / Position ]:[Stanowisko / Position ]],0))="n/a","n/a",AW131-INDEX(tab_MinKomp[LEAN MANAGEMENT],MATCH($B131,tab_MinKomp[[Stanowisko / Position ]:[Stanowisko / Position ]],0)))</f>
        <v>-1</v>
      </c>
      <c r="AX132" s="333">
        <f>IF(INDEX(tab_MinKomp[5R],MATCH($B131,tab_MinKomp[[Stanowisko / Position ]:[Stanowisko / Position ]],0))="n/a","n/a",AX131-INDEX(tab_MinKomp[5R],MATCH($B131,tab_MinKomp[[Stanowisko / Position ]:[Stanowisko / Position ]],0)))</f>
        <v>-1</v>
      </c>
      <c r="AY132" s="333">
        <f>IF(INDEX(tab_MinKomp[Six Sigma],MATCH($B131,tab_MinKomp[[Stanowisko / Position ]:[Stanowisko / Position ]],0))="n/a","n/a",AY131-INDEX(tab_MinKomp[Six Sigma],MATCH($B131,tab_MinKomp[[Stanowisko / Position ]:[Stanowisko / Position ]],0)))</f>
        <v>-1</v>
      </c>
      <c r="AZ132" s="333">
        <f>IF(INDEX(tab_MinKomp[System BAAN / Distribution &amp; Supply Chain],MATCH($B131,tab_MinKomp[[Stanowisko / Position ]:[Stanowisko / Position ]],0))="n/a","n/a",AZ131-INDEX(tab_MinKomp[System BAAN / Distribution &amp; Supply Chain],MATCH($B131,tab_MinKomp[[Stanowisko / Position ]:[Stanowisko / Position ]],0)))</f>
        <v>0</v>
      </c>
      <c r="BA132" s="333" t="str">
        <f>IF(INDEX(tab_MinKomp[Gospodarka magazynowa / Lagerverwaltung],MATCH($B131,tab_MinKomp[[Stanowisko / Position ]:[Stanowisko / Position ]],0))="n/a","n/a",BA131-INDEX(tab_MinKomp[Gospodarka magazynowa / Lagerverwaltung],MATCH($B131,tab_MinKomp[[Stanowisko / Position ]:[Stanowisko / Position ]],0)))</f>
        <v>n/a</v>
      </c>
      <c r="BB132" s="333">
        <f>IF(INDEX(tab_MinKomp[Inwentaryzacja - organizacja i przebieg / Inventurprozess],MATCH($B131,tab_MinKomp[[Stanowisko / Position ]:[Stanowisko / Position ]],0))="n/a","n/a",BB131-INDEX(tab_MinKomp[Inwentaryzacja - organizacja i przebieg / Inventurprozess],MATCH($B131,tab_MinKomp[[Stanowisko / Position ]:[Stanowisko / Position ]],0)))</f>
        <v>1</v>
      </c>
      <c r="BC132" s="333">
        <f>IF(INDEX(tab_MinKomp[Organizacja dostaw / Versorgungsorganisation],MATCH($B131,tab_MinKomp[[Stanowisko / Position ]:[Stanowisko / Position ]],0))="n/a","n/a",BC131-INDEX(tab_MinKomp[Organizacja dostaw / Versorgungsorganisation],MATCH($B131,tab_MinKomp[[Stanowisko / Position ]:[Stanowisko / Position ]],0)))</f>
        <v>0</v>
      </c>
      <c r="BD132" s="333">
        <f>IF(INDEX(tab_MinKomp[Organizacja wysyłek / Organisation von Lieferungen],MATCH($B131,tab_MinKomp[[Stanowisko / Position ]:[Stanowisko / Position ]],0))="n/a","n/a",BD131-INDEX(tab_MinKomp[Organizacja wysyłek / Organisation von Lieferungen],MATCH($B131,tab_MinKomp[[Stanowisko / Position ]:[Stanowisko / Position ]],0)))</f>
        <v>1</v>
      </c>
      <c r="BE132" s="333" t="str">
        <f>IF(INDEX(tab_MinKomp[Analiza magazynowa - Program Polen.mdb / Inventuranalyse],MATCH($B131,tab_MinKomp[[Stanowisko / Position ]:[Stanowisko / Position ]],0))="n/a","n/a",BE131-INDEX(tab_MinKomp[Analiza magazynowa - Program Polen.mdb / Inventuranalyse],MATCH($B131,tab_MinKomp[[Stanowisko / Position ]:[Stanowisko / Position ]],0)))</f>
        <v>n/a</v>
      </c>
      <c r="BF132" s="333" t="str">
        <f>IF(INDEX(tab_MinKomp[MMOG (Materials Management Operations Guidelines)],MATCH($B131,tab_MinKomp[[Stanowisko / Position ]:[Stanowisko / Position ]],0))="n/a","n/a",BF131-INDEX(tab_MinKomp[MMOG (Materials Management Operations Guidelines)],MATCH($B131,tab_MinKomp[[Stanowisko / Position ]:[Stanowisko / Position ]],0)))</f>
        <v>n/a</v>
      </c>
      <c r="BG132" s="333" t="str">
        <f>IF(INDEX(tab_MinKomp[GPP],MATCH($B131,tab_MinKomp[[Stanowisko / Position ]:[Stanowisko / Position ]],0))="n/a","n/a",BG131-INDEX(tab_MinKomp[GPP],MATCH($B131,tab_MinKomp[[Stanowisko / Position ]:[Stanowisko / Position ]],0)))</f>
        <v>n/a</v>
      </c>
      <c r="BH132" s="333" t="str">
        <f>IF(INDEX(tab_MinKomp[AIAG (Automotive Industry Action Group)],MATCH($B131,tab_MinKomp[[Stanowisko / Position ]:[Stanowisko / Position ]],0))="n/a","n/a",BH131-INDEX(tab_MinKomp[AIAG (Automotive Industry Action Group)],MATCH($B131,tab_MinKomp[[Stanowisko / Position ]:[Stanowisko / Position ]],0)))</f>
        <v>n/a</v>
      </c>
      <c r="BI132" s="333" t="str">
        <f>IF(INDEX(tab_MinKomp[Super-G disputes],MATCH($B131,tab_MinKomp[[Stanowisko / Position ]:[Stanowisko / Position ]],0))="n/a","n/a",BI131-INDEX(tab_MinKomp[Super-G disputes],MATCH($B131,tab_MinKomp[[Stanowisko / Position ]:[Stanowisko / Position ]],0)))</f>
        <v>n/a</v>
      </c>
      <c r="BJ132" s="333" t="str">
        <f>IF(INDEX(tab_MinKomp[CMMS3/eDDL (Direct Data Link)],MATCH($B131,tab_MinKomp[[Stanowisko / Position ]:[Stanowisko / Position ]],0))="n/a","n/a",BJ131-INDEX(tab_MinKomp[CMMS3/eDDL (Direct Data Link)],MATCH($B131,tab_MinKomp[[Stanowisko / Position ]:[Stanowisko / Position ]],0)))</f>
        <v>n/a</v>
      </c>
      <c r="BK132" s="333" t="str">
        <f>IF(INDEX(tab_MinKomp[MP&amp;L (Material Planning and Logistics)],MATCH($B131,tab_MinKomp[[Stanowisko / Position ]:[Stanowisko / Position ]],0))="n/a","n/a",BK131-INDEX(tab_MinKomp[MP&amp;L (Material Planning and Logistics)],MATCH($B131,tab_MinKomp[[Stanowisko / Position ]:[Stanowisko / Position ]],0)))</f>
        <v>n/a</v>
      </c>
      <c r="BL132" s="333" t="str">
        <f>IF(INDEX(tab_MinKomp[Supplier delivery rating],MATCH($B131,tab_MinKomp[[Stanowisko / Position ]:[Stanowisko / Position ]],0))="n/a","n/a",BL131-INDEX(tab_MinKomp[Supplier delivery rating],MATCH($B131,tab_MinKomp[[Stanowisko / Position ]:[Stanowisko / Position ]],0)))</f>
        <v>n/a</v>
      </c>
      <c r="BM132" s="333">
        <f>IF(INDEX(tab_MinKomp[Planowanie produkcji / Produktionsplanung],MATCH($B131,tab_MinKomp[[Stanowisko / Position ]:[Stanowisko / Position ]],0))="n/a","n/a",BM131-INDEX(tab_MinKomp[Planowanie produkcji / Produktionsplanung],MATCH($B131,tab_MinKomp[[Stanowisko / Position ]:[Stanowisko / Position ]],0)))</f>
        <v>1</v>
      </c>
      <c r="BN132" s="333" t="str">
        <f>IF(INDEX(tab_MinKomp[Obsługa maszyn Engel / Engel Maschinenbedienung],MATCH($B131,tab_MinKomp[[Stanowisko / Position ]:[Stanowisko / Position ]],0))="n/a","n/a",BN131-INDEX(tab_MinKomp[Obsługa maszyn Engel / Engel Maschinenbedienung],MATCH($B131,tab_MinKomp[[Stanowisko / Position ]:[Stanowisko / Position ]],0)))</f>
        <v>n/a</v>
      </c>
      <c r="BO132" s="333">
        <f>IF(INDEX(tab_MinKomp[Obsługa maszyn Novapax / Novapax Maschinenbedienung],MATCH($B131,tab_MinKomp[[Stanowisko / Position ]:[Stanowisko / Position ]],0))="n/a","n/a",BO131-INDEX(tab_MinKomp[Obsługa maszyn Novapax / Novapax Maschinenbedienung],MATCH($B131,tab_MinKomp[[Stanowisko / Position ]:[Stanowisko / Position ]],0)))</f>
        <v>0</v>
      </c>
      <c r="BP132" s="333">
        <f>IF(INDEX(tab_MinKomp[Obsługa maszyn KVT / KVT Maschinenbedienung],MATCH($B131,tab_MinKomp[[Stanowisko / Position ]:[Stanowisko / Position ]],0))="n/a","n/a",BP131-INDEX(tab_MinKomp[Obsługa maszyn KVT / KVT Maschinenbedienung],MATCH($B131,tab_MinKomp[[Stanowisko / Position ]:[Stanowisko / Position ]],0)))</f>
        <v>0</v>
      </c>
      <c r="BQ132" s="333">
        <f>IF(INDEX(tab_MinKomp[Obsługa maszyn ASL / ASL Maschinenbedienung],MATCH($B131,tab_MinKomp[[Stanowisko / Position ]:[Stanowisko / Position ]],0))="n/a","n/a",BQ131-INDEX(tab_MinKomp[Obsługa maszyn ASL / ASL Maschinenbedienung],MATCH($B131,tab_MinKomp[[Stanowisko / Position ]:[Stanowisko / Position ]],0)))</f>
        <v>1</v>
      </c>
      <c r="BR132" s="333">
        <f>IF(INDEX(tab_MinKomp[Obsługa maszyn Branson / Branson Maschinenbedienung],MATCH($B131,tab_MinKomp[[Stanowisko / Position ]:[Stanowisko / Position ]],0))="n/a","n/a",BR131-INDEX(tab_MinKomp[Obsługa maszyn Branson / Branson Maschinenbedienung],MATCH($B131,tab_MinKomp[[Stanowisko / Position ]:[Stanowisko / Position ]],0)))</f>
        <v>0</v>
      </c>
      <c r="BS132" s="333">
        <f>IF(INDEX(tab_MinKomp[Obsługa maszyn Kamtec / Kamtec Maschinenbedienung],MATCH($B131,tab_MinKomp[[Stanowisko / Position ]:[Stanowisko / Position ]],0))="n/a","n/a",BS131-INDEX(tab_MinKomp[Obsługa maszyn Kamtec / Kamtec Maschinenbedienung],MATCH($B131,tab_MinKomp[[Stanowisko / Position ]:[Stanowisko / Position ]],0)))</f>
        <v>1</v>
      </c>
      <c r="BT132" s="333" t="str">
        <f>IF(INDEX(tab_MinKomp[MSA i SPC],MATCH($B131,tab_MinKomp[[Stanowisko / Position ]:[Stanowisko / Position ]],0))="n/a","n/a",BT131-INDEX(tab_MinKomp[MSA i SPC],MATCH($B131,tab_MinKomp[[Stanowisko / Position ]:[Stanowisko / Position ]],0)))</f>
        <v>n/a</v>
      </c>
      <c r="BU132" s="333">
        <f>IF(INDEX(tab_MinKomp[Obsługa maszyn REP / REP Maschinenbedienung],MATCH($B131,tab_MinKomp[[Stanowisko / Position ]:[Stanowisko / Position ]],0))="n/a","n/a",BU131-INDEX(tab_MinKomp[Obsługa maszyn REP / REP Maschinenbedienung],MATCH($B131,tab_MinKomp[[Stanowisko / Position ]:[Stanowisko / Position ]],0)))</f>
        <v>0</v>
      </c>
      <c r="BV132" s="333" t="str">
        <f>IF(INDEX(tab_MinKomp[Eliminacja awarii / Beseitigung von Ausfällen],MATCH($B131,tab_MinKomp[[Stanowisko / Position ]:[Stanowisko / Position ]],0))="n/a","n/a",BV131-INDEX(tab_MinKomp[Eliminacja awarii / Beseitigung von Ausfällen],MATCH($B131,tab_MinKomp[[Stanowisko / Position ]:[Stanowisko / Position ]],0)))</f>
        <v>n/a</v>
      </c>
      <c r="BW132" s="333" t="str">
        <f>IF(INDEX(tab_MinKomp[Informatyka ogólna (techniczne i systemowe) / Allgemeine IT (Technik und System)],MATCH($B131,tab_MinKomp[[Stanowisko / Position ]:[Stanowisko / Position ]],0))="n/a","n/a",BW131-INDEX(tab_MinKomp[Informatyka ogólna (techniczne i systemowe) / Allgemeine IT (Technik und System)],MATCH($B131,tab_MinKomp[[Stanowisko / Position ]:[Stanowisko / Position ]],0)))</f>
        <v>n/a</v>
      </c>
      <c r="BX132" s="333" t="str">
        <f>IF(INDEX(tab_MinKomp[Sieci komputerowe / Computernetzwerke],MATCH($B131,tab_MinKomp[[Stanowisko / Position ]:[Stanowisko / Position ]],0))="n/a","n/a",BX131-INDEX(tab_MinKomp[Sieci komputerowe / Computernetzwerke],MATCH($B131,tab_MinKomp[[Stanowisko / Position ]:[Stanowisko / Position ]],0)))</f>
        <v>n/a</v>
      </c>
      <c r="BY132" s="333" t="str">
        <f>IF(INDEX(tab_MinKomp[Hardware (komputery PC, drukarki biurowe i etykietowe, telefonia stacjonarna i mobilna) (PC, Drucker, Telefpne, Handys)],MATCH($B131,tab_MinKomp[[Stanowisko / Position ]:[Stanowisko / Position ]],0))="n/a","n/a",BY131-INDEX(tab_MinKomp[Hardware (komputery PC, drukarki biurowe i etykietowe, telefonia stacjonarna i mobilna) (PC, Drucker, Telefpne, Handys)],MATCH($B131,tab_MinKomp[[Stanowisko / Position ]:[Stanowisko / Position ]],0)))</f>
        <v>n/a</v>
      </c>
      <c r="BZ132" s="333" t="str">
        <f>IF(INDEX(tab_MinKomp[Software &amp; Systems (MS Office, MS Remote Desktop)],MATCH($B131,tab_MinKomp[[Stanowisko / Position ]:[Stanowisko / Position ]],0))="n/a","n/a",BZ131-INDEX(tab_MinKomp[Software &amp; Systems (MS Office, MS Remote Desktop)],MATCH($B131,tab_MinKomp[[Stanowisko / Position ]:[Stanowisko / Position ]],0)))</f>
        <v>n/a</v>
      </c>
      <c r="CA132" s="333" t="str">
        <f>IF(INDEX(tab_MinKomp[Programowanie obiektowe (PHP) / Objektprogrammierung],MATCH($B131,tab_MinKomp[[Stanowisko / Position ]:[Stanowisko / Position ]],0))="n/a","n/a",CA131-INDEX(tab_MinKomp[Programowanie obiektowe (PHP) / Objektprogrammierung],MATCH($B131,tab_MinKomp[[Stanowisko / Position ]:[Stanowisko / Position ]],0)))</f>
        <v>n/a</v>
      </c>
      <c r="CB132" s="333" t="str">
        <f>IF(INDEX(tab_MinKomp[Scrum],MATCH($B131,tab_MinKomp[[Stanowisko / Position ]:[Stanowisko / Position ]],0))="n/a","n/a",CB131-INDEX(tab_MinKomp[Scrum],MATCH($B131,tab_MinKomp[[Stanowisko / Position ]:[Stanowisko / Position ]],0)))</f>
        <v>n/a</v>
      </c>
      <c r="CC132" s="333" t="str">
        <f>IF(INDEX(tab_MinKomp[SQL (MySQL)],MATCH($B131,tab_MinKomp[[Stanowisko / Position ]:[Stanowisko / Position ]],0))="n/a","n/a",CC131-INDEX(tab_MinKomp[SQL (MySQL)],MATCH($B131,tab_MinKomp[[Stanowisko / Position ]:[Stanowisko / Position ]],0)))</f>
        <v>n/a</v>
      </c>
      <c r="CD132" s="333" t="str">
        <f>IF(INDEX(tab_MinKomp[Javascript],MATCH($B131,tab_MinKomp[[Stanowisko / Position ]:[Stanowisko / Position ]],0))="n/a","n/a",CD131-INDEX(tab_MinKomp[Javascript],MATCH($B131,tab_MinKomp[[Stanowisko / Position ]:[Stanowisko / Position ]],0)))</f>
        <v>n/a</v>
      </c>
      <c r="CE132" s="333" t="str">
        <f>IF(INDEX(tab_MinKomp[Joomla],MATCH($B131,tab_MinKomp[[Stanowisko / Position ]:[Stanowisko / Position ]],0))="n/a","n/a",CE131-INDEX(tab_MinKomp[Joomla],MATCH($B131,tab_MinKomp[[Stanowisko / Position ]:[Stanowisko / Position ]],0)))</f>
        <v>n/a</v>
      </c>
      <c r="CF132" s="333" t="str">
        <f>IF(INDEX(tab_MinKomp[Bash],MATCH($B131,tab_MinKomp[[Stanowisko / Position ]:[Stanowisko / Position ]],0))="n/a","n/a",CF131-INDEX(tab_MinKomp[Bash],MATCH($B131,tab_MinKomp[[Stanowisko / Position ]:[Stanowisko / Position ]],0)))</f>
        <v>n/a</v>
      </c>
      <c r="CG132" s="333">
        <f>IF(INDEX(tab_MinKomp[Systemy MES (HYDRA / SFMS)],MATCH($B131,tab_MinKomp[[Stanowisko / Position ]:[Stanowisko / Position ]],0))="n/a","n/a",CG131-INDEX(tab_MinKomp[Systemy MES (HYDRA / SFMS)],MATCH($B131,tab_MinKomp[[Stanowisko / Position ]:[Stanowisko / Position ]],0)))</f>
        <v>0</v>
      </c>
      <c r="CH132" s="333" t="str">
        <f>IF(INDEX(tab_MinKomp[HTML / CSS],MATCH($B131,tab_MinKomp[[Stanowisko / Position ]:[Stanowisko / Position ]],0))="n/a","n/a",CH131-INDEX(tab_MinKomp[HTML / CSS],MATCH($B131,tab_MinKomp[[Stanowisko / Position ]:[Stanowisko / Position ]],0)))</f>
        <v>n/a</v>
      </c>
      <c r="CI132" s="333">
        <f>IF(INDEX(tab_MinKomp[SYSTEM PR],MATCH($B131,tab_MinKomp[[Stanowisko / Position ]:[Stanowisko / Position ]],0))="n/a","n/a",CI131-INDEX(tab_MinKomp[SYSTEM PR],MATCH($B131,tab_MinKomp[[Stanowisko / Position ]:[Stanowisko / Position ]],0)))</f>
        <v>0</v>
      </c>
      <c r="CJ132" s="333" t="str">
        <f>IF(INDEX(tab_MinKomp[MSA i SPC],MATCH($B131,tab_MinKomp[[Stanowisko / Position ]:[Stanowisko / Position ]],0))="n/a","n/a",CJ131-INDEX(tab_MinKomp[MSA i SPC],MATCH($B131,tab_MinKomp[[Stanowisko / Position ]:[Stanowisko / Position ]],0)))</f>
        <v>n/a</v>
      </c>
      <c r="CK132" s="333" t="str">
        <f>IF(INDEX(tab_MinKomp[Techniki negocjacyjne / Verhandlungstechniken],MATCH($B131,tab_MinKomp[[Stanowisko / Position ]:[Stanowisko / Position ]],0))="n/a","n/a",CK131-INDEX(tab_MinKomp[Techniki negocjacyjne / Verhandlungstechniken],MATCH($B131,tab_MinKomp[[Stanowisko / Position ]:[Stanowisko / Position ]],0)))</f>
        <v>n/a</v>
      </c>
      <c r="CL132" s="333" t="str">
        <f>IF(INDEX(tab_MinKomp[Znajomość rynku branżowego / Kenntnis des Industrie Marktes],MATCH($B131,tab_MinKomp[[Stanowisko / Position ]:[Stanowisko / Position ]],0))="n/a","n/a",CL131-INDEX(tab_MinKomp[Znajomość rynku branżowego / Kenntnis des Industrie Marktes],MATCH($B131,tab_MinKomp[[Stanowisko / Position ]:[Stanowisko / Position ]],0)))</f>
        <v>n/a</v>
      </c>
      <c r="CM132" s="333">
        <f>IF(INDEX(tab_MinKomp[RAPORTY 8D / 8D Berichten],MATCH($B131,tab_MinKomp[[Stanowisko / Position ]:[Stanowisko / Position ]],0))="n/a","n/a",CM131-INDEX(tab_MinKomp[RAPORTY 8D / 8D Berichten],MATCH($B131,tab_MinKomp[[Stanowisko / Position ]:[Stanowisko / Position ]],0)))</f>
        <v>0</v>
      </c>
      <c r="CN132" s="333">
        <f>IF(INDEX(tab_MinKomp[NARZĘDZIA JAKOŚCIOWE (5WHY, Ishikawa, etc) / QS-Werkzeuge],MATCH($B131,tab_MinKomp[[Stanowisko / Position ]:[Stanowisko / Position ]],0))="n/a","n/a",CN131-INDEX(tab_MinKomp[NARZĘDZIA JAKOŚCIOWE (5WHY, Ishikawa, etc) / QS-Werkzeuge],MATCH($B131,tab_MinKomp[[Stanowisko / Position ]:[Stanowisko / Position ]],0)))</f>
        <v>0</v>
      </c>
      <c r="CO132" s="333">
        <f>IF(INDEX(tab_MinKomp[PDCA],MATCH($B131,tab_MinKomp[[Stanowisko / Position ]:[Stanowisko / Position ]],0))="n/a","n/a",CO131-INDEX(tab_MinKomp[PDCA],MATCH($B131,tab_MinKomp[[Stanowisko / Position ]:[Stanowisko / Position ]],0)))</f>
        <v>0</v>
      </c>
      <c r="CP132" s="333">
        <f>IF(INDEX(tab_MinKomp[Pareto],MATCH($B131,tab_MinKomp[[Stanowisko / Position ]:[Stanowisko / Position ]],0))="n/a","n/a",CP131-INDEX(tab_MinKomp[Pareto],MATCH($B131,tab_MinKomp[[Stanowisko / Position ]:[Stanowisko / Position ]],0)))</f>
        <v>0</v>
      </c>
      <c r="CQ132" s="333">
        <f>IF(INDEX(tab_MinKomp[PPAP/PSW],MATCH($B131,tab_MinKomp[[Stanowisko / Position ]:[Stanowisko / Position ]],0))="n/a","n/a",CQ131-INDEX(tab_MinKomp[PPAP/PSW],MATCH($B131,tab_MinKomp[[Stanowisko / Position ]:[Stanowisko / Position ]],0)))</f>
        <v>0</v>
      </c>
      <c r="CR132" s="333" t="str">
        <f>IF(INDEX(tab_MinKomp[SUPPLIER MANAGEMENT],MATCH($B131,tab_MinKomp[[Stanowisko / Position ]:[Stanowisko / Position ]],0))="n/a","n/a",CR131-INDEX(tab_MinKomp[SUPPLIER MANAGEMENT],MATCH($B131,tab_MinKomp[[Stanowisko / Position ]:[Stanowisko / Position ]],0)))</f>
        <v>n/a</v>
      </c>
      <c r="CS132" s="333" t="str">
        <f>IF(INDEX(tab_MinKomp[OBSŁUGA PORTALI KLIENTA / Kundenportale],MATCH($B131,tab_MinKomp[[Stanowisko / Position ]:[Stanowisko / Position ]],0))="n/a","n/a",CS131-INDEX(tab_MinKomp[OBSŁUGA PORTALI KLIENTA / Kundenportale],MATCH($B131,tab_MinKomp[[Stanowisko / Position ]:[Stanowisko / Position ]],0)))</f>
        <v>n/a</v>
      </c>
      <c r="CT132" s="333" t="str">
        <f>IF(INDEX(tab_MinKomp[Obsługa systemu BABTECQ / BABTECQ System],MATCH($B131,tab_MinKomp[[Stanowisko / Position ]:[Stanowisko / Position ]],0))="n/a","n/a",CT131-INDEX(tab_MinKomp[Obsługa systemu BABTECQ / BABTECQ System],MATCH($B131,tab_MinKomp[[Stanowisko / Position ]:[Stanowisko / Position ]],0)))</f>
        <v>n/a</v>
      </c>
      <c r="CU132" s="333">
        <f>IF(INDEX(tab_MinKomp[Rysunek techniczny / technische Zeichnung],MATCH($B131,tab_MinKomp[[Stanowisko / Position ]:[Stanowisko / Position ]],0))="n/a","n/a",CU131-INDEX(tab_MinKomp[Rysunek techniczny / technische Zeichnung],MATCH($B131,tab_MinKomp[[Stanowisko / Position ]:[Stanowisko / Position ]],0)))</f>
        <v>0</v>
      </c>
      <c r="CV132" s="333">
        <v>0</v>
      </c>
      <c r="CW132" s="333">
        <v>0</v>
      </c>
      <c r="CX132" s="333">
        <v>0</v>
      </c>
      <c r="CY132" s="333" t="s">
        <v>176</v>
      </c>
      <c r="CZ132" s="333" t="s">
        <v>176</v>
      </c>
      <c r="DA132" s="333" t="s">
        <v>176</v>
      </c>
      <c r="DB132" s="333" t="s">
        <v>176</v>
      </c>
      <c r="DC132" s="333" t="s">
        <v>176</v>
      </c>
      <c r="DD132" s="333" t="s">
        <v>176</v>
      </c>
      <c r="DE132" s="333" t="s">
        <v>176</v>
      </c>
      <c r="DF132" s="315">
        <v>-1</v>
      </c>
      <c r="DG132" s="333" t="s">
        <v>176</v>
      </c>
      <c r="DH132" s="333" t="s">
        <v>176</v>
      </c>
      <c r="DI132" s="333" t="s">
        <v>176</v>
      </c>
      <c r="DJ132" s="333" t="s">
        <v>176</v>
      </c>
      <c r="DK132" s="333" t="s">
        <v>176</v>
      </c>
      <c r="DL132" s="333" t="s">
        <v>176</v>
      </c>
      <c r="DM132" s="333" t="s">
        <v>176</v>
      </c>
      <c r="DN132" s="333" t="s">
        <v>176</v>
      </c>
      <c r="DO132" s="333" t="s">
        <v>176</v>
      </c>
      <c r="DP132" s="333" t="s">
        <v>176</v>
      </c>
      <c r="DQ132" s="333" t="s">
        <v>176</v>
      </c>
      <c r="DR132" s="333" t="s">
        <v>176</v>
      </c>
      <c r="DS132" s="333" t="s">
        <v>176</v>
      </c>
      <c r="DT132" s="333" t="s">
        <v>176</v>
      </c>
      <c r="DU132" s="333" t="s">
        <v>176</v>
      </c>
      <c r="DV132" s="333" t="s">
        <v>176</v>
      </c>
      <c r="DW132" s="333" t="str">
        <f>IF(INDEX(tab_MinKomp[Kontrola wyjściowa produktu / Ausgangskontrolle],MATCH($B131,tab_MinKomp[[Stanowisko / Position ]:[Stanowisko / Position ]],0))="n/a","n/a",DW131-INDEX(tab_MinKomp[Kontrola wyjściowa produktu / Ausgangskontrolle],MATCH($B131,tab_MinKomp[[Stanowisko / Position ]:[Stanowisko / Position ]],0)))</f>
        <v>n/a</v>
      </c>
      <c r="DX132" s="333" t="str">
        <f>IF(INDEX(tab_MinKomp[Kontrola codzienna produkcji / Tägliche Produktionskontrolle],MATCH($B131,tab_MinKomp[[Stanowisko / Position ]:[Stanowisko / Position ]],0))="n/a","n/a",DX131-INDEX(tab_MinKomp[Kontrola codzienna produkcji / Tägliche Produktionskontrolle],MATCH($B131,tab_MinKomp[[Stanowisko / Position ]:[Stanowisko / Position ]],0)))</f>
        <v>n/a</v>
      </c>
      <c r="DY132" s="333" t="str">
        <f>IF(INDEX(tab_MinKomp[Konserwacja Rep],MATCH($B131,tab_MinKomp[[Stanowisko / Position ]:[Stanowisko / Position ]],0))="n/a","n/a",DY131-INDEX(tab_MinKomp[Konserwacja Rep],MATCH($B131,tab_MinKomp[[Stanowisko / Position ]:[Stanowisko / Position ]],0)))</f>
        <v>n/a</v>
      </c>
      <c r="DZ132" s="333" t="str">
        <f>IF(INDEX(tab_MinKomp[PSCR (VW Product Safety &amp; Conformity Representative)],MATCH($B131,tab_MinKomp[[Stanowisko / Position ]:[Stanowisko / Position ]],0))="n/a","n/a",DZ131-INDEX(tab_MinKomp[PSCR (VW Product Safety &amp; Conformity Representative)],MATCH($B131,tab_MinKomp[[Stanowisko / Position ]:[Stanowisko / Position ]],0)))</f>
        <v>n/a</v>
      </c>
      <c r="EA132" s="333" t="str">
        <f>IF(INDEX(tab_MinKomp[MSA i SPC],MATCH($B131,tab_MinKomp[[Stanowisko / Position ]:[Stanowisko / Position ]],0))="n/a","n/a",EA131-INDEX(tab_MinKomp[MSA i SPC],MATCH($B131,tab_MinKomp[[Stanowisko / Position ]:[Stanowisko / Position ]],0)))</f>
        <v>n/a</v>
      </c>
      <c r="EB132" s="333" t="str">
        <f>IF(INDEX(tab_MinKomp[MSA i SPC],MATCH($B131,tab_MinKomp[[Stanowisko / Position ]:[Stanowisko / Position ]],0))="n/a","n/a",EB131-INDEX(tab_MinKomp[MSA i SPC],MATCH($B131,tab_MinKomp[[Stanowisko / Position ]:[Stanowisko / Position ]],0)))</f>
        <v>n/a</v>
      </c>
      <c r="EC132" s="333" t="str">
        <f>IF(INDEX(tab_MinKomp[MSA i SPC],MATCH($B131,tab_MinKomp[[Stanowisko / Position ]:[Stanowisko / Position ]],0))="n/a","n/a",EC131-INDEX(tab_MinKomp[MSA i SPC],MATCH($B131,tab_MinKomp[[Stanowisko / Position ]:[Stanowisko / Position ]],0)))</f>
        <v>n/a</v>
      </c>
      <c r="ED132" s="333" t="str">
        <f>IF(INDEX(tab_MinKomp[MSA i SPC],MATCH($B131,tab_MinKomp[[Stanowisko / Position ]:[Stanowisko / Position ]],0))="n/a","n/a",ED131-INDEX(tab_MinKomp[MSA i SPC],MATCH($B131,tab_MinKomp[[Stanowisko / Position ]:[Stanowisko / Position ]],0)))</f>
        <v>n/a</v>
      </c>
      <c r="EE132" s="333" t="str">
        <f>IF(INDEX(tab_MinKomp[MSA i SPC],MATCH($B131,tab_MinKomp[[Stanowisko / Position ]:[Stanowisko / Position ]],0))="n/a","n/a",EE131-INDEX(tab_MinKomp[MSA i SPC],MATCH($B131,tab_MinKomp[[Stanowisko / Position ]:[Stanowisko / Position ]],0)))</f>
        <v>n/a</v>
      </c>
      <c r="EF132" s="333">
        <v>0</v>
      </c>
      <c r="EG132" s="333" t="str">
        <f>IF(INDEX(tab_MinKomp[MSA i SPC],MATCH($B131,tab_MinKomp[[Stanowisko / Position ]:[Stanowisko / Position ]],0))="n/a","n/a",EG131-INDEX(tab_MinKomp[MSA i SPC],MATCH($B131,tab_MinKomp[[Stanowisko / Position ]:[Stanowisko / Position ]],0)))</f>
        <v>n/a</v>
      </c>
      <c r="EH132" s="333" t="str">
        <f>IF(INDEX(tab_MinKomp[MSA i SPC],MATCH($B131,tab_MinKomp[[Stanowisko / Position ]:[Stanowisko / Position ]],0))="n/a","n/a",EH131-INDEX(tab_MinKomp[MSA i SPC],MATCH($B131,tab_MinKomp[[Stanowisko / Position ]:[Stanowisko / Position ]],0)))</f>
        <v>n/a</v>
      </c>
      <c r="EI132" s="333" t="str">
        <f>IF(INDEX(tab_MinKomp[MSA i SPC],MATCH($B131,tab_MinKomp[[Stanowisko / Position ]:[Stanowisko / Position ]],0))="n/a","n/a",EI131-INDEX(tab_MinKomp[MSA i SPC],MATCH($B131,tab_MinKomp[[Stanowisko / Position ]:[Stanowisko / Position ]],0)))</f>
        <v>n/a</v>
      </c>
      <c r="EJ132" s="333" t="str">
        <f>IF(INDEX(tab_MinKomp[MSA i SPC],MATCH($B131,tab_MinKomp[[Stanowisko / Position ]:[Stanowisko / Position ]],0))="n/a","n/a",EJ131-INDEX(tab_MinKomp[MSA i SPC],MATCH($B131,tab_MinKomp[[Stanowisko / Position ]:[Stanowisko / Position ]],0)))</f>
        <v>n/a</v>
      </c>
      <c r="EK132" s="333" t="str">
        <f>IF(INDEX(tab_MinKomp[MSA i SPC],MATCH($B131,tab_MinKomp[[Stanowisko / Position ]:[Stanowisko / Position ]],0))="n/a","n/a",EK131-INDEX(tab_MinKomp[MSA i SPC],MATCH($B131,tab_MinKomp[[Stanowisko / Position ]:[Stanowisko / Position ]],0)))</f>
        <v>n/a</v>
      </c>
      <c r="EL132" s="333" t="str">
        <f>IF(INDEX(tab_MinKomp[MSA i SPC],MATCH($B131,tab_MinKomp[[Stanowisko / Position ]:[Stanowisko / Position ]],0))="n/a","n/a",EL131-INDEX(tab_MinKomp[MSA i SPC],MATCH($B131,tab_MinKomp[[Stanowisko / Position ]:[Stanowisko / Position ]],0)))</f>
        <v>n/a</v>
      </c>
      <c r="EM132" s="333" t="str">
        <f>IF(INDEX(tab_MinKomp[MSA i SPC],MATCH($B131,tab_MinKomp[[Stanowisko / Position ]:[Stanowisko / Position ]],0))="n/a","n/a",EM131-INDEX(tab_MinKomp[MSA i SPC],MATCH($B131,tab_MinKomp[[Stanowisko / Position ]:[Stanowisko / Position ]],0)))</f>
        <v>n/a</v>
      </c>
      <c r="EN132" s="333" t="str">
        <f>IF(INDEX(tab_MinKomp[MSA i SPC],MATCH($B131,tab_MinKomp[[Stanowisko / Position ]:[Stanowisko / Position ]],0))="n/a","n/a",EN131-INDEX(tab_MinKomp[MSA i SPC],MATCH($B131,tab_MinKomp[[Stanowisko / Position ]:[Stanowisko / Position ]],0)))</f>
        <v>n/a</v>
      </c>
      <c r="EO132" s="333">
        <v>0</v>
      </c>
      <c r="EP132" s="333">
        <f>IF(INDEX(tab_MinKomp[[Czyszczenie form gumowych ]],MATCH($B131,tab_MinKomp[[Stanowisko / Position ]:[Stanowisko / Position ]],0))="n/a","n/a",EP131-INDEX(tab_MinKomp[[Czyszczenie form gumowych ]],MATCH($B131,tab_MinKomp[[Stanowisko / Position ]:[Stanowisko / Position ]],0)))</f>
        <v>0</v>
      </c>
      <c r="EQ132" s="333" t="str">
        <f>IF(INDEX(tab_MinKomp[Czyszczenie form plastikowych],MATCH($B131,tab_MinKomp[[Stanowisko / Position ]:[Stanowisko / Position ]],0))="n/a","n/a",EQ131-INDEX(tab_MinKomp[Czyszczenie form plastikowych],MATCH($B131,tab_MinKomp[[Stanowisko / Position ]:[Stanowisko / Position ]],0)))</f>
        <v>n/a</v>
      </c>
      <c r="ER132" s="333" t="str">
        <f>IF(INDEX(tab_MinKomp[Wymiana form plastik],MATCH($B131,tab_MinKomp[[Stanowisko / Position ]:[Stanowisko / Position ]],0))="n/a","n/a",ER131-INDEX(tab_MinKomp[Wymiana form plastik],MATCH($B131,tab_MinKomp[[Stanowisko / Position ]:[Stanowisko / Position ]],0)))</f>
        <v>n/a</v>
      </c>
      <c r="ES132" s="333" t="str">
        <f>IF(INDEX(tab_MinKomp[Wymiana form guma],MATCH($B131,tab_MinKomp[[Stanowisko / Position ]:[Stanowisko / Position ]],0))="n/a","n/a",ES131-INDEX(tab_MinKomp[Wymiana form guma],MATCH($B131,tab_MinKomp[[Stanowisko / Position ]:[Stanowisko / Position ]],0)))</f>
        <v>n/a</v>
      </c>
      <c r="ET132" s="333" t="str">
        <f>IF(INDEX(tab_MinKomp[Konserwacja KK],MATCH($B131,tab_MinKomp[[Stanowisko / Position ]:[Stanowisko / Position ]],0))="n/a","n/a",ET131-INDEX(tab_MinKomp[Konserwacja KK],MATCH($B131,tab_MinKomp[[Stanowisko / Position ]:[Stanowisko / Position ]],0)))</f>
        <v>n/a</v>
      </c>
      <c r="EU132" s="333" t="str">
        <f>IF(INDEX(tab_MinKomp[Konserwacja form guma],MATCH($B131,tab_MinKomp[[Stanowisko / Position ]:[Stanowisko / Position ]],0))="n/a","n/a",EU131-INDEX(tab_MinKomp[Konserwacja form guma],MATCH($B131,tab_MinKomp[[Stanowisko / Position ]:[Stanowisko / Position ]],0)))</f>
        <v>n/a</v>
      </c>
      <c r="EV132" s="333" t="str">
        <f>IF(INDEX(tab_MinKomp[Konserwacja form plastiki],MATCH($B131,tab_MinKomp[[Stanowisko / Position ]:[Stanowisko / Position ]],0))="n/a","n/a",EV131-INDEX(tab_MinKomp[Konserwacja form plastiki],MATCH($B131,tab_MinKomp[[Stanowisko / Position ]:[Stanowisko / Position ]],0)))</f>
        <v>n/a</v>
      </c>
      <c r="EW132" s="330" t="str">
        <f>IF(INDEX(tab_MinKomp[Konserwacja form plastiki],MATCH($B131,tab_MinKomp[[Stanowisko / Position ]:[Stanowisko / Position ]],0))="n/a","n/a",EW131-INDEX(tab_MinKomp[Konserwacja form plastiki],MATCH($B131,tab_MinKomp[[Stanowisko / Position ]:[Stanowisko / Position ]],0)))</f>
        <v>n/a</v>
      </c>
      <c r="EX132" s="333" t="str">
        <f>IF(INDEX(tab_MinKomp[Konserwacja Gorącego Kanału],MATCH($B131,tab_MinKomp[[Stanowisko / Position ]:[Stanowisko / Position ]],0))="n/a","n/a",EX131-INDEX(tab_MinKomp[Konserwacja Gorącego Kanału],MATCH($B131,tab_MinKomp[[Stanowisko / Position ]:[Stanowisko / Position ]],0)))</f>
        <v>n/a</v>
      </c>
      <c r="EY132" s="333">
        <f>IF(INDEX(tab_MinKomp[MS Office (Excel)],MATCH($B131,tab_MinKomp[[Stanowisko / Position ]:[Stanowisko / Position ]],0))="n/a","n/a",EY131-INDEX(tab_MinKomp[MS Office (Excel)],MATCH($B131,tab_MinKomp[[Stanowisko / Position ]:[Stanowisko / Position ]],0)))</f>
        <v>-1</v>
      </c>
      <c r="EZ132" s="333">
        <f>IF(INDEX(tab_MinKomp[MS Office (Word)],MATCH($B131,tab_MinKomp[[Stanowisko / Position ]:[Stanowisko / Position ]],0))="n/a","n/a",EZ131-INDEX(tab_MinKomp[MS Office (Word)],MATCH($B131,tab_MinKomp[[Stanowisko / Position ]:[Stanowisko / Position ]],0)))</f>
        <v>0</v>
      </c>
      <c r="FA132" s="333">
        <f>IF(INDEX(tab_MinKomp[MS Office (Power Point)],MATCH($B131,tab_MinKomp[[Stanowisko / Position ]:[Stanowisko / Position ]],0))="n/a","n/a",FA131-INDEX(tab_MinKomp[MS Office (Power Point)],MATCH($B131,tab_MinKomp[[Stanowisko / Position ]:[Stanowisko / Position ]],0)))</f>
        <v>0</v>
      </c>
      <c r="FB132" s="354">
        <f>IF(INDEX(tab_MinKomp[Język angielski / Englisch],MATCH($B131,tab_MinKomp[[Stanowisko / Position ]:[Stanowisko / Position ]],0))="n/a","n/a",FB131-INDEX(tab_MinKomp[Język angielski / Englisch],MATCH($B131,tab_MinKomp[[Stanowisko / Position ]:[Stanowisko / Position ]],0)))</f>
        <v>0</v>
      </c>
      <c r="FC132" s="354" t="str">
        <f>IF(INDEX(tab_MinKomp[Język niemiecki / Deutsch],MATCH($B131,tab_MinKomp[[Stanowisko / Position ]:[Stanowisko / Position ]],0))="n/a","n/a",FC131-INDEX(tab_MinKomp[Język niemiecki / Deutsch],MATCH($B131,tab_MinKomp[[Stanowisko / Position ]:[Stanowisko / Position ]],0)))</f>
        <v>n/a</v>
      </c>
      <c r="FD132" s="333">
        <f>IF(INDEX(tab_MinKomp[Zarządzanie dokumentacją procesową / Process dokumentation management],MATCH($B131,tab_MinKomp[[Stanowisko / Position ]:[Stanowisko / Position ]],0))="n/a","n/a",FD131-INDEX(tab_MinKomp[Zarządzanie dokumentacją procesową / Process dokumentation management],MATCH($B131,tab_MinKomp[[Stanowisko / Position ]:[Stanowisko / Position ]],0)))</f>
        <v>1</v>
      </c>
      <c r="FE132" s="333">
        <f>IF(INDEX(tab_MinKomp[Znajomość procesów z obszaru / Kenntiss der prozesse in dem Bereich],MATCH($B131,tab_MinKomp[[Stanowisko / Position ]:[Stanowisko / Position ]],0))="n/a","n/a",FE131-INDEX(tab_MinKomp[Znajomość procesów z obszaru / Kenntiss der prozesse in dem Bereich],MATCH($B131,tab_MinKomp[[Stanowisko / Position ]:[Stanowisko / Position ]],0)))</f>
        <v>0</v>
      </c>
      <c r="FF132" s="333">
        <f>IF(INDEX(tab_MinKomp[optymalizacja procesów / Prozessoptymalisierung],MATCH($B131,tab_MinKomp[[Stanowisko / Position ]:[Stanowisko / Position ]],0))="n/a","n/a",FF131-INDEX(tab_MinKomp[optymalizacja procesów / Prozessoptymalisierung],MATCH($B131,tab_MinKomp[[Stanowisko / Position ]:[Stanowisko / Position ]],0)))</f>
        <v>0</v>
      </c>
      <c r="FG132" s="333" t="str">
        <f>IF(INDEX(tab_MinKomp[MINIMUM 2 LATA / min. 2 Jahre],MATCH($B131,tab_MinKomp[[Stanowisko / Position ]:[Stanowisko / Position ]],0))="n/a","n/a",INDEX(tab_MinKomp[MINIMUM 2 LATA / min. 2 Jahre],MATCH($B131,tab_MinKomp[[Stanowisko / Position ]:[Stanowisko / Position ]],0)))</f>
        <v>n/a</v>
      </c>
      <c r="FH132" s="333">
        <f>IF(INDEX(tab_MinKomp[Analityczne myślenie, podejście / Analitysches Denken, Einstellung],MATCH($B131,tab_MinKomp[[Stanowisko / Position ]:[Stanowisko / Position ]],0))="n/a","n/a",FH131-INDEX(tab_MinKomp[Analityczne myślenie, podejście / Analitysches Denken, Einstellung],MATCH($B131,tab_MinKomp[[Stanowisko / Position ]:[Stanowisko / Position ]],0)))</f>
        <v>0</v>
      </c>
      <c r="FI132" s="333">
        <f>IF(INDEX(tab_MinKomp[Dokładność, precyzja w dzialaniu / Genauigkeit, Präzision in die Arbeit],MATCH($B131,tab_MinKomp[[Stanowisko / Position ]:[Stanowisko / Position ]],0))="n/a","n/a",FI131-INDEX(tab_MinKomp[Dokładność, precyzja w dzialaniu / Genauigkeit, Präzision in die Arbeit],MATCH($B131,tab_MinKomp[[Stanowisko / Position ]:[Stanowisko / Position ]],0)))</f>
        <v>0</v>
      </c>
      <c r="FJ132" s="333">
        <f>IF(INDEX(tab_MinKomp[Dyspozycyjność / Verfügbarkeit],MATCH($B131,tab_MinKomp[[Stanowisko / Position ]:[Stanowisko / Position ]],0))="n/a","n/a",FJ131-INDEX(tab_MinKomp[Dyspozycyjność / Verfügbarkeit],MATCH($B131,tab_MinKomp[[Stanowisko / Position ]:[Stanowisko / Position ]],0)))</f>
        <v>2</v>
      </c>
      <c r="FK132" s="333">
        <f>IF(INDEX(tab_MinKomp[Zaangażowanie / 
Engagement],MATCH($B131,tab_MinKomp[[Stanowisko / Position ]:[Stanowisko / Position ]],0))="n/a","n/a",FK131-INDEX(tab_MinKomp[Zaangażowanie / 
Engagement],MATCH($B131,tab_MinKomp[[Stanowisko / Position ]:[Stanowisko / Position ]],0)))</f>
        <v>0</v>
      </c>
      <c r="FL132" s="333" t="str">
        <f>IF(INDEX(tab_MinKomp[MINIMUM 2 LATA / min. 2 Jahre],MATCH($B131,tab_MinKomp[[Stanowisko / Position ]:[Stanowisko / Position ]],0))="n/a","n/a",INDEX(tab_MinKomp[MINIMUM 2 LATA / min. 2 Jahre],MATCH($B131,tab_MinKomp[[Stanowisko / Position ]:[Stanowisko / Position ]],0)))</f>
        <v>n/a</v>
      </c>
      <c r="FM132" s="333">
        <f>IF(INDEX(tab_MinKomp[Konsekwentne i dynamiczne działanie],MATCH($B131,tab_MinKomp[[Stanowisko / Position ]:[Stanowisko / Position ]],0))="n/a","n/a",FM131-INDEX(tab_MinKomp[Konsekwentne i dynamiczne działanie],MATCH($B131,tab_MinKomp[[Stanowisko / Position ]:[Stanowisko / Position ]],0)))</f>
        <v>1</v>
      </c>
      <c r="FN132" s="333">
        <f>IF(INDEX(tab_MinKomp[Elastyczność w działaniu],MATCH($B131,tab_MinKomp[[Stanowisko / Position ]:[Stanowisko / Position ]],0))="n/a","n/a",FN131-INDEX(tab_MinKomp[Elastyczność w działaniu],MATCH($B131,tab_MinKomp[[Stanowisko / Position ]:[Stanowisko / Position ]],0)))</f>
        <v>0</v>
      </c>
      <c r="FO132" s="333">
        <f>IF(INDEX(tab_MinKomp[Komunikatywność],MATCH($B131,tab_MinKomp[[Stanowisko / Position ]:[Stanowisko / Position ]],0))="n/a","n/a",FO131-INDEX(tab_MinKomp[Komunikatywność],MATCH($B131,tab_MinKomp[[Stanowisko / Position ]:[Stanowisko / Position ]],0)))</f>
        <v>0</v>
      </c>
      <c r="FP132" s="334">
        <f>IF(INDEX(tab_MinKomp[Motywowanie i budowanie zaangażowania zespołu],MATCH($B131,tab_MinKomp[[Stanowisko / Position ]:[Stanowisko / Position ]],0))="n/a","n/a",FP131-INDEX(tab_MinKomp[Motywowanie i budowanie zaangażowania zespołu],MATCH($B131,tab_MinKomp[[Stanowisko / Position ]:[Stanowisko / Position ]],0)))</f>
        <v>0</v>
      </c>
      <c r="FQ132" s="335" t="str">
        <f>IFERROR(IF(INDEX(tab_MinKomp[BRAK / Keine],MATCH($B131,tab_MinKomp[[Stanowisko / Position ]:[Stanowisko / Position ]],0))="n/a","n/a",INDEX(tab_MinKomp[BRAK / Keine],MATCH($B131,tab_MinKomp[[Stanowisko / Position ]:[Stanowisko / Position ]],0))-FQ131),"")</f>
        <v/>
      </c>
      <c r="FR132" s="333" t="str">
        <f>IF(INDEX(tab_MinKomp[MINIMUM 1 ROK / min. 1 Jahr],MATCH($B131,tab_MinKomp[[Stanowisko / Position ]:[Stanowisko / Position ]],0))="n/a","n/a",INDEX(tab_MinKomp[MINIMUM 1 ROK / min. 1 Jahr],MATCH($B131,tab_MinKomp[[Stanowisko / Position ]:[Stanowisko / Position ]],0)))</f>
        <v>n/a</v>
      </c>
      <c r="FS132" s="333" t="str">
        <f>IF(INDEX(tab_MinKomp[MINIMUM 2 LATA / min. 2 Jahre],MATCH($B131,tab_MinKomp[[Stanowisko / Position ]:[Stanowisko / Position ]],0))="n/a","n/a",INDEX(tab_MinKomp[MINIMUM 2 LATA / min. 2 Jahre],MATCH($B131,tab_MinKomp[[Stanowisko / Position ]:[Stanowisko / Position ]],0)))</f>
        <v>n/a</v>
      </c>
      <c r="FT132" s="333" t="str">
        <f>IF(INDEX(tab_MinKomp[MINIMUM 3 LATA / min. 3 Jahre],MATCH($B131,tab_MinKomp[[Stanowisko / Position ]:[Stanowisko / Position ]],0))="n/a","n/a",INDEX(tab_MinKomp[MINIMUM 3 LATA / min. 3 Jahre],MATCH($B131,tab_MinKomp[[Stanowisko / Position ]:[Stanowisko / Position ]],0)))</f>
        <v>n/a</v>
      </c>
      <c r="FU132" s="333" t="str">
        <f>IF(INDEX(tab_MinKomp[MINIMUM 4 LATA / min. 4 Jahre],MATCH($B131,tab_MinKomp[[Stanowisko / Position ]:[Stanowisko / Position ]],0))="n/a","n/a",INDEX(tab_MinKomp[MINIMUM 4 LATA / min. 4 Jahre],MATCH($B131,tab_MinKomp[[Stanowisko / Position ]:[Stanowisko / Position ]],0)))</f>
        <v>n/a</v>
      </c>
      <c r="FV132" s="336" t="str">
        <f>IF(INDEX(tab_MinKomp[MINIMUM 5 LAT / min. 5 Jahre],MATCH($B131,tab_MinKomp[[Stanowisko / Position ]:[Stanowisko / Position ]],0))="n/a","n/a",INDEX(tab_MinKomp[MINIMUM 5 LAT / min. 5 Jahre],MATCH($B131,tab_MinKomp[[Stanowisko / Position ]:[Stanowisko / Position ]],0)))</f>
        <v>n/a</v>
      </c>
      <c r="FW132" s="335" t="str">
        <f>IF(INDEX(tab_MinKomp[BRAK / Keine9],MATCH($B131,tab_MinKomp[[Stanowisko / Position ]:[Stanowisko / Position ]],0))="n/a","n/a",INDEX(tab_MinKomp[BRAK / Keine9],MATCH($B131,tab_MinKomp[[Stanowisko / Position ]:[Stanowisko / Position ]],0)))</f>
        <v>n/a</v>
      </c>
      <c r="FX132" s="333" t="str">
        <f>IF(INDEX(tab_MinKomp[ZAWODOWE / Berufsausbildung],MATCH($B131,tab_MinKomp[[Stanowisko / Position ]:[Stanowisko / Position ]],0))="n/a","n/a",INDEX(tab_MinKomp[ZAWODOWE / Berufsausbildung],MATCH($B131,tab_MinKomp[[Stanowisko / Position ]:[Stanowisko / Position ]],0)))</f>
        <v>X</v>
      </c>
      <c r="FY132" s="333" t="str">
        <f>IF(INDEX(tab_MinKomp[ŚREDNIE OGÓLNE / Abitur allgemeine],MATCH($B131,tab_MinKomp[[Stanowisko / Position ]:[Stanowisko / Position ]],0))="n/a","n/a",INDEX(tab_MinKomp[ŚREDNIE OGÓLNE / Abitur allgemeine],MATCH($B131,tab_MinKomp[[Stanowisko / Position ]:[Stanowisko / Position ]],0)))</f>
        <v>n/a</v>
      </c>
      <c r="FZ132" s="333" t="str">
        <f>IF(INDEX(tab_MinKomp[ŚREDNIE KIERUNKOWE / berufliches Gymnasium],MATCH($B131,tab_MinKomp[[Stanowisko / Position ]:[Stanowisko / Position ]],0))="n/a","n/a",INDEX(tab_MinKomp[ŚREDNIE KIERUNKOWE / berufliches Gymnasium],MATCH($B131,tab_MinKomp[[Stanowisko / Position ]:[Stanowisko / Position ]],0)))</f>
        <v>n/a</v>
      </c>
      <c r="GA132" s="333" t="str">
        <f>IF(INDEX(tab_MinKomp[WYŻSZE OGÓLNE / Hochschule allgemeine],MATCH($B131,tab_MinKomp[[Stanowisko / Position ]:[Stanowisko / Position ]],0))="n/a","n/a",INDEX(tab_MinKomp[WYŻSZE OGÓLNE / Hochschule allgemeine],MATCH($B131,tab_MinKomp[[Stanowisko / Position ]:[Stanowisko / Position ]],0)))</f>
        <v>n/a</v>
      </c>
      <c r="GB132" s="336" t="str">
        <f>IF(INDEX(tab_MinKomp[WYŻSZE KIERUNKOWE / Hochschule berufliche],MATCH($B131,tab_MinKomp[[Stanowisko / Position ]:[Stanowisko / Position ]],0))="n/a","n/a",INDEX(tab_MinKomp[WYŻSZE KIERUNKOWE / Hochschule berufliche],MATCH($B131,tab_MinKomp[[Stanowisko / Position ]:[Stanowisko / Position ]],0)))</f>
        <v>n/a</v>
      </c>
      <c r="GC132" s="335" t="str">
        <f>IF(INDEX(tab_MinKomp[PIERWSZA POMOC / Erste Hilfe],MATCH($B131,tab_MinKomp[[Stanowisko / Position ]:[Stanowisko / Position ]],0))="n/a","n/a",INDEX(tab_MinKomp[PIERWSZA POMOC / Erste Hilfe],MATCH($B131,tab_MinKomp[[Stanowisko / Position ]:[Stanowisko / Position ]],0)))</f>
        <v>n/a</v>
      </c>
      <c r="GD132" s="333" t="str">
        <f>IF(INDEX(tab_MinKomp[Specjalista BHP / BHP Spezialist],MATCH($B131,tab_MinKomp[[Stanowisko / Position ]:[Stanowisko / Position ]],0))="n/a","n/a",INDEX(tab_MinKomp[Specjalista BHP / BHP Spezialist],MATCH($B131,tab_MinKomp[[Stanowisko / Position ]:[Stanowisko / Position ]],0)))</f>
        <v>n/a</v>
      </c>
      <c r="GE132" s="333" t="str">
        <f>IF(INDEX(tab_MinKomp[Inspektor ochrony PPOŻ / Brandschutzinspektor],MATCH($B131,tab_MinKomp[[Stanowisko / Position ]:[Stanowisko / Position ]],0))="n/a","n/a",INDEX(tab_MinKomp[Inspektor ochrony PPOŻ / Brandschutzinspektor],MATCH($B131,tab_MinKomp[[Stanowisko / Position ]:[Stanowisko / Position ]],0)))</f>
        <v>n/a</v>
      </c>
      <c r="GF132" s="333" t="str">
        <f>IF(INDEX(tab_MinKomp[WÓZKI JEZDNIOWE / Gebelstapler],MATCH($B131,tab_MinKomp[[Stanowisko / Position ]:[Stanowisko / Position ]],0))="n/a","n/a",INDEX(tab_MinKomp[WÓZKI JEZDNIOWE / Gebelstapler],MATCH($B131,tab_MinKomp[[Stanowisko / Position ]:[Stanowisko / Position ]],0)))</f>
        <v>n/a</v>
      </c>
      <c r="GG132" s="333" t="str">
        <f>IF(INDEX(tab_MinKomp[SEP],MATCH($B131,tab_MinKomp[[Stanowisko / Position ]:[Stanowisko / Position ]],0))="n/a","n/a",INDEX(tab_MinKomp[SEP],MATCH($B131,tab_MinKomp[[Stanowisko / Position ]:[Stanowisko / Position ]],0)))</f>
        <v>n/a</v>
      </c>
      <c r="GH132" s="333" t="str">
        <f>IF(INDEX(tab_MinKomp[SEP  DOZÓR / SEP Aufsicht],MATCH($B131,tab_MinKomp[[Stanowisko / Position ]:[Stanowisko / Position ]],0))="n/a","n/a",INDEX(tab_MinKomp[SEP  DOZÓR / SEP Aufsicht],MATCH($B131,tab_MinKomp[[Stanowisko / Position ]:[Stanowisko / Position ]],0)))</f>
        <v>n/a</v>
      </c>
      <c r="GI132" s="333" t="str">
        <f>IF(INDEX(tab_MinKomp[PODNOŚNIKI / Hebevorrichtung],MATCH($B131,tab_MinKomp[[Stanowisko / Position ]:[Stanowisko / Position ]],0))="n/a","n/a",INDEX(tab_MinKomp[PODNOŚNIKI / Hebevorrichtung],MATCH($B131,tab_MinKomp[[Stanowisko / Position ]:[Stanowisko / Position ]],0)))</f>
        <v>n/a</v>
      </c>
      <c r="GJ132" s="333" t="str">
        <f>IF(INDEX(tab_MinKomp[SUWNICE / Laufkran],MATCH($B131,tab_MinKomp[[Stanowisko / Position ]:[Stanowisko / Position ]],0))="n/a","n/a",INDEX(tab_MinKomp[SUWNICE / Laufkran],MATCH($B131,tab_MinKomp[[Stanowisko / Position ]:[Stanowisko / Position ]],0)))</f>
        <v>n/a</v>
      </c>
      <c r="GK132" s="336" t="str">
        <f>IF(INDEX(tab_MinKomp[WYSOKOŚCIOWE / Höhenberechtigungen],MATCH($B131,tab_MinKomp[[Stanowisko / Position ]:[Stanowisko / Position ]],0))="n/a","n/a",INDEX(tab_MinKomp[WYSOKOŚCIOWE / Höhenberechtigungen],MATCH($B131,tab_MinKomp[[Stanowisko / Position ]:[Stanowisko / Position ]],0)))</f>
        <v>n/a</v>
      </c>
      <c r="GL132" s="320">
        <f>SUM(G132:FP132)/(GL131-(SUM(G132:FP132)))</f>
        <v>7.3684210526315783E-2</v>
      </c>
      <c r="GM132" s="132"/>
    </row>
    <row r="133" spans="1:195" s="133" customFormat="1" ht="28.35" customHeight="1" x14ac:dyDescent="0.25">
      <c r="A133" s="138" t="s">
        <v>227</v>
      </c>
      <c r="B133" s="138" t="s">
        <v>740</v>
      </c>
      <c r="C133" s="138" t="s">
        <v>761</v>
      </c>
      <c r="D133" s="138">
        <v>603</v>
      </c>
      <c r="E133" s="563" t="s">
        <v>247</v>
      </c>
      <c r="F133" s="452" t="s">
        <v>165</v>
      </c>
      <c r="G133" s="308">
        <v>2</v>
      </c>
      <c r="H133" s="308">
        <v>2</v>
      </c>
      <c r="I133" s="308">
        <v>3</v>
      </c>
      <c r="J133" s="308">
        <v>3</v>
      </c>
      <c r="K133" s="308">
        <v>2</v>
      </c>
      <c r="L133" s="308">
        <v>2</v>
      </c>
      <c r="M133" s="308" t="s">
        <v>176</v>
      </c>
      <c r="N133" s="308" t="s">
        <v>176</v>
      </c>
      <c r="O133" s="308">
        <v>2</v>
      </c>
      <c r="P133" s="308">
        <v>2</v>
      </c>
      <c r="Q133" s="308" t="s">
        <v>176</v>
      </c>
      <c r="R133" s="308" t="s">
        <v>176</v>
      </c>
      <c r="S133" s="308">
        <v>2</v>
      </c>
      <c r="T133" s="308">
        <v>2</v>
      </c>
      <c r="U133" s="308" t="s">
        <v>176</v>
      </c>
      <c r="V133" s="308" t="s">
        <v>176</v>
      </c>
      <c r="W133" s="308" t="s">
        <v>176</v>
      </c>
      <c r="X133" s="308" t="s">
        <v>176</v>
      </c>
      <c r="Y133" s="308" t="s">
        <v>176</v>
      </c>
      <c r="Z133" s="308" t="s">
        <v>176</v>
      </c>
      <c r="AA133" s="308" t="s">
        <v>176</v>
      </c>
      <c r="AB133" s="308">
        <v>2</v>
      </c>
      <c r="AC133" s="308">
        <v>1</v>
      </c>
      <c r="AD133" s="308">
        <v>1</v>
      </c>
      <c r="AE133" s="308">
        <v>1</v>
      </c>
      <c r="AF133" s="308">
        <v>1</v>
      </c>
      <c r="AG133" s="308">
        <v>1</v>
      </c>
      <c r="AH133" s="308">
        <v>1</v>
      </c>
      <c r="AI133" s="308" t="s">
        <v>176</v>
      </c>
      <c r="AJ133" s="308" t="s">
        <v>176</v>
      </c>
      <c r="AK133" s="308" t="s">
        <v>176</v>
      </c>
      <c r="AL133" s="308">
        <v>2</v>
      </c>
      <c r="AM133" s="308">
        <v>1</v>
      </c>
      <c r="AN133" s="308" t="s">
        <v>176</v>
      </c>
      <c r="AO133" s="308" t="s">
        <v>176</v>
      </c>
      <c r="AP133" s="308">
        <v>2</v>
      </c>
      <c r="AQ133" s="308">
        <v>2</v>
      </c>
      <c r="AR133" s="308" t="s">
        <v>176</v>
      </c>
      <c r="AS133" s="308">
        <v>2</v>
      </c>
      <c r="AT133" s="308" t="s">
        <v>176</v>
      </c>
      <c r="AU133" s="308">
        <v>2</v>
      </c>
      <c r="AV133" s="308">
        <v>3</v>
      </c>
      <c r="AW133" s="308">
        <v>2</v>
      </c>
      <c r="AX133" s="308">
        <v>2</v>
      </c>
      <c r="AY133" s="308" t="s">
        <v>176</v>
      </c>
      <c r="AZ133" s="308" t="s">
        <v>176</v>
      </c>
      <c r="BA133" s="308" t="s">
        <v>176</v>
      </c>
      <c r="BB133" s="308" t="s">
        <v>176</v>
      </c>
      <c r="BC133" s="308" t="s">
        <v>176</v>
      </c>
      <c r="BD133" s="308" t="s">
        <v>176</v>
      </c>
      <c r="BE133" s="308" t="s">
        <v>176</v>
      </c>
      <c r="BF133" s="308" t="s">
        <v>176</v>
      </c>
      <c r="BG133" s="308" t="s">
        <v>176</v>
      </c>
      <c r="BH133" s="308" t="s">
        <v>176</v>
      </c>
      <c r="BI133" s="308" t="s">
        <v>176</v>
      </c>
      <c r="BJ133" s="308" t="s">
        <v>176</v>
      </c>
      <c r="BK133" s="308" t="s">
        <v>176</v>
      </c>
      <c r="BL133" s="308" t="s">
        <v>176</v>
      </c>
      <c r="BM133" s="308">
        <v>1</v>
      </c>
      <c r="BN133" s="308">
        <v>1</v>
      </c>
      <c r="BO133" s="308">
        <v>1</v>
      </c>
      <c r="BP133" s="308">
        <v>1</v>
      </c>
      <c r="BQ133" s="308">
        <v>1</v>
      </c>
      <c r="BR133" s="308">
        <v>1</v>
      </c>
      <c r="BS133" s="308">
        <v>1</v>
      </c>
      <c r="BT133" s="308">
        <v>1</v>
      </c>
      <c r="BU133" s="308">
        <v>1</v>
      </c>
      <c r="BV133" s="308">
        <v>3</v>
      </c>
      <c r="BW133" s="308" t="s">
        <v>176</v>
      </c>
      <c r="BX133" s="308" t="s">
        <v>176</v>
      </c>
      <c r="BY133" s="308" t="s">
        <v>176</v>
      </c>
      <c r="BZ133" s="308" t="s">
        <v>176</v>
      </c>
      <c r="CA133" s="308" t="s">
        <v>176</v>
      </c>
      <c r="CB133" s="308" t="s">
        <v>176</v>
      </c>
      <c r="CC133" s="308" t="s">
        <v>176</v>
      </c>
      <c r="CD133" s="308" t="s">
        <v>176</v>
      </c>
      <c r="CE133" s="308" t="s">
        <v>176</v>
      </c>
      <c r="CF133" s="308" t="s">
        <v>176</v>
      </c>
      <c r="CG133" s="308" t="s">
        <v>176</v>
      </c>
      <c r="CH133" s="308" t="s">
        <v>176</v>
      </c>
      <c r="CI133" s="308">
        <v>2</v>
      </c>
      <c r="CJ133" s="308">
        <v>1</v>
      </c>
      <c r="CK133" s="308">
        <v>1</v>
      </c>
      <c r="CL133" s="308" t="s">
        <v>176</v>
      </c>
      <c r="CM133" s="308">
        <v>2</v>
      </c>
      <c r="CN133" s="308">
        <v>2</v>
      </c>
      <c r="CO133" s="308">
        <v>2</v>
      </c>
      <c r="CP133" s="308">
        <v>2</v>
      </c>
      <c r="CQ133" s="308" t="s">
        <v>176</v>
      </c>
      <c r="CR133" s="308" t="s">
        <v>176</v>
      </c>
      <c r="CS133" s="308" t="s">
        <v>176</v>
      </c>
      <c r="CT133" s="308" t="s">
        <v>176</v>
      </c>
      <c r="CU133" s="308">
        <v>3</v>
      </c>
      <c r="CV133" s="308">
        <v>3</v>
      </c>
      <c r="CW133" s="308" t="s">
        <v>176</v>
      </c>
      <c r="CX133" s="308" t="s">
        <v>176</v>
      </c>
      <c r="CY133" s="308" t="s">
        <v>176</v>
      </c>
      <c r="CZ133" s="308" t="s">
        <v>176</v>
      </c>
      <c r="DA133" s="308" t="s">
        <v>176</v>
      </c>
      <c r="DB133" s="308" t="s">
        <v>176</v>
      </c>
      <c r="DC133" s="308" t="s">
        <v>176</v>
      </c>
      <c r="DD133" s="308" t="s">
        <v>176</v>
      </c>
      <c r="DE133" s="308" t="s">
        <v>176</v>
      </c>
      <c r="DF133" s="308" t="s">
        <v>176</v>
      </c>
      <c r="DG133" s="308" t="s">
        <v>176</v>
      </c>
      <c r="DH133" s="308" t="s">
        <v>176</v>
      </c>
      <c r="DI133" s="308" t="s">
        <v>176</v>
      </c>
      <c r="DJ133" s="308" t="s">
        <v>176</v>
      </c>
      <c r="DK133" s="308" t="s">
        <v>176</v>
      </c>
      <c r="DL133" s="308" t="s">
        <v>176</v>
      </c>
      <c r="DM133" s="308" t="s">
        <v>176</v>
      </c>
      <c r="DN133" s="308" t="s">
        <v>176</v>
      </c>
      <c r="DO133" s="308" t="s">
        <v>176</v>
      </c>
      <c r="DP133" s="308" t="s">
        <v>176</v>
      </c>
      <c r="DQ133" s="308" t="s">
        <v>176</v>
      </c>
      <c r="DR133" s="308" t="s">
        <v>176</v>
      </c>
      <c r="DS133" s="308" t="s">
        <v>176</v>
      </c>
      <c r="DT133" s="308" t="s">
        <v>176</v>
      </c>
      <c r="DU133" s="308" t="s">
        <v>176</v>
      </c>
      <c r="DV133" s="308" t="s">
        <v>176</v>
      </c>
      <c r="DW133" s="308" t="s">
        <v>176</v>
      </c>
      <c r="DX133" s="308" t="s">
        <v>176</v>
      </c>
      <c r="DY133" s="308" t="s">
        <v>176</v>
      </c>
      <c r="DZ133" s="308" t="s">
        <v>176</v>
      </c>
      <c r="EA133" s="308" t="s">
        <v>176</v>
      </c>
      <c r="EB133" s="308" t="s">
        <v>176</v>
      </c>
      <c r="EC133" s="308" t="s">
        <v>176</v>
      </c>
      <c r="ED133" s="308" t="s">
        <v>176</v>
      </c>
      <c r="EE133" s="308" t="s">
        <v>176</v>
      </c>
      <c r="EF133" s="308">
        <v>3</v>
      </c>
      <c r="EG133" s="308">
        <v>3</v>
      </c>
      <c r="EH133" s="308">
        <v>3</v>
      </c>
      <c r="EI133" s="308">
        <v>3</v>
      </c>
      <c r="EJ133" s="308">
        <v>3</v>
      </c>
      <c r="EK133" s="308">
        <v>3</v>
      </c>
      <c r="EL133" s="308">
        <v>2</v>
      </c>
      <c r="EM133" s="308">
        <v>2</v>
      </c>
      <c r="EN133" s="308">
        <v>3</v>
      </c>
      <c r="EO133" s="308">
        <v>2</v>
      </c>
      <c r="EP133" s="308">
        <v>3</v>
      </c>
      <c r="EQ133" s="308">
        <v>3</v>
      </c>
      <c r="ER133" s="308">
        <v>3</v>
      </c>
      <c r="ES133" s="308">
        <v>3</v>
      </c>
      <c r="ET133" s="308">
        <v>3</v>
      </c>
      <c r="EU133" s="308">
        <v>3</v>
      </c>
      <c r="EV133" s="308">
        <v>3</v>
      </c>
      <c r="EW133" s="306"/>
      <c r="EX133" s="308">
        <v>3</v>
      </c>
      <c r="EY133" s="308">
        <v>2</v>
      </c>
      <c r="EZ133" s="308">
        <v>2</v>
      </c>
      <c r="FA133" s="308">
        <v>2</v>
      </c>
      <c r="FB133" s="308">
        <v>2</v>
      </c>
      <c r="FC133" s="308" t="s">
        <v>176</v>
      </c>
      <c r="FD133" s="308">
        <v>3</v>
      </c>
      <c r="FE133" s="308">
        <v>3</v>
      </c>
      <c r="FF133" s="308">
        <v>3</v>
      </c>
      <c r="FG133" s="308">
        <v>3</v>
      </c>
      <c r="FH133" s="308">
        <v>3</v>
      </c>
      <c r="FI133" s="308">
        <v>3</v>
      </c>
      <c r="FJ133" s="308">
        <v>3</v>
      </c>
      <c r="FK133" s="308">
        <v>3</v>
      </c>
      <c r="FL133" s="308">
        <v>2</v>
      </c>
      <c r="FM133" s="308">
        <v>3</v>
      </c>
      <c r="FN133" s="308">
        <v>3</v>
      </c>
      <c r="FO133" s="308">
        <v>3</v>
      </c>
      <c r="FP133" s="308">
        <v>3</v>
      </c>
      <c r="FQ133" s="308" t="s">
        <v>176</v>
      </c>
      <c r="FR133" s="308" t="s">
        <v>176</v>
      </c>
      <c r="FS133" s="308" t="s">
        <v>176</v>
      </c>
      <c r="FT133" s="308"/>
      <c r="FU133" s="308" t="s">
        <v>176</v>
      </c>
      <c r="FV133" s="308" t="s">
        <v>176</v>
      </c>
      <c r="FW133" s="308" t="s">
        <v>176</v>
      </c>
      <c r="FX133" s="308" t="s">
        <v>176</v>
      </c>
      <c r="FY133" s="308" t="s">
        <v>176</v>
      </c>
      <c r="FZ133" s="308" t="s">
        <v>176</v>
      </c>
      <c r="GA133" s="308" t="s">
        <v>176</v>
      </c>
      <c r="GB133" s="308" t="s">
        <v>176</v>
      </c>
      <c r="GC133" s="308" t="s">
        <v>176</v>
      </c>
      <c r="GD133" s="308" t="s">
        <v>176</v>
      </c>
      <c r="GE133" s="308" t="s">
        <v>176</v>
      </c>
      <c r="GF133" s="308" t="s">
        <v>176</v>
      </c>
      <c r="GG133" s="308"/>
      <c r="GH133" s="308"/>
      <c r="GI133" s="308" t="s">
        <v>176</v>
      </c>
      <c r="GJ133" s="308"/>
      <c r="GK133" s="308"/>
      <c r="GL133" s="311">
        <f>SUM(G133:FP133)</f>
        <v>175</v>
      </c>
      <c r="GM133" s="132"/>
    </row>
    <row r="134" spans="1:195" s="133" customFormat="1" ht="28.35" customHeight="1" thickBot="1" x14ac:dyDescent="0.3">
      <c r="A134" s="138" t="s">
        <v>227</v>
      </c>
      <c r="B134" s="138" t="s">
        <v>740</v>
      </c>
      <c r="C134" s="138" t="str">
        <f>C133</f>
        <v>AS</v>
      </c>
      <c r="D134" s="138">
        <v>603</v>
      </c>
      <c r="E134" s="564"/>
      <c r="F134" s="312" t="s">
        <v>166</v>
      </c>
      <c r="G134" s="313">
        <f>IF(INDEX(tab_MinKomp[Przepisy BHP / BHP Vorschriften],MATCH($B133,tab_MinKomp[[Stanowisko / Position ]:[Stanowisko / Position ]],0))="n/a","n/a",G133-INDEX(tab_MinKomp[Przepisy BHP / BHP Vorschriften],MATCH($B133,tab_MinKomp[[Stanowisko / Position ]:[Stanowisko / Position ]],0)))</f>
        <v>0</v>
      </c>
      <c r="H134" s="314">
        <f>IF(INDEX(tab_MinKomp[Przepisy PPOŻ / Brandschutzbestimmungen],MATCH($B133,tab_MinKomp[[Stanowisko / Position ]:[Stanowisko / Position ]],0))="n/a","n/a",H133-INDEX(tab_MinKomp[Przepisy PPOŻ / Brandschutzbestimmungen],MATCH($B133,tab_MinKomp[[Stanowisko / Position ]:[Stanowisko / Position ]],0)))</f>
        <v>0</v>
      </c>
      <c r="I134" s="314">
        <f>IF(INDEX(tab_MinKomp[Ryzyko zawodowe na stanowiskach pracyv/ Berufliche Risiken an Arbeitsstellen],MATCH($B133,tab_MinKomp[[Stanowisko / Position ]:[Stanowisko / Position ]],0))="n/a","n/a",I133-INDEX(tab_MinKomp[Ryzyko zawodowe na stanowiskach pracyv/ Berufliche Risiken an Arbeitsstellen],MATCH($B133,tab_MinKomp[[Stanowisko / Position ]:[Stanowisko / Position ]],0)))</f>
        <v>0</v>
      </c>
      <c r="J134" s="314">
        <f>IF(INDEX(tab_MinKomp[Gospodarka substancjami niebezpiecznymi / Gefahrstoffmanagement],MATCH($B133,tab_MinKomp[[Stanowisko / Position ]:[Stanowisko / Position ]],0))="n/a","n/a",J133-INDEX(tab_MinKomp[Gospodarka substancjami niebezpiecznymi / Gefahrstoffmanagement],MATCH($B133,tab_MinKomp[[Stanowisko / Position ]:[Stanowisko / Position ]],0)))</f>
        <v>1</v>
      </c>
      <c r="K134" s="314">
        <f>IF(INDEX(tab_MinKomp[Gospodarka odpadami / Abfallwirtschaft],MATCH($B133,tab_MinKomp[[Stanowisko / Position ]:[Stanowisko / Position ]],0))="n/a","n/a",K133-INDEX(tab_MinKomp[Gospodarka odpadami / Abfallwirtschaft],MATCH($B133,tab_MinKomp[[Stanowisko / Position ]:[Stanowisko / Position ]],0)))</f>
        <v>0</v>
      </c>
      <c r="L134" s="315">
        <f>IF(INDEX(tab_MinKomp[Przepisy kodeksu pracy / Bestimmungen des Arbeitsgesetzes],MATCH($B133,tab_MinKomp[[Stanowisko / Position ]:[Stanowisko / Position ]],0))="n/a","n/a",L133-INDEX(tab_MinKomp[Przepisy kodeksu pracy / Bestimmungen des Arbeitsgesetzes],MATCH($B133,tab_MinKomp[[Stanowisko / Position ]:[Stanowisko / Position ]],0)))</f>
        <v>1</v>
      </c>
      <c r="M134" s="316" t="str">
        <f>IF(INDEX(tab_MinKomp[Przepisy o ub.społ. ZUS  / Sozialversicherungsvorschriften],MATCH($B133,tab_MinKomp[[Stanowisko / Position ]:[Stanowisko / Position ]],0))="n/a","n/a",M133-INDEX(tab_MinKomp[Przepisy o ub.społ. ZUS  / Sozialversicherungsvorschriften],MATCH($B133,tab_MinKomp[[Stanowisko / Position ]:[Stanowisko / Position ]],0)))</f>
        <v>n/a</v>
      </c>
      <c r="N134" s="315" t="str">
        <f>IF(INDEX(tab_MinKomp[PRZEPISY O PDOF /persönlich Einkommensteuergesetz ],MATCH($B133,tab_MinKomp[[Stanowisko / Position ]:[Stanowisko / Position ]],0))="n/a","n/a",N133-INDEX(tab_MinKomp[PRZEPISY O PDOF /persönlich Einkommensteuergesetz ],MATCH($B133,tab_MinKomp[[Stanowisko / Position ]:[Stanowisko / Position ]],0)))</f>
        <v>n/a</v>
      </c>
      <c r="O134" s="315">
        <f>IF(INDEX(tab_MinKomp[Regulamin pracy / Arbeitsordnung],MATCH($B133,tab_MinKomp[[Stanowisko / Position ]:[Stanowisko / Position ]],0))="n/a","n/a",O133-INDEX(tab_MinKomp[Regulamin pracy / Arbeitsordnung],MATCH($B133,tab_MinKomp[[Stanowisko / Position ]:[Stanowisko / Position ]],0)))</f>
        <v>0</v>
      </c>
      <c r="P134" s="315">
        <f>IF(INDEX(tab_MinKomp[Regulamin wynagradzania / Vergütungsordnung],MATCH($B133,tab_MinKomp[[Stanowisko / Position ]:[Stanowisko / Position ]],0))="n/a","n/a",P133-INDEX(tab_MinKomp[Regulamin wynagradzania / Vergütungsordnung],MATCH($B133,tab_MinKomp[[Stanowisko / Position ]:[Stanowisko / Position ]],0)))</f>
        <v>0</v>
      </c>
      <c r="Q134" s="315" t="str">
        <f>IF(INDEX(tab_MinKomp[System R2PŁATNIK PRO: Płace / Lohnabrechnung],MATCH($B133,tab_MinKomp[[Stanowisko / Position ]:[Stanowisko / Position ]],0))="n/a","n/a",Q133-INDEX(tab_MinKomp[System R2PŁATNIK PRO: Płace / Lohnabrechnung],MATCH($B133,tab_MinKomp[[Stanowisko / Position ]:[Stanowisko / Position ]],0)))</f>
        <v>n/a</v>
      </c>
      <c r="R134" s="315" t="str">
        <f>IF(INDEX(tab_MinKomp[SystemR2PŁATNIK PRO: KADRY / Personaldaten],MATCH($B133,tab_MinKomp[[Stanowisko / Position ]:[Stanowisko / Position ]],0))="n/a","n/a",R133-INDEX(tab_MinKomp[SystemR2PŁATNIK PRO: KADRY / Personaldaten],MATCH($B133,tab_MinKomp[[Stanowisko / Position ]:[Stanowisko / Position ]],0)))</f>
        <v>n/a</v>
      </c>
      <c r="S134" s="315">
        <f>IF(INDEX(tab_MinKomp[SYSTEM R2PŁATNIK PRO: zarządzanie pracownikami / Arbeitsverwaltung],MATCH($B133,tab_MinKomp[[Stanowisko / Position ]:[Stanowisko / Position ]],0))="n/a","n/a",S133-INDEX(tab_MinKomp[SYSTEM R2PŁATNIK PRO: zarządzanie pracownikami / Arbeitsverwaltung],MATCH($B133,tab_MinKomp[[Stanowisko / Position ]:[Stanowisko / Position ]],0)))</f>
        <v>0</v>
      </c>
      <c r="T134" s="315">
        <f>IF(INDEX(tab_MinKomp[Doradztwo, wsparcie personalne / Personalberatung und Unterstützung],MATCH($B133,tab_MinKomp[[Stanowisko / Position ]:[Stanowisko / Position ]],0))="n/a","n/a",T133-INDEX(tab_MinKomp[Doradztwo, wsparcie personalne / Personalberatung und Unterstützung],MATCH($B133,tab_MinKomp[[Stanowisko / Position ]:[Stanowisko / Position ]],0)))</f>
        <v>0</v>
      </c>
      <c r="U134" s="315" t="str">
        <f>IF(INDEX(tab_MinKomp[Przepisy o podatku VAT / MwSt.- Gesetz],MATCH($B133,tab_MinKomp[[Stanowisko / Position ]:[Stanowisko / Position ]],0))="n/a","n/a",U133-INDEX(tab_MinKomp[Przepisy o podatku VAT / MwSt.- Gesetz],MATCH($B133,tab_MinKomp[[Stanowisko / Position ]:[Stanowisko / Position ]],0)))</f>
        <v>n/a</v>
      </c>
      <c r="V134" s="315" t="str">
        <f>IF(INDEX(tab_MinKomp[PrzepisyPDOP / geschäftlich Einkommensteuergesetz],MATCH($B133,tab_MinKomp[[Stanowisko / Position ]:[Stanowisko / Position ]],0))="n/a","n/a",V133-INDEX(tab_MinKomp[PrzepisyPDOP / geschäftlich Einkommensteuergesetz],MATCH($B133,tab_MinKomp[[Stanowisko / Position ]:[Stanowisko / Position ]],0)))</f>
        <v>n/a</v>
      </c>
      <c r="W134" s="315" t="str">
        <f>IF(INDEX(tab_MinKomp[System BAAN / FINANSE (FIBU)],MATCH($B133,tab_MinKomp[[Stanowisko / Position ]:[Stanowisko / Position ]],0))="n/a","n/a",W133-INDEX(tab_MinKomp[System BAAN / FINANSE (FIBU)],MATCH($B133,tab_MinKomp[[Stanowisko / Position ]:[Stanowisko / Position ]],0)))</f>
        <v>n/a</v>
      </c>
      <c r="X134" s="315" t="str">
        <f>IF(INDEX(tab_MinKomp[Systemy pomocnicze / Hilfssysteme(STOCKPROGRAM, KALK2000 etc.)],MATCH($B133,tab_MinKomp[[Stanowisko / Position ]:[Stanowisko / Position ]],0))="n/a","n/a",X133-INDEX(tab_MinKomp[Systemy pomocnicze / Hilfssysteme(STOCKPROGRAM, KALK2000 etc.)],MATCH($B133,tab_MinKomp[[Stanowisko / Position ]:[Stanowisko / Position ]],0)))</f>
        <v>n/a</v>
      </c>
      <c r="Y134" s="315" t="str">
        <f>IF(INDEX(tab_MinKomp[Polityka rachunkowości / Buchführungspolitik],MATCH($B133,tab_MinKomp[[Stanowisko / Position ]:[Stanowisko / Position ]],0))="n/a","n/a",Y133-INDEX(tab_MinKomp[Polityka rachunkowości / Buchführungspolitik],MATCH($B133,tab_MinKomp[[Stanowisko / Position ]:[Stanowisko / Position ]],0)))</f>
        <v>n/a</v>
      </c>
      <c r="Z134" s="315" t="str">
        <f>IF(INDEX(tab_MinKomp[Ustawa o rachunkowości / Rechnungslegungsgesetz],MATCH($B133,tab_MinKomp[[Stanowisko / Position ]:[Stanowisko / Position ]],0))="n/a","n/a",Z133-INDEX(tab_MinKomp[Ustawa o rachunkowości / Rechnungslegungsgesetz],MATCH($B133,tab_MinKomp[[Stanowisko / Position ]:[Stanowisko / Position ]],0)))</f>
        <v>n/a</v>
      </c>
      <c r="AA134" s="315" t="str">
        <f>IF(INDEX(tab_MinKomp[WORKFLOW - TS-100],MATCH($B133,tab_MinKomp[[Stanowisko / Position ]:[Stanowisko / Position ]],0))="n/a","n/a",AA133-INDEX(tab_MinKomp[WORKFLOW - TS-100],MATCH($B133,tab_MinKomp[[Stanowisko / Position ]:[Stanowisko / Position ]],0)))</f>
        <v>n/a</v>
      </c>
      <c r="AB134" s="315">
        <f>IF(INDEX(tab_MinKomp[WORKFLOW - SFMS],MATCH($B133,tab_MinKomp[[Stanowisko / Position ]:[Stanowisko / Position ]],0))="n/a","n/a",AB133-INDEX(tab_MinKomp[WORKFLOW - SFMS],MATCH($B133,tab_MinKomp[[Stanowisko / Position ]:[Stanowisko / Position ]],0)))</f>
        <v>0</v>
      </c>
      <c r="AC134" s="315">
        <f>IF(INDEX(tab_MinKomp[System ISO 9001:2015],MATCH($B133,tab_MinKomp[[Stanowisko / Position ]:[Stanowisko / Position ]],0))="n/a","n/a",AC133-INDEX(tab_MinKomp[System ISO 9001:2015],MATCH($B133,tab_MinKomp[[Stanowisko / Position ]:[Stanowisko / Position ]],0)))</f>
        <v>0</v>
      </c>
      <c r="AD134" s="315">
        <f>IF(INDEX(tab_MinKomp[System IATF 16949:2016],MATCH($B133,tab_MinKomp[[Stanowisko / Position ]:[Stanowisko / Position ]],0))="n/a","n/a",AD133-INDEX(tab_MinKomp[System IATF 16949:2016],MATCH($B133,tab_MinKomp[[Stanowisko / Position ]:[Stanowisko / Position ]],0)))</f>
        <v>0</v>
      </c>
      <c r="AE134" s="315">
        <f>IF(INDEX(tab_MinKomp[System ISO 14001:2015],MATCH($B133,tab_MinKomp[[Stanowisko / Position ]:[Stanowisko / Position ]],0))="n/a","n/a",AE133-INDEX(tab_MinKomp[System ISO 14001:2015],MATCH($B133,tab_MinKomp[[Stanowisko / Position ]:[Stanowisko / Position ]],0)))</f>
        <v>-1</v>
      </c>
      <c r="AF134" s="315">
        <f>IF(INDEX(tab_MinKomp[System PN-N 18001:2004 / ISO 45001:2018],MATCH($B133,tab_MinKomp[[Stanowisko / Position ]:[Stanowisko / Position ]],0))="n/a","n/a",AF133-INDEX(tab_MinKomp[System PN-N 18001:2004 / ISO 45001:2018],MATCH($B133,tab_MinKomp[[Stanowisko / Position ]:[Stanowisko / Position ]],0)))</f>
        <v>0</v>
      </c>
      <c r="AG134" s="315">
        <f>IF(INDEX(tab_MinKomp[Wymagania VDA 6.3 Process / Forderungen],MATCH($B133,tab_MinKomp[[Stanowisko / Position ]:[Stanowisko / Position ]],0))="n/a","n/a",AG133-INDEX(tab_MinKomp[Wymagania VDA 6.3 Process / Forderungen],MATCH($B133,tab_MinKomp[[Stanowisko / Position ]:[Stanowisko / Position ]],0)))</f>
        <v>0</v>
      </c>
      <c r="AH134" s="315">
        <f>IF(INDEX(tab_MinKomp[Wymagania VDA 6.5 Product / Forderungen],MATCH($B133,tab_MinKomp[[Stanowisko / Position ]:[Stanowisko / Position ]],0))="n/a","n/a",AH133-INDEX(tab_MinKomp[Wymagania VDA 6.5 Product / Forderungen],MATCH($B133,tab_MinKomp[[Stanowisko / Position ]:[Stanowisko / Position ]],0)))</f>
        <v>0</v>
      </c>
      <c r="AI134" s="315" t="str">
        <f>IF(INDEX(tab_MinKomp[PSCR (VW Product Safety &amp; Conformity Representative)],MATCH($B133,tab_MinKomp[[Stanowisko / Position ]:[Stanowisko / Position ]],0))="n/a","n/a",AI133-INDEX(tab_MinKomp[PSCR (VW Product Safety &amp; Conformity Representative)],MATCH($B133,tab_MinKomp[[Stanowisko / Position ]:[Stanowisko / Position ]],0)))</f>
        <v>n/a</v>
      </c>
      <c r="AJ134" s="315" t="str">
        <f>IF(INDEX(tab_MinKomp[Auditor systemu ISO 17025:2018],MATCH($B133,tab_MinKomp[[Stanowisko / Position ]:[Stanowisko / Position ]],0))="n/a","n/a",AJ133-INDEX(tab_MinKomp[Auditor systemu ISO 17025:2018],MATCH($B133,tab_MinKomp[[Stanowisko / Position ]:[Stanowisko / Position ]],0)))</f>
        <v>n/a</v>
      </c>
      <c r="AK134" s="315" t="str">
        <f>IF(INDEX(tab_MinKomp[Pełnomocnik systemu / Systemvertreter],MATCH($B133,tab_MinKomp[[Stanowisko / Position ]:[Stanowisko / Position ]],0))="n/a","n/a",AK133-INDEX(tab_MinKomp[Pełnomocnik systemu / Systemvertreter],MATCH($B133,tab_MinKomp[[Stanowisko / Position ]:[Stanowisko / Position ]],0)))</f>
        <v>n/a</v>
      </c>
      <c r="AL134" s="315">
        <f>IF(INDEX(tab_MinKomp[Polityka Etyczna - Compliance],MATCH($B133,tab_MinKomp[[Stanowisko / Position ]:[Stanowisko / Position ]],0))="n/a","n/a",AL133-INDEX(tab_MinKomp[Polityka Etyczna - Compliance],MATCH($B133,tab_MinKomp[[Stanowisko / Position ]:[Stanowisko / Position ]],0)))</f>
        <v>-1</v>
      </c>
      <c r="AM134" s="315">
        <f>IF(INDEX(tab_MinKomp[WDRAŻANIE NOWYCH PROJEKTÓW/ PROCEDURA CTM],MATCH($B133,tab_MinKomp[[Stanowisko / Position ]:[Stanowisko / Position ]],0))="n/a","n/a",AM133-INDEX(tab_MinKomp[WDRAŻANIE NOWYCH PROJEKTÓW/ PROCEDURA CTM],MATCH($B133,tab_MinKomp[[Stanowisko / Position ]:[Stanowisko / Position ]],0)))</f>
        <v>0</v>
      </c>
      <c r="AN134" s="315" t="str">
        <f>IF(INDEX(tab_MinKomp[KAMIENIE MILOWE MSL/PIFF],MATCH($B133,tab_MinKomp[[Stanowisko / Position ]:[Stanowisko / Position ]],0))="n/a","n/a",AN133-INDEX(tab_MinKomp[KAMIENIE MILOWE MSL/PIFF],MATCH($B133,tab_MinKomp[[Stanowisko / Position ]:[Stanowisko / Position ]],0)))</f>
        <v>n/a</v>
      </c>
      <c r="AO134" s="315" t="str">
        <f>IF(INDEX(tab_MinKomp[CP],MATCH($B133,tab_MinKomp[[Stanowisko / Position ]:[Stanowisko / Position ]],0))="n/a","n/a",AO133-INDEX(tab_MinKomp[CP],MATCH($B133,tab_MinKomp[[Stanowisko / Position ]:[Stanowisko / Position ]],0)))</f>
        <v>n/a</v>
      </c>
      <c r="AP134" s="315">
        <f>IF(INDEX(tab_MinKomp[FMEA],MATCH($B133,tab_MinKomp[[Stanowisko / Position ]:[Stanowisko / Position ]],0))="n/a","n/a",AP133-INDEX(tab_MinKomp[FMEA],MATCH($B133,tab_MinKomp[[Stanowisko / Position ]:[Stanowisko / Position ]],0)))</f>
        <v>1</v>
      </c>
      <c r="AQ134" s="315">
        <f>IF(INDEX(tab_MinKomp[FLOW CHART],MATCH($B133,tab_MinKomp[[Stanowisko / Position ]:[Stanowisko / Position ]],0))="n/a","n/a",AQ133-INDEX(tab_MinKomp[FLOW CHART],MATCH($B133,tab_MinKomp[[Stanowisko / Position ]:[Stanowisko / Position ]],0)))</f>
        <v>1</v>
      </c>
      <c r="AR134" s="315" t="str">
        <f>IF(INDEX(tab_MinKomp[APQP],MATCH($B133,tab_MinKomp[[Stanowisko / Position ]:[Stanowisko / Position ]],0))="n/a","n/a",AR133-INDEX(tab_MinKomp[APQP],MATCH($B133,tab_MinKomp[[Stanowisko / Position ]:[Stanowisko / Position ]],0)))</f>
        <v>n/a</v>
      </c>
      <c r="AS134" s="315">
        <f>IF(INDEX(tab_MinKomp[MSA],MATCH($B133,tab_MinKomp[[Stanowisko / Position ]:[Stanowisko / Position ]],0))="n/a","n/a",AS133-INDEX(tab_MinKomp[MSA],MATCH($B133,tab_MinKomp[[Stanowisko / Position ]:[Stanowisko / Position ]],0)))</f>
        <v>1</v>
      </c>
      <c r="AT134" s="315" t="str">
        <f>IF(INDEX(tab_MinKomp[SPC],MATCH($B133,tab_MinKomp[[Stanowisko / Position ]:[Stanowisko / Position ]],0))="n/a","n/a",AT133-INDEX(tab_MinKomp[SPC],MATCH($B133,tab_MinKomp[[Stanowisko / Position ]:[Stanowisko / Position ]],0)))</f>
        <v>n/a</v>
      </c>
      <c r="AU134" s="315">
        <f>IF(INDEX(tab_MinKomp[CSR (SPECYFICZNE WYMAGANIA KLIENTA)],MATCH($B133,tab_MinKomp[[Stanowisko / Position ]:[Stanowisko / Position ]],0))="n/a","n/a",AU133-INDEX(tab_MinKomp[CSR (SPECYFICZNE WYMAGANIA KLIENTA)],MATCH($B133,tab_MinKomp[[Stanowisko / Position ]:[Stanowisko / Position ]],0)))</f>
        <v>1</v>
      </c>
      <c r="AV134" s="315">
        <f>IF(INDEX(tab_MinKomp[5S],MATCH($B133,tab_MinKomp[[Stanowisko / Position ]:[Stanowisko / Position ]],0))="n/a","n/a",AV133-INDEX(tab_MinKomp[5S],MATCH($B133,tab_MinKomp[[Stanowisko / Position ]:[Stanowisko / Position ]],0)))</f>
        <v>0</v>
      </c>
      <c r="AW134" s="315">
        <f>IF(INDEX(tab_MinKomp[LEAN MANAGEMENT],MATCH($B133,tab_MinKomp[[Stanowisko / Position ]:[Stanowisko / Position ]],0))="n/a","n/a",AW133-INDEX(tab_MinKomp[LEAN MANAGEMENT],MATCH($B133,tab_MinKomp[[Stanowisko / Position ]:[Stanowisko / Position ]],0)))</f>
        <v>0</v>
      </c>
      <c r="AX134" s="315">
        <f>IF(INDEX(tab_MinKomp[5R],MATCH($B133,tab_MinKomp[[Stanowisko / Position ]:[Stanowisko / Position ]],0))="n/a","n/a",AX133-INDEX(tab_MinKomp[5R],MATCH($B133,tab_MinKomp[[Stanowisko / Position ]:[Stanowisko / Position ]],0)))</f>
        <v>0</v>
      </c>
      <c r="AY134" s="315" t="str">
        <f>IF(INDEX(tab_MinKomp[Six Sigma],MATCH($B133,tab_MinKomp[[Stanowisko / Position ]:[Stanowisko / Position ]],0))="n/a","n/a",AY133-INDEX(tab_MinKomp[Six Sigma],MATCH($B133,tab_MinKomp[[Stanowisko / Position ]:[Stanowisko / Position ]],0)))</f>
        <v>n/a</v>
      </c>
      <c r="AZ134" s="315" t="str">
        <f>IF(INDEX(tab_MinKomp[System BAAN / Distribution &amp; Supply Chain],MATCH($B133,tab_MinKomp[[Stanowisko / Position ]:[Stanowisko / Position ]],0))="n/a","n/a",AZ133-INDEX(tab_MinKomp[System BAAN / Distribution &amp; Supply Chain],MATCH($B133,tab_MinKomp[[Stanowisko / Position ]:[Stanowisko / Position ]],0)))</f>
        <v>n/a</v>
      </c>
      <c r="BA134" s="315" t="str">
        <f>IF(INDEX(tab_MinKomp[Gospodarka magazynowa / Lagerverwaltung],MATCH($B133,tab_MinKomp[[Stanowisko / Position ]:[Stanowisko / Position ]],0))="n/a","n/a",BA133-INDEX(tab_MinKomp[Gospodarka magazynowa / Lagerverwaltung],MATCH($B133,tab_MinKomp[[Stanowisko / Position ]:[Stanowisko / Position ]],0)))</f>
        <v>n/a</v>
      </c>
      <c r="BB134" s="315" t="str">
        <f>IF(INDEX(tab_MinKomp[Inwentaryzacja - organizacja i przebieg / Inventurprozess],MATCH($B133,tab_MinKomp[[Stanowisko / Position ]:[Stanowisko / Position ]],0))="n/a","n/a",BB133-INDEX(tab_MinKomp[Inwentaryzacja - organizacja i przebieg / Inventurprozess],MATCH($B133,tab_MinKomp[[Stanowisko / Position ]:[Stanowisko / Position ]],0)))</f>
        <v>n/a</v>
      </c>
      <c r="BC134" s="315" t="str">
        <f>IF(INDEX(tab_MinKomp[Organizacja dostaw / Versorgungsorganisation],MATCH($B133,tab_MinKomp[[Stanowisko / Position ]:[Stanowisko / Position ]],0))="n/a","n/a",BC133-INDEX(tab_MinKomp[Organizacja dostaw / Versorgungsorganisation],MATCH($B133,tab_MinKomp[[Stanowisko / Position ]:[Stanowisko / Position ]],0)))</f>
        <v>n/a</v>
      </c>
      <c r="BD134" s="315" t="str">
        <f>IF(INDEX(tab_MinKomp[Organizacja wysyłek / Organisation von Lieferungen],MATCH($B133,tab_MinKomp[[Stanowisko / Position ]:[Stanowisko / Position ]],0))="n/a","n/a",BD133-INDEX(tab_MinKomp[Organizacja wysyłek / Organisation von Lieferungen],MATCH($B133,tab_MinKomp[[Stanowisko / Position ]:[Stanowisko / Position ]],0)))</f>
        <v>n/a</v>
      </c>
      <c r="BE134" s="315" t="str">
        <f>IF(INDEX(tab_MinKomp[Analiza magazynowa - Program Polen.mdb / Inventuranalyse],MATCH($B133,tab_MinKomp[[Stanowisko / Position ]:[Stanowisko / Position ]],0))="n/a","n/a",BE133-INDEX(tab_MinKomp[Analiza magazynowa - Program Polen.mdb / Inventuranalyse],MATCH($B133,tab_MinKomp[[Stanowisko / Position ]:[Stanowisko / Position ]],0)))</f>
        <v>n/a</v>
      </c>
      <c r="BF134" s="315" t="str">
        <f>IF(INDEX(tab_MinKomp[MMOG (Materials Management Operations Guidelines)],MATCH($B133,tab_MinKomp[[Stanowisko / Position ]:[Stanowisko / Position ]],0))="n/a","n/a",BF133-INDEX(tab_MinKomp[MMOG (Materials Management Operations Guidelines)],MATCH($B133,tab_MinKomp[[Stanowisko / Position ]:[Stanowisko / Position ]],0)))</f>
        <v>n/a</v>
      </c>
      <c r="BG134" s="315" t="str">
        <f>IF(INDEX(tab_MinKomp[GPP],MATCH($B133,tab_MinKomp[[Stanowisko / Position ]:[Stanowisko / Position ]],0))="n/a","n/a",BG133-INDEX(tab_MinKomp[GPP],MATCH($B133,tab_MinKomp[[Stanowisko / Position ]:[Stanowisko / Position ]],0)))</f>
        <v>n/a</v>
      </c>
      <c r="BH134" s="315" t="str">
        <f>IF(INDEX(tab_MinKomp[AIAG (Automotive Industry Action Group)],MATCH($B133,tab_MinKomp[[Stanowisko / Position ]:[Stanowisko / Position ]],0))="n/a","n/a",BH133-INDEX(tab_MinKomp[AIAG (Automotive Industry Action Group)],MATCH($B133,tab_MinKomp[[Stanowisko / Position ]:[Stanowisko / Position ]],0)))</f>
        <v>n/a</v>
      </c>
      <c r="BI134" s="315" t="str">
        <f>IF(INDEX(tab_MinKomp[Super-G disputes],MATCH($B133,tab_MinKomp[[Stanowisko / Position ]:[Stanowisko / Position ]],0))="n/a","n/a",BI133-INDEX(tab_MinKomp[Super-G disputes],MATCH($B133,tab_MinKomp[[Stanowisko / Position ]:[Stanowisko / Position ]],0)))</f>
        <v>n/a</v>
      </c>
      <c r="BJ134" s="315" t="str">
        <f>IF(INDEX(tab_MinKomp[CMMS3/eDDL (Direct Data Link)],MATCH($B133,tab_MinKomp[[Stanowisko / Position ]:[Stanowisko / Position ]],0))="n/a","n/a",BJ133-INDEX(tab_MinKomp[CMMS3/eDDL (Direct Data Link)],MATCH($B133,tab_MinKomp[[Stanowisko / Position ]:[Stanowisko / Position ]],0)))</f>
        <v>n/a</v>
      </c>
      <c r="BK134" s="315" t="str">
        <f>IF(INDEX(tab_MinKomp[MP&amp;L (Material Planning and Logistics)],MATCH($B133,tab_MinKomp[[Stanowisko / Position ]:[Stanowisko / Position ]],0))="n/a","n/a",BK133-INDEX(tab_MinKomp[MP&amp;L (Material Planning and Logistics)],MATCH($B133,tab_MinKomp[[Stanowisko / Position ]:[Stanowisko / Position ]],0)))</f>
        <v>n/a</v>
      </c>
      <c r="BL134" s="315" t="str">
        <f>IF(INDEX(tab_MinKomp[Supplier delivery rating],MATCH($B133,tab_MinKomp[[Stanowisko / Position ]:[Stanowisko / Position ]],0))="n/a","n/a",BL133-INDEX(tab_MinKomp[Supplier delivery rating],MATCH($B133,tab_MinKomp[[Stanowisko / Position ]:[Stanowisko / Position ]],0)))</f>
        <v>n/a</v>
      </c>
      <c r="BM134" s="315">
        <f>IF(INDEX(tab_MinKomp[Planowanie produkcji / Produktionsplanung],MATCH($B133,tab_MinKomp[[Stanowisko / Position ]:[Stanowisko / Position ]],0))="n/a","n/a",BM133-INDEX(tab_MinKomp[Planowanie produkcji / Produktionsplanung],MATCH($B133,tab_MinKomp[[Stanowisko / Position ]:[Stanowisko / Position ]],0)))</f>
        <v>0</v>
      </c>
      <c r="BN134" s="315">
        <f>IF(INDEX(tab_MinKomp[Obsługa maszyn Engel / Engel Maschinenbedienung],MATCH($B133,tab_MinKomp[[Stanowisko / Position ]:[Stanowisko / Position ]],0))="n/a","n/a",BN133-INDEX(tab_MinKomp[Obsługa maszyn Engel / Engel Maschinenbedienung],MATCH($B133,tab_MinKomp[[Stanowisko / Position ]:[Stanowisko / Position ]],0)))</f>
        <v>0</v>
      </c>
      <c r="BO134" s="315">
        <f>IF(INDEX(tab_MinKomp[Obsługa maszyn Novapax / Novapax Maschinenbedienung],MATCH($B133,tab_MinKomp[[Stanowisko / Position ]:[Stanowisko / Position ]],0))="n/a","n/a",BO133-INDEX(tab_MinKomp[Obsługa maszyn Novapax / Novapax Maschinenbedienung],MATCH($B133,tab_MinKomp[[Stanowisko / Position ]:[Stanowisko / Position ]],0)))</f>
        <v>0</v>
      </c>
      <c r="BP134" s="315">
        <f>IF(INDEX(tab_MinKomp[Obsługa maszyn KVT / KVT Maschinenbedienung],MATCH($B133,tab_MinKomp[[Stanowisko / Position ]:[Stanowisko / Position ]],0))="n/a","n/a",BP133-INDEX(tab_MinKomp[Obsługa maszyn KVT / KVT Maschinenbedienung],MATCH($B133,tab_MinKomp[[Stanowisko / Position ]:[Stanowisko / Position ]],0)))</f>
        <v>0</v>
      </c>
      <c r="BQ134" s="315">
        <f>IF(INDEX(tab_MinKomp[Obsługa maszyn ASL / ASL Maschinenbedienung],MATCH($B133,tab_MinKomp[[Stanowisko / Position ]:[Stanowisko / Position ]],0))="n/a","n/a",BQ133-INDEX(tab_MinKomp[Obsługa maszyn ASL / ASL Maschinenbedienung],MATCH($B133,tab_MinKomp[[Stanowisko / Position ]:[Stanowisko / Position ]],0)))</f>
        <v>0</v>
      </c>
      <c r="BR134" s="315">
        <f>IF(INDEX(tab_MinKomp[Obsługa maszyn Branson / Branson Maschinenbedienung],MATCH($B133,tab_MinKomp[[Stanowisko / Position ]:[Stanowisko / Position ]],0))="n/a","n/a",BR133-INDEX(tab_MinKomp[Obsługa maszyn Branson / Branson Maschinenbedienung],MATCH($B133,tab_MinKomp[[Stanowisko / Position ]:[Stanowisko / Position ]],0)))</f>
        <v>0</v>
      </c>
      <c r="BS134" s="315">
        <f>IF(INDEX(tab_MinKomp[Obsługa maszyn Kamtec / Kamtec Maschinenbedienung],MATCH($B133,tab_MinKomp[[Stanowisko / Position ]:[Stanowisko / Position ]],0))="n/a","n/a",BS133-INDEX(tab_MinKomp[Obsługa maszyn Kamtec / Kamtec Maschinenbedienung],MATCH($B133,tab_MinKomp[[Stanowisko / Position ]:[Stanowisko / Position ]],0)))</f>
        <v>0</v>
      </c>
      <c r="BT134" s="315">
        <f>IF(INDEX(tab_MinKomp[Obsługa maszyn Piovan / Piovan Maschinenbedienung],MATCH($B133,tab_MinKomp[[Stanowisko / Position ]:[Stanowisko / Position ]],0))="n/a","n/a",BT133-INDEX(tab_MinKomp[Obsługa maszyn Piovan / Piovan Maschinenbedienung],MATCH($B133,tab_MinKomp[[Stanowisko / Position ]:[Stanowisko / Position ]],0)))</f>
        <v>0</v>
      </c>
      <c r="BU134" s="315">
        <f>IF(INDEX(tab_MinKomp[Obsługa maszyn REP / REP Maschinenbedienung],MATCH($B133,tab_MinKomp[[Stanowisko / Position ]:[Stanowisko / Position ]],0))="n/a","n/a",BU133-INDEX(tab_MinKomp[Obsługa maszyn REP / REP Maschinenbedienung],MATCH($B133,tab_MinKomp[[Stanowisko / Position ]:[Stanowisko / Position ]],0)))</f>
        <v>0</v>
      </c>
      <c r="BV134" s="315">
        <f>IF(INDEX(tab_MinKomp[Eliminacja awarii / Beseitigung von Ausfällen],MATCH($B133,tab_MinKomp[[Stanowisko / Position ]:[Stanowisko / Position ]],0))="n/a","n/a",BV133-INDEX(tab_MinKomp[Eliminacja awarii / Beseitigung von Ausfällen],MATCH($B133,tab_MinKomp[[Stanowisko / Position ]:[Stanowisko / Position ]],0)))</f>
        <v>0</v>
      </c>
      <c r="BW134" s="315" t="str">
        <f>IF(INDEX(tab_MinKomp[Informatyka ogólna (techniczne i systemowe) / Allgemeine IT (Technik und System)],MATCH($B133,tab_MinKomp[[Stanowisko / Position ]:[Stanowisko / Position ]],0))="n/a","n/a",BW133-INDEX(tab_MinKomp[Informatyka ogólna (techniczne i systemowe) / Allgemeine IT (Technik und System)],MATCH($B133,tab_MinKomp[[Stanowisko / Position ]:[Stanowisko / Position ]],0)))</f>
        <v>n/a</v>
      </c>
      <c r="BX134" s="315" t="str">
        <f>IF(INDEX(tab_MinKomp[Sieci komputerowe / Computernetzwerke],MATCH($B133,tab_MinKomp[[Stanowisko / Position ]:[Stanowisko / Position ]],0))="n/a","n/a",BX133-INDEX(tab_MinKomp[Sieci komputerowe / Computernetzwerke],MATCH($B133,tab_MinKomp[[Stanowisko / Position ]:[Stanowisko / Position ]],0)))</f>
        <v>n/a</v>
      </c>
      <c r="BY134" s="315" t="str">
        <f>IF(INDEX(tab_MinKomp[Hardware (komputery PC, drukarki biurowe i etykietowe, telefonia stacjonarna i mobilna) (PC, Drucker, Telefpne, Handys)],MATCH($B133,tab_MinKomp[[Stanowisko / Position ]:[Stanowisko / Position ]],0))="n/a","n/a",BY133-INDEX(tab_MinKomp[Hardware (komputery PC, drukarki biurowe i etykietowe, telefonia stacjonarna i mobilna) (PC, Drucker, Telefpne, Handys)],MATCH($B133,tab_MinKomp[[Stanowisko / Position ]:[Stanowisko / Position ]],0)))</f>
        <v>n/a</v>
      </c>
      <c r="BZ134" s="315" t="str">
        <f>IF(INDEX(tab_MinKomp[Software &amp; Systems (MS Office, MS Remote Desktop)],MATCH($B133,tab_MinKomp[[Stanowisko / Position ]:[Stanowisko / Position ]],0))="n/a","n/a",BZ133-INDEX(tab_MinKomp[Software &amp; Systems (MS Office, MS Remote Desktop)],MATCH($B133,tab_MinKomp[[Stanowisko / Position ]:[Stanowisko / Position ]],0)))</f>
        <v>n/a</v>
      </c>
      <c r="CA134" s="315" t="str">
        <f>IF(INDEX(tab_MinKomp[Programowanie obiektowe (PHP) / Objektprogrammierung],MATCH($B133,tab_MinKomp[[Stanowisko / Position ]:[Stanowisko / Position ]],0))="n/a","n/a",CA133-INDEX(tab_MinKomp[Programowanie obiektowe (PHP) / Objektprogrammierung],MATCH($B133,tab_MinKomp[[Stanowisko / Position ]:[Stanowisko / Position ]],0)))</f>
        <v>n/a</v>
      </c>
      <c r="CB134" s="315" t="str">
        <f>IF(INDEX(tab_MinKomp[Scrum],MATCH($B133,tab_MinKomp[[Stanowisko / Position ]:[Stanowisko / Position ]],0))="n/a","n/a",CB133-INDEX(tab_MinKomp[Scrum],MATCH($B133,tab_MinKomp[[Stanowisko / Position ]:[Stanowisko / Position ]],0)))</f>
        <v>n/a</v>
      </c>
      <c r="CC134" s="315" t="str">
        <f>IF(INDEX(tab_MinKomp[SQL (MySQL)],MATCH($B133,tab_MinKomp[[Stanowisko / Position ]:[Stanowisko / Position ]],0))="n/a","n/a",CC133-INDEX(tab_MinKomp[SQL (MySQL)],MATCH($B133,tab_MinKomp[[Stanowisko / Position ]:[Stanowisko / Position ]],0)))</f>
        <v>n/a</v>
      </c>
      <c r="CD134" s="315" t="str">
        <f>IF(INDEX(tab_MinKomp[Javascript],MATCH($B133,tab_MinKomp[[Stanowisko / Position ]:[Stanowisko / Position ]],0))="n/a","n/a",CD133-INDEX(tab_MinKomp[Javascript],MATCH($B133,tab_MinKomp[[Stanowisko / Position ]:[Stanowisko / Position ]],0)))</f>
        <v>n/a</v>
      </c>
      <c r="CE134" s="315" t="str">
        <f>IF(INDEX(tab_MinKomp[Joomla],MATCH($B133,tab_MinKomp[[Stanowisko / Position ]:[Stanowisko / Position ]],0))="n/a","n/a",CE133-INDEX(tab_MinKomp[Joomla],MATCH($B133,tab_MinKomp[[Stanowisko / Position ]:[Stanowisko / Position ]],0)))</f>
        <v>n/a</v>
      </c>
      <c r="CF134" s="315" t="str">
        <f>IF(INDEX(tab_MinKomp[Bash],MATCH($B133,tab_MinKomp[[Stanowisko / Position ]:[Stanowisko / Position ]],0))="n/a","n/a",CF133-INDEX(tab_MinKomp[Bash],MATCH($B133,tab_MinKomp[[Stanowisko / Position ]:[Stanowisko / Position ]],0)))</f>
        <v>n/a</v>
      </c>
      <c r="CG134" s="315" t="str">
        <f>IF(INDEX(tab_MinKomp[Systemy MES (HYDRA / SFMS)],MATCH($B133,tab_MinKomp[[Stanowisko / Position ]:[Stanowisko / Position ]],0))="n/a","n/a",CG133-INDEX(tab_MinKomp[Systemy MES (HYDRA / SFMS)],MATCH($B133,tab_MinKomp[[Stanowisko / Position ]:[Stanowisko / Position ]],0)))</f>
        <v>n/a</v>
      </c>
      <c r="CH134" s="315" t="str">
        <f>IF(INDEX(tab_MinKomp[HTML / CSS],MATCH($B133,tab_MinKomp[[Stanowisko / Position ]:[Stanowisko / Position ]],0))="n/a","n/a",CH133-INDEX(tab_MinKomp[HTML / CSS],MATCH($B133,tab_MinKomp[[Stanowisko / Position ]:[Stanowisko / Position ]],0)))</f>
        <v>n/a</v>
      </c>
      <c r="CI134" s="315">
        <f>IF(INDEX(tab_MinKomp[SYSTEM PR],MATCH($B133,tab_MinKomp[[Stanowisko / Position ]:[Stanowisko / Position ]],0))="n/a","n/a",CI133-INDEX(tab_MinKomp[SYSTEM PR],MATCH($B133,tab_MinKomp[[Stanowisko / Position ]:[Stanowisko / Position ]],0)))</f>
        <v>0</v>
      </c>
      <c r="CJ134" s="315">
        <f>IF(INDEX(tab_MinKomp[System Einkauf XP / EBA],MATCH($B133,tab_MinKomp[[Stanowisko / Position ]:[Stanowisko / Position ]],0))="n/a","n/a",CJ133-INDEX(tab_MinKomp[System Einkauf XP / EBA],MATCH($B133,tab_MinKomp[[Stanowisko / Position ]:[Stanowisko / Position ]],0)))</f>
        <v>-1</v>
      </c>
      <c r="CK134" s="315">
        <f>IF(INDEX(tab_MinKomp[Techniki negocjacyjne / Verhandlungstechniken],MATCH($B133,tab_MinKomp[[Stanowisko / Position ]:[Stanowisko / Position ]],0))="n/a","n/a",CK133-INDEX(tab_MinKomp[Techniki negocjacyjne / Verhandlungstechniken],MATCH($B133,tab_MinKomp[[Stanowisko / Position ]:[Stanowisko / Position ]],0)))</f>
        <v>0</v>
      </c>
      <c r="CL134" s="315" t="str">
        <f>IF(INDEX(tab_MinKomp[Znajomość rynku branżowego / Kenntnis des Industrie Marktes],MATCH($B133,tab_MinKomp[[Stanowisko / Position ]:[Stanowisko / Position ]],0))="n/a","n/a",CL133-INDEX(tab_MinKomp[Znajomość rynku branżowego / Kenntnis des Industrie Marktes],MATCH($B133,tab_MinKomp[[Stanowisko / Position ]:[Stanowisko / Position ]],0)))</f>
        <v>n/a</v>
      </c>
      <c r="CM134" s="315">
        <f>IF(INDEX(tab_MinKomp[RAPORTY 8D / 8D Berichten],MATCH($B133,tab_MinKomp[[Stanowisko / Position ]:[Stanowisko / Position ]],0))="n/a","n/a",CM133-INDEX(tab_MinKomp[RAPORTY 8D / 8D Berichten],MATCH($B133,tab_MinKomp[[Stanowisko / Position ]:[Stanowisko / Position ]],0)))</f>
        <v>1</v>
      </c>
      <c r="CN134" s="315">
        <f>IF(INDEX(tab_MinKomp[NARZĘDZIA JAKOŚCIOWE (5WHY, Ishikawa, etc) / QS-Werkzeuge],MATCH($B133,tab_MinKomp[[Stanowisko / Position ]:[Stanowisko / Position ]],0))="n/a","n/a",CN133-INDEX(tab_MinKomp[NARZĘDZIA JAKOŚCIOWE (5WHY, Ishikawa, etc) / QS-Werkzeuge],MATCH($B133,tab_MinKomp[[Stanowisko / Position ]:[Stanowisko / Position ]],0)))</f>
        <v>1</v>
      </c>
      <c r="CO134" s="315">
        <f>IF(INDEX(tab_MinKomp[PDCA],MATCH($B133,tab_MinKomp[[Stanowisko / Position ]:[Stanowisko / Position ]],0))="n/a","n/a",CO133-INDEX(tab_MinKomp[PDCA],MATCH($B133,tab_MinKomp[[Stanowisko / Position ]:[Stanowisko / Position ]],0)))</f>
        <v>0</v>
      </c>
      <c r="CP134" s="315">
        <f>IF(INDEX(tab_MinKomp[Pareto],MATCH($B133,tab_MinKomp[[Stanowisko / Position ]:[Stanowisko / Position ]],0))="n/a","n/a",CP133-INDEX(tab_MinKomp[Pareto],MATCH($B133,tab_MinKomp[[Stanowisko / Position ]:[Stanowisko / Position ]],0)))</f>
        <v>0</v>
      </c>
      <c r="CQ134" s="315" t="str">
        <f>IF(INDEX(tab_MinKomp[PPAP/PSW],MATCH($B133,tab_MinKomp[[Stanowisko / Position ]:[Stanowisko / Position ]],0))="n/a","n/a",CQ133-INDEX(tab_MinKomp[PPAP/PSW],MATCH($B133,tab_MinKomp[[Stanowisko / Position ]:[Stanowisko / Position ]],0)))</f>
        <v>n/a</v>
      </c>
      <c r="CR134" s="315" t="str">
        <f>IF(INDEX(tab_MinKomp[SUPPLIER MANAGEMENT],MATCH($B133,tab_MinKomp[[Stanowisko / Position ]:[Stanowisko / Position ]],0))="n/a","n/a",CR133-INDEX(tab_MinKomp[SUPPLIER MANAGEMENT],MATCH($B133,tab_MinKomp[[Stanowisko / Position ]:[Stanowisko / Position ]],0)))</f>
        <v>n/a</v>
      </c>
      <c r="CS134" s="315" t="str">
        <f>IF(INDEX(tab_MinKomp[OBSŁUGA PORTALI KLIENTA / Kundenportale],MATCH($B133,tab_MinKomp[[Stanowisko / Position ]:[Stanowisko / Position ]],0))="n/a","n/a",CS133-INDEX(tab_MinKomp[OBSŁUGA PORTALI KLIENTA / Kundenportale],MATCH($B133,tab_MinKomp[[Stanowisko / Position ]:[Stanowisko / Position ]],0)))</f>
        <v>n/a</v>
      </c>
      <c r="CT134" s="315" t="str">
        <f>IF(INDEX(tab_MinKomp[Obsługa systemu BABTECQ / BABTECQ System],MATCH($B133,tab_MinKomp[[Stanowisko / Position ]:[Stanowisko / Position ]],0))="n/a","n/a",CT133-INDEX(tab_MinKomp[Obsługa systemu BABTECQ / BABTECQ System],MATCH($B133,tab_MinKomp[[Stanowisko / Position ]:[Stanowisko / Position ]],0)))</f>
        <v>n/a</v>
      </c>
      <c r="CU134" s="315">
        <f>IF(INDEX(tab_MinKomp[Rysunek techniczny / technische Zeichnung],MATCH($B133,tab_MinKomp[[Stanowisko / Position ]:[Stanowisko / Position ]],0))="n/a","n/a",CU133-INDEX(tab_MinKomp[Rysunek techniczny / technische Zeichnung],MATCH($B133,tab_MinKomp[[Stanowisko / Position ]:[Stanowisko / Position ]],0)))</f>
        <v>1</v>
      </c>
      <c r="CV134" s="315">
        <f>IF(INDEX(tab_MinKomp[Kalibracja / Kalibrierung],MATCH($B133,tab_MinKomp[[Stanowisko / Position ]:[Stanowisko / Position ]],0))="n/a","n/a",CV133-INDEX(tab_MinKomp[Kalibracja / Kalibrierung],MATCH($B133,tab_MinKomp[[Stanowisko / Position ]:[Stanowisko / Position ]],0)))</f>
        <v>2</v>
      </c>
      <c r="CW134" s="315" t="str">
        <f>IF(INDEX(tab_MinKomp[Rekwalifikacja / Requalifizierung],MATCH($B133,tab_MinKomp[[Stanowisko / Position ]:[Stanowisko / Position ]],0))="n/a","n/a",CW133-INDEX(tab_MinKomp[Rekwalifikacja / Requalifizierung],MATCH($B133,tab_MinKomp[[Stanowisko / Position ]:[Stanowisko / Position ]],0)))</f>
        <v>n/a</v>
      </c>
      <c r="CX134" s="315" t="str">
        <f>IF(INDEX(tab_MinKomp[CMM - Contura Zeiss],MATCH($B133,tab_MinKomp[[Stanowisko / Position ]:[Stanowisko / Position ]],0))="n/a","n/a",CX133-INDEX(tab_MinKomp[CMM - Contura Zeiss],MATCH($B133,tab_MinKomp[[Stanowisko / Position ]:[Stanowisko / Position ]],0)))</f>
        <v>n/a</v>
      </c>
      <c r="CY134" s="315" t="str">
        <f>IF(INDEX(tab_MinKomp[CMM - Contura Zeiss],MATCH($B133,tab_MinKomp[[Stanowisko / Position ]:[Stanowisko / Position ]],0))="n/a","n/a",CY133-INDEX(tab_MinKomp[CMM - Contura Zeiss],MATCH($B133,tab_MinKomp[[Stanowisko / Position ]:[Stanowisko / Position ]],0)))</f>
        <v>n/a</v>
      </c>
      <c r="CZ134" s="315" t="str">
        <f>IF(INDEX(tab_MinKomp[CMM - Contura Zeiss],MATCH($B133,tab_MinKomp[[Stanowisko / Position ]:[Stanowisko / Position ]],0))="n/a","n/a",CZ133-INDEX(tab_MinKomp[CMM - Contura Zeiss],MATCH($B133,tab_MinKomp[[Stanowisko / Position ]:[Stanowisko / Position ]],0)))</f>
        <v>n/a</v>
      </c>
      <c r="DA134" s="315" t="str">
        <f>IF(INDEX(tab_MinKomp[CMM - Contura Zeiss],MATCH($B133,tab_MinKomp[[Stanowisko / Position ]:[Stanowisko / Position ]],0))="n/a","n/a",DA133-INDEX(tab_MinKomp[CMM - Contura Zeiss],MATCH($B133,tab_MinKomp[[Stanowisko / Position ]:[Stanowisko / Position ]],0)))</f>
        <v>n/a</v>
      </c>
      <c r="DB134" s="315" t="str">
        <f>IF(INDEX(tab_MinKomp[CMM - Contura Zeiss],MATCH($B133,tab_MinKomp[[Stanowisko / Position ]:[Stanowisko / Position ]],0))="n/a","n/a",DB133-INDEX(tab_MinKomp[CMM - Contura Zeiss],MATCH($B133,tab_MinKomp[[Stanowisko / Position ]:[Stanowisko / Position ]],0)))</f>
        <v>n/a</v>
      </c>
      <c r="DC134" s="315" t="str">
        <f>IF(INDEX(tab_MinKomp[CMM - Contura Zeiss],MATCH($B133,tab_MinKomp[[Stanowisko / Position ]:[Stanowisko / Position ]],0))="n/a","n/a",DC133-INDEX(tab_MinKomp[CMM - Contura Zeiss],MATCH($B133,tab_MinKomp[[Stanowisko / Position ]:[Stanowisko / Position ]],0)))</f>
        <v>n/a</v>
      </c>
      <c r="DD134" s="315" t="str">
        <f>IF(INDEX(tab_MinKomp[Pisanie programów / Programme schreiben],MATCH($B133,tab_MinKomp[[Stanowisko / Position ]:[Stanowisko / Position ]],0))="n/a","n/a",DD133-INDEX(tab_MinKomp[Pisanie programów / Programme schreiben],MATCH($B133,tab_MinKomp[[Stanowisko / Position ]:[Stanowisko / Position ]],0)))</f>
        <v>n/a</v>
      </c>
      <c r="DE134" s="315" t="str">
        <f>IF(INDEX(tab_MinKomp[CMM - Contura Zeiss],MATCH($B133,tab_MinKomp[[Stanowisko / Position ]:[Stanowisko / Position ]],0))="n/a","n/a",DE133-INDEX(tab_MinKomp[CMM - Contura Zeiss],MATCH($B133,tab_MinKomp[[Stanowisko / Position ]:[Stanowisko / Position ]],0)))</f>
        <v>n/a</v>
      </c>
      <c r="DF134" s="315" t="str">
        <f>IF(INDEX(tab_MinKomp[CMM - Contura Zeiss],MATCH($B133,tab_MinKomp[[Stanowisko / Position ]:[Stanowisko / Position ]],0))="n/a","n/a",DF133-INDEX(tab_MinKomp[CMM - Contura Zeiss],MATCH($B133,tab_MinKomp[[Stanowisko / Position ]:[Stanowisko / Position ]],0)))</f>
        <v>n/a</v>
      </c>
      <c r="DG134" s="315" t="str">
        <f>IF(INDEX(tab_MinKomp[CMM - Contura Zeiss],MATCH($B133,tab_MinKomp[[Stanowisko / Position ]:[Stanowisko / Position ]],0))="n/a","n/a",DG133-INDEX(tab_MinKomp[CMM - Contura Zeiss],MATCH($B133,tab_MinKomp[[Stanowisko / Position ]:[Stanowisko / Position ]],0)))</f>
        <v>n/a</v>
      </c>
      <c r="DH134" s="315" t="str">
        <f>IF(INDEX(tab_MinKomp[CMM - Contura Zeiss],MATCH($B133,tab_MinKomp[[Stanowisko / Position ]:[Stanowisko / Position ]],0))="n/a","n/a",DH133-INDEX(tab_MinKomp[CMM - Contura Zeiss],MATCH($B133,tab_MinKomp[[Stanowisko / Position ]:[Stanowisko / Position ]],0)))</f>
        <v>n/a</v>
      </c>
      <c r="DI134" s="315" t="str">
        <f>IF(INDEX(tab_MinKomp[CMM - Contura Zeiss],MATCH($B133,tab_MinKomp[[Stanowisko / Position ]:[Stanowisko / Position ]],0))="n/a","n/a",DI133-INDEX(tab_MinKomp[CMM - Contura Zeiss],MATCH($B133,tab_MinKomp[[Stanowisko / Position ]:[Stanowisko / Position ]],0)))</f>
        <v>n/a</v>
      </c>
      <c r="DJ134" s="315" t="str">
        <f>IF(INDEX(tab_MinKomp[CMM - Contura Zeiss],MATCH($B133,tab_MinKomp[[Stanowisko / Position ]:[Stanowisko / Position ]],0))="n/a","n/a",DJ133-INDEX(tab_MinKomp[CMM - Contura Zeiss],MATCH($B133,tab_MinKomp[[Stanowisko / Position ]:[Stanowisko / Position ]],0)))</f>
        <v>n/a</v>
      </c>
      <c r="DK134" s="315" t="str">
        <f>IF(INDEX(tab_MinKomp[Pisanie programów / Programme schreiben],MATCH($B133,tab_MinKomp[[Stanowisko / Position ]:[Stanowisko / Position ]],0))="n/a","n/a",DK133-INDEX(tab_MinKomp[Pisanie programów / Programme schreiben],MATCH($B133,tab_MinKomp[[Stanowisko / Position ]:[Stanowisko / Position ]],0)))</f>
        <v>n/a</v>
      </c>
      <c r="DL134" s="315" t="str">
        <f>IF(INDEX(tab_MinKomp[CMM - Contura Zeiss],MATCH($B133,tab_MinKomp[[Stanowisko / Position ]:[Stanowisko / Position ]],0))="n/a","n/a",DL133-INDEX(tab_MinKomp[CMM - Contura Zeiss],MATCH($B133,tab_MinKomp[[Stanowisko / Position ]:[Stanowisko / Position ]],0)))</f>
        <v>n/a</v>
      </c>
      <c r="DM134" s="315" t="str">
        <f>IF(INDEX(tab_MinKomp[CMM - Contura Zeiss],MATCH($B133,tab_MinKomp[[Stanowisko / Position ]:[Stanowisko / Position ]],0))="n/a","n/a",DM133-INDEX(tab_MinKomp[CMM - Contura Zeiss],MATCH($B133,tab_MinKomp[[Stanowisko / Position ]:[Stanowisko / Position ]],0)))</f>
        <v>n/a</v>
      </c>
      <c r="DN134" s="315" t="str">
        <f>IF(INDEX(tab_MinKomp[CMM - Contura Zeiss],MATCH($B133,tab_MinKomp[[Stanowisko / Position ]:[Stanowisko / Position ]],0))="n/a","n/a",DN133-INDEX(tab_MinKomp[CMM - Contura Zeiss],MATCH($B133,tab_MinKomp[[Stanowisko / Position ]:[Stanowisko / Position ]],0)))</f>
        <v>n/a</v>
      </c>
      <c r="DO134" s="315" t="str">
        <f>IF(INDEX(tab_MinKomp[CMM - Contura Zeiss],MATCH($B133,tab_MinKomp[[Stanowisko / Position ]:[Stanowisko / Position ]],0))="n/a","n/a",DO133-INDEX(tab_MinKomp[CMM - Contura Zeiss],MATCH($B133,tab_MinKomp[[Stanowisko / Position ]:[Stanowisko / Position ]],0)))</f>
        <v>n/a</v>
      </c>
      <c r="DP134" s="315" t="str">
        <f>IF(INDEX(tab_MinKomp[CMM - Contura Zeiss],MATCH($B133,tab_MinKomp[[Stanowisko / Position ]:[Stanowisko / Position ]],0))="n/a","n/a",DP133-INDEX(tab_MinKomp[CMM - Contura Zeiss],MATCH($B133,tab_MinKomp[[Stanowisko / Position ]:[Stanowisko / Position ]],0)))</f>
        <v>n/a</v>
      </c>
      <c r="DQ134" s="315" t="str">
        <f>IF(INDEX(tab_MinKomp[CMM - Contura Zeiss],MATCH($B133,tab_MinKomp[[Stanowisko / Position ]:[Stanowisko / Position ]],0))="n/a","n/a",DQ133-INDEX(tab_MinKomp[CMM - Contura Zeiss],MATCH($B133,tab_MinKomp[[Stanowisko / Position ]:[Stanowisko / Position ]],0)))</f>
        <v>n/a</v>
      </c>
      <c r="DR134" s="315" t="str">
        <f>IF(INDEX(tab_MinKomp[Pisanie programów / Programme schreiben],MATCH($B133,tab_MinKomp[[Stanowisko / Position ]:[Stanowisko / Position ]],0))="n/a","n/a",DR133-INDEX(tab_MinKomp[Pisanie programów / Programme schreiben],MATCH($B133,tab_MinKomp[[Stanowisko / Position ]:[Stanowisko / Position ]],0)))</f>
        <v>n/a</v>
      </c>
      <c r="DS134" s="315" t="str">
        <f>IF(INDEX(tab_MinKomp[CMM - Contura Zeiss],MATCH($B133,tab_MinKomp[[Stanowisko / Position ]:[Stanowisko / Position ]],0))="n/a","n/a",DS133-INDEX(tab_MinKomp[CMM - Contura Zeiss],MATCH($B133,tab_MinKomp[[Stanowisko / Position ]:[Stanowisko / Position ]],0)))</f>
        <v>n/a</v>
      </c>
      <c r="DT134" s="315" t="str">
        <f>IF(INDEX(tab_MinKomp[CMM - Contura Zeiss],MATCH($B133,tab_MinKomp[[Stanowisko / Position ]:[Stanowisko / Position ]],0))="n/a","n/a",DT133-INDEX(tab_MinKomp[CMM - Contura Zeiss],MATCH($B133,tab_MinKomp[[Stanowisko / Position ]:[Stanowisko / Position ]],0)))</f>
        <v>n/a</v>
      </c>
      <c r="DU134" s="315" t="str">
        <f>IF(INDEX(tab_MinKomp[MSA i SPC],MATCH($B133,tab_MinKomp[[Stanowisko / Position ]:[Stanowisko / Position ]],0))="n/a","n/a",DU133-INDEX(tab_MinKomp[MSA i SPC],MATCH($B133,tab_MinKomp[[Stanowisko / Position ]:[Stanowisko / Position ]],0)))</f>
        <v>n/a</v>
      </c>
      <c r="DV134" s="315" t="str">
        <f>IF(INDEX(tab_MinKomp[Kontrola wejściowa komponentów/ Eingangskontrolle],MATCH($B133,tab_MinKomp[[Stanowisko / Position ]:[Stanowisko / Position ]],0))="n/a","n/a",DV133-INDEX(tab_MinKomp[Kontrola wejściowa komponentów/ Eingangskontrolle],MATCH($B133,tab_MinKomp[[Stanowisko / Position ]:[Stanowisko / Position ]],0)))</f>
        <v>n/a</v>
      </c>
      <c r="DW134" s="315" t="str">
        <f>IF(INDEX(tab_MinKomp[Kontrola wyjściowa produktu / Ausgangskontrolle],MATCH($B133,tab_MinKomp[[Stanowisko / Position ]:[Stanowisko / Position ]],0))="n/a","n/a",DW133-INDEX(tab_MinKomp[Kontrola wyjściowa produktu / Ausgangskontrolle],MATCH($B133,tab_MinKomp[[Stanowisko / Position ]:[Stanowisko / Position ]],0)))</f>
        <v>n/a</v>
      </c>
      <c r="DX134" s="315" t="str">
        <f>IF(INDEX(tab_MinKomp[Kontrola codzienna produkcji / Tägliche Produktionskontrolle],MATCH($B133,tab_MinKomp[[Stanowisko / Position ]:[Stanowisko / Position ]],0))="n/a","n/a",DX133-INDEX(tab_MinKomp[Kontrola codzienna produkcji / Tägliche Produktionskontrolle],MATCH($B133,tab_MinKomp[[Stanowisko / Position ]:[Stanowisko / Position ]],0)))</f>
        <v>n/a</v>
      </c>
      <c r="DY134" s="315" t="str">
        <f>IF(INDEX(tab_MinKomp[Konserwacja Rep],MATCH($B133,tab_MinKomp[[Stanowisko / Position ]:[Stanowisko / Position ]],0))="n/a","n/a",DY133-INDEX(tab_MinKomp[Konserwacja Rep],MATCH($B133,tab_MinKomp[[Stanowisko / Position ]:[Stanowisko / Position ]],0)))</f>
        <v>n/a</v>
      </c>
      <c r="DZ134" s="315" t="str">
        <f>IF(INDEX(tab_MinKomp[[Konserwacja Engel ]],MATCH($B133,tab_MinKomp[[Stanowisko / Position ]:[Stanowisko / Position ]],0))="n/a","n/a",DZ133-INDEX(tab_MinKomp[[Konserwacja Engel ]],MATCH($B133,tab_MinKomp[[Stanowisko / Position ]:[Stanowisko / Position ]],0)))</f>
        <v>n/a</v>
      </c>
      <c r="EA134" s="315" t="str">
        <f>IF(INDEX(tab_MinKomp[Konserwacja B 50],MATCH($B133,tab_MinKomp[[Stanowisko / Position ]:[Stanowisko / Position ]],0))="n/a","n/a",EA133-INDEX(tab_MinKomp[Konserwacja B 50],MATCH($B133,tab_MinKomp[[Stanowisko / Position ]:[Stanowisko / Position ]],0)))</f>
        <v>n/a</v>
      </c>
      <c r="EB134" s="315" t="str">
        <f>IF(INDEX(tab_MinKomp[[Konserwacja EOL ]],MATCH($B133,tab_MinKomp[[Stanowisko / Position ]:[Stanowisko / Position ]],0))="n/a","n/a",EB133-INDEX(tab_MinKomp[[Konserwacja EOL ]],MATCH($B133,tab_MinKomp[[Stanowisko / Position ]:[Stanowisko / Position ]],0)))</f>
        <v>n/a</v>
      </c>
      <c r="EC134" s="315" t="str">
        <f>IF(INDEX(tab_MinKomp[Konserwacja Branson],MATCH($B133,tab_MinKomp[[Stanowisko / Position ]:[Stanowisko / Position ]],0))="n/a","n/a",EC133-INDEX(tab_MinKomp[Konserwacja Branson],MATCH($B133,tab_MinKomp[[Stanowisko / Position ]:[Stanowisko / Position ]],0)))</f>
        <v>n/a</v>
      </c>
      <c r="ED134" s="315" t="str">
        <f>IF(INDEX(tab_MinKomp[Konserwacja coolery],MATCH($B133,tab_MinKomp[[Stanowisko / Position ]:[Stanowisko / Position ]],0))="n/a","n/a",ED133-INDEX(tab_MinKomp[Konserwacja coolery],MATCH($B133,tab_MinKomp[[Stanowisko / Position ]:[Stanowisko / Position ]],0)))</f>
        <v>n/a</v>
      </c>
      <c r="EE134" s="315" t="str">
        <f>IF(INDEX(tab_MinKomp[Konserwacja piecy],MATCH($B133,tab_MinKomp[[Stanowisko / Position ]:[Stanowisko / Position ]],0))="n/a","n/a",EE133-INDEX(tab_MinKomp[Konserwacja piecy],MATCH($B133,tab_MinKomp[[Stanowisko / Position ]:[Stanowisko / Position ]],0)))</f>
        <v>n/a</v>
      </c>
      <c r="EF134" s="315">
        <f>IF(INDEX(tab_MinKomp[Rysunek techniczny- czytanie],MATCH($B133,tab_MinKomp[[Stanowisko / Position ]:[Stanowisko / Position ]],0))="n/a","n/a",EF133-INDEX(tab_MinKomp[Rysunek techniczny- czytanie],MATCH($B133,tab_MinKomp[[Stanowisko / Position ]:[Stanowisko / Position ]],0)))</f>
        <v>1</v>
      </c>
      <c r="EG134" s="315">
        <f>IF(INDEX(tab_MinKomp[Elektryka],MATCH($B133,tab_MinKomp[[Stanowisko / Position ]:[Stanowisko / Position ]],0))="n/a","n/a",EG133-INDEX(tab_MinKomp[Elektryka],MATCH($B133,tab_MinKomp[[Stanowisko / Position ]:[Stanowisko / Position ]],0)))</f>
        <v>1</v>
      </c>
      <c r="EH134" s="315">
        <f>IF(INDEX(tab_MinKomp[Pneumatyka],MATCH($B133,tab_MinKomp[[Stanowisko / Position ]:[Stanowisko / Position ]],0))="n/a","n/a",EH133-INDEX(tab_MinKomp[Pneumatyka],MATCH($B133,tab_MinKomp[[Stanowisko / Position ]:[Stanowisko / Position ]],0)))</f>
        <v>1</v>
      </c>
      <c r="EI134" s="315">
        <f>IF(INDEX(tab_MinKomp[[Hydraulika ]],MATCH($B133,tab_MinKomp[[Stanowisko / Position ]:[Stanowisko / Position ]],0))="n/a","n/a",EI133-INDEX(tab_MinKomp[[Hydraulika ]],MATCH($B133,tab_MinKomp[[Stanowisko / Position ]:[Stanowisko / Position ]],0)))</f>
        <v>1</v>
      </c>
      <c r="EJ134" s="315">
        <f>IF(INDEX(tab_MinKomp[Podciśnienie],MATCH($B133,tab_MinKomp[[Stanowisko / Position ]:[Stanowisko / Position ]],0))="n/a","n/a",EJ133-INDEX(tab_MinKomp[Podciśnienie],MATCH($B133,tab_MinKomp[[Stanowisko / Position ]:[Stanowisko / Position ]],0)))</f>
        <v>1</v>
      </c>
      <c r="EK134" s="315">
        <f>IF(INDEX(tab_MinKomp[Usuwanie awarii],MATCH($B133,tab_MinKomp[[Stanowisko / Position ]:[Stanowisko / Position ]],0))="n/a","n/a",EK133-INDEX(tab_MinKomp[Usuwanie awarii],MATCH($B133,tab_MinKomp[[Stanowisko / Position ]:[Stanowisko / Position ]],0)))</f>
        <v>0</v>
      </c>
      <c r="EL134" s="315">
        <f>IF(INDEX(tab_MinKomp[Obsługa robotów],MATCH($B133,tab_MinKomp[[Stanowisko / Position ]:[Stanowisko / Position ]],0))="n/a","n/a",EL133-INDEX(tab_MinKomp[Obsługa robotów],MATCH($B133,tab_MinKomp[[Stanowisko / Position ]:[Stanowisko / Position ]],0)))</f>
        <v>0</v>
      </c>
      <c r="EM134" s="315">
        <f>IF(INDEX(tab_MinKomp[Obsługa sterowania maszyny],MATCH($B133,tab_MinKomp[[Stanowisko / Position ]:[Stanowisko / Position ]],0))="n/a","n/a",EM133-INDEX(tab_MinKomp[Obsługa sterowania maszyny],MATCH($B133,tab_MinKomp[[Stanowisko / Position ]:[Stanowisko / Position ]],0)))</f>
        <v>0</v>
      </c>
      <c r="EN134" s="315">
        <f>IF(INDEX(tab_MinKomp[Usuwanie przyczyn żródłowych],MATCH($B133,tab_MinKomp[[Stanowisko / Position ]:[Stanowisko / Position ]],0))="n/a","n/a",EN133-INDEX(tab_MinKomp[Usuwanie przyczyn żródłowych],MATCH($B133,tab_MinKomp[[Stanowisko / Position ]:[Stanowisko / Position ]],0)))</f>
        <v>0</v>
      </c>
      <c r="EO134" s="315">
        <f>IF(INDEX(tab_MinKomp[Cmms stosowanie],MATCH($B133,tab_MinKomp[[Stanowisko / Position ]:[Stanowisko / Position ]],0))="n/a","n/a",EO133-INDEX(tab_MinKomp[Cmms stosowanie],MATCH($B133,tab_MinKomp[[Stanowisko / Position ]:[Stanowisko / Position ]],0)))</f>
        <v>-1</v>
      </c>
      <c r="EP134" s="315">
        <f>IF(INDEX(tab_MinKomp[[Czyszczenie form gumowych ]],MATCH($B133,tab_MinKomp[[Stanowisko / Position ]:[Stanowisko / Position ]],0))="n/a","n/a",EP133-INDEX(tab_MinKomp[[Czyszczenie form gumowych ]],MATCH($B133,tab_MinKomp[[Stanowisko / Position ]:[Stanowisko / Position ]],0)))</f>
        <v>0</v>
      </c>
      <c r="EQ134" s="315">
        <f>IF(INDEX(tab_MinKomp[Czyszczenie form plastikowych],MATCH($B133,tab_MinKomp[[Stanowisko / Position ]:[Stanowisko / Position ]],0))="n/a","n/a",EQ133-INDEX(tab_MinKomp[Czyszczenie form plastikowych],MATCH($B133,tab_MinKomp[[Stanowisko / Position ]:[Stanowisko / Position ]],0)))</f>
        <v>0</v>
      </c>
      <c r="ER134" s="315">
        <f>IF(INDEX(tab_MinKomp[Wymiana form plastik],MATCH($B133,tab_MinKomp[[Stanowisko / Position ]:[Stanowisko / Position ]],0))="n/a","n/a",ER133-INDEX(tab_MinKomp[Wymiana form plastik],MATCH($B133,tab_MinKomp[[Stanowisko / Position ]:[Stanowisko / Position ]],0)))</f>
        <v>0</v>
      </c>
      <c r="ES134" s="315">
        <f>IF(INDEX(tab_MinKomp[Wymiana form guma],MATCH($B133,tab_MinKomp[[Stanowisko / Position ]:[Stanowisko / Position ]],0))="n/a","n/a",ES133-INDEX(tab_MinKomp[Wymiana form guma],MATCH($B133,tab_MinKomp[[Stanowisko / Position ]:[Stanowisko / Position ]],0)))</f>
        <v>0</v>
      </c>
      <c r="ET134" s="315">
        <f>IF(INDEX(tab_MinKomp[Konserwacja KK],MATCH($B133,tab_MinKomp[[Stanowisko / Position ]:[Stanowisko / Position ]],0))="n/a","n/a",ET133-INDEX(tab_MinKomp[Konserwacja KK],MATCH($B133,tab_MinKomp[[Stanowisko / Position ]:[Stanowisko / Position ]],0)))</f>
        <v>0</v>
      </c>
      <c r="EU134" s="315">
        <f>IF(INDEX(tab_MinKomp[Konserwacja form guma],MATCH($B133,tab_MinKomp[[Stanowisko / Position ]:[Stanowisko / Position ]],0))="n/a","n/a",EU133-INDEX(tab_MinKomp[Konserwacja form guma],MATCH($B133,tab_MinKomp[[Stanowisko / Position ]:[Stanowisko / Position ]],0)))</f>
        <v>0</v>
      </c>
      <c r="EV134" s="315">
        <f>IF(INDEX(tab_MinKomp[Konserwacja form plastiki],MATCH($B133,tab_MinKomp[[Stanowisko / Position ]:[Stanowisko / Position ]],0))="n/a","n/a",EV133-INDEX(tab_MinKomp[Konserwacja form plastiki],MATCH($B133,tab_MinKomp[[Stanowisko / Position ]:[Stanowisko / Position ]],0)))</f>
        <v>0</v>
      </c>
      <c r="EW134" s="330">
        <f>IF(INDEX(tab_MinKomp[Konserwacja form plastiki],MATCH($B133,tab_MinKomp[[Stanowisko / Position ]:[Stanowisko / Position ]],0))="n/a","n/a",EW133-INDEX(tab_MinKomp[Konserwacja form plastiki],MATCH($B133,tab_MinKomp[[Stanowisko / Position ]:[Stanowisko / Position ]],0)))</f>
        <v>-3</v>
      </c>
      <c r="EX134" s="315">
        <f>IF(INDEX(tab_MinKomp[Konserwacja Gorącego Kanału],MATCH($B133,tab_MinKomp[[Stanowisko / Position ]:[Stanowisko / Position ]],0))="n/a","n/a",EX133-INDEX(tab_MinKomp[Konserwacja Gorącego Kanału],MATCH($B133,tab_MinKomp[[Stanowisko / Position ]:[Stanowisko / Position ]],0)))</f>
        <v>0</v>
      </c>
      <c r="EY134" s="315">
        <f>IF(INDEX(tab_MinKomp[MS Office (Excel)],MATCH($B133,tab_MinKomp[[Stanowisko / Position ]:[Stanowisko / Position ]],0))="n/a","n/a",EY133-INDEX(tab_MinKomp[MS Office (Excel)],MATCH($B133,tab_MinKomp[[Stanowisko / Position ]:[Stanowisko / Position ]],0)))</f>
        <v>0</v>
      </c>
      <c r="EZ134" s="315">
        <f>IF(INDEX(tab_MinKomp[MS Office (Word)],MATCH($B133,tab_MinKomp[[Stanowisko / Position ]:[Stanowisko / Position ]],0))="n/a","n/a",EZ133-INDEX(tab_MinKomp[MS Office (Word)],MATCH($B133,tab_MinKomp[[Stanowisko / Position ]:[Stanowisko / Position ]],0)))</f>
        <v>0</v>
      </c>
      <c r="FA134" s="315">
        <f>IF(INDEX(tab_MinKomp[MS Office (Power Point)],MATCH($B133,tab_MinKomp[[Stanowisko / Position ]:[Stanowisko / Position ]],0))="n/a","n/a",FA133-INDEX(tab_MinKomp[MS Office (Power Point)],MATCH($B133,tab_MinKomp[[Stanowisko / Position ]:[Stanowisko / Position ]],0)))</f>
        <v>0</v>
      </c>
      <c r="FB134" s="317">
        <f>IF(INDEX(tab_MinKomp[Język angielski / Englisch],MATCH($B133,tab_MinKomp[[Stanowisko / Position ]:[Stanowisko / Position ]],0))="n/a","n/a",FB133-INDEX(tab_MinKomp[Język angielski / Englisch],MATCH($B133,tab_MinKomp[[Stanowisko / Position ]:[Stanowisko / Position ]],0)))</f>
        <v>0</v>
      </c>
      <c r="FC134" s="315" t="str">
        <f>IF(INDEX(tab_MinKomp[Język niemiecki / Deutsch],MATCH($B133,tab_MinKomp[[Stanowisko / Position ]:[Stanowisko / Position ]],0))="n/a","n/a",FC133-INDEX(tab_MinKomp[Język niemiecki / Deutsch],MATCH($B133,tab_MinKomp[[Stanowisko / Position ]:[Stanowisko / Position ]],0)))</f>
        <v>n/a</v>
      </c>
      <c r="FD134" s="315">
        <f>IF(INDEX(tab_MinKomp[Zarządzanie dokumentacją procesową / Process dokumentation management],MATCH($B133,tab_MinKomp[[Stanowisko / Position ]:[Stanowisko / Position ]],0))="n/a","n/a",FD133-INDEX(tab_MinKomp[Zarządzanie dokumentacją procesową / Process dokumentation management],MATCH($B133,tab_MinKomp[[Stanowisko / Position ]:[Stanowisko / Position ]],0)))</f>
        <v>0</v>
      </c>
      <c r="FE134" s="315">
        <f>IF(INDEX(tab_MinKomp[Znajomość procesów z obszaru / Kenntiss der prozesse in dem Bereich],MATCH($B133,tab_MinKomp[[Stanowisko / Position ]:[Stanowisko / Position ]],0))="n/a","n/a",FE133-INDEX(tab_MinKomp[Znajomość procesów z obszaru / Kenntiss der prozesse in dem Bereich],MATCH($B133,tab_MinKomp[[Stanowisko / Position ]:[Stanowisko / Position ]],0)))</f>
        <v>0</v>
      </c>
      <c r="FF134" s="315">
        <f>IF(INDEX(tab_MinKomp[optymalizacja procesów / Prozessoptymalisierung],MATCH($B133,tab_MinKomp[[Stanowisko / Position ]:[Stanowisko / Position ]],0))="n/a","n/a",FF133-INDEX(tab_MinKomp[optymalizacja procesów / Prozessoptymalisierung],MATCH($B133,tab_MinKomp[[Stanowisko / Position ]:[Stanowisko / Position ]],0)))</f>
        <v>0</v>
      </c>
      <c r="FG134" s="315">
        <f>IF(INDEX(tab_MinKomp[Umiejętności szkoleniowe / Trainingsfähigkeiten],MATCH($B133,tab_MinKomp[[Stanowisko / Position ]:[Stanowisko / Position ]],0))="n/a","n/a",FG133-INDEX(tab_MinKomp[Umiejętności szkoleniowe / Trainingsfähigkeiten],MATCH($B133,tab_MinKomp[[Stanowisko / Position ]:[Stanowisko / Position ]],0)))</f>
        <v>0</v>
      </c>
      <c r="FH134" s="315">
        <f>IF(INDEX(tab_MinKomp[Analityczne myślenie, podejście / Analitysches Denken, Einstellung],MATCH($B133,tab_MinKomp[[Stanowisko / Position ]:[Stanowisko / Position ]],0))="n/a","n/a",FH133-INDEX(tab_MinKomp[Analityczne myślenie, podejście / Analitysches Denken, Einstellung],MATCH($B133,tab_MinKomp[[Stanowisko / Position ]:[Stanowisko / Position ]],0)))</f>
        <v>0</v>
      </c>
      <c r="FI134" s="315">
        <f>IF(INDEX(tab_MinKomp[Dokładność, precyzja w dzialaniu / Genauigkeit, Präzision in die Arbeit],MATCH($B133,tab_MinKomp[[Stanowisko / Position ]:[Stanowisko / Position ]],0))="n/a","n/a",FI133-INDEX(tab_MinKomp[Dokładność, precyzja w dzialaniu / Genauigkeit, Präzision in die Arbeit],MATCH($B133,tab_MinKomp[[Stanowisko / Position ]:[Stanowisko / Position ]],0)))</f>
        <v>0</v>
      </c>
      <c r="FJ134" s="315">
        <f>IF(INDEX(tab_MinKomp[Dyspozycyjność / Verfügbarkeit],MATCH($B133,tab_MinKomp[[Stanowisko / Position ]:[Stanowisko / Position ]],0))="n/a","n/a",FJ133-INDEX(tab_MinKomp[Dyspozycyjność / Verfügbarkeit],MATCH($B133,tab_MinKomp[[Stanowisko / Position ]:[Stanowisko / Position ]],0)))</f>
        <v>0</v>
      </c>
      <c r="FK134" s="315">
        <f>IF(INDEX(tab_MinKomp[Zaangażowanie / 
Engagement],MATCH($B133,tab_MinKomp[[Stanowisko / Position ]:[Stanowisko / Position ]],0))="n/a","n/a",FK133-INDEX(tab_MinKomp[Zaangażowanie / 
Engagement],MATCH($B133,tab_MinKomp[[Stanowisko / Position ]:[Stanowisko / Position ]],0)))</f>
        <v>0</v>
      </c>
      <c r="FL134" s="315">
        <f>IF(INDEX(tab_MinKomp[Planowanie strategiczne / Strategische Planung],MATCH($B133,tab_MinKomp[[Stanowisko / Position ]:[Stanowisko / Position ]],0))="n/a","n/a",FL133-INDEX(tab_MinKomp[Planowanie strategiczne / Strategische Planung],MATCH($B133,tab_MinKomp[[Stanowisko / Position ]:[Stanowisko / Position ]],0)))</f>
        <v>-1</v>
      </c>
      <c r="FM134" s="315">
        <f>IF(INDEX(tab_MinKomp[Konsekwentne i dynamiczne działanie],MATCH($B133,tab_MinKomp[[Stanowisko / Position ]:[Stanowisko / Position ]],0))="n/a","n/a",FM133-INDEX(tab_MinKomp[Konsekwentne i dynamiczne działanie],MATCH($B133,tab_MinKomp[[Stanowisko / Position ]:[Stanowisko / Position ]],0)))</f>
        <v>0</v>
      </c>
      <c r="FN134" s="315">
        <f>IF(INDEX(tab_MinKomp[Elastyczność w działaniu],MATCH($B133,tab_MinKomp[[Stanowisko / Position ]:[Stanowisko / Position ]],0))="n/a","n/a",FN133-INDEX(tab_MinKomp[Elastyczność w działaniu],MATCH($B133,tab_MinKomp[[Stanowisko / Position ]:[Stanowisko / Position ]],0)))</f>
        <v>0</v>
      </c>
      <c r="FO134" s="315">
        <f>IF(INDEX(tab_MinKomp[Komunikatywność],MATCH($B133,tab_MinKomp[[Stanowisko / Position ]:[Stanowisko / Position ]],0))="n/a","n/a",FO133-INDEX(tab_MinKomp[Komunikatywność],MATCH($B133,tab_MinKomp[[Stanowisko / Position ]:[Stanowisko / Position ]],0)))</f>
        <v>0</v>
      </c>
      <c r="FP134" s="314">
        <f>IF(INDEX(tab_MinKomp[Motywowanie i budowanie zaangażowania zespołu],MATCH($B133,tab_MinKomp[[Stanowisko / Position ]:[Stanowisko / Position ]],0))="n/a","n/a",FP133-INDEX(tab_MinKomp[Motywowanie i budowanie zaangażowania zespołu],MATCH($B133,tab_MinKomp[[Stanowisko / Position ]:[Stanowisko / Position ]],0)))</f>
        <v>0</v>
      </c>
      <c r="FQ134" s="318" t="str">
        <f>IFERROR(IF(INDEX(tab_MinKomp[BRAK / Keine],MATCH($B133,tab_MinKomp[[Stanowisko / Position ]:[Stanowisko / Position ]],0))="n/a","n/a",INDEX(tab_MinKomp[BRAK / Keine],MATCH($B133,tab_MinKomp[[Stanowisko / Position ]:[Stanowisko / Position ]],0))-FQ133),"")</f>
        <v>n/a</v>
      </c>
      <c r="FR134" s="315" t="str">
        <f>IF(INDEX(tab_MinKomp[MINIMUM 1 ROK / min. 1 Jahr],MATCH($B133,tab_MinKomp[[Stanowisko / Position ]:[Stanowisko / Position ]],0))="n/a","n/a",INDEX(tab_MinKomp[MINIMUM 1 ROK / min. 1 Jahr],MATCH($B133,tab_MinKomp[[Stanowisko / Position ]:[Stanowisko / Position ]],0)))</f>
        <v>n/a</v>
      </c>
      <c r="FS134" s="315" t="str">
        <f>IF(INDEX(tab_MinKomp[MINIMUM 2 LATA / min. 2 Jahre],MATCH($B133,tab_MinKomp[[Stanowisko / Position ]:[Stanowisko / Position ]],0))="n/a","n/a",INDEX(tab_MinKomp[MINIMUM 2 LATA / min. 2 Jahre],MATCH($B133,tab_MinKomp[[Stanowisko / Position ]:[Stanowisko / Position ]],0)))</f>
        <v>n/a</v>
      </c>
      <c r="FT134" s="315" t="str">
        <f>IF(INDEX(tab_MinKomp[MINIMUM 3 LATA / min. 3 Jahre],MATCH($B133,tab_MinKomp[[Stanowisko / Position ]:[Stanowisko / Position ]],0))="n/a","n/a",INDEX(tab_MinKomp[MINIMUM 3 LATA / min. 3 Jahre],MATCH($B133,tab_MinKomp[[Stanowisko / Position ]:[Stanowisko / Position ]],0)))</f>
        <v>X</v>
      </c>
      <c r="FU134" s="315" t="str">
        <f>IF(INDEX(tab_MinKomp[MINIMUM 4 LATA / min. 4 Jahre],MATCH($B133,tab_MinKomp[[Stanowisko / Position ]:[Stanowisko / Position ]],0))="n/a","n/a",INDEX(tab_MinKomp[MINIMUM 4 LATA / min. 4 Jahre],MATCH($B133,tab_MinKomp[[Stanowisko / Position ]:[Stanowisko / Position ]],0)))</f>
        <v>n/a</v>
      </c>
      <c r="FV134" s="319" t="str">
        <f>IF(INDEX(tab_MinKomp[MINIMUM 5 LAT / min. 5 Jahre],MATCH($B133,tab_MinKomp[[Stanowisko / Position ]:[Stanowisko / Position ]],0))="n/a","n/a",INDEX(tab_MinKomp[MINIMUM 5 LAT / min. 5 Jahre],MATCH($B133,tab_MinKomp[[Stanowisko / Position ]:[Stanowisko / Position ]],0)))</f>
        <v>n/a</v>
      </c>
      <c r="FW134" s="319" t="str">
        <f>IF(INDEX(tab_MinKomp[MINIMUM 5 LAT / min. 5 Jahre],MATCH($B133,tab_MinKomp[[Stanowisko / Position ]:[Stanowisko / Position ]],0))="n/a","n/a",INDEX(tab_MinKomp[MINIMUM 5 LAT / min. 5 Jahre],MATCH($B133,tab_MinKomp[[Stanowisko / Position ]:[Stanowisko / Position ]],0)))</f>
        <v>n/a</v>
      </c>
      <c r="FX134" s="319" t="str">
        <f>IF(INDEX(tab_MinKomp[MINIMUM 5 LAT / min. 5 Jahre],MATCH($B133,tab_MinKomp[[Stanowisko / Position ]:[Stanowisko / Position ]],0))="n/a","n/a",INDEX(tab_MinKomp[MINIMUM 5 LAT / min. 5 Jahre],MATCH($B133,tab_MinKomp[[Stanowisko / Position ]:[Stanowisko / Position ]],0)))</f>
        <v>n/a</v>
      </c>
      <c r="FY134" s="319" t="str">
        <f>IF(INDEX(tab_MinKomp[MINIMUM 5 LAT / min. 5 Jahre],MATCH($B133,tab_MinKomp[[Stanowisko / Position ]:[Stanowisko / Position ]],0))="n/a","n/a",INDEX(tab_MinKomp[MINIMUM 5 LAT / min. 5 Jahre],MATCH($B133,tab_MinKomp[[Stanowisko / Position ]:[Stanowisko / Position ]],0)))</f>
        <v>n/a</v>
      </c>
      <c r="FZ134" s="319" t="str">
        <f>IF(INDEX(tab_MinKomp[MINIMUM 5 LAT / min. 5 Jahre],MATCH($B133,tab_MinKomp[[Stanowisko / Position ]:[Stanowisko / Position ]],0))="n/a","n/a",INDEX(tab_MinKomp[MINIMUM 5 LAT / min. 5 Jahre],MATCH($B133,tab_MinKomp[[Stanowisko / Position ]:[Stanowisko / Position ]],0)))</f>
        <v>n/a</v>
      </c>
      <c r="GA134" s="319" t="str">
        <f>IF(INDEX(tab_MinKomp[MINIMUM 5 LAT / min. 5 Jahre],MATCH($B133,tab_MinKomp[[Stanowisko / Position ]:[Stanowisko / Position ]],0))="n/a","n/a",INDEX(tab_MinKomp[MINIMUM 5 LAT / min. 5 Jahre],MATCH($B133,tab_MinKomp[[Stanowisko / Position ]:[Stanowisko / Position ]],0)))</f>
        <v>n/a</v>
      </c>
      <c r="GB134" s="319" t="str">
        <f>IF(INDEX(tab_MinKomp[MINIMUM 5 LAT / min. 5 Jahre],MATCH($B133,tab_MinKomp[[Stanowisko / Position ]:[Stanowisko / Position ]],0))="n/a","n/a",INDEX(tab_MinKomp[MINIMUM 5 LAT / min. 5 Jahre],MATCH($B133,tab_MinKomp[[Stanowisko / Position ]:[Stanowisko / Position ]],0)))</f>
        <v>n/a</v>
      </c>
      <c r="GC134" s="319" t="str">
        <f>IF(INDEX(tab_MinKomp[MINIMUM 5 LAT / min. 5 Jahre],MATCH($B133,tab_MinKomp[[Stanowisko / Position ]:[Stanowisko / Position ]],0))="n/a","n/a",INDEX(tab_MinKomp[MINIMUM 5 LAT / min. 5 Jahre],MATCH($B133,tab_MinKomp[[Stanowisko / Position ]:[Stanowisko / Position ]],0)))</f>
        <v>n/a</v>
      </c>
      <c r="GD134" s="315" t="str">
        <f>IF(INDEX(tab_MinKomp[Specjalista BHP / BHP Spezialist],MATCH($B133,tab_MinKomp[[Stanowisko / Position ]:[Stanowisko / Position ]],0))="n/a","n/a",INDEX(tab_MinKomp[Specjalista BHP / BHP Spezialist],MATCH($B133,tab_MinKomp[[Stanowisko / Position ]:[Stanowisko / Position ]],0)))</f>
        <v>n/a</v>
      </c>
      <c r="GE134" s="315" t="str">
        <f>IF(INDEX(tab_MinKomp[Inspektor ochrony PPOŻ / Brandschutzinspektor],MATCH($B133,tab_MinKomp[[Stanowisko / Position ]:[Stanowisko / Position ]],0))="n/a","n/a",INDEX(tab_MinKomp[Inspektor ochrony PPOŻ / Brandschutzinspektor],MATCH($B133,tab_MinKomp[[Stanowisko / Position ]:[Stanowisko / Position ]],0)))</f>
        <v>n/a</v>
      </c>
      <c r="GF134" s="315" t="str">
        <f>IF(INDEX(tab_MinKomp[WÓZKI JEZDNIOWE / Gebelstapler],MATCH($B133,tab_MinKomp[[Stanowisko / Position ]:[Stanowisko / Position ]],0))="n/a","n/a",INDEX(tab_MinKomp[WÓZKI JEZDNIOWE / Gebelstapler],MATCH($B133,tab_MinKomp[[Stanowisko / Position ]:[Stanowisko / Position ]],0)))</f>
        <v>n/a</v>
      </c>
      <c r="GG134" s="315" t="str">
        <f>IF(INDEX(tab_MinKomp[SEP],MATCH($B133,tab_MinKomp[[Stanowisko / Position ]:[Stanowisko / Position ]],0))="n/a","n/a",INDEX(tab_MinKomp[SEP],MATCH($B133,tab_MinKomp[[Stanowisko / Position ]:[Stanowisko / Position ]],0)))</f>
        <v>X</v>
      </c>
      <c r="GH134" s="315" t="str">
        <f>IF(INDEX(tab_MinKomp[SEP  DOZÓR / SEP Aufsicht],MATCH($B133,tab_MinKomp[[Stanowisko / Position ]:[Stanowisko / Position ]],0))="n/a","n/a",INDEX(tab_MinKomp[SEP  DOZÓR / SEP Aufsicht],MATCH($B133,tab_MinKomp[[Stanowisko / Position ]:[Stanowisko / Position ]],0)))</f>
        <v>X</v>
      </c>
      <c r="GI134" s="315" t="str">
        <f>IF(INDEX(tab_MinKomp[PODNOŚNIKI / Hebevorrichtung],MATCH($B133,tab_MinKomp[[Stanowisko / Position ]:[Stanowisko / Position ]],0))="n/a","n/a",INDEX(tab_MinKomp[PODNOŚNIKI / Hebevorrichtung],MATCH($B133,tab_MinKomp[[Stanowisko / Position ]:[Stanowisko / Position ]],0)))</f>
        <v>n/a</v>
      </c>
      <c r="GJ134" s="315" t="str">
        <f>IF(INDEX(tab_MinKomp[SUWNICE / Laufkran],MATCH($B133,tab_MinKomp[[Stanowisko / Position ]:[Stanowisko / Position ]],0))="n/a","n/a",INDEX(tab_MinKomp[SUWNICE / Laufkran],MATCH($B133,tab_MinKomp[[Stanowisko / Position ]:[Stanowisko / Position ]],0)))</f>
        <v>X</v>
      </c>
      <c r="GK134" s="319" t="str">
        <f>IF(INDEX(tab_MinKomp[WYSOKOŚCIOWE / Höhenberechtigungen],MATCH($B133,tab_MinKomp[[Stanowisko / Position ]:[Stanowisko / Position ]],0))="n/a","n/a",INDEX(tab_MinKomp[WYSOKOŚCIOWE / Höhenberechtigungen],MATCH($B133,tab_MinKomp[[Stanowisko / Position ]:[Stanowisko / Position ]],0)))</f>
        <v>X</v>
      </c>
      <c r="GL134" s="320">
        <f>SUM(G134:FP134)/(GL133-(SUM(G134:FP134)))</f>
        <v>4.790419161676647E-2</v>
      </c>
      <c r="GM134" s="132"/>
    </row>
    <row r="135" spans="1:195" s="187" customFormat="1" ht="28.35" customHeight="1" x14ac:dyDescent="0.25">
      <c r="A135" s="135" t="s">
        <v>189</v>
      </c>
      <c r="B135" s="135" t="s">
        <v>593</v>
      </c>
      <c r="C135" s="135" t="s">
        <v>599</v>
      </c>
      <c r="D135" s="135">
        <v>1525</v>
      </c>
      <c r="E135" s="563" t="s">
        <v>625</v>
      </c>
      <c r="F135" s="307" t="s">
        <v>165</v>
      </c>
      <c r="G135" s="352">
        <v>2</v>
      </c>
      <c r="H135" s="352">
        <v>2</v>
      </c>
      <c r="I135" s="352" t="s">
        <v>176</v>
      </c>
      <c r="J135" s="352" t="s">
        <v>176</v>
      </c>
      <c r="K135" s="352" t="s">
        <v>176</v>
      </c>
      <c r="L135" s="322">
        <v>3</v>
      </c>
      <c r="M135" s="322">
        <v>2</v>
      </c>
      <c r="N135" s="322">
        <v>1</v>
      </c>
      <c r="O135" s="322">
        <v>3</v>
      </c>
      <c r="P135" s="322">
        <v>3</v>
      </c>
      <c r="Q135" s="322">
        <v>3</v>
      </c>
      <c r="R135" s="322">
        <v>2</v>
      </c>
      <c r="S135" s="322">
        <v>2</v>
      </c>
      <c r="T135" s="322">
        <v>2</v>
      </c>
      <c r="U135" s="322" t="s">
        <v>176</v>
      </c>
      <c r="V135" s="322" t="s">
        <v>176</v>
      </c>
      <c r="W135" s="322" t="s">
        <v>176</v>
      </c>
      <c r="X135" s="322" t="s">
        <v>176</v>
      </c>
      <c r="Y135" s="322" t="s">
        <v>176</v>
      </c>
      <c r="Z135" s="322" t="s">
        <v>176</v>
      </c>
      <c r="AA135" s="322" t="s">
        <v>176</v>
      </c>
      <c r="AB135" s="322"/>
      <c r="AC135" s="322" t="s">
        <v>176</v>
      </c>
      <c r="AD135" s="322" t="s">
        <v>176</v>
      </c>
      <c r="AE135" s="322" t="s">
        <v>176</v>
      </c>
      <c r="AF135" s="322" t="s">
        <v>176</v>
      </c>
      <c r="AG135" s="322" t="s">
        <v>176</v>
      </c>
      <c r="AH135" s="322" t="s">
        <v>176</v>
      </c>
      <c r="AI135" s="322" t="s">
        <v>176</v>
      </c>
      <c r="AJ135" s="322" t="s">
        <v>176</v>
      </c>
      <c r="AK135" s="322" t="s">
        <v>176</v>
      </c>
      <c r="AL135" s="322">
        <v>2</v>
      </c>
      <c r="AM135" s="322" t="s">
        <v>176</v>
      </c>
      <c r="AN135" s="322" t="s">
        <v>176</v>
      </c>
      <c r="AO135" s="322" t="s">
        <v>176</v>
      </c>
      <c r="AP135" s="322" t="s">
        <v>176</v>
      </c>
      <c r="AQ135" s="322" t="s">
        <v>176</v>
      </c>
      <c r="AR135" s="322" t="s">
        <v>176</v>
      </c>
      <c r="AS135" s="322" t="s">
        <v>176</v>
      </c>
      <c r="AT135" s="322" t="s">
        <v>176</v>
      </c>
      <c r="AU135" s="322" t="s">
        <v>176</v>
      </c>
      <c r="AV135" s="322">
        <v>1</v>
      </c>
      <c r="AW135" s="322">
        <v>1</v>
      </c>
      <c r="AX135" s="322">
        <v>1</v>
      </c>
      <c r="AY135" s="322" t="s">
        <v>176</v>
      </c>
      <c r="AZ135" s="322" t="s">
        <v>176</v>
      </c>
      <c r="BA135" s="322" t="s">
        <v>176</v>
      </c>
      <c r="BB135" s="322" t="s">
        <v>176</v>
      </c>
      <c r="BC135" s="322" t="s">
        <v>176</v>
      </c>
      <c r="BD135" s="322" t="s">
        <v>176</v>
      </c>
      <c r="BE135" s="322" t="s">
        <v>176</v>
      </c>
      <c r="BF135" s="322" t="s">
        <v>176</v>
      </c>
      <c r="BG135" s="322" t="s">
        <v>176</v>
      </c>
      <c r="BH135" s="322" t="s">
        <v>176</v>
      </c>
      <c r="BI135" s="322" t="s">
        <v>176</v>
      </c>
      <c r="BJ135" s="322" t="s">
        <v>176</v>
      </c>
      <c r="BK135" s="322" t="s">
        <v>176</v>
      </c>
      <c r="BL135" s="322" t="s">
        <v>176</v>
      </c>
      <c r="BM135" s="322" t="s">
        <v>176</v>
      </c>
      <c r="BN135" s="322" t="s">
        <v>176</v>
      </c>
      <c r="BO135" s="322" t="s">
        <v>176</v>
      </c>
      <c r="BP135" s="322" t="s">
        <v>176</v>
      </c>
      <c r="BQ135" s="322" t="s">
        <v>176</v>
      </c>
      <c r="BR135" s="322" t="s">
        <v>176</v>
      </c>
      <c r="BS135" s="322" t="s">
        <v>176</v>
      </c>
      <c r="BT135" s="322" t="s">
        <v>176</v>
      </c>
      <c r="BU135" s="322" t="s">
        <v>176</v>
      </c>
      <c r="BV135" s="322" t="s">
        <v>176</v>
      </c>
      <c r="BW135" s="322" t="s">
        <v>176</v>
      </c>
      <c r="BX135" s="322" t="s">
        <v>176</v>
      </c>
      <c r="BY135" s="322" t="s">
        <v>176</v>
      </c>
      <c r="BZ135" s="322" t="s">
        <v>176</v>
      </c>
      <c r="CA135" s="322" t="s">
        <v>176</v>
      </c>
      <c r="CB135" s="322" t="s">
        <v>176</v>
      </c>
      <c r="CC135" s="322" t="s">
        <v>176</v>
      </c>
      <c r="CD135" s="322" t="s">
        <v>176</v>
      </c>
      <c r="CE135" s="322" t="s">
        <v>176</v>
      </c>
      <c r="CF135" s="322" t="s">
        <v>176</v>
      </c>
      <c r="CG135" s="322" t="s">
        <v>176</v>
      </c>
      <c r="CH135" s="322" t="s">
        <v>176</v>
      </c>
      <c r="CI135" s="322">
        <v>2</v>
      </c>
      <c r="CJ135" s="322" t="s">
        <v>176</v>
      </c>
      <c r="CK135" s="322" t="s">
        <v>176</v>
      </c>
      <c r="CL135" s="322" t="s">
        <v>176</v>
      </c>
      <c r="CM135" s="322">
        <v>1</v>
      </c>
      <c r="CN135" s="322">
        <v>1</v>
      </c>
      <c r="CO135" s="322" t="s">
        <v>176</v>
      </c>
      <c r="CP135" s="322" t="s">
        <v>176</v>
      </c>
      <c r="CQ135" s="322" t="s">
        <v>176</v>
      </c>
      <c r="CR135" s="322" t="s">
        <v>176</v>
      </c>
      <c r="CS135" s="322" t="s">
        <v>176</v>
      </c>
      <c r="CT135" s="322" t="s">
        <v>176</v>
      </c>
      <c r="CU135" s="322" t="s">
        <v>176</v>
      </c>
      <c r="CV135" s="322" t="s">
        <v>176</v>
      </c>
      <c r="CW135" s="322" t="s">
        <v>176</v>
      </c>
      <c r="CX135" s="322" t="s">
        <v>176</v>
      </c>
      <c r="CY135" s="322" t="s">
        <v>176</v>
      </c>
      <c r="CZ135" s="322" t="s">
        <v>176</v>
      </c>
      <c r="DA135" s="322" t="s">
        <v>176</v>
      </c>
      <c r="DB135" s="322" t="s">
        <v>176</v>
      </c>
      <c r="DC135" s="322" t="s">
        <v>176</v>
      </c>
      <c r="DD135" s="322" t="s">
        <v>176</v>
      </c>
      <c r="DE135" s="322" t="s">
        <v>176</v>
      </c>
      <c r="DF135" s="322" t="s">
        <v>176</v>
      </c>
      <c r="DG135" s="322" t="s">
        <v>176</v>
      </c>
      <c r="DH135" s="322" t="s">
        <v>176</v>
      </c>
      <c r="DI135" s="322" t="s">
        <v>176</v>
      </c>
      <c r="DJ135" s="322" t="s">
        <v>176</v>
      </c>
      <c r="DK135" s="322" t="s">
        <v>176</v>
      </c>
      <c r="DL135" s="322" t="s">
        <v>176</v>
      </c>
      <c r="DM135" s="322" t="s">
        <v>176</v>
      </c>
      <c r="DN135" s="322" t="s">
        <v>176</v>
      </c>
      <c r="DO135" s="322" t="s">
        <v>176</v>
      </c>
      <c r="DP135" s="322" t="s">
        <v>176</v>
      </c>
      <c r="DQ135" s="322" t="s">
        <v>176</v>
      </c>
      <c r="DR135" s="322" t="s">
        <v>176</v>
      </c>
      <c r="DS135" s="322" t="s">
        <v>176</v>
      </c>
      <c r="DT135" s="322" t="s">
        <v>176</v>
      </c>
      <c r="DU135" s="322" t="s">
        <v>176</v>
      </c>
      <c r="DV135" s="322" t="s">
        <v>176</v>
      </c>
      <c r="DW135" s="322" t="s">
        <v>176</v>
      </c>
      <c r="DX135" s="322" t="s">
        <v>176</v>
      </c>
      <c r="DY135" s="322" t="s">
        <v>176</v>
      </c>
      <c r="DZ135" s="322" t="s">
        <v>176</v>
      </c>
      <c r="EA135" s="322" t="s">
        <v>176</v>
      </c>
      <c r="EB135" s="322" t="s">
        <v>176</v>
      </c>
      <c r="EC135" s="322" t="s">
        <v>176</v>
      </c>
      <c r="ED135" s="322" t="s">
        <v>176</v>
      </c>
      <c r="EE135" s="322" t="s">
        <v>176</v>
      </c>
      <c r="EF135" s="322" t="s">
        <v>176</v>
      </c>
      <c r="EG135" s="322" t="s">
        <v>176</v>
      </c>
      <c r="EH135" s="322" t="s">
        <v>176</v>
      </c>
      <c r="EI135" s="322" t="s">
        <v>176</v>
      </c>
      <c r="EJ135" s="322" t="s">
        <v>176</v>
      </c>
      <c r="EK135" s="322" t="s">
        <v>176</v>
      </c>
      <c r="EL135" s="322" t="s">
        <v>176</v>
      </c>
      <c r="EM135" s="322" t="s">
        <v>176</v>
      </c>
      <c r="EN135" s="322" t="s">
        <v>176</v>
      </c>
      <c r="EO135" s="322" t="s">
        <v>176</v>
      </c>
      <c r="EP135" s="322" t="s">
        <v>176</v>
      </c>
      <c r="EQ135" s="322" t="s">
        <v>176</v>
      </c>
      <c r="ER135" s="322" t="s">
        <v>176</v>
      </c>
      <c r="ES135" s="322" t="s">
        <v>176</v>
      </c>
      <c r="ET135" s="322" t="s">
        <v>176</v>
      </c>
      <c r="EU135" s="322" t="s">
        <v>176</v>
      </c>
      <c r="EV135" s="322" t="s">
        <v>176</v>
      </c>
      <c r="EW135" s="308" t="s">
        <v>176</v>
      </c>
      <c r="EX135" s="322" t="s">
        <v>176</v>
      </c>
      <c r="EY135" s="322">
        <v>2</v>
      </c>
      <c r="EZ135" s="322">
        <v>2</v>
      </c>
      <c r="FA135" s="322">
        <v>2</v>
      </c>
      <c r="FB135" s="322">
        <v>1</v>
      </c>
      <c r="FC135" s="322">
        <v>1</v>
      </c>
      <c r="FD135" s="322">
        <v>3</v>
      </c>
      <c r="FE135" s="322">
        <v>3</v>
      </c>
      <c r="FF135" s="322">
        <v>2</v>
      </c>
      <c r="FG135" s="322">
        <v>2</v>
      </c>
      <c r="FH135" s="322">
        <v>2</v>
      </c>
      <c r="FI135" s="322">
        <v>3</v>
      </c>
      <c r="FJ135" s="322">
        <v>3</v>
      </c>
      <c r="FK135" s="322">
        <v>3</v>
      </c>
      <c r="FL135" s="322">
        <v>2</v>
      </c>
      <c r="FM135" s="322">
        <v>3</v>
      </c>
      <c r="FN135" s="322">
        <v>2</v>
      </c>
      <c r="FO135" s="322">
        <v>3</v>
      </c>
      <c r="FP135" s="322">
        <v>2</v>
      </c>
      <c r="FQ135" s="322" t="s">
        <v>176</v>
      </c>
      <c r="FR135" s="322" t="s">
        <v>176</v>
      </c>
      <c r="FS135" s="322" t="s">
        <v>176</v>
      </c>
      <c r="FT135" s="445" t="s">
        <v>160</v>
      </c>
      <c r="FU135" s="322" t="s">
        <v>176</v>
      </c>
      <c r="FV135" s="322" t="s">
        <v>176</v>
      </c>
      <c r="FW135" s="322" t="s">
        <v>176</v>
      </c>
      <c r="FX135" s="322" t="s">
        <v>176</v>
      </c>
      <c r="FY135" s="322" t="s">
        <v>176</v>
      </c>
      <c r="FZ135" s="322" t="s">
        <v>176</v>
      </c>
      <c r="GA135" s="322" t="s">
        <v>176</v>
      </c>
      <c r="GB135" s="322" t="s">
        <v>176</v>
      </c>
      <c r="GC135" s="322" t="s">
        <v>176</v>
      </c>
      <c r="GD135" s="322" t="s">
        <v>176</v>
      </c>
      <c r="GE135" s="322" t="s">
        <v>176</v>
      </c>
      <c r="GF135" s="322" t="s">
        <v>176</v>
      </c>
      <c r="GG135" s="322" t="s">
        <v>176</v>
      </c>
      <c r="GH135" s="322" t="s">
        <v>176</v>
      </c>
      <c r="GI135" s="322" t="s">
        <v>176</v>
      </c>
      <c r="GJ135" s="322" t="s">
        <v>176</v>
      </c>
      <c r="GK135" s="322" t="s">
        <v>176</v>
      </c>
      <c r="GL135" s="311">
        <f>SUM(G135:FP135)</f>
        <v>75</v>
      </c>
      <c r="GM135" s="132"/>
    </row>
    <row r="136" spans="1:195" s="187" customFormat="1" ht="28.35" customHeight="1" thickBot="1" x14ac:dyDescent="0.3">
      <c r="A136" s="138" t="str">
        <f>A135</f>
        <v>Kadry-HR dep.</v>
      </c>
      <c r="B136" s="138" t="str">
        <f>B135</f>
        <v>Specjalista ds. Personalnych</v>
      </c>
      <c r="C136" s="138" t="str">
        <f>C135</f>
        <v>MD</v>
      </c>
      <c r="D136" s="138">
        <v>1525</v>
      </c>
      <c r="E136" s="564"/>
      <c r="F136" s="312" t="s">
        <v>166</v>
      </c>
      <c r="G136" s="313">
        <f>IF(INDEX(tab_MinKomp[Przepisy BHP / BHP Vorschriften],MATCH($B135,tab_MinKomp[[Stanowisko / Position ]:[Stanowisko / Position ]],0))="n/a","n/a",G135-INDEX(tab_MinKomp[Przepisy BHP / BHP Vorschriften],MATCH($B135,tab_MinKomp[[Stanowisko / Position ]:[Stanowisko / Position ]],0)))</f>
        <v>0</v>
      </c>
      <c r="H136" s="313">
        <f>IF(INDEX(tab_MinKomp[Przepisy PPOŻ / Brandschutzbestimmungen],MATCH($B135,tab_MinKomp[[Stanowisko / Position ]:[Stanowisko / Position ]],0))="n/a","n/a",H135-INDEX(tab_MinKomp[Przepisy PPOŻ / Brandschutzbestimmungen],MATCH($B135,tab_MinKomp[[Stanowisko / Position ]:[Stanowisko / Position ]],0)))</f>
        <v>0</v>
      </c>
      <c r="I136" s="313" t="str">
        <f>IF(INDEX(tab_MinKomp[Ryzyko zawodowe na stanowiskach pracyv/ Berufliche Risiken an Arbeitsstellen],MATCH($B135,tab_MinKomp[[Stanowisko / Position ]:[Stanowisko / Position ]],0))="n/a","n/a",I135-INDEX(tab_MinKomp[Ryzyko zawodowe na stanowiskach pracyv/ Berufliche Risiken an Arbeitsstellen],MATCH($B135,tab_MinKomp[[Stanowisko / Position ]:[Stanowisko / Position ]],0)))</f>
        <v>n/a</v>
      </c>
      <c r="J136" s="313" t="str">
        <f>IF(INDEX(tab_MinKomp[Gospodarka substancjami niebezpiecznymi / Gefahrstoffmanagement],MATCH($B135,tab_MinKomp[[Stanowisko / Position ]:[Stanowisko / Position ]],0))="n/a","n/a",J135-INDEX(tab_MinKomp[Gospodarka substancjami niebezpiecznymi / Gefahrstoffmanagement],MATCH($B135,tab_MinKomp[[Stanowisko / Position ]:[Stanowisko / Position ]],0)))</f>
        <v>n/a</v>
      </c>
      <c r="K136" s="313" t="str">
        <f>IF(INDEX(tab_MinKomp[Gospodarka odpadami / Abfallwirtschaft],MATCH($B135,tab_MinKomp[[Stanowisko / Position ]:[Stanowisko / Position ]],0))="n/a","n/a",K135-INDEX(tab_MinKomp[Gospodarka odpadami / Abfallwirtschaft],MATCH($B135,tab_MinKomp[[Stanowisko / Position ]:[Stanowisko / Position ]],0)))</f>
        <v>n/a</v>
      </c>
      <c r="L136" s="313">
        <f>IF(INDEX(tab_MinKomp[Przepisy kodeksu pracy / Bestimmungen des Arbeitsgesetzes],MATCH($B135,tab_MinKomp[[Stanowisko / Position ]:[Stanowisko / Position ]],0))="n/a","n/a",L135-INDEX(tab_MinKomp[Przepisy kodeksu pracy / Bestimmungen des Arbeitsgesetzes],MATCH($B135,tab_MinKomp[[Stanowisko / Position ]:[Stanowisko / Position ]],0)))</f>
        <v>0</v>
      </c>
      <c r="M136" s="313">
        <f>IF(INDEX(tab_MinKomp[Przepisy o ub.społ. ZUS  / Sozialversicherungsvorschriften],MATCH($B135,tab_MinKomp[[Stanowisko / Position ]:[Stanowisko / Position ]],0))="n/a","n/a",M135-INDEX(tab_MinKomp[Przepisy o ub.społ. ZUS  / Sozialversicherungsvorschriften],MATCH($B135,tab_MinKomp[[Stanowisko / Position ]:[Stanowisko / Position ]],0)))</f>
        <v>0</v>
      </c>
      <c r="N136" s="313">
        <f>IF(INDEX(tab_MinKomp[PRZEPISY O PDOF /persönlich Einkommensteuergesetz ],MATCH($B135,tab_MinKomp[[Stanowisko / Position ]:[Stanowisko / Position ]],0))="n/a","n/a",N135-INDEX(tab_MinKomp[PRZEPISY O PDOF /persönlich Einkommensteuergesetz ],MATCH($B135,tab_MinKomp[[Stanowisko / Position ]:[Stanowisko / Position ]],0)))</f>
        <v>0</v>
      </c>
      <c r="O136" s="313">
        <f>IF(INDEX(tab_MinKomp[Regulamin pracy / Arbeitsordnung],MATCH($B135,tab_MinKomp[[Stanowisko / Position ]:[Stanowisko / Position ]],0))="n/a","n/a",O135-INDEX(tab_MinKomp[Regulamin pracy / Arbeitsordnung],MATCH($B135,tab_MinKomp[[Stanowisko / Position ]:[Stanowisko / Position ]],0)))</f>
        <v>0</v>
      </c>
      <c r="P136" s="313">
        <f>IF(INDEX(tab_MinKomp[Regulamin wynagradzania / Vergütungsordnung],MATCH($B135,tab_MinKomp[[Stanowisko / Position ]:[Stanowisko / Position ]],0))="n/a","n/a",P135-INDEX(tab_MinKomp[Regulamin wynagradzania / Vergütungsordnung],MATCH($B135,tab_MinKomp[[Stanowisko / Position ]:[Stanowisko / Position ]],0)))</f>
        <v>0</v>
      </c>
      <c r="Q136" s="313">
        <f>IF(INDEX(tab_MinKomp[System R2PŁATNIK PRO: Płace / Lohnabrechnung],MATCH($B135,tab_MinKomp[[Stanowisko / Position ]:[Stanowisko / Position ]],0))="n/a","n/a",Q135-INDEX(tab_MinKomp[System R2PŁATNIK PRO: Płace / Lohnabrechnung],MATCH($B135,tab_MinKomp[[Stanowisko / Position ]:[Stanowisko / Position ]],0)))</f>
        <v>1</v>
      </c>
      <c r="R136" s="313">
        <f>IF(INDEX(tab_MinKomp[SystemR2PŁATNIK PRO: KADRY / Personaldaten],MATCH($B135,tab_MinKomp[[Stanowisko / Position ]:[Stanowisko / Position ]],0))="n/a","n/a",R135-INDEX(tab_MinKomp[SystemR2PŁATNIK PRO: KADRY / Personaldaten],MATCH($B135,tab_MinKomp[[Stanowisko / Position ]:[Stanowisko / Position ]],0)))</f>
        <v>0</v>
      </c>
      <c r="S136" s="313">
        <f>IF(INDEX(tab_MinKomp[SYSTEM R2PŁATNIK PRO: zarządzanie pracownikami / Arbeitsverwaltung],MATCH($B135,tab_MinKomp[[Stanowisko / Position ]:[Stanowisko / Position ]],0))="n/a","n/a",S135-INDEX(tab_MinKomp[SYSTEM R2PŁATNIK PRO: zarządzanie pracownikami / Arbeitsverwaltung],MATCH($B135,tab_MinKomp[[Stanowisko / Position ]:[Stanowisko / Position ]],0)))</f>
        <v>0</v>
      </c>
      <c r="T136" s="313">
        <f>IF(INDEX(tab_MinKomp[Doradztwo, wsparcie personalne / Personalberatung und Unterstützung],MATCH($B135,tab_MinKomp[[Stanowisko / Position ]:[Stanowisko / Position ]],0))="n/a","n/a",T135-INDEX(tab_MinKomp[Doradztwo, wsparcie personalne / Personalberatung und Unterstützung],MATCH($B135,tab_MinKomp[[Stanowisko / Position ]:[Stanowisko / Position ]],0)))</f>
        <v>0</v>
      </c>
      <c r="U136" s="313" t="str">
        <f>IF(INDEX(tab_MinKomp[Przepisy o podatku VAT / MwSt.- Gesetz],MATCH($B135,tab_MinKomp[[Stanowisko / Position ]:[Stanowisko / Position ]],0))="n/a","n/a",U135-INDEX(tab_MinKomp[Przepisy o podatku VAT / MwSt.- Gesetz],MATCH($B135,tab_MinKomp[[Stanowisko / Position ]:[Stanowisko / Position ]],0)))</f>
        <v>n/a</v>
      </c>
      <c r="V136" s="313" t="str">
        <f>IF(INDEX(tab_MinKomp[PrzepisyPDOP / geschäftlich Einkommensteuergesetz],MATCH($B135,tab_MinKomp[[Stanowisko / Position ]:[Stanowisko / Position ]],0))="n/a","n/a",V135-INDEX(tab_MinKomp[PrzepisyPDOP / geschäftlich Einkommensteuergesetz],MATCH($B135,tab_MinKomp[[Stanowisko / Position ]:[Stanowisko / Position ]],0)))</f>
        <v>n/a</v>
      </c>
      <c r="W136" s="313" t="str">
        <f>IF(INDEX(tab_MinKomp[System BAAN / FINANSE (FIBU)],MATCH($B135,tab_MinKomp[[Stanowisko / Position ]:[Stanowisko / Position ]],0))="n/a","n/a",W135-INDEX(tab_MinKomp[System BAAN / FINANSE (FIBU)],MATCH($B135,tab_MinKomp[[Stanowisko / Position ]:[Stanowisko / Position ]],0)))</f>
        <v>n/a</v>
      </c>
      <c r="X136" s="313" t="str">
        <f>IF(INDEX(tab_MinKomp[Systemy pomocnicze / Hilfssysteme(STOCKPROGRAM, KALK2000 etc.)],MATCH($B135,tab_MinKomp[[Stanowisko / Position ]:[Stanowisko / Position ]],0))="n/a","n/a",X135-INDEX(tab_MinKomp[Systemy pomocnicze / Hilfssysteme(STOCKPROGRAM, KALK2000 etc.)],MATCH($B135,tab_MinKomp[[Stanowisko / Position ]:[Stanowisko / Position ]],0)))</f>
        <v>n/a</v>
      </c>
      <c r="Y136" s="313" t="str">
        <f>IF(INDEX(tab_MinKomp[Polityka rachunkowości / Buchführungspolitik],MATCH($B135,tab_MinKomp[[Stanowisko / Position ]:[Stanowisko / Position ]],0))="n/a","n/a",Y135-INDEX(tab_MinKomp[Polityka rachunkowości / Buchführungspolitik],MATCH($B135,tab_MinKomp[[Stanowisko / Position ]:[Stanowisko / Position ]],0)))</f>
        <v>n/a</v>
      </c>
      <c r="Z136" s="313" t="str">
        <f>IF(INDEX(tab_MinKomp[Ustawa o rachunkowości / Rechnungslegungsgesetz],MATCH($B135,tab_MinKomp[[Stanowisko / Position ]:[Stanowisko / Position ]],0))="n/a","n/a",Z135-INDEX(tab_MinKomp[Ustawa o rachunkowości / Rechnungslegungsgesetz],MATCH($B135,tab_MinKomp[[Stanowisko / Position ]:[Stanowisko / Position ]],0)))</f>
        <v>n/a</v>
      </c>
      <c r="AA136" s="313" t="str">
        <f>IF(INDEX(tab_MinKomp[WORKFLOW - TS-100],MATCH($B135,tab_MinKomp[[Stanowisko / Position ]:[Stanowisko / Position ]],0))="n/a","n/a",AA135-INDEX(tab_MinKomp[WORKFLOW - TS-100],MATCH($B135,tab_MinKomp[[Stanowisko / Position ]:[Stanowisko / Position ]],0)))</f>
        <v>n/a</v>
      </c>
      <c r="AB136" s="313">
        <f>IF(INDEX(tab_MinKomp[WORKFLOW - SFMS],MATCH($B135,tab_MinKomp[[Stanowisko / Position ]:[Stanowisko / Position ]],0))="n/a","n/a",AB135-INDEX(tab_MinKomp[WORKFLOW - SFMS],MATCH($B135,tab_MinKomp[[Stanowisko / Position ]:[Stanowisko / Position ]],0)))</f>
        <v>-2</v>
      </c>
      <c r="AC136" s="313" t="str">
        <f>IF(INDEX(tab_MinKomp[System ISO 9001:2015],MATCH($B135,tab_MinKomp[[Stanowisko / Position ]:[Stanowisko / Position ]],0))="n/a","n/a",AC135-INDEX(tab_MinKomp[System ISO 9001:2015],MATCH($B135,tab_MinKomp[[Stanowisko / Position ]:[Stanowisko / Position ]],0)))</f>
        <v>n/a</v>
      </c>
      <c r="AD136" s="313" t="str">
        <f>IF(INDEX(tab_MinKomp[System IATF 16949:2016],MATCH($B135,tab_MinKomp[[Stanowisko / Position ]:[Stanowisko / Position ]],0))="n/a","n/a",AD135-INDEX(tab_MinKomp[System IATF 16949:2016],MATCH($B135,tab_MinKomp[[Stanowisko / Position ]:[Stanowisko / Position ]],0)))</f>
        <v>n/a</v>
      </c>
      <c r="AE136" s="313" t="str">
        <f>IF(INDEX(tab_MinKomp[System ISO 14001:2015],MATCH($B135,tab_MinKomp[[Stanowisko / Position ]:[Stanowisko / Position ]],0))="n/a","n/a",AE135-INDEX(tab_MinKomp[System ISO 14001:2015],MATCH($B135,tab_MinKomp[[Stanowisko / Position ]:[Stanowisko / Position ]],0)))</f>
        <v>n/a</v>
      </c>
      <c r="AF136" s="313" t="str">
        <f>IF(INDEX(tab_MinKomp[System PN-N 18001:2004 / ISO 45001:2018],MATCH($B135,tab_MinKomp[[Stanowisko / Position ]:[Stanowisko / Position ]],0))="n/a","n/a",AF135-INDEX(tab_MinKomp[System PN-N 18001:2004 / ISO 45001:2018],MATCH($B135,tab_MinKomp[[Stanowisko / Position ]:[Stanowisko / Position ]],0)))</f>
        <v>n/a</v>
      </c>
      <c r="AG136" s="313" t="str">
        <f>IF(INDEX(tab_MinKomp[Wymagania VDA 6.3 Process / Forderungen],MATCH($B135,tab_MinKomp[[Stanowisko / Position ]:[Stanowisko / Position ]],0))="n/a","n/a",AG135-INDEX(tab_MinKomp[Wymagania VDA 6.3 Process / Forderungen],MATCH($B135,tab_MinKomp[[Stanowisko / Position ]:[Stanowisko / Position ]],0)))</f>
        <v>n/a</v>
      </c>
      <c r="AH136" s="313" t="str">
        <f>IF(INDEX(tab_MinKomp[Wymagania VDA 6.5 Product / Forderungen],MATCH($B135,tab_MinKomp[[Stanowisko / Position ]:[Stanowisko / Position ]],0))="n/a","n/a",AH135-INDEX(tab_MinKomp[Wymagania VDA 6.5 Product / Forderungen],MATCH($B135,tab_MinKomp[[Stanowisko / Position ]:[Stanowisko / Position ]],0)))</f>
        <v>n/a</v>
      </c>
      <c r="AI136" s="313" t="str">
        <f>IF(INDEX(tab_MinKomp[PSCR (VW Product Safety &amp; Conformity Representative)],MATCH($B135,tab_MinKomp[[Stanowisko / Position ]:[Stanowisko / Position ]],0))="n/a","n/a",AI135-INDEX(tab_MinKomp[PSCR (VW Product Safety &amp; Conformity Representative)],MATCH($B135,tab_MinKomp[[Stanowisko / Position ]:[Stanowisko / Position ]],0)))</f>
        <v>n/a</v>
      </c>
      <c r="AJ136" s="313" t="str">
        <f>IF(INDEX(tab_MinKomp[Auditor systemu ISO 17025:2018],MATCH($B135,tab_MinKomp[[Stanowisko / Position ]:[Stanowisko / Position ]],0))="n/a","n/a",AJ135-INDEX(tab_MinKomp[Auditor systemu ISO 17025:2018],MATCH($B135,tab_MinKomp[[Stanowisko / Position ]:[Stanowisko / Position ]],0)))</f>
        <v>n/a</v>
      </c>
      <c r="AK136" s="313" t="str">
        <f>IF(INDEX(tab_MinKomp[Pełnomocnik systemu / Systemvertreter],MATCH($B135,tab_MinKomp[[Stanowisko / Position ]:[Stanowisko / Position ]],0))="n/a","n/a",AK135-INDEX(tab_MinKomp[Pełnomocnik systemu / Systemvertreter],MATCH($B135,tab_MinKomp[[Stanowisko / Position ]:[Stanowisko / Position ]],0)))</f>
        <v>n/a</v>
      </c>
      <c r="AL136" s="313">
        <f>IF(INDEX(tab_MinKomp[Polityka Etyczna - Compliance],MATCH($B135,tab_MinKomp[[Stanowisko / Position ]:[Stanowisko / Position ]],0))="n/a","n/a",AL135-INDEX(tab_MinKomp[Polityka Etyczna - Compliance],MATCH($B135,tab_MinKomp[[Stanowisko / Position ]:[Stanowisko / Position ]],0)))</f>
        <v>0</v>
      </c>
      <c r="AM136" s="313" t="str">
        <f>IF(INDEX(tab_MinKomp[WDRAŻANIE NOWYCH PROJEKTÓW/ PROCEDURA CTM],MATCH($B135,tab_MinKomp[[Stanowisko / Position ]:[Stanowisko / Position ]],0))="n/a","n/a",AM135-INDEX(tab_MinKomp[WDRAŻANIE NOWYCH PROJEKTÓW/ PROCEDURA CTM],MATCH($B135,tab_MinKomp[[Stanowisko / Position ]:[Stanowisko / Position ]],0)))</f>
        <v>n/a</v>
      </c>
      <c r="AN136" s="313" t="str">
        <f>IF(INDEX(tab_MinKomp[KAMIENIE MILOWE MSL/PIFF],MATCH($B135,tab_MinKomp[[Stanowisko / Position ]:[Stanowisko / Position ]],0))="n/a","n/a",AN135-INDEX(tab_MinKomp[KAMIENIE MILOWE MSL/PIFF],MATCH($B135,tab_MinKomp[[Stanowisko / Position ]:[Stanowisko / Position ]],0)))</f>
        <v>n/a</v>
      </c>
      <c r="AO136" s="313" t="str">
        <f>IF(INDEX(tab_MinKomp[CP],MATCH($B135,tab_MinKomp[[Stanowisko / Position ]:[Stanowisko / Position ]],0))="n/a","n/a",AO135-INDEX(tab_MinKomp[CP],MATCH($B135,tab_MinKomp[[Stanowisko / Position ]:[Stanowisko / Position ]],0)))</f>
        <v>n/a</v>
      </c>
      <c r="AP136" s="313" t="str">
        <f>IF(INDEX(tab_MinKomp[FMEA],MATCH($B135,tab_MinKomp[[Stanowisko / Position ]:[Stanowisko / Position ]],0))="n/a","n/a",AP135-INDEX(tab_MinKomp[FMEA],MATCH($B135,tab_MinKomp[[Stanowisko / Position ]:[Stanowisko / Position ]],0)))</f>
        <v>n/a</v>
      </c>
      <c r="AQ136" s="313" t="str">
        <f>IF(INDEX(tab_MinKomp[FLOW CHART],MATCH($B135,tab_MinKomp[[Stanowisko / Position ]:[Stanowisko / Position ]],0))="n/a","n/a",AQ135-INDEX(tab_MinKomp[FLOW CHART],MATCH($B135,tab_MinKomp[[Stanowisko / Position ]:[Stanowisko / Position ]],0)))</f>
        <v>n/a</v>
      </c>
      <c r="AR136" s="313" t="str">
        <f>IF(INDEX(tab_MinKomp[APQP],MATCH($B135,tab_MinKomp[[Stanowisko / Position ]:[Stanowisko / Position ]],0))="n/a","n/a",AR135-INDEX(tab_MinKomp[APQP],MATCH($B135,tab_MinKomp[[Stanowisko / Position ]:[Stanowisko / Position ]],0)))</f>
        <v>n/a</v>
      </c>
      <c r="AS136" s="313" t="str">
        <f>IF(INDEX(tab_MinKomp[MSA],MATCH($B135,tab_MinKomp[[Stanowisko / Position ]:[Stanowisko / Position ]],0))="n/a","n/a",AS135-INDEX(tab_MinKomp[MSA],MATCH($B135,tab_MinKomp[[Stanowisko / Position ]:[Stanowisko / Position ]],0)))</f>
        <v>n/a</v>
      </c>
      <c r="AT136" s="313" t="str">
        <f>IF(INDEX(tab_MinKomp[SPC],MATCH($B135,tab_MinKomp[[Stanowisko / Position ]:[Stanowisko / Position ]],0))="n/a","n/a",AT135-INDEX(tab_MinKomp[SPC],MATCH($B135,tab_MinKomp[[Stanowisko / Position ]:[Stanowisko / Position ]],0)))</f>
        <v>n/a</v>
      </c>
      <c r="AU136" s="313" t="str">
        <f>IF(INDEX(tab_MinKomp[CSR (SPECYFICZNE WYMAGANIA KLIENTA)],MATCH($B135,tab_MinKomp[[Stanowisko / Position ]:[Stanowisko / Position ]],0))="n/a","n/a",AU135-INDEX(tab_MinKomp[CSR (SPECYFICZNE WYMAGANIA KLIENTA)],MATCH($B135,tab_MinKomp[[Stanowisko / Position ]:[Stanowisko / Position ]],0)))</f>
        <v>n/a</v>
      </c>
      <c r="AV136" s="313">
        <f>IF(INDEX(tab_MinKomp[5S],MATCH($B135,tab_MinKomp[[Stanowisko / Position ]:[Stanowisko / Position ]],0))="n/a","n/a",AV135-INDEX(tab_MinKomp[5S],MATCH($B135,tab_MinKomp[[Stanowisko / Position ]:[Stanowisko / Position ]],0)))</f>
        <v>0</v>
      </c>
      <c r="AW136" s="313">
        <f>IF(INDEX(tab_MinKomp[LEAN MANAGEMENT],MATCH($B135,tab_MinKomp[[Stanowisko / Position ]:[Stanowisko / Position ]],0))="n/a","n/a",AW135-INDEX(tab_MinKomp[LEAN MANAGEMENT],MATCH($B135,tab_MinKomp[[Stanowisko / Position ]:[Stanowisko / Position ]],0)))</f>
        <v>0</v>
      </c>
      <c r="AX136" s="313">
        <f>IF(INDEX(tab_MinKomp[5R],MATCH($B135,tab_MinKomp[[Stanowisko / Position ]:[Stanowisko / Position ]],0))="n/a","n/a",AX135-INDEX(tab_MinKomp[5R],MATCH($B135,tab_MinKomp[[Stanowisko / Position ]:[Stanowisko / Position ]],0)))</f>
        <v>0</v>
      </c>
      <c r="AY136" s="313" t="str">
        <f>IF(INDEX(tab_MinKomp[Six Sigma],MATCH($B135,tab_MinKomp[[Stanowisko / Position ]:[Stanowisko / Position ]],0))="n/a","n/a",AY135-INDEX(tab_MinKomp[Six Sigma],MATCH($B135,tab_MinKomp[[Stanowisko / Position ]:[Stanowisko / Position ]],0)))</f>
        <v>n/a</v>
      </c>
      <c r="AZ136" s="313" t="str">
        <f>IF(INDEX(tab_MinKomp[System BAAN / Distribution &amp; Supply Chain],MATCH($B135,tab_MinKomp[[Stanowisko / Position ]:[Stanowisko / Position ]],0))="n/a","n/a",AZ135-INDEX(tab_MinKomp[System BAAN / Distribution &amp; Supply Chain],MATCH($B135,tab_MinKomp[[Stanowisko / Position ]:[Stanowisko / Position ]],0)))</f>
        <v>n/a</v>
      </c>
      <c r="BA136" s="313" t="str">
        <f>IF(INDEX(tab_MinKomp[Gospodarka magazynowa / Lagerverwaltung],MATCH($B135,tab_MinKomp[[Stanowisko / Position ]:[Stanowisko / Position ]],0))="n/a","n/a",BA135-INDEX(tab_MinKomp[Gospodarka magazynowa / Lagerverwaltung],MATCH($B135,tab_MinKomp[[Stanowisko / Position ]:[Stanowisko / Position ]],0)))</f>
        <v>n/a</v>
      </c>
      <c r="BB136" s="313" t="str">
        <f>IF(INDEX(tab_MinKomp[Inwentaryzacja - organizacja i przebieg / Inventurprozess],MATCH($B135,tab_MinKomp[[Stanowisko / Position ]:[Stanowisko / Position ]],0))="n/a","n/a",BB135-INDEX(tab_MinKomp[Inwentaryzacja - organizacja i przebieg / Inventurprozess],MATCH($B135,tab_MinKomp[[Stanowisko / Position ]:[Stanowisko / Position ]],0)))</f>
        <v>n/a</v>
      </c>
      <c r="BC136" s="313" t="str">
        <f>IF(INDEX(tab_MinKomp[Organizacja dostaw / Versorgungsorganisation],MATCH($B135,tab_MinKomp[[Stanowisko / Position ]:[Stanowisko / Position ]],0))="n/a","n/a",BC135-INDEX(tab_MinKomp[Organizacja dostaw / Versorgungsorganisation],MATCH($B135,tab_MinKomp[[Stanowisko / Position ]:[Stanowisko / Position ]],0)))</f>
        <v>n/a</v>
      </c>
      <c r="BD136" s="313" t="str">
        <f>IF(INDEX(tab_MinKomp[Organizacja wysyłek / Organisation von Lieferungen],MATCH($B135,tab_MinKomp[[Stanowisko / Position ]:[Stanowisko / Position ]],0))="n/a","n/a",BD135-INDEX(tab_MinKomp[Organizacja wysyłek / Organisation von Lieferungen],MATCH($B135,tab_MinKomp[[Stanowisko / Position ]:[Stanowisko / Position ]],0)))</f>
        <v>n/a</v>
      </c>
      <c r="BE136" s="313" t="str">
        <f>IF(INDEX(tab_MinKomp[Analiza magazynowa - Program Polen.mdb / Inventuranalyse],MATCH($B135,tab_MinKomp[[Stanowisko / Position ]:[Stanowisko / Position ]],0))="n/a","n/a",BE135-INDEX(tab_MinKomp[Analiza magazynowa - Program Polen.mdb / Inventuranalyse],MATCH($B135,tab_MinKomp[[Stanowisko / Position ]:[Stanowisko / Position ]],0)))</f>
        <v>n/a</v>
      </c>
      <c r="BF136" s="313" t="str">
        <f>IF(INDEX(tab_MinKomp[MMOG (Materials Management Operations Guidelines)],MATCH($B135,tab_MinKomp[[Stanowisko / Position ]:[Stanowisko / Position ]],0))="n/a","n/a",BF135-INDEX(tab_MinKomp[MMOG (Materials Management Operations Guidelines)],MATCH($B135,tab_MinKomp[[Stanowisko / Position ]:[Stanowisko / Position ]],0)))</f>
        <v>n/a</v>
      </c>
      <c r="BG136" s="313" t="str">
        <f>IF(INDEX(tab_MinKomp[DETC],MATCH($B135,tab_MinKomp[[Stanowisko / Position ]:[Stanowisko / Position ]],0))="n/a","n/a",BG135-INDEX(tab_MinKomp[DETC],MATCH($B135,tab_MinKomp[[Stanowisko / Position ]:[Stanowisko / Position ]],0)))</f>
        <v>n/a</v>
      </c>
      <c r="BH136" s="313" t="str">
        <f>IF(INDEX(tab_MinKomp[GPP],MATCH($B135,tab_MinKomp[[Stanowisko / Position ]:[Stanowisko / Position ]],0))="n/a","n/a",BH135-INDEX(tab_MinKomp[GPP],MATCH($B135,tab_MinKomp[[Stanowisko / Position ]:[Stanowisko / Position ]],0)))</f>
        <v>n/a</v>
      </c>
      <c r="BI136" s="313" t="str">
        <f>IF(INDEX(tab_MinKomp[AIAG (Automotive Industry Action Group)],MATCH($B135,tab_MinKomp[[Stanowisko / Position ]:[Stanowisko / Position ]],0))="n/a","n/a",BI135-INDEX(tab_MinKomp[AIAG (Automotive Industry Action Group)],MATCH($B135,tab_MinKomp[[Stanowisko / Position ]:[Stanowisko / Position ]],0)))</f>
        <v>n/a</v>
      </c>
      <c r="BJ136" s="313" t="str">
        <f>IF(INDEX(tab_MinKomp[Super-G disputes],MATCH($B135,tab_MinKomp[[Stanowisko / Position ]:[Stanowisko / Position ]],0))="n/a","n/a",BJ135-INDEX(tab_MinKomp[Super-G disputes],MATCH($B135,tab_MinKomp[[Stanowisko / Position ]:[Stanowisko / Position ]],0)))</f>
        <v>n/a</v>
      </c>
      <c r="BK136" s="313" t="str">
        <f>IF(INDEX(tab_MinKomp[CMMS3/eDDL (Direct Data Link)],MATCH($B135,tab_MinKomp[[Stanowisko / Position ]:[Stanowisko / Position ]],0))="n/a","n/a",BK135-INDEX(tab_MinKomp[CMMS3/eDDL (Direct Data Link)],MATCH($B135,tab_MinKomp[[Stanowisko / Position ]:[Stanowisko / Position ]],0)))</f>
        <v>n/a</v>
      </c>
      <c r="BL136" s="313" t="str">
        <f>IF(INDEX(tab_MinKomp[MP&amp;L (Material Planning and Logistics)],MATCH($B135,tab_MinKomp[[Stanowisko / Position ]:[Stanowisko / Position ]],0))="n/a","n/a",BL135-INDEX(tab_MinKomp[MP&amp;L (Material Planning and Logistics)],MATCH($B135,tab_MinKomp[[Stanowisko / Position ]:[Stanowisko / Position ]],0)))</f>
        <v>n/a</v>
      </c>
      <c r="BM136" s="313" t="str">
        <f>IF(INDEX(tab_MinKomp[Supplier delivery rating],MATCH($B135,tab_MinKomp[[Stanowisko / Position ]:[Stanowisko / Position ]],0))="n/a","n/a",BM135-INDEX(tab_MinKomp[Supplier delivery rating],MATCH($B135,tab_MinKomp[[Stanowisko / Position ]:[Stanowisko / Position ]],0)))</f>
        <v>n/a</v>
      </c>
      <c r="BN136" s="313" t="str">
        <f>IF(INDEX(tab_MinKomp[Planowanie produkcji / Produktionsplanung],MATCH($B135,tab_MinKomp[[Stanowisko / Position ]:[Stanowisko / Position ]],0))="n/a","n/a",BN135-INDEX(tab_MinKomp[Planowanie produkcji / Produktionsplanung],MATCH($B135,tab_MinKomp[[Stanowisko / Position ]:[Stanowisko / Position ]],0)))</f>
        <v>n/a</v>
      </c>
      <c r="BO136" s="313" t="str">
        <f>IF(INDEX(tab_MinKomp[Obsługa maszyn Engel / Engel Maschinenbedienung],MATCH($B135,tab_MinKomp[[Stanowisko / Position ]:[Stanowisko / Position ]],0))="n/a","n/a",BO135-INDEX(tab_MinKomp[Obsługa maszyn Engel / Engel Maschinenbedienung],MATCH($B135,tab_MinKomp[[Stanowisko / Position ]:[Stanowisko / Position ]],0)))</f>
        <v>n/a</v>
      </c>
      <c r="BP136" s="313" t="str">
        <f>IF(INDEX(tab_MinKomp[Obsługa maszyn Novapax / Novapax Maschinenbedienung],MATCH($B135,tab_MinKomp[[Stanowisko / Position ]:[Stanowisko / Position ]],0))="n/a","n/a",BP135-INDEX(tab_MinKomp[Obsługa maszyn Novapax / Novapax Maschinenbedienung],MATCH($B135,tab_MinKomp[[Stanowisko / Position ]:[Stanowisko / Position ]],0)))</f>
        <v>n/a</v>
      </c>
      <c r="BQ136" s="313" t="str">
        <f>IF(INDEX(tab_MinKomp[Obsługa maszyn KVT / KVT Maschinenbedienung],MATCH($B135,tab_MinKomp[[Stanowisko / Position ]:[Stanowisko / Position ]],0))="n/a","n/a",BQ135-INDEX(tab_MinKomp[Obsługa maszyn KVT / KVT Maschinenbedienung],MATCH($B135,tab_MinKomp[[Stanowisko / Position ]:[Stanowisko / Position ]],0)))</f>
        <v>n/a</v>
      </c>
      <c r="BR136" s="313" t="str">
        <f>IF(INDEX(tab_MinKomp[Obsługa maszyn ASL / ASL Maschinenbedienung],MATCH($B135,tab_MinKomp[[Stanowisko / Position ]:[Stanowisko / Position ]],0))="n/a","n/a",BR135-INDEX(tab_MinKomp[Obsługa maszyn ASL / ASL Maschinenbedienung],MATCH($B135,tab_MinKomp[[Stanowisko / Position ]:[Stanowisko / Position ]],0)))</f>
        <v>n/a</v>
      </c>
      <c r="BS136" s="313" t="str">
        <f>IF(INDEX(tab_MinKomp[Obsługa maszyn Branson / Branson Maschinenbedienung],MATCH($B135,tab_MinKomp[[Stanowisko / Position ]:[Stanowisko / Position ]],0))="n/a","n/a",BS135-INDEX(tab_MinKomp[Obsługa maszyn Branson / Branson Maschinenbedienung],MATCH($B135,tab_MinKomp[[Stanowisko / Position ]:[Stanowisko / Position ]],0)))</f>
        <v>n/a</v>
      </c>
      <c r="BT136" s="313" t="str">
        <f>IF(INDEX(tab_MinKomp[Obsługa maszyn Kamtec / Kamtec Maschinenbedienung],MATCH($B135,tab_MinKomp[[Stanowisko / Position ]:[Stanowisko / Position ]],0))="n/a","n/a",BT135-INDEX(tab_MinKomp[Obsługa maszyn Kamtec / Kamtec Maschinenbedienung],MATCH($B135,tab_MinKomp[[Stanowisko / Position ]:[Stanowisko / Position ]],0)))</f>
        <v>n/a</v>
      </c>
      <c r="BU136" s="313" t="str">
        <f>IF(INDEX(tab_MinKomp[Obsługa maszyn Piovan / Piovan Maschinenbedienung],MATCH($B135,tab_MinKomp[[Stanowisko / Position ]:[Stanowisko / Position ]],0))="n/a","n/a",BU135-INDEX(tab_MinKomp[Obsługa maszyn Piovan / Piovan Maschinenbedienung],MATCH($B135,tab_MinKomp[[Stanowisko / Position ]:[Stanowisko / Position ]],0)))</f>
        <v>n/a</v>
      </c>
      <c r="BV136" s="313" t="str">
        <f>IF(INDEX(tab_MinKomp[Obsługa maszyn REP / REP Maschinenbedienung],MATCH($B135,tab_MinKomp[[Stanowisko / Position ]:[Stanowisko / Position ]],0))="n/a","n/a",BV135-INDEX(tab_MinKomp[Obsługa maszyn REP / REP Maschinenbedienung],MATCH($B135,tab_MinKomp[[Stanowisko / Position ]:[Stanowisko / Position ]],0)))</f>
        <v>n/a</v>
      </c>
      <c r="BW136" s="313" t="str">
        <f>IF(INDEX(tab_MinKomp[Eliminacja awarii / Beseitigung von Ausfällen],MATCH($B135,tab_MinKomp[[Stanowisko / Position ]:[Stanowisko / Position ]],0))="n/a","n/a",BW135-INDEX(tab_MinKomp[Eliminacja awarii / Beseitigung von Ausfällen],MATCH($B135,tab_MinKomp[[Stanowisko / Position ]:[Stanowisko / Position ]],0)))</f>
        <v>n/a</v>
      </c>
      <c r="BX136" s="313" t="str">
        <f>IF(INDEX(tab_MinKomp[Informatyka ogólna (techniczne i systemowe) / Allgemeine IT (Technik und System)],MATCH($B135,tab_MinKomp[[Stanowisko / Position ]:[Stanowisko / Position ]],0))="n/a","n/a",BX135-INDEX(tab_MinKomp[Informatyka ogólna (techniczne i systemowe) / Allgemeine IT (Technik und System)],MATCH($B135,tab_MinKomp[[Stanowisko / Position ]:[Stanowisko / Position ]],0)))</f>
        <v>n/a</v>
      </c>
      <c r="BY136" s="313" t="str">
        <f>IF(INDEX(tab_MinKomp[Sieci komputerowe / Computernetzwerke],MATCH($B135,tab_MinKomp[[Stanowisko / Position ]:[Stanowisko / Position ]],0))="n/a","n/a",BY135-INDEX(tab_MinKomp[Sieci komputerowe / Computernetzwerke],MATCH($B135,tab_MinKomp[[Stanowisko / Position ]:[Stanowisko / Position ]],0)))</f>
        <v>n/a</v>
      </c>
      <c r="BZ136" s="313" t="str">
        <f>IF(INDEX(tab_MinKomp[Hardware (komputery PC, drukarki biurowe i etykietowe, telefonia stacjonarna i mobilna) (PC, Drucker, Telefpne, Handys)],MATCH($B135,tab_MinKomp[[Stanowisko / Position ]:[Stanowisko / Position ]],0))="n/a","n/a",BZ135-INDEX(tab_MinKomp[Hardware (komputery PC, drukarki biurowe i etykietowe, telefonia stacjonarna i mobilna) (PC, Drucker, Telefpne, Handys)],MATCH($B135,tab_MinKomp[[Stanowisko / Position ]:[Stanowisko / Position ]],0)))</f>
        <v>n/a</v>
      </c>
      <c r="CA136" s="313" t="str">
        <f>IF(INDEX(tab_MinKomp[Software &amp; Systems (MS Office, MS Remote Desktop)],MATCH($B135,tab_MinKomp[[Stanowisko / Position ]:[Stanowisko / Position ]],0))="n/a","n/a",CA135-INDEX(tab_MinKomp[Software &amp; Systems (MS Office, MS Remote Desktop)],MATCH($B135,tab_MinKomp[[Stanowisko / Position ]:[Stanowisko / Position ]],0)))</f>
        <v>n/a</v>
      </c>
      <c r="CB136" s="313" t="str">
        <f>IF(INDEX(tab_MinKomp[Programowanie obiektowe (PHP) / Objektprogrammierung],MATCH($B135,tab_MinKomp[[Stanowisko / Position ]:[Stanowisko / Position ]],0))="n/a","n/a",CB135-INDEX(tab_MinKomp[Programowanie obiektowe (PHP) / Objektprogrammierung],MATCH($B135,tab_MinKomp[[Stanowisko / Position ]:[Stanowisko / Position ]],0)))</f>
        <v>n/a</v>
      </c>
      <c r="CC136" s="313" t="str">
        <f>IF(INDEX(tab_MinKomp[Scrum],MATCH($B135,tab_MinKomp[[Stanowisko / Position ]:[Stanowisko / Position ]],0))="n/a","n/a",CC135-INDEX(tab_MinKomp[Scrum],MATCH($B135,tab_MinKomp[[Stanowisko / Position ]:[Stanowisko / Position ]],0)))</f>
        <v>n/a</v>
      </c>
      <c r="CD136" s="313" t="str">
        <f>IF(INDEX(tab_MinKomp[SQL (MySQL)],MATCH($B135,tab_MinKomp[[Stanowisko / Position ]:[Stanowisko / Position ]],0))="n/a","n/a",CD135-INDEX(tab_MinKomp[SQL (MySQL)],MATCH($B135,tab_MinKomp[[Stanowisko / Position ]:[Stanowisko / Position ]],0)))</f>
        <v>n/a</v>
      </c>
      <c r="CE136" s="313" t="str">
        <f>IF(INDEX(tab_MinKomp[Javascript],MATCH($B135,tab_MinKomp[[Stanowisko / Position ]:[Stanowisko / Position ]],0))="n/a","n/a",CE135-INDEX(tab_MinKomp[Javascript],MATCH($B135,tab_MinKomp[[Stanowisko / Position ]:[Stanowisko / Position ]],0)))</f>
        <v>n/a</v>
      </c>
      <c r="CF136" s="313" t="str">
        <f>IF(INDEX(tab_MinKomp[Joomla],MATCH($B135,tab_MinKomp[[Stanowisko / Position ]:[Stanowisko / Position ]],0))="n/a","n/a",CF135-INDEX(tab_MinKomp[Joomla],MATCH($B135,tab_MinKomp[[Stanowisko / Position ]:[Stanowisko / Position ]],0)))</f>
        <v>n/a</v>
      </c>
      <c r="CG136" s="313" t="str">
        <f>IF(INDEX(tab_MinKomp[Bash],MATCH($B135,tab_MinKomp[[Stanowisko / Position ]:[Stanowisko / Position ]],0))="n/a","n/a",CG135-INDEX(tab_MinKomp[Bash],MATCH($B135,tab_MinKomp[[Stanowisko / Position ]:[Stanowisko / Position ]],0)))</f>
        <v>n/a</v>
      </c>
      <c r="CH136" s="313" t="str">
        <f>IF(INDEX(tab_MinKomp[Systemy MES (HYDRA / SFMS)],MATCH($B135,tab_MinKomp[[Stanowisko / Position ]:[Stanowisko / Position ]],0))="n/a","n/a",CH135-INDEX(tab_MinKomp[Systemy MES (HYDRA / SFMS)],MATCH($B135,tab_MinKomp[[Stanowisko / Position ]:[Stanowisko / Position ]],0)))</f>
        <v>n/a</v>
      </c>
      <c r="CI136" s="313">
        <f>IF(INDEX(tab_MinKomp[SYSTEM PR],MATCH($B135,tab_MinKomp[[Stanowisko / Position ]:[Stanowisko / Position ]],0))="n/a","n/a",CI135-INDEX(tab_MinKomp[SYSTEM PR],MATCH($B135,tab_MinKomp[[Stanowisko / Position ]:[Stanowisko / Position ]],0)))</f>
        <v>0</v>
      </c>
      <c r="CJ136" s="313" t="str">
        <f>IF(INDEX(tab_MinKomp[System Einkauf XP / EBA],MATCH($B135,tab_MinKomp[[Stanowisko / Position ]:[Stanowisko / Position ]],0))="n/a","n/a",CJ135-INDEX(tab_MinKomp[System Einkauf XP / EBA],MATCH($B135,tab_MinKomp[[Stanowisko / Position ]:[Stanowisko / Position ]],0)))</f>
        <v>n/a</v>
      </c>
      <c r="CK136" s="313" t="str">
        <f>IF(INDEX(tab_MinKomp[Techniki negocjacyjne / Verhandlungstechniken],MATCH($B135,tab_MinKomp[[Stanowisko / Position ]:[Stanowisko / Position ]],0))="n/a","n/a",CK135-INDEX(tab_MinKomp[Techniki negocjacyjne / Verhandlungstechniken],MATCH($B135,tab_MinKomp[[Stanowisko / Position ]:[Stanowisko / Position ]],0)))</f>
        <v>n/a</v>
      </c>
      <c r="CL136" s="313" t="str">
        <f>IF(INDEX(tab_MinKomp[System Einkauf XP / EBA],MATCH($B135,tab_MinKomp[[Stanowisko / Position ]:[Stanowisko / Position ]],0))="n/a","n/a",CL135-INDEX(tab_MinKomp[System Einkauf XP / EBA],MATCH($B135,tab_MinKomp[[Stanowisko / Position ]:[Stanowisko / Position ]],0)))</f>
        <v>n/a</v>
      </c>
      <c r="CM136" s="313">
        <f>IF(INDEX(tab_MinKomp[RAPORTY 8D / 8D Berichten],MATCH($B135,tab_MinKomp[[Stanowisko / Position ]:[Stanowisko / Position ]],0))="n/a","n/a",CM135-INDEX(tab_MinKomp[RAPORTY 8D / 8D Berichten],MATCH($B135,tab_MinKomp[[Stanowisko / Position ]:[Stanowisko / Position ]],0)))</f>
        <v>0</v>
      </c>
      <c r="CN136" s="313">
        <f>IF(INDEX(tab_MinKomp[NARZĘDZIA JAKOŚCIOWE (5WHY, Ishikawa, etc) / QS-Werkzeuge],MATCH($B135,tab_MinKomp[[Stanowisko / Position ]:[Stanowisko / Position ]],0))="n/a","n/a",CN135-INDEX(tab_MinKomp[NARZĘDZIA JAKOŚCIOWE (5WHY, Ishikawa, etc) / QS-Werkzeuge],MATCH($B135,tab_MinKomp[[Stanowisko / Position ]:[Stanowisko / Position ]],0)))</f>
        <v>0</v>
      </c>
      <c r="CO136" s="313" t="str">
        <f>IF(INDEX(tab_MinKomp[PDCA],MATCH($B135,tab_MinKomp[[Stanowisko / Position ]:[Stanowisko / Position ]],0))="n/a","n/a",CO135-INDEX(tab_MinKomp[PDCA],MATCH($B135,tab_MinKomp[[Stanowisko / Position ]:[Stanowisko / Position ]],0)))</f>
        <v>n/a</v>
      </c>
      <c r="CP136" s="313" t="str">
        <f>IF(INDEX(tab_MinKomp[Pareto],MATCH($B135,tab_MinKomp[[Stanowisko / Position ]:[Stanowisko / Position ]],0))="n/a","n/a",CP135-INDEX(tab_MinKomp[Pareto],MATCH($B135,tab_MinKomp[[Stanowisko / Position ]:[Stanowisko / Position ]],0)))</f>
        <v>n/a</v>
      </c>
      <c r="CQ136" s="313" t="str">
        <f>IF(INDEX(tab_MinKomp[PPAP/PSW],MATCH($B135,tab_MinKomp[[Stanowisko / Position ]:[Stanowisko / Position ]],0))="n/a","n/a",CQ135-INDEX(tab_MinKomp[PPAP/PSW],MATCH($B135,tab_MinKomp[[Stanowisko / Position ]:[Stanowisko / Position ]],0)))</f>
        <v>n/a</v>
      </c>
      <c r="CR136" s="313" t="str">
        <f>IF(INDEX(tab_MinKomp[SUPPLIER MANAGEMENT],MATCH($B135,tab_MinKomp[[Stanowisko / Position ]:[Stanowisko / Position ]],0))="n/a","n/a",CR135-INDEX(tab_MinKomp[SUPPLIER MANAGEMENT],MATCH($B135,tab_MinKomp[[Stanowisko / Position ]:[Stanowisko / Position ]],0)))</f>
        <v>n/a</v>
      </c>
      <c r="CS136" s="313" t="str">
        <f>IF(INDEX(tab_MinKomp[OBSŁUGA PORTALI KLIENTA / Kundenportale],MATCH($B135,tab_MinKomp[[Stanowisko / Position ]:[Stanowisko / Position ]],0))="n/a","n/a",CS135-INDEX(tab_MinKomp[OBSŁUGA PORTALI KLIENTA / Kundenportale],MATCH($B135,tab_MinKomp[[Stanowisko / Position ]:[Stanowisko / Position ]],0)))</f>
        <v>n/a</v>
      </c>
      <c r="CT136" s="313" t="str">
        <f>IF(INDEX(tab_MinKomp[Obsługa systemu BABTECQ / BABTECQ System],MATCH($B135,tab_MinKomp[[Stanowisko / Position ]:[Stanowisko / Position ]],0))="n/a","n/a",CT135-INDEX(tab_MinKomp[Obsługa systemu BABTECQ / BABTECQ System],MATCH($B135,tab_MinKomp[[Stanowisko / Position ]:[Stanowisko / Position ]],0)))</f>
        <v>n/a</v>
      </c>
      <c r="CU136" s="313" t="str">
        <f>IF(INDEX(tab_MinKomp[Obsługa systemu BABTECQ / BABTECQ System],MATCH($B135,tab_MinKomp[[Stanowisko / Position ]:[Stanowisko / Position ]],0))="n/a","n/a",CU135-INDEX(tab_MinKomp[Obsługa systemu BABTECQ / BABTECQ System],MATCH($B135,tab_MinKomp[[Stanowisko / Position ]:[Stanowisko / Position ]],0)))</f>
        <v>n/a</v>
      </c>
      <c r="CV136" s="313" t="str">
        <f>IF(INDEX(tab_MinKomp[Rysunek techniczny / technische Zeichnung],MATCH($B135,tab_MinKomp[[Stanowisko / Position ]:[Stanowisko / Position ]],0))="n/a","n/a",CV135-INDEX(tab_MinKomp[Rysunek techniczny / technische Zeichnung],MATCH($B135,tab_MinKomp[[Stanowisko / Position ]:[Stanowisko / Position ]],0)))</f>
        <v>n/a</v>
      </c>
      <c r="CW136" s="313" t="str">
        <f>IF(INDEX(tab_MinKomp[Kalibracja / Kalibrierung],MATCH($B135,tab_MinKomp[[Stanowisko / Position ]:[Stanowisko / Position ]],0))="n/a","n/a",CW135-INDEX(tab_MinKomp[Kalibracja / Kalibrierung],MATCH($B135,tab_MinKomp[[Stanowisko / Position ]:[Stanowisko / Position ]],0)))</f>
        <v>n/a</v>
      </c>
      <c r="CX136" s="313" t="str">
        <f>IF(INDEX(tab_MinKomp[Rekwalifikacja / Requalifizierung],MATCH($B135,tab_MinKomp[[Stanowisko / Position ]:[Stanowisko / Position ]],0))="n/a","n/a",CX135-INDEX(tab_MinKomp[Rekwalifikacja / Requalifizierung],MATCH($B135,tab_MinKomp[[Stanowisko / Position ]:[Stanowisko / Position ]],0)))</f>
        <v>n/a</v>
      </c>
      <c r="CY136" s="313" t="str">
        <f>IF(INDEX(tab_MinKomp[Obsługa mikroskopu optycznego / Bedienung eines optischen Mikroskops],MATCH($B135,tab_MinKomp[[Stanowisko / Position ]:[Stanowisko / Position ]],0))="n/a","n/a",CY135-INDEX(tab_MinKomp[Obsługa mikroskopu optycznego / Bedienung eines optischen Mikroskops],MATCH($B135,tab_MinKomp[[Stanowisko / Position ]:[Stanowisko / Position ]],0)))</f>
        <v>n/a</v>
      </c>
      <c r="CZ136" s="313" t="str">
        <f>IF(INDEX(tab_MinKomp[Wykonywanie pomiarów optycznych - ocena wizualna / Optische Messungen durchführen – visuelle Beurteilung],MATCH($B135,tab_MinKomp[[Stanowisko / Position ]:[Stanowisko / Position ]],0))="n/a","n/a",CZ135-INDEX(tab_MinKomp[Wykonywanie pomiarów optycznych - ocena wizualna / Optische Messungen durchführen – visuelle Beurteilung],MATCH($B135,tab_MinKomp[[Stanowisko / Position ]:[Stanowisko / Position ]],0)))</f>
        <v>n/a</v>
      </c>
      <c r="DA136" s="313" t="str">
        <f>IF(INDEX(tab_MinKomp[Obsługa Rheometra / Rheometra-Unterstützung],MATCH($B135,tab_MinKomp[[Stanowisko / Position ]:[Stanowisko / Position ]],0))="n/a","n/a",DA135-INDEX(tab_MinKomp[Obsługa Rheometra / Rheometra-Unterstützung],MATCH($B135,tab_MinKomp[[Stanowisko / Position ]:[Stanowisko / Position ]],0)))</f>
        <v>n/a</v>
      </c>
      <c r="DB136" s="313" t="str">
        <f>IF(INDEX(tab_MinKomp[Testy właściwości Rheometra mieszanki gumy],MATCH($B135,tab_MinKomp[[Stanowisko / Position ]:[Stanowisko / Position ]],0))="n/a","n/a",DB135-INDEX(tab_MinKomp[Testy właściwości Rheometra mieszanki gumy],MATCH($B135,tab_MinKomp[[Stanowisko / Position ]:[Stanowisko / Position ]],0)))</f>
        <v>n/a</v>
      </c>
      <c r="DC136" s="313" t="str">
        <f>IF(INDEX(tab_MinKomp[CMM - Contura Zeiss],MATCH($B135,tab_MinKomp[[Stanowisko / Position ]:[Stanowisko / Position ]],0))="n/a","n/a",DC135-INDEX(tab_MinKomp[CMM - Contura Zeiss],MATCH($B135,tab_MinKomp[[Stanowisko / Position ]:[Stanowisko / Position ]],0)))</f>
        <v>n/a</v>
      </c>
      <c r="DD136" s="313" t="str">
        <f>IF(INDEX(tab_MinKomp[Wykonywanie precyzyjnych pomiarów metrycznych, pomiary 3D],MATCH($B135,tab_MinKomp[[Stanowisko / Position ]:[Stanowisko / Position ]],0))="n/a","n/a",DD135-INDEX(tab_MinKomp[Wykonywanie precyzyjnych pomiarów metrycznych, pomiary 3D],MATCH($B135,tab_MinKomp[[Stanowisko / Position ]:[Stanowisko / Position ]],0)))</f>
        <v>n/a</v>
      </c>
      <c r="DE136" s="313" t="str">
        <f>IF(INDEX(tab_MinKomp[Pisanie programów / Programme schreiben],MATCH($B135,tab_MinKomp[[Stanowisko / Position ]:[Stanowisko / Position ]],0))="n/a","n/a",DE135-INDEX(tab_MinKomp[Pisanie programów / Programme schreiben],MATCH($B135,tab_MinKomp[[Stanowisko / Position ]:[Stanowisko / Position ]],0)))</f>
        <v>n/a</v>
      </c>
      <c r="DF136" s="313" t="str">
        <f>IF(INDEX(tab_MinKomp[Obsługa wyposażenia do testów czystości (myjka + analizator) / Betrieb von Sauberkeitsprüfgeräten (Waschmaschine + Analysegerät)],MATCH($B135,tab_MinKomp[[Stanowisko / Position ]:[Stanowisko / Position ]],0))="n/a","n/a",DF135-INDEX(tab_MinKomp[Obsługa wyposażenia do testów czystości (myjka + analizator) / Betrieb von Sauberkeitsprüfgeräten (Waschmaschine + Analysegerät)],MATCH($B135,tab_MinKomp[[Stanowisko / Position ]:[Stanowisko / Position ]],0)))</f>
        <v>n/a</v>
      </c>
      <c r="DG136" s="313" t="str">
        <f>IF(INDEX(tab_MinKomp[Testy czystości / Reinheitstests],MATCH($B135,tab_MinKomp[[Stanowisko / Position ]:[Stanowisko / Position ]],0))="n/a","n/a",DG135-INDEX(tab_MinKomp[Testy czystości / Reinheitstests],MATCH($B135,tab_MinKomp[[Stanowisko / Position ]:[Stanowisko / Position ]],0)))</f>
        <v>n/a</v>
      </c>
      <c r="DH136" s="313" t="str">
        <f>IF(INDEX(tab_MinKomp[Obsługa wysokościomierza / Unterstützung für Höhenmesser],MATCH($B135,tab_MinKomp[[Stanowisko / Position ]:[Stanowisko / Position ]],0))="n/a","n/a",DH135-INDEX(tab_MinKomp[Obsługa wysokościomierza / Unterstützung für Höhenmesser],MATCH($B135,tab_MinKomp[[Stanowisko / Position ]:[Stanowisko / Position ]],0)))</f>
        <v>n/a</v>
      </c>
      <c r="DI136" s="313" t="str">
        <f>IF(INDEX(tab_MinKomp[Pomiary wysokości materiału / Materialhöhenmessungen],MATCH($B135,tab_MinKomp[[Stanowisko / Position ]:[Stanowisko / Position ]],0))="n/a","n/a",DI135-INDEX(tab_MinKomp[Pomiary wysokości materiału / Materialhöhenmessungen],MATCH($B135,tab_MinKomp[[Stanowisko / Position ]:[Stanowisko / Position ]],0)))</f>
        <v>n/a</v>
      </c>
      <c r="DJ136" s="313" t="str">
        <f>IF(INDEX(tab_MinKomp[Obsługa okrągłościomierza / Unterstützung für Rundheitsmessgeräte],MATCH($B135,tab_MinKomp[[Stanowisko / Position ]:[Stanowisko / Position ]],0))="n/a","n/a",DJ135-INDEX(tab_MinKomp[Obsługa okrągłościomierza / Unterstützung für Rundheitsmessgeräte],MATCH($B135,tab_MinKomp[[Stanowisko / Position ]:[Stanowisko / Position ]],0)))</f>
        <v>n/a</v>
      </c>
      <c r="DK136" s="313" t="str">
        <f>IF(INDEX(tab_MinKomp[Wykonywania pomiarów owalności, srednicy materiału / Messung der Ovalität und des Durchmessers des Materials],MATCH($B135,tab_MinKomp[[Stanowisko / Position ]:[Stanowisko / Position ]],0))="n/a","n/a",DK135-INDEX(tab_MinKomp[Wykonywania pomiarów owalności, srednicy materiału / Messung der Ovalität und des Durchmessers des Materials],MATCH($B135,tab_MinKomp[[Stanowisko / Position ]:[Stanowisko / Position ]],0)))</f>
        <v>n/a</v>
      </c>
      <c r="DL136" s="313" t="str">
        <f>IF(INDEX(tab_MinKomp[Obsługa urządzenia do pomiarów chropowoatości powierzchni materiału],MATCH($B135,tab_MinKomp[[Stanowisko / Position ]:[Stanowisko / Position ]],0))="n/a","n/a",DL135-INDEX(tab_MinKomp[Obsługa urządzenia do pomiarów chropowoatości powierzchni materiału],MATCH($B135,tab_MinKomp[[Stanowisko / Position ]:[Stanowisko / Position ]],0)))</f>
        <v>n/a</v>
      </c>
      <c r="DM136" s="313" t="str">
        <f>IF(INDEX(tab_MinKomp[Wykonywanie pomiarów chropowatości powierzchni materiału / Durchführung von Messungen der Materialoberflächenrauheit],MATCH($B135,tab_MinKomp[[Stanowisko / Position ]:[Stanowisko / Position ]],0))="n/a","n/a",DM135-INDEX(tab_MinKomp[Wykonywanie pomiarów chropowatości powierzchni materiału / Durchführung von Messungen der Materialoberflächenrauheit],MATCH($B135,tab_MinKomp[[Stanowisko / Position ]:[Stanowisko / Position ]],0)))</f>
        <v>n/a</v>
      </c>
      <c r="DN136" s="313" t="str">
        <f>IF(INDEX(tab_MinKomp[Obsługa urządzenia do pomiaru siły radialnej części - postępowanie z trzpieniami. / Funktionsweise des Geräts zur Messung der Radialkraft von Teilen – Handhabungsstifte.],MATCH($B135,tab_MinKomp[[Stanowisko / Position ]:[Stanowisko / Position ]],0))="n/a","n/a",DN135-INDEX(tab_MinKomp[Obsługa urządzenia do pomiaru siły radialnej części - postępowanie z trzpieniami. / Funktionsweise des Geräts zur Messung der Radialkraft von Teilen – Handhabungsstifte.],MATCH($B135,tab_MinKomp[[Stanowisko / Position ]:[Stanowisko / Position ]],0)))</f>
        <v>n/a</v>
      </c>
      <c r="DO136" s="313" t="str">
        <f>IF(INDEX(tab_MinKomp[Wykonywanie pomiarów siły radialnej części / Führen Sie Radialkraftmessungen an Teilen durch],MATCH($B135,tab_MinKomp[[Stanowisko / Position ]:[Stanowisko / Position ]],0))="n/a","n/a",DO135-INDEX(tab_MinKomp[Wykonywanie pomiarów siły radialnej części / Führen Sie Radialkraftmessungen an Teilen durch],MATCH($B135,tab_MinKomp[[Stanowisko / Position ]:[Stanowisko / Position ]],0)))</f>
        <v>n/a</v>
      </c>
      <c r="DP136" s="313" t="str">
        <f>IF(INDEX(tab_MinKomp[Obsługa komory do testów wybuchwych / Betrieb einer Explosionsprüfkammer],MATCH($B135,tab_MinKomp[[Stanowisko / Position ]:[Stanowisko / Position ]],0))="n/a","n/a",DP135-INDEX(tab_MinKomp[Obsługa komory do testów wybuchwych / Betrieb einer Explosionsprüfkammer],MATCH($B135,tab_MinKomp[[Stanowisko / Position ]:[Stanowisko / Position ]],0)))</f>
        <v>n/a</v>
      </c>
      <c r="DQ136" s="313" t="str">
        <f>IF(INDEX(tab_MinKomp[Wykonywanie testów wybuchowych części / Durchführung von Explosionstests an Teilen],MATCH($B135,tab_MinKomp[[Stanowisko / Position ]:[Stanowisko / Position ]],0))="n/a","n/a",DQ135-INDEX(tab_MinKomp[Wykonywanie testów wybuchowych części / Durchführung von Explosionstests an Teilen],MATCH($B135,tab_MinKomp[[Stanowisko / Position ]:[Stanowisko / Position ]],0)))</f>
        <v>n/a</v>
      </c>
      <c r="DR136" s="313" t="str">
        <f>IF(INDEX(tab_MinKomp[Obsługa urządzeń do mierzenia siły trzymania i/lub rozciągania / Betrieb von Geräten zur Messung der Halte- und/oder Dehnkraft],MATCH($B135,tab_MinKomp[[Stanowisko / Position ]:[Stanowisko / Position ]],0))="n/a","n/a",DR135-INDEX(tab_MinKomp[Obsługa urządzeń do mierzenia siły trzymania i/lub rozciągania / Betrieb von Geräten zur Messung der Halte- und/oder Dehnkraft],MATCH($B135,tab_MinKomp[[Stanowisko / Position ]:[Stanowisko / Position ]],0)))</f>
        <v>n/a</v>
      </c>
      <c r="DS136" s="313" t="str">
        <f>IF(INDEX(tab_MinKomp[Wykonywanie testów mierzenia siły trzymania i/lub rozciągania / Durchführung von Tests zur Messung der Halte- und/oder Streckkraft],MATCH($B135,tab_MinKomp[[Stanowisko / Position ]:[Stanowisko / Position ]],0))="n/a","n/a",DS135-INDEX(tab_MinKomp[Wykonywanie testów mierzenia siły trzymania i/lub rozciągania / Durchführung von Tests zur Messung der Halte- und/oder Streckkraft],MATCH($B135,tab_MinKomp[[Stanowisko / Position ]:[Stanowisko / Position ]],0)))</f>
        <v>n/a</v>
      </c>
      <c r="DT136" s="313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Luftstrom)],MATCH($B135,tab_MinKomp[[Stanowisko / Position ]:[Stanowisko / Position ]],0))="n/a","n/a",DT135-INDEX(tab_MinKomp[Obsługa multimetru do pomiarów środowiskowych (temperatura, wilgotność, hałas, oświetlenie, przepływ powietrza) / Betrieb eines Multimeters für Umweltmessungen (Temperatur, Luftfeuchtigkeit, Lärm, Beleuchtung, Luftstrom)],MATCH($B135,tab_MinKomp[[Stanowisko / Position ]:[Stanowisko / Position ]],0)))</f>
        <v>n/a</v>
      </c>
      <c r="DU136" s="313" t="str">
        <f>IF(INDEX(tab_MinKomp[Kontrola warunków środowiskowych pracy (temperatura, wilgotność, hałas, oświetlenie, przepływ powietrza) / Kontrolle der Arbeitsumgebungsbedingungen (Temperatur, Luftfeuchtigkeit, Lärm, Beleuchtung, Luftstrom)],MATCH($B135,tab_MinKomp[[Stanowisko / Position ]:[Stanowisko / Position ]],0))="n/a","n/a",DU135-INDEX(tab_MinKomp[Kontrola warunków środowiskowych pracy (temperatura, wilgotność, hałas, oświetlenie, przepływ powietrza) / Kontrolle der Arbeitsumgebungsbedingungen (Temperatur, Luftfeuchtigkeit, Lärm, Beleuchtung, Luftstrom)],MATCH($B135,tab_MinKomp[[Stanowisko / Position ]:[Stanowisko / Position ]],0)))</f>
        <v>n/a</v>
      </c>
      <c r="DV136" s="313" t="str">
        <f>IF(INDEX(tab_MinKomp[MSA i SPC],MATCH($B135,tab_MinKomp[[Stanowisko / Position ]:[Stanowisko / Position ]],0))="n/a","n/a",DV135-INDEX(tab_MinKomp[MSA i SPC],MATCH($B135,tab_MinKomp[[Stanowisko / Position ]:[Stanowisko / Position ]],0)))</f>
        <v>n/a</v>
      </c>
      <c r="DW136" s="313" t="str">
        <f>IF(INDEX(tab_MinKomp[Kontrola wejściowa komponentów/ Eingangskontrolle],MATCH($B135,tab_MinKomp[[Stanowisko / Position ]:[Stanowisko / Position ]],0))="n/a","n/a",DW135-INDEX(tab_MinKomp[Kontrola wejściowa komponentów/ Eingangskontrolle],MATCH($B135,tab_MinKomp[[Stanowisko / Position ]:[Stanowisko / Position ]],0)))</f>
        <v>n/a</v>
      </c>
      <c r="DX136" s="313" t="str">
        <f>IF(INDEX(tab_MinKomp[Kontrola wyjściowa produktu / Ausgangskontrolle],MATCH($B135,tab_MinKomp[[Stanowisko / Position ]:[Stanowisko / Position ]],0))="n/a","n/a",DX135-INDEX(tab_MinKomp[Kontrola wyjściowa produktu / Ausgangskontrolle],MATCH($B135,tab_MinKomp[[Stanowisko / Position ]:[Stanowisko / Position ]],0)))</f>
        <v>n/a</v>
      </c>
      <c r="DY136" s="313" t="str">
        <f>IF(INDEX(tab_MinKomp[Kontrola codzienna produkcji / Tägliche Produktionskontrolle],MATCH($B135,tab_MinKomp[[Stanowisko / Position ]:[Stanowisko / Position ]],0))="n/a","n/a",DY135-INDEX(tab_MinKomp[Kontrola codzienna produkcji / Tägliche Produktionskontrolle],MATCH($B135,tab_MinKomp[[Stanowisko / Position ]:[Stanowisko / Position ]],0)))</f>
        <v>n/a</v>
      </c>
      <c r="DZ136" s="313" t="str">
        <f>IF(INDEX(tab_MinKomp[Konserwacja Rep],MATCH($B135,tab_MinKomp[[Stanowisko / Position ]:[Stanowisko / Position ]],0))="n/a","n/a",DZ135-INDEX(tab_MinKomp[Konserwacja Rep],MATCH($B135,tab_MinKomp[[Stanowisko / Position ]:[Stanowisko / Position ]],0)))</f>
        <v>n/a</v>
      </c>
      <c r="EA136" s="313" t="str">
        <f>IF(INDEX(tab_MinKomp[[Konserwacja Engel ]],MATCH($B135,tab_MinKomp[[Stanowisko / Position ]:[Stanowisko / Position ]],0))="n/a","n/a",EA135-INDEX(tab_MinKomp[[Konserwacja Engel ]],MATCH($B135,tab_MinKomp[[Stanowisko / Position ]:[Stanowisko / Position ]],0)))</f>
        <v>n/a</v>
      </c>
      <c r="EB136" s="313" t="str">
        <f>IF(INDEX(tab_MinKomp[Konserwacja B 50],MATCH($B135,tab_MinKomp[[Stanowisko / Position ]:[Stanowisko / Position ]],0))="n/a","n/a",EB135-INDEX(tab_MinKomp[Konserwacja B 50],MATCH($B135,tab_MinKomp[[Stanowisko / Position ]:[Stanowisko / Position ]],0)))</f>
        <v>n/a</v>
      </c>
      <c r="EC136" s="313" t="str">
        <f>IF(INDEX(tab_MinKomp[[Konserwacja EOL ]],MATCH($B135,tab_MinKomp[[Stanowisko / Position ]:[Stanowisko / Position ]],0))="n/a","n/a",EC135-INDEX(tab_MinKomp[[Konserwacja EOL ]],MATCH($B135,tab_MinKomp[[Stanowisko / Position ]:[Stanowisko / Position ]],0)))</f>
        <v>n/a</v>
      </c>
      <c r="ED136" s="313" t="str">
        <f>IF(INDEX(tab_MinKomp[Konserwacja Branson],MATCH($B135,tab_MinKomp[[Stanowisko / Position ]:[Stanowisko / Position ]],0))="n/a","n/a",ED135-INDEX(tab_MinKomp[Konserwacja Branson],MATCH($B135,tab_MinKomp[[Stanowisko / Position ]:[Stanowisko / Position ]],0)))</f>
        <v>n/a</v>
      </c>
      <c r="EE136" s="313" t="str">
        <f>IF(INDEX(tab_MinKomp[Konserwacja coolery],MATCH($B135,tab_MinKomp[[Stanowisko / Position ]:[Stanowisko / Position ]],0))="n/a","n/a",EE135-INDEX(tab_MinKomp[Konserwacja coolery],MATCH($B135,tab_MinKomp[[Stanowisko / Position ]:[Stanowisko / Position ]],0)))</f>
        <v>n/a</v>
      </c>
      <c r="EF136" s="313" t="str">
        <f>IF(INDEX(tab_MinKomp[Konserwacja piecy],MATCH($B135,tab_MinKomp[[Stanowisko / Position ]:[Stanowisko / Position ]],0))="n/a","n/a",EF135-INDEX(tab_MinKomp[Konserwacja piecy],MATCH($B135,tab_MinKomp[[Stanowisko / Position ]:[Stanowisko / Position ]],0)))</f>
        <v>n/a</v>
      </c>
      <c r="EG136" s="313" t="str">
        <f>IF(INDEX(tab_MinKomp[Rysunek techniczny- czytanie],MATCH($B135,tab_MinKomp[[Stanowisko / Position ]:[Stanowisko / Position ]],0))="n/a","n/a",EG135-INDEX(tab_MinKomp[Rysunek techniczny- czytanie],MATCH($B135,tab_MinKomp[[Stanowisko / Position ]:[Stanowisko / Position ]],0)))</f>
        <v>n/a</v>
      </c>
      <c r="EH136" s="313" t="str">
        <f>IF(INDEX(tab_MinKomp[Elektryka],MATCH($B135,tab_MinKomp[[Stanowisko / Position ]:[Stanowisko / Position ]],0))="n/a","n/a",EH135-INDEX(tab_MinKomp[Elektryka],MATCH($B135,tab_MinKomp[[Stanowisko / Position ]:[Stanowisko / Position ]],0)))</f>
        <v>n/a</v>
      </c>
      <c r="EI136" s="313" t="str">
        <f>IF(INDEX(tab_MinKomp[Pneumatyka],MATCH($B135,tab_MinKomp[[Stanowisko / Position ]:[Stanowisko / Position ]],0))="n/a","n/a",EI135-INDEX(tab_MinKomp[Pneumatyka],MATCH($B135,tab_MinKomp[[Stanowisko / Position ]:[Stanowisko / Position ]],0)))</f>
        <v>n/a</v>
      </c>
      <c r="EJ136" s="313" t="str">
        <f>IF(INDEX(tab_MinKomp[[Hydraulika ]],MATCH($B135,tab_MinKomp[[Stanowisko / Position ]:[Stanowisko / Position ]],0))="n/a","n/a",EJ135-INDEX(tab_MinKomp[[Hydraulika ]],MATCH($B135,tab_MinKomp[[Stanowisko / Position ]:[Stanowisko / Position ]],0)))</f>
        <v>n/a</v>
      </c>
      <c r="EK136" s="313" t="str">
        <f>IF(INDEX(tab_MinKomp[Podciśnienie],MATCH($B135,tab_MinKomp[[Stanowisko / Position ]:[Stanowisko / Position ]],0))="n/a","n/a",EK135-INDEX(tab_MinKomp[Podciśnienie],MATCH($B135,tab_MinKomp[[Stanowisko / Position ]:[Stanowisko / Position ]],0)))</f>
        <v>n/a</v>
      </c>
      <c r="EL136" s="313" t="str">
        <f>IF(INDEX(tab_MinKomp[Usuwanie awarii],MATCH($B135,tab_MinKomp[[Stanowisko / Position ]:[Stanowisko / Position ]],0))="n/a","n/a",EL135-INDEX(tab_MinKomp[Usuwanie awarii],MATCH($B135,tab_MinKomp[[Stanowisko / Position ]:[Stanowisko / Position ]],0)))</f>
        <v>n/a</v>
      </c>
      <c r="EM136" s="313" t="str">
        <f>IF(INDEX(tab_MinKomp[Obsługa robotów],MATCH($B135,tab_MinKomp[[Stanowisko / Position ]:[Stanowisko / Position ]],0))="n/a","n/a",EM135-INDEX(tab_MinKomp[Obsługa robotów],MATCH($B135,tab_MinKomp[[Stanowisko / Position ]:[Stanowisko / Position ]],0)))</f>
        <v>n/a</v>
      </c>
      <c r="EN136" s="313" t="str">
        <f>IF(INDEX(tab_MinKomp[Obsługa sterowania maszyny],MATCH($B135,tab_MinKomp[[Stanowisko / Position ]:[Stanowisko / Position ]],0))="n/a","n/a",EN135-INDEX(tab_MinKomp[Obsługa sterowania maszyny],MATCH($B135,tab_MinKomp[[Stanowisko / Position ]:[Stanowisko / Position ]],0)))</f>
        <v>n/a</v>
      </c>
      <c r="EO136" s="313" t="str">
        <f>IF(INDEX(tab_MinKomp[Usuwanie przyczyn żródłowych],MATCH($B135,tab_MinKomp[[Stanowisko / Position ]:[Stanowisko / Position ]],0))="n/a","n/a",EO135-INDEX(tab_MinKomp[Usuwanie przyczyn żródłowych],MATCH($B135,tab_MinKomp[[Stanowisko / Position ]:[Stanowisko / Position ]],0)))</f>
        <v>n/a</v>
      </c>
      <c r="EP136" s="313" t="str">
        <f>IF(INDEX(tab_MinKomp[Cmms stosowanie],MATCH($B135,tab_MinKomp[[Stanowisko / Position ]:[Stanowisko / Position ]],0))="n/a","n/a",EP135-INDEX(tab_MinKomp[Cmms stosowanie],MATCH($B135,tab_MinKomp[[Stanowisko / Position ]:[Stanowisko / Position ]],0)))</f>
        <v>n/a</v>
      </c>
      <c r="EQ136" s="313" t="str">
        <f>IF(INDEX(tab_MinKomp[[Czyszczenie form gumowych ]],MATCH($B135,tab_MinKomp[[Stanowisko / Position ]:[Stanowisko / Position ]],0))="n/a","n/a",EQ135-INDEX(tab_MinKomp[[Czyszczenie form gumowych ]],MATCH($B135,tab_MinKomp[[Stanowisko / Position ]:[Stanowisko / Position ]],0)))</f>
        <v>n/a</v>
      </c>
      <c r="ER136" s="313" t="str">
        <f>IF(INDEX(tab_MinKomp[Czyszczenie form plastikowych],MATCH($B135,tab_MinKomp[[Stanowisko / Position ]:[Stanowisko / Position ]],0))="n/a","n/a",ER135-INDEX(tab_MinKomp[Czyszczenie form plastikowych],MATCH($B135,tab_MinKomp[[Stanowisko / Position ]:[Stanowisko / Position ]],0)))</f>
        <v>n/a</v>
      </c>
      <c r="ES136" s="313" t="str">
        <f>IF(INDEX(tab_MinKomp[Wymiana form plastik],MATCH($B135,tab_MinKomp[[Stanowisko / Position ]:[Stanowisko / Position ]],0))="n/a","n/a",ES135-INDEX(tab_MinKomp[Wymiana form plastik],MATCH($B135,tab_MinKomp[[Stanowisko / Position ]:[Stanowisko / Position ]],0)))</f>
        <v>n/a</v>
      </c>
      <c r="ET136" s="313" t="str">
        <f>IF(INDEX(tab_MinKomp[Wymiana form guma],MATCH($B135,tab_MinKomp[[Stanowisko / Position ]:[Stanowisko / Position ]],0))="n/a","n/a",ET135-INDEX(tab_MinKomp[Wymiana form guma],MATCH($B135,tab_MinKomp[[Stanowisko / Position ]:[Stanowisko / Position ]],0)))</f>
        <v>n/a</v>
      </c>
      <c r="EU136" s="313" t="str">
        <f>IF(INDEX(tab_MinKomp[Konserwacja KK],MATCH($B135,tab_MinKomp[[Stanowisko / Position ]:[Stanowisko / Position ]],0))="n/a","n/a",EU135-INDEX(tab_MinKomp[Konserwacja KK],MATCH($B135,tab_MinKomp[[Stanowisko / Position ]:[Stanowisko / Position ]],0)))</f>
        <v>n/a</v>
      </c>
      <c r="EV136" s="313" t="str">
        <f>IF(INDEX(tab_MinKomp[Konserwacja form guma],MATCH($B135,tab_MinKomp[[Stanowisko / Position ]:[Stanowisko / Position ]],0))="n/a","n/a",EV135-INDEX(tab_MinKomp[Konserwacja form guma],MATCH($B135,tab_MinKomp[[Stanowisko / Position ]:[Stanowisko / Position ]],0)))</f>
        <v>n/a</v>
      </c>
      <c r="EW136" s="330" t="str">
        <f>IF(INDEX(tab_MinKomp[Konserwacja form plastiki],MATCH($B135,tab_MinKomp[[Stanowisko / Position ]:[Stanowisko / Position ]],0))="n/a","n/a",EW135-INDEX(tab_MinKomp[Konserwacja form plastiki],MATCH($B135,tab_MinKomp[[Stanowisko / Position ]:[Stanowisko / Position ]],0)))</f>
        <v>n/a</v>
      </c>
      <c r="EX136" s="313" t="str">
        <f>IF(INDEX(tab_MinKomp[Konserwacja form plastiki],MATCH($B135,tab_MinKomp[[Stanowisko / Position ]:[Stanowisko / Position ]],0))="n/a","n/a",EX135-INDEX(tab_MinKomp[Konserwacja form plastiki],MATCH($B135,tab_MinKomp[[Stanowisko / Position ]:[Stanowisko / Position ]],0)))</f>
        <v>n/a</v>
      </c>
      <c r="EY136" s="313">
        <f>IF(INDEX(tab_MinKomp[MS Office (Excel)],MATCH($B135,tab_MinKomp[[Stanowisko / Position ]:[Stanowisko / Position ]],0))="n/a","n/a",EY135-INDEX(tab_MinKomp[MS Office (Excel)],MATCH($B135,tab_MinKomp[[Stanowisko / Position ]:[Stanowisko / Position ]],0)))</f>
        <v>0</v>
      </c>
      <c r="EZ136" s="313">
        <f>IF(INDEX(tab_MinKomp[MS Office (Word)],MATCH($B135,tab_MinKomp[[Stanowisko / Position ]:[Stanowisko / Position ]],0))="n/a","n/a",EZ135-INDEX(tab_MinKomp[MS Office (Word)],MATCH($B135,tab_MinKomp[[Stanowisko / Position ]:[Stanowisko / Position ]],0)))</f>
        <v>0</v>
      </c>
      <c r="FA136" s="313">
        <f>IF(INDEX(tab_MinKomp[MS Office (Power Point)],MATCH($B135,tab_MinKomp[[Stanowisko / Position ]:[Stanowisko / Position ]],0))="n/a","n/a",FA135-INDEX(tab_MinKomp[MS Office (Power Point)],MATCH($B135,tab_MinKomp[[Stanowisko / Position ]:[Stanowisko / Position ]],0)))</f>
        <v>0</v>
      </c>
      <c r="FB136" s="313">
        <f>IF(INDEX(tab_MinKomp[Język angielski / Englisch],MATCH($B135,tab_MinKomp[[Stanowisko / Position ]:[Stanowisko / Position ]],0))="n/a","n/a",FB135-INDEX(tab_MinKomp[Język angielski / Englisch],MATCH($B135,tab_MinKomp[[Stanowisko / Position ]:[Stanowisko / Position ]],0)))</f>
        <v>0</v>
      </c>
      <c r="FC136" s="313">
        <f>IF(INDEX(tab_MinKomp[Język niemiecki / Deutsch],MATCH($B135,tab_MinKomp[[Stanowisko / Position ]:[Stanowisko / Position ]],0))="n/a","n/a",FC135-INDEX(tab_MinKomp[Język niemiecki / Deutsch],MATCH($B135,tab_MinKomp[[Stanowisko / Position ]:[Stanowisko / Position ]],0)))</f>
        <v>0</v>
      </c>
      <c r="FD136" s="313">
        <f>IF(INDEX(tab_MinKomp[Zarządzanie dokumentacją procesową / Process dokumentation management],MATCH($B135,tab_MinKomp[[Stanowisko / Position ]:[Stanowisko / Position ]],0))="n/a","n/a",FD135-INDEX(tab_MinKomp[Zarządzanie dokumentacją procesową / Process dokumentation management],MATCH($B135,tab_MinKomp[[Stanowisko / Position ]:[Stanowisko / Position ]],0)))</f>
        <v>1</v>
      </c>
      <c r="FE136" s="313">
        <f>IF(INDEX(tab_MinKomp[Znajomość procesów z obszaru / Kenntiss der prozesse in dem Bereich],MATCH($B135,tab_MinKomp[[Stanowisko / Position ]:[Stanowisko / Position ]],0))="n/a","n/a",FE135-INDEX(tab_MinKomp[Znajomość procesów z obszaru / Kenntiss der prozesse in dem Bereich],MATCH($B135,tab_MinKomp[[Stanowisko / Position ]:[Stanowisko / Position ]],0)))</f>
        <v>0</v>
      </c>
      <c r="FF136" s="313">
        <f>IF(INDEX(tab_MinKomp[optymalizacja procesów / Prozessoptymalisierung],MATCH($B135,tab_MinKomp[[Stanowisko / Position ]:[Stanowisko / Position ]],0))="n/a","n/a",FF135-INDEX(tab_MinKomp[optymalizacja procesów / Prozessoptymalisierung],MATCH($B135,tab_MinKomp[[Stanowisko / Position ]:[Stanowisko / Position ]],0)))</f>
        <v>0</v>
      </c>
      <c r="FG136" s="313">
        <f>IF(INDEX(tab_MinKomp[Umiejętności szkoleniowe / Trainingsfähigkeiten],MATCH($B135,tab_MinKomp[[Stanowisko / Position ]:[Stanowisko / Position ]],0))="n/a","n/a",FG135-INDEX(tab_MinKomp[Umiejętności szkoleniowe / Trainingsfähigkeiten],MATCH($B135,tab_MinKomp[[Stanowisko / Position ]:[Stanowisko / Position ]],0)))</f>
        <v>0</v>
      </c>
      <c r="FH136" s="313">
        <f>IF(INDEX(tab_MinKomp[Analityczne myślenie, podejście / Analitysches Denken, Einstellung],MATCH($B135,tab_MinKomp[[Stanowisko / Position ]:[Stanowisko / Position ]],0))="n/a","n/a",FH135-INDEX(tab_MinKomp[Analityczne myślenie, podejście / Analitysches Denken, Einstellung],MATCH($B135,tab_MinKomp[[Stanowisko / Position ]:[Stanowisko / Position ]],0)))</f>
        <v>0</v>
      </c>
      <c r="FI136" s="313">
        <f>IF(INDEX(tab_MinKomp[Dokładność, precyzja w dzialaniu / Genauigkeit, Präzision in die Arbeit],MATCH($B135,tab_MinKomp[[Stanowisko / Position ]:[Stanowisko / Position ]],0))="n/a","n/a",FI135-INDEX(tab_MinKomp[Dokładność, precyzja w dzialaniu / Genauigkeit, Präzision in die Arbeit],MATCH($B135,tab_MinKomp[[Stanowisko / Position ]:[Stanowisko / Position ]],0)))</f>
        <v>0</v>
      </c>
      <c r="FJ136" s="313">
        <f>IF(INDEX(tab_MinKomp[Dyspozycyjność / Verfügbarkeit],MATCH($B135,tab_MinKomp[[Stanowisko / Position ]:[Stanowisko / Position ]],0))="n/a","n/a",FJ135-INDEX(tab_MinKomp[Dyspozycyjność / Verfügbarkeit],MATCH($B135,tab_MinKomp[[Stanowisko / Position ]:[Stanowisko / Position ]],0)))</f>
        <v>0</v>
      </c>
      <c r="FK136" s="313">
        <f>IF(INDEX(tab_MinKomp[Zaangażowanie / 
Engagement],MATCH($B135,tab_MinKomp[[Stanowisko / Position ]:[Stanowisko / Position ]],0))="n/a","n/a",FK135-INDEX(tab_MinKomp[Zaangażowanie / 
Engagement],MATCH($B135,tab_MinKomp[[Stanowisko / Position ]:[Stanowisko / Position ]],0)))</f>
        <v>0</v>
      </c>
      <c r="FL136" s="313">
        <f>IF(INDEX(tab_MinKomp[Planowanie strategiczne / Strategische Planung],MATCH($B135,tab_MinKomp[[Stanowisko / Position ]:[Stanowisko / Position ]],0))="n/a","n/a",FL135-INDEX(tab_MinKomp[Planowanie strategiczne / Strategische Planung],MATCH($B135,tab_MinKomp[[Stanowisko / Position ]:[Stanowisko / Position ]],0)))</f>
        <v>0</v>
      </c>
      <c r="FM136" s="313">
        <f>IF(INDEX(tab_MinKomp[Konsekwentne i dynamiczne działanie],MATCH($B135,tab_MinKomp[[Stanowisko / Position ]:[Stanowisko / Position ]],0))="n/a","n/a",FM135-INDEX(tab_MinKomp[Konsekwentne i dynamiczne działanie],MATCH($B135,tab_MinKomp[[Stanowisko / Position ]:[Stanowisko / Position ]],0)))</f>
        <v>0</v>
      </c>
      <c r="FN136" s="313">
        <f>IF(INDEX(tab_MinKomp[Elastyczność w działaniu],MATCH($B135,tab_MinKomp[[Stanowisko / Position ]:[Stanowisko / Position ]],0))="n/a","n/a",FN135-INDEX(tab_MinKomp[Elastyczność w działaniu],MATCH($B135,tab_MinKomp[[Stanowisko / Position ]:[Stanowisko / Position ]],0)))</f>
        <v>-1</v>
      </c>
      <c r="FO136" s="313">
        <f>IF(INDEX(tab_MinKomp[Komunikatywność],MATCH($B135,tab_MinKomp[[Stanowisko / Position ]:[Stanowisko / Position ]],0))="n/a","n/a",FO135-INDEX(tab_MinKomp[Komunikatywność],MATCH($B135,tab_MinKomp[[Stanowisko / Position ]:[Stanowisko / Position ]],0)))</f>
        <v>1</v>
      </c>
      <c r="FP136" s="313">
        <f>IF(INDEX(tab_MinKomp[Motywowanie i budowanie zaangażowania zespołu],MATCH($B135,tab_MinKomp[[Stanowisko / Position ]:[Stanowisko / Position ]],0))="n/a","n/a",FP135-INDEX(tab_MinKomp[Motywowanie i budowanie zaangażowania zespołu],MATCH($B135,tab_MinKomp[[Stanowisko / Position ]:[Stanowisko / Position ]],0)))</f>
        <v>0</v>
      </c>
      <c r="FQ136" s="313" t="str">
        <f>IF(INDEX(tab_MinKomp[BRAK / Keine],MATCH($B135,tab_MinKomp[[Stanowisko / Position ]:[Stanowisko / Position ]],0))="n/a","n/a",FQ135-INDEX(tab_MinKomp[BRAK / Keine],MATCH($B135,tab_MinKomp[[Stanowisko / Position ]:[Stanowisko / Position ]],0)))</f>
        <v>n/a</v>
      </c>
      <c r="FR136" s="313" t="str">
        <f>IF(INDEX(tab_MinKomp[BRAK / Keine],MATCH($B135,tab_MinKomp[[Stanowisko / Position ]:[Stanowisko / Position ]],0))="n/a","n/a",FR135-INDEX(tab_MinKomp[BRAK / Keine],MATCH($B135,tab_MinKomp[[Stanowisko / Position ]:[Stanowisko / Position ]],0)))</f>
        <v>n/a</v>
      </c>
      <c r="FS136" s="313" t="str">
        <f>IF(INDEX(tab_MinKomp[MINIMUM 1 ROK / min. 1 Jahr],MATCH($B135,tab_MinKomp[[Stanowisko / Position ]:[Stanowisko / Position ]],0))="n/a","n/a",FS135-INDEX(tab_MinKomp[MINIMUM 1 ROK / min. 1 Jahr],MATCH($B135,tab_MinKomp[[Stanowisko / Position ]:[Stanowisko / Position ]],0)))</f>
        <v>n/a</v>
      </c>
      <c r="FT136" s="313" t="s">
        <v>387</v>
      </c>
      <c r="FU136" s="313" t="str">
        <f>IF(INDEX(tab_MinKomp[MINIMUM 1 ROK / min. 1 Jahr],MATCH($B135,tab_MinKomp[[Stanowisko / Position ]:[Stanowisko / Position ]],0))="n/a","n/a",FU135-INDEX(tab_MinKomp[MINIMUM 1 ROK / min. 1 Jahr],MATCH($B135,tab_MinKomp[[Stanowisko / Position ]:[Stanowisko / Position ]],0)))</f>
        <v>n/a</v>
      </c>
      <c r="FV136" s="313" t="str">
        <f>IF(INDEX(tab_MinKomp[MINIMUM 4 LATA / min. 4 Jahre],MATCH($B135,tab_MinKomp[[Stanowisko / Position ]:[Stanowisko / Position ]],0))="n/a","n/a",FV135-INDEX(tab_MinKomp[MINIMUM 4 LATA / min. 4 Jahre],MATCH($B135,tab_MinKomp[[Stanowisko / Position ]:[Stanowisko / Position ]],0)))</f>
        <v>n/a</v>
      </c>
      <c r="FW136" s="313" t="str">
        <f>IF(INDEX(tab_MinKomp[MINIMUM 5 LAT / min. 5 Jahre],MATCH($B135,tab_MinKomp[[Stanowisko / Position ]:[Stanowisko / Position ]],0))="n/a","n/a",FW135-INDEX(tab_MinKomp[MINIMUM 5 LAT / min. 5 Jahre],MATCH($B135,tab_MinKomp[[Stanowisko / Position ]:[Stanowisko / Position ]],0)))</f>
        <v>n/a</v>
      </c>
      <c r="FX136" s="313" t="str">
        <f>IF(INDEX(tab_MinKomp[BRAK / Keine9],MATCH($B135,tab_MinKomp[[Stanowisko / Position ]:[Stanowisko / Position ]],0))="n/a","n/a",FX135-INDEX(tab_MinKomp[BRAK / Keine9],MATCH($B135,tab_MinKomp[[Stanowisko / Position ]:[Stanowisko / Position ]],0)))</f>
        <v>n/a</v>
      </c>
      <c r="FY136" s="313" t="str">
        <f>IF(INDEX(tab_MinKomp[ZAWODOWE / Berufsausbildung],MATCH($B135,tab_MinKomp[[Stanowisko / Position ]:[Stanowisko / Position ]],0))="n/a","n/a",FY135-INDEX(tab_MinKomp[ZAWODOWE / Berufsausbildung],MATCH($B135,tab_MinKomp[[Stanowisko / Position ]:[Stanowisko / Position ]],0)))</f>
        <v>n/a</v>
      </c>
      <c r="FZ136" s="313" t="str">
        <f>IF(INDEX(tab_MinKomp[ŚREDNIE OGÓLNE / Abitur allgemeine],MATCH($B135,tab_MinKomp[[Stanowisko / Position ]:[Stanowisko / Position ]],0))="n/a","n/a",FZ135-INDEX(tab_MinKomp[ŚREDNIE OGÓLNE / Abitur allgemeine],MATCH($B135,tab_MinKomp[[Stanowisko / Position ]:[Stanowisko / Position ]],0)))</f>
        <v>n/a</v>
      </c>
      <c r="GA136" s="313" t="str">
        <f>IF(INDEX(tab_MinKomp[ŚREDNIE KIERUNKOWE / berufliches Gymnasium],MATCH($B135,tab_MinKomp[[Stanowisko / Position ]:[Stanowisko / Position ]],0))="n/a","n/a",GA135-INDEX(tab_MinKomp[ŚREDNIE KIERUNKOWE / berufliches Gymnasium],MATCH($B135,tab_MinKomp[[Stanowisko / Position ]:[Stanowisko / Position ]],0)))</f>
        <v>n/a</v>
      </c>
      <c r="GB136" s="313" t="s">
        <v>387</v>
      </c>
      <c r="GC136" s="313" t="str">
        <f>IF(INDEX(tab_MinKomp[PIERWSZA POMOC / Erste Hilfe],MATCH($B135,tab_MinKomp[[Stanowisko / Position ]:[Stanowisko / Position ]],0))="n/a","n/a",GC135-INDEX(tab_MinKomp[PIERWSZA POMOC / Erste Hilfe],MATCH($B135,tab_MinKomp[[Stanowisko / Position ]:[Stanowisko / Position ]],0)))</f>
        <v>n/a</v>
      </c>
      <c r="GD136" s="313" t="str">
        <f>IF(INDEX(tab_MinKomp[PIERWSZA POMOC / Erste Hilfe],MATCH($B135,tab_MinKomp[[Stanowisko / Position ]:[Stanowisko / Position ]],0))="n/a","n/a",GD135-INDEX(tab_MinKomp[PIERWSZA POMOC / Erste Hilfe],MATCH($B135,tab_MinKomp[[Stanowisko / Position ]:[Stanowisko / Position ]],0)))</f>
        <v>n/a</v>
      </c>
      <c r="GE136" s="313" t="str">
        <f>IF(INDEX(tab_MinKomp[Specjalista BHP / BHP Spezialist],MATCH($B135,tab_MinKomp[[Stanowisko / Position ]:[Stanowisko / Position ]],0))="n/a","n/a",GE135-INDEX(tab_MinKomp[Specjalista BHP / BHP Spezialist],MATCH($B135,tab_MinKomp[[Stanowisko / Position ]:[Stanowisko / Position ]],0)))</f>
        <v>n/a</v>
      </c>
      <c r="GF136" s="313" t="str">
        <f>IF(INDEX(tab_MinKomp[Inspektor ochrony PPOŻ / Brandschutzinspektor],MATCH($B135,tab_MinKomp[[Stanowisko / Position ]:[Stanowisko / Position ]],0))="n/a","n/a",GF135-INDEX(tab_MinKomp[Inspektor ochrony PPOŻ / Brandschutzinspektor],MATCH($B135,tab_MinKomp[[Stanowisko / Position ]:[Stanowisko / Position ]],0)))</f>
        <v>n/a</v>
      </c>
      <c r="GG136" s="313" t="str">
        <f>IF(INDEX(tab_MinKomp[WÓZKI JEZDNIOWE / Gebelstapler],MATCH($B135,tab_MinKomp[[Stanowisko / Position ]:[Stanowisko / Position ]],0))="n/a","n/a",GG135-INDEX(tab_MinKomp[WÓZKI JEZDNIOWE / Gebelstapler],MATCH($B135,tab_MinKomp[[Stanowisko / Position ]:[Stanowisko / Position ]],0)))</f>
        <v>n/a</v>
      </c>
      <c r="GH136" s="313" t="str">
        <f>IF(INDEX(tab_MinKomp[SEP],MATCH($B135,tab_MinKomp[[Stanowisko / Position ]:[Stanowisko / Position ]],0))="n/a","n/a",GH135-INDEX(tab_MinKomp[SEP],MATCH($B135,tab_MinKomp[[Stanowisko / Position ]:[Stanowisko / Position ]],0)))</f>
        <v>n/a</v>
      </c>
      <c r="GI136" s="313" t="str">
        <f>IF(INDEX(tab_MinKomp[SEP  DOZÓR / SEP Aufsicht],MATCH($B135,tab_MinKomp[[Stanowisko / Position ]:[Stanowisko / Position ]],0))="n/a","n/a",GI135-INDEX(tab_MinKomp[SEP  DOZÓR / SEP Aufsicht],MATCH($B135,tab_MinKomp[[Stanowisko / Position ]:[Stanowisko / Position ]],0)))</f>
        <v>n/a</v>
      </c>
      <c r="GJ136" s="313" t="str">
        <f>IF(INDEX(tab_MinKomp[PODNOŚNIKI / Hebevorrichtung],MATCH($B135,tab_MinKomp[[Stanowisko / Position ]:[Stanowisko / Position ]],0))="n/a","n/a",GJ135-INDEX(tab_MinKomp[PODNOŚNIKI / Hebevorrichtung],MATCH($B135,tab_MinKomp[[Stanowisko / Position ]:[Stanowisko / Position ]],0)))</f>
        <v>n/a</v>
      </c>
      <c r="GK136" s="313" t="str">
        <f>IF(INDEX(tab_MinKomp[SUWNICE / Laufkran],MATCH($B135,tab_MinKomp[[Stanowisko / Position ]:[Stanowisko / Position ]],0))="n/a","n/a",GK135-INDEX(tab_MinKomp[SUWNICE / Laufkran],MATCH($B135,tab_MinKomp[[Stanowisko / Position ]:[Stanowisko / Position ]],0)))</f>
        <v>n/a</v>
      </c>
      <c r="GL136" s="320">
        <f>SUM(G136:FP136)/(GL135-(SUM(G136:FP136)))</f>
        <v>0</v>
      </c>
      <c r="GM136" s="132"/>
    </row>
    <row r="137" spans="1:195" s="197" customFormat="1" ht="28.35" customHeight="1" x14ac:dyDescent="0.25">
      <c r="A137" s="138" t="s">
        <v>181</v>
      </c>
      <c r="B137" s="138" t="s">
        <v>252</v>
      </c>
      <c r="C137" s="138" t="s">
        <v>613</v>
      </c>
      <c r="D137" s="138">
        <v>1913</v>
      </c>
      <c r="E137" s="563" t="s">
        <v>711</v>
      </c>
      <c r="F137" s="339" t="s">
        <v>165</v>
      </c>
      <c r="G137" s="308">
        <v>2</v>
      </c>
      <c r="H137" s="308">
        <v>2</v>
      </c>
      <c r="I137" s="308">
        <v>2</v>
      </c>
      <c r="J137" s="308">
        <v>2</v>
      </c>
      <c r="K137" s="308">
        <v>1</v>
      </c>
      <c r="L137" s="308">
        <v>1</v>
      </c>
      <c r="M137" s="308" t="s">
        <v>176</v>
      </c>
      <c r="N137" s="308" t="s">
        <v>176</v>
      </c>
      <c r="O137" s="308">
        <v>1</v>
      </c>
      <c r="P137" s="308">
        <v>1</v>
      </c>
      <c r="Q137" s="308" t="s">
        <v>176</v>
      </c>
      <c r="R137" s="308" t="s">
        <v>176</v>
      </c>
      <c r="S137" s="308" t="s">
        <v>176</v>
      </c>
      <c r="T137" s="308" t="s">
        <v>176</v>
      </c>
      <c r="U137" s="308" t="s">
        <v>176</v>
      </c>
      <c r="V137" s="308" t="s">
        <v>176</v>
      </c>
      <c r="W137" s="308" t="s">
        <v>176</v>
      </c>
      <c r="X137" s="308" t="s">
        <v>176</v>
      </c>
      <c r="Y137" s="308" t="s">
        <v>176</v>
      </c>
      <c r="Z137" s="308" t="s">
        <v>176</v>
      </c>
      <c r="AA137" s="308" t="s">
        <v>176</v>
      </c>
      <c r="AB137" s="308" t="s">
        <v>176</v>
      </c>
      <c r="AC137" s="308" t="s">
        <v>176</v>
      </c>
      <c r="AD137" s="308" t="s">
        <v>176</v>
      </c>
      <c r="AE137" s="308" t="s">
        <v>176</v>
      </c>
      <c r="AF137" s="308" t="s">
        <v>176</v>
      </c>
      <c r="AG137" s="308" t="s">
        <v>176</v>
      </c>
      <c r="AH137" s="308" t="s">
        <v>176</v>
      </c>
      <c r="AI137" s="308" t="s">
        <v>176</v>
      </c>
      <c r="AJ137" s="308" t="s">
        <v>176</v>
      </c>
      <c r="AK137" s="308" t="s">
        <v>176</v>
      </c>
      <c r="AL137" s="308">
        <v>1</v>
      </c>
      <c r="AM137" s="308" t="s">
        <v>176</v>
      </c>
      <c r="AN137" s="308" t="s">
        <v>176</v>
      </c>
      <c r="AO137" s="308" t="s">
        <v>176</v>
      </c>
      <c r="AP137" s="308" t="s">
        <v>176</v>
      </c>
      <c r="AQ137" s="308" t="s">
        <v>176</v>
      </c>
      <c r="AR137" s="308" t="s">
        <v>176</v>
      </c>
      <c r="AS137" s="308" t="s">
        <v>176</v>
      </c>
      <c r="AT137" s="308" t="s">
        <v>176</v>
      </c>
      <c r="AU137" s="308" t="s">
        <v>176</v>
      </c>
      <c r="AV137" s="308">
        <v>1</v>
      </c>
      <c r="AW137" s="308">
        <v>0</v>
      </c>
      <c r="AX137" s="308"/>
      <c r="AY137" s="308" t="s">
        <v>176</v>
      </c>
      <c r="AZ137" s="308" t="s">
        <v>176</v>
      </c>
      <c r="BA137" s="308" t="s">
        <v>176</v>
      </c>
      <c r="BB137" s="308" t="s">
        <v>176</v>
      </c>
      <c r="BC137" s="308" t="s">
        <v>176</v>
      </c>
      <c r="BD137" s="308" t="s">
        <v>176</v>
      </c>
      <c r="BE137" s="308" t="s">
        <v>176</v>
      </c>
      <c r="BF137" s="308" t="s">
        <v>176</v>
      </c>
      <c r="BG137" s="308" t="s">
        <v>176</v>
      </c>
      <c r="BH137" s="308" t="s">
        <v>176</v>
      </c>
      <c r="BI137" s="308" t="s">
        <v>176</v>
      </c>
      <c r="BJ137" s="308" t="s">
        <v>176</v>
      </c>
      <c r="BK137" s="308" t="s">
        <v>176</v>
      </c>
      <c r="BL137" s="308" t="s">
        <v>176</v>
      </c>
      <c r="BM137" s="308" t="s">
        <v>176</v>
      </c>
      <c r="BN137" s="308">
        <v>1</v>
      </c>
      <c r="BO137" s="308">
        <v>1</v>
      </c>
      <c r="BP137" s="308">
        <v>1</v>
      </c>
      <c r="BQ137" s="308">
        <v>1</v>
      </c>
      <c r="BR137" s="308">
        <v>1</v>
      </c>
      <c r="BS137" s="308">
        <v>1</v>
      </c>
      <c r="BT137" s="308">
        <v>1</v>
      </c>
      <c r="BU137" s="308">
        <v>1</v>
      </c>
      <c r="BV137" s="308">
        <v>2</v>
      </c>
      <c r="BW137" s="308" t="s">
        <v>176</v>
      </c>
      <c r="BX137" s="308" t="s">
        <v>176</v>
      </c>
      <c r="BY137" s="308" t="s">
        <v>176</v>
      </c>
      <c r="BZ137" s="308" t="s">
        <v>176</v>
      </c>
      <c r="CA137" s="308" t="s">
        <v>176</v>
      </c>
      <c r="CB137" s="308" t="s">
        <v>176</v>
      </c>
      <c r="CC137" s="308" t="s">
        <v>176</v>
      </c>
      <c r="CD137" s="308" t="s">
        <v>176</v>
      </c>
      <c r="CE137" s="308" t="s">
        <v>176</v>
      </c>
      <c r="CF137" s="308" t="s">
        <v>176</v>
      </c>
      <c r="CG137" s="308" t="s">
        <v>176</v>
      </c>
      <c r="CH137" s="308" t="s">
        <v>176</v>
      </c>
      <c r="CI137" s="308">
        <v>1</v>
      </c>
      <c r="CJ137" s="308" t="s">
        <v>176</v>
      </c>
      <c r="CK137" s="308" t="s">
        <v>176</v>
      </c>
      <c r="CL137" s="308">
        <v>1</v>
      </c>
      <c r="CM137" s="308" t="s">
        <v>176</v>
      </c>
      <c r="CN137" s="308">
        <v>1</v>
      </c>
      <c r="CO137" s="308">
        <v>1</v>
      </c>
      <c r="CP137" s="308">
        <v>1</v>
      </c>
      <c r="CQ137" s="323" t="s">
        <v>176</v>
      </c>
      <c r="CR137" s="308" t="s">
        <v>176</v>
      </c>
      <c r="CS137" s="308" t="s">
        <v>176</v>
      </c>
      <c r="CT137" s="308" t="s">
        <v>176</v>
      </c>
      <c r="CU137" s="308">
        <v>2</v>
      </c>
      <c r="CV137" s="308" t="s">
        <v>176</v>
      </c>
      <c r="CW137" s="308" t="s">
        <v>176</v>
      </c>
      <c r="CX137" s="308" t="s">
        <v>176</v>
      </c>
      <c r="CY137" s="308" t="s">
        <v>176</v>
      </c>
      <c r="CZ137" s="308" t="s">
        <v>176</v>
      </c>
      <c r="DA137" s="308" t="s">
        <v>176</v>
      </c>
      <c r="DB137" s="308" t="s">
        <v>176</v>
      </c>
      <c r="DC137" s="308" t="s">
        <v>176</v>
      </c>
      <c r="DD137" s="308" t="s">
        <v>176</v>
      </c>
      <c r="DE137" s="308" t="s">
        <v>176</v>
      </c>
      <c r="DF137" s="308" t="s">
        <v>176</v>
      </c>
      <c r="DG137" s="308" t="s">
        <v>176</v>
      </c>
      <c r="DH137" s="308" t="s">
        <v>176</v>
      </c>
      <c r="DI137" s="308" t="s">
        <v>176</v>
      </c>
      <c r="DJ137" s="308" t="s">
        <v>176</v>
      </c>
      <c r="DK137" s="308" t="s">
        <v>176</v>
      </c>
      <c r="DL137" s="308" t="s">
        <v>176</v>
      </c>
      <c r="DM137" s="308" t="s">
        <v>176</v>
      </c>
      <c r="DN137" s="308" t="s">
        <v>176</v>
      </c>
      <c r="DO137" s="308" t="s">
        <v>176</v>
      </c>
      <c r="DP137" s="308" t="s">
        <v>176</v>
      </c>
      <c r="DQ137" s="308" t="s">
        <v>176</v>
      </c>
      <c r="DR137" s="308" t="s">
        <v>176</v>
      </c>
      <c r="DS137" s="308" t="s">
        <v>176</v>
      </c>
      <c r="DT137" s="308" t="s">
        <v>176</v>
      </c>
      <c r="DU137" s="308" t="s">
        <v>176</v>
      </c>
      <c r="DV137" s="308" t="s">
        <v>176</v>
      </c>
      <c r="DW137" s="308" t="s">
        <v>176</v>
      </c>
      <c r="DX137" s="308" t="s">
        <v>176</v>
      </c>
      <c r="DY137" s="308">
        <v>1</v>
      </c>
      <c r="DZ137" s="308">
        <v>1</v>
      </c>
      <c r="EA137" s="308">
        <v>2</v>
      </c>
      <c r="EB137" s="308">
        <v>2</v>
      </c>
      <c r="EC137" s="308">
        <v>1</v>
      </c>
      <c r="ED137" s="308">
        <v>1</v>
      </c>
      <c r="EE137" s="308">
        <v>0</v>
      </c>
      <c r="EF137" s="308">
        <v>2</v>
      </c>
      <c r="EG137" s="308">
        <v>2</v>
      </c>
      <c r="EH137" s="308">
        <v>2</v>
      </c>
      <c r="EI137" s="308">
        <v>2</v>
      </c>
      <c r="EJ137" s="308">
        <v>2</v>
      </c>
      <c r="EK137" s="308">
        <v>2</v>
      </c>
      <c r="EL137" s="308">
        <v>0</v>
      </c>
      <c r="EM137" s="308">
        <v>1</v>
      </c>
      <c r="EN137" s="308">
        <v>1</v>
      </c>
      <c r="EO137" s="308">
        <v>2</v>
      </c>
      <c r="EP137" s="308" t="s">
        <v>176</v>
      </c>
      <c r="EQ137" s="308" t="s">
        <v>176</v>
      </c>
      <c r="ER137" s="308" t="s">
        <v>176</v>
      </c>
      <c r="ES137" s="308" t="s">
        <v>176</v>
      </c>
      <c r="ET137" s="308" t="s">
        <v>176</v>
      </c>
      <c r="EU137" s="308" t="s">
        <v>176</v>
      </c>
      <c r="EV137" s="308" t="s">
        <v>176</v>
      </c>
      <c r="EW137" s="308" t="s">
        <v>176</v>
      </c>
      <c r="EX137" s="308" t="s">
        <v>176</v>
      </c>
      <c r="EY137" s="308">
        <v>1</v>
      </c>
      <c r="EZ137" s="308">
        <v>1</v>
      </c>
      <c r="FA137" s="308">
        <v>1</v>
      </c>
      <c r="FB137" s="308" t="s">
        <v>176</v>
      </c>
      <c r="FC137" s="308" t="s">
        <v>176</v>
      </c>
      <c r="FD137" s="308">
        <v>0</v>
      </c>
      <c r="FE137" s="308">
        <v>1</v>
      </c>
      <c r="FF137" s="308">
        <v>0</v>
      </c>
      <c r="FG137" s="323"/>
      <c r="FH137" s="308">
        <v>2</v>
      </c>
      <c r="FI137" s="308">
        <v>1</v>
      </c>
      <c r="FJ137" s="308">
        <v>2</v>
      </c>
      <c r="FK137" s="308">
        <v>2</v>
      </c>
      <c r="FL137" s="323" t="s">
        <v>176</v>
      </c>
      <c r="FM137" s="308">
        <v>1</v>
      </c>
      <c r="FN137" s="308">
        <v>2</v>
      </c>
      <c r="FO137" s="308">
        <v>2</v>
      </c>
      <c r="FP137" s="323" t="s">
        <v>176</v>
      </c>
      <c r="FQ137" s="308" t="s">
        <v>176</v>
      </c>
      <c r="FR137" s="308" t="s">
        <v>176</v>
      </c>
      <c r="FS137" s="308" t="s">
        <v>176</v>
      </c>
      <c r="FT137" s="308" t="s">
        <v>176</v>
      </c>
      <c r="FU137" s="308" t="s">
        <v>176</v>
      </c>
      <c r="FV137" s="308" t="s">
        <v>176</v>
      </c>
      <c r="FW137" s="308" t="s">
        <v>176</v>
      </c>
      <c r="FX137" s="308" t="s">
        <v>176</v>
      </c>
      <c r="FY137" s="308" t="s">
        <v>176</v>
      </c>
      <c r="FZ137" s="308" t="s">
        <v>176</v>
      </c>
      <c r="GA137" s="308" t="s">
        <v>176</v>
      </c>
      <c r="GB137" s="308" t="s">
        <v>176</v>
      </c>
      <c r="GC137" s="308" t="s">
        <v>176</v>
      </c>
      <c r="GD137" s="308" t="s">
        <v>176</v>
      </c>
      <c r="GE137" s="308" t="s">
        <v>176</v>
      </c>
      <c r="GF137" s="308"/>
      <c r="GG137" s="308"/>
      <c r="GH137" s="308" t="s">
        <v>176</v>
      </c>
      <c r="GI137" s="308"/>
      <c r="GJ137" s="308" t="s">
        <v>176</v>
      </c>
      <c r="GK137" s="308"/>
      <c r="GL137" s="311">
        <f>SUM(G137:FP137)</f>
        <v>71</v>
      </c>
      <c r="GM137" s="132"/>
    </row>
    <row r="138" spans="1:195" s="197" customFormat="1" ht="28.35" customHeight="1" thickBot="1" x14ac:dyDescent="0.3">
      <c r="A138" s="138" t="s">
        <v>181</v>
      </c>
      <c r="B138" s="138" t="s">
        <v>252</v>
      </c>
      <c r="C138" s="138" t="s">
        <v>613</v>
      </c>
      <c r="D138" s="138">
        <v>1913</v>
      </c>
      <c r="E138" s="564"/>
      <c r="F138" s="312" t="s">
        <v>166</v>
      </c>
      <c r="G138" s="341">
        <f>IF(INDEX(tab_MinKomp[Przepisy BHP / BHP Vorschriften],MATCH($B137,tab_MinKomp[[Stanowisko / Position ]:[Stanowisko / Position ]],0))="n/a","n/a",G137-INDEX(tab_MinKomp[Przepisy BHP / BHP Vorschriften],MATCH($B137,tab_MinKomp[[Stanowisko / Position ]:[Stanowisko / Position ]],0)))</f>
        <v>0</v>
      </c>
      <c r="H138" s="341">
        <f>IF(INDEX(tab_MinKomp[Przepisy PPOŻ / Brandschutzbestimmungen],MATCH($B137,tab_MinKomp[[Stanowisko / Position ]:[Stanowisko / Position ]],0))="n/a","n/a",H137-INDEX(tab_MinKomp[Przepisy PPOŻ / Brandschutzbestimmungen],MATCH($B137,tab_MinKomp[[Stanowisko / Position ]:[Stanowisko / Position ]],0)))</f>
        <v>0</v>
      </c>
      <c r="I138" s="341">
        <f>IF(INDEX(tab_MinKomp[Ryzyko zawodowe na stanowiskach pracyv/ Berufliche Risiken an Arbeitsstellen],MATCH($B137,tab_MinKomp[[Stanowisko / Position ]:[Stanowisko / Position ]],0))="n/a","n/a",I137-INDEX(tab_MinKomp[Ryzyko zawodowe na stanowiskach pracyv/ Berufliche Risiken an Arbeitsstellen],MATCH($B137,tab_MinKomp[[Stanowisko / Position ]:[Stanowisko / Position ]],0)))</f>
        <v>0</v>
      </c>
      <c r="J138" s="341">
        <f>IF(INDEX(tab_MinKomp[Gospodarka substancjami niebezpiecznymi / Gefahrstoffmanagement],MATCH($B137,tab_MinKomp[[Stanowisko / Position ]:[Stanowisko / Position ]],0))="n/a","n/a",J137-INDEX(tab_MinKomp[Gospodarka substancjami niebezpiecznymi / Gefahrstoffmanagement],MATCH($B137,tab_MinKomp[[Stanowisko / Position ]:[Stanowisko / Position ]],0)))</f>
        <v>0</v>
      </c>
      <c r="K138" s="341">
        <f>IF(INDEX(tab_MinKomp[Gospodarka odpadami / Abfallwirtschaft],MATCH($B137,tab_MinKomp[[Stanowisko / Position ]:[Stanowisko / Position ]],0))="n/a","n/a",K137-INDEX(tab_MinKomp[Gospodarka odpadami / Abfallwirtschaft],MATCH($B137,tab_MinKomp[[Stanowisko / Position ]:[Stanowisko / Position ]],0)))</f>
        <v>-1</v>
      </c>
      <c r="L138" s="341">
        <f>IF(INDEX(tab_MinKomp[Przepisy kodeksu pracy / Bestimmungen des Arbeitsgesetzes],MATCH($B137,tab_MinKomp[[Stanowisko / Position ]:[Stanowisko / Position ]],0))="n/a","n/a",L137-INDEX(tab_MinKomp[Przepisy kodeksu pracy / Bestimmungen des Arbeitsgesetzes],MATCH($B137,tab_MinKomp[[Stanowisko / Position ]:[Stanowisko / Position ]],0)))</f>
        <v>0</v>
      </c>
      <c r="M138" s="341" t="str">
        <f>IF(INDEX(tab_MinKomp[Przepisy o ub.społ. ZUS  / Sozialversicherungsvorschriften],MATCH($B137,tab_MinKomp[[Stanowisko / Position ]:[Stanowisko / Position ]],0))="n/a","n/a",M137-INDEX(tab_MinKomp[Przepisy o ub.społ. ZUS  / Sozialversicherungsvorschriften],MATCH($B137,tab_MinKomp[[Stanowisko / Position ]:[Stanowisko / Position ]],0)))</f>
        <v>n/a</v>
      </c>
      <c r="N138" s="341" t="str">
        <f>IF(INDEX(tab_MinKomp[PRZEPISY O PDOF /persönlich Einkommensteuergesetz ],MATCH($B137,tab_MinKomp[[Stanowisko / Position ]:[Stanowisko / Position ]],0))="n/a","n/a",N137-INDEX(tab_MinKomp[PRZEPISY O PDOF /persönlich Einkommensteuergesetz ],MATCH($B137,tab_MinKomp[[Stanowisko / Position ]:[Stanowisko / Position ]],0)))</f>
        <v>n/a</v>
      </c>
      <c r="O138" s="341">
        <f>IF(INDEX(tab_MinKomp[Regulamin pracy / Arbeitsordnung],MATCH($B137,tab_MinKomp[[Stanowisko / Position ]:[Stanowisko / Position ]],0))="n/a","n/a",O137-INDEX(tab_MinKomp[Regulamin pracy / Arbeitsordnung],MATCH($B137,tab_MinKomp[[Stanowisko / Position ]:[Stanowisko / Position ]],0)))</f>
        <v>0</v>
      </c>
      <c r="P138" s="341">
        <f>IF(INDEX(tab_MinKomp[Regulamin wynagradzania / Vergütungsordnung],MATCH($B137,tab_MinKomp[[Stanowisko / Position ]:[Stanowisko / Position ]],0))="n/a","n/a",P137-INDEX(tab_MinKomp[Regulamin wynagradzania / Vergütungsordnung],MATCH($B137,tab_MinKomp[[Stanowisko / Position ]:[Stanowisko / Position ]],0)))</f>
        <v>0</v>
      </c>
      <c r="Q138" s="341" t="str">
        <f>IF(INDEX(tab_MinKomp[System R2PŁATNIK PRO: Płace / Lohnabrechnung],MATCH($B137,tab_MinKomp[[Stanowisko / Position ]:[Stanowisko / Position ]],0))="n/a","n/a",Q137-INDEX(tab_MinKomp[System R2PŁATNIK PRO: Płace / Lohnabrechnung],MATCH($B137,tab_MinKomp[[Stanowisko / Position ]:[Stanowisko / Position ]],0)))</f>
        <v>n/a</v>
      </c>
      <c r="R138" s="341" t="str">
        <f>IF(INDEX(tab_MinKomp[SystemR2PŁATNIK PRO: KADRY / Personaldaten],MATCH($B137,tab_MinKomp[[Stanowisko / Position ]:[Stanowisko / Position ]],0))="n/a","n/a",R137-INDEX(tab_MinKomp[SystemR2PŁATNIK PRO: KADRY / Personaldaten],MATCH($B137,tab_MinKomp[[Stanowisko / Position ]:[Stanowisko / Position ]],0)))</f>
        <v>n/a</v>
      </c>
      <c r="S138" s="341" t="str">
        <f>IF(INDEX(tab_MinKomp[SYSTEM R2PŁATNIK PRO: zarządzanie pracownikami / Arbeitsverwaltung],MATCH($B137,tab_MinKomp[[Stanowisko / Position ]:[Stanowisko / Position ]],0))="n/a","n/a",S137-INDEX(tab_MinKomp[SYSTEM R2PŁATNIK PRO: zarządzanie pracownikami / Arbeitsverwaltung],MATCH($B137,tab_MinKomp[[Stanowisko / Position ]:[Stanowisko / Position ]],0)))</f>
        <v>n/a</v>
      </c>
      <c r="T138" s="341" t="str">
        <f>IF(INDEX(tab_MinKomp[Doradztwo, wsparcie personalne / Personalberatung und Unterstützung],MATCH($B137,tab_MinKomp[[Stanowisko / Position ]:[Stanowisko / Position ]],0))="n/a","n/a",T137-INDEX(tab_MinKomp[Doradztwo, wsparcie personalne / Personalberatung und Unterstützung],MATCH($B137,tab_MinKomp[[Stanowisko / Position ]:[Stanowisko / Position ]],0)))</f>
        <v>n/a</v>
      </c>
      <c r="U138" s="341" t="str">
        <f>IF(INDEX(tab_MinKomp[Przepisy o podatku VAT / MwSt.- Gesetz],MATCH($B137,tab_MinKomp[[Stanowisko / Position ]:[Stanowisko / Position ]],0))="n/a","n/a",U137-INDEX(tab_MinKomp[Przepisy o podatku VAT / MwSt.- Gesetz],MATCH($B137,tab_MinKomp[[Stanowisko / Position ]:[Stanowisko / Position ]],0)))</f>
        <v>n/a</v>
      </c>
      <c r="V138" s="341" t="str">
        <f>IF(INDEX(tab_MinKomp[PrzepisyPDOP / geschäftlich Einkommensteuergesetz],MATCH($B137,tab_MinKomp[[Stanowisko / Position ]:[Stanowisko / Position ]],0))="n/a","n/a",V137-INDEX(tab_MinKomp[PrzepisyPDOP / geschäftlich Einkommensteuergesetz],MATCH($B137,tab_MinKomp[[Stanowisko / Position ]:[Stanowisko / Position ]],0)))</f>
        <v>n/a</v>
      </c>
      <c r="W138" s="341" t="str">
        <f>IF(INDEX(tab_MinKomp[System BAAN / FINANSE (FIBU)],MATCH($B137,tab_MinKomp[[Stanowisko / Position ]:[Stanowisko / Position ]],0))="n/a","n/a",W137-INDEX(tab_MinKomp[System BAAN / FINANSE (FIBU)],MATCH($B137,tab_MinKomp[[Stanowisko / Position ]:[Stanowisko / Position ]],0)))</f>
        <v>n/a</v>
      </c>
      <c r="X138" s="341" t="str">
        <f>IF(INDEX(tab_MinKomp[Systemy pomocnicze / Hilfssysteme(STOCKPROGRAM, KALK2000 etc.)],MATCH($B137,tab_MinKomp[[Stanowisko / Position ]:[Stanowisko / Position ]],0))="n/a","n/a",X137-INDEX(tab_MinKomp[Systemy pomocnicze / Hilfssysteme(STOCKPROGRAM, KALK2000 etc.)],MATCH($B137,tab_MinKomp[[Stanowisko / Position ]:[Stanowisko / Position ]],0)))</f>
        <v>n/a</v>
      </c>
      <c r="Y138" s="341" t="str">
        <f>IF(INDEX(tab_MinKomp[Polityka rachunkowości / Buchführungspolitik],MATCH($B137,tab_MinKomp[[Stanowisko / Position ]:[Stanowisko / Position ]],0))="n/a","n/a",Y137-INDEX(tab_MinKomp[Polityka rachunkowości / Buchführungspolitik],MATCH($B137,tab_MinKomp[[Stanowisko / Position ]:[Stanowisko / Position ]],0)))</f>
        <v>n/a</v>
      </c>
      <c r="Z138" s="341" t="str">
        <f>IF(INDEX(tab_MinKomp[Ustawa o rachunkowości / Rechnungslegungsgesetz],MATCH($B137,tab_MinKomp[[Stanowisko / Position ]:[Stanowisko / Position ]],0))="n/a","n/a",Z137-INDEX(tab_MinKomp[Ustawa o rachunkowości / Rechnungslegungsgesetz],MATCH($B137,tab_MinKomp[[Stanowisko / Position ]:[Stanowisko / Position ]],0)))</f>
        <v>n/a</v>
      </c>
      <c r="AA138" s="341" t="str">
        <f>IF(INDEX(tab_MinKomp[WORKFLOW - TS-100],MATCH($B137,tab_MinKomp[[Stanowisko / Position ]:[Stanowisko / Position ]],0))="n/a","n/a",AA137-INDEX(tab_MinKomp[WORKFLOW - TS-100],MATCH($B137,tab_MinKomp[[Stanowisko / Position ]:[Stanowisko / Position ]],0)))</f>
        <v>n/a</v>
      </c>
      <c r="AB138" s="341" t="str">
        <f>IF(INDEX(tab_MinKomp[WORKFLOW - SFMS],MATCH($B137,tab_MinKomp[[Stanowisko / Position ]:[Stanowisko / Position ]],0))="n/a","n/a",AB137-INDEX(tab_MinKomp[WORKFLOW - SFMS],MATCH($B137,tab_MinKomp[[Stanowisko / Position ]:[Stanowisko / Position ]],0)))</f>
        <v>n/a</v>
      </c>
      <c r="AC138" s="341" t="str">
        <f>IF(INDEX(tab_MinKomp[System ISO 9001:2015],MATCH($B137,tab_MinKomp[[Stanowisko / Position ]:[Stanowisko / Position ]],0))="n/a","n/a",AC137-INDEX(tab_MinKomp[System ISO 9001:2015],MATCH($B137,tab_MinKomp[[Stanowisko / Position ]:[Stanowisko / Position ]],0)))</f>
        <v>n/a</v>
      </c>
      <c r="AD138" s="341" t="str">
        <f>IF(INDEX(tab_MinKomp[System IATF 16949:2016],MATCH($B137,tab_MinKomp[[Stanowisko / Position ]:[Stanowisko / Position ]],0))="n/a","n/a",AD137-INDEX(tab_MinKomp[System IATF 16949:2016],MATCH($B137,tab_MinKomp[[Stanowisko / Position ]:[Stanowisko / Position ]],0)))</f>
        <v>n/a</v>
      </c>
      <c r="AE138" s="341" t="str">
        <f>IF(INDEX(tab_MinKomp[System ISO 14001:2015],MATCH($B137,tab_MinKomp[[Stanowisko / Position ]:[Stanowisko / Position ]],0))="n/a","n/a",AE137-INDEX(tab_MinKomp[System ISO 14001:2015],MATCH($B137,tab_MinKomp[[Stanowisko / Position ]:[Stanowisko / Position ]],0)))</f>
        <v>n/a</v>
      </c>
      <c r="AF138" s="341" t="str">
        <f>IF(INDEX(tab_MinKomp[System PN-N 18001:2004 / ISO 45001:2018],MATCH($B137,tab_MinKomp[[Stanowisko / Position ]:[Stanowisko / Position ]],0))="n/a","n/a",AF137-INDEX(tab_MinKomp[System PN-N 18001:2004 / ISO 45001:2018],MATCH($B137,tab_MinKomp[[Stanowisko / Position ]:[Stanowisko / Position ]],0)))</f>
        <v>n/a</v>
      </c>
      <c r="AG138" s="341" t="str">
        <f>IF(INDEX(tab_MinKomp[Wymagania VDA 6.3 Process / Forderungen],MATCH($B137,tab_MinKomp[[Stanowisko / Position ]:[Stanowisko / Position ]],0))="n/a","n/a",AG137-INDEX(tab_MinKomp[Wymagania VDA 6.3 Process / Forderungen],MATCH($B137,tab_MinKomp[[Stanowisko / Position ]:[Stanowisko / Position ]],0)))</f>
        <v>n/a</v>
      </c>
      <c r="AH138" s="341" t="str">
        <f>IF(INDEX(tab_MinKomp[Wymagania VDA 6.5 Product / Forderungen],MATCH($B137,tab_MinKomp[[Stanowisko / Position ]:[Stanowisko / Position ]],0))="n/a","n/a",AH137-INDEX(tab_MinKomp[Wymagania VDA 6.5 Product / Forderungen],MATCH($B137,tab_MinKomp[[Stanowisko / Position ]:[Stanowisko / Position ]],0)))</f>
        <v>n/a</v>
      </c>
      <c r="AI138" s="341" t="str">
        <f>IF(INDEX(tab_MinKomp[PSCR (VW Product Safety &amp; Conformity Representative)],MATCH($B137,tab_MinKomp[[Stanowisko / Position ]:[Stanowisko / Position ]],0))="n/a","n/a",AI137-INDEX(tab_MinKomp[PSCR (VW Product Safety &amp; Conformity Representative)],MATCH($B137,tab_MinKomp[[Stanowisko / Position ]:[Stanowisko / Position ]],0)))</f>
        <v>n/a</v>
      </c>
      <c r="AJ138" s="341" t="str">
        <f>IF(INDEX(tab_MinKomp[Auditor systemu ISO 17025:2018],MATCH($B137,tab_MinKomp[[Stanowisko / Position ]:[Stanowisko / Position ]],0))="n/a","n/a",AJ137-INDEX(tab_MinKomp[Auditor systemu ISO 17025:2018],MATCH($B137,tab_MinKomp[[Stanowisko / Position ]:[Stanowisko / Position ]],0)))</f>
        <v>n/a</v>
      </c>
      <c r="AK138" s="341" t="str">
        <f>IF(INDEX(tab_MinKomp[Pełnomocnik systemu / Systemvertreter],MATCH($B137,tab_MinKomp[[Stanowisko / Position ]:[Stanowisko / Position ]],0))="n/a","n/a",AK137-INDEX(tab_MinKomp[Pełnomocnik systemu / Systemvertreter],MATCH($B137,tab_MinKomp[[Stanowisko / Position ]:[Stanowisko / Position ]],0)))</f>
        <v>n/a</v>
      </c>
      <c r="AL138" s="341">
        <f>IF(INDEX(tab_MinKomp[Polityka Etyczna - Compliance],MATCH($B137,tab_MinKomp[[Stanowisko / Position ]:[Stanowisko / Position ]],0))="n/a","n/a",AL137-INDEX(tab_MinKomp[Polityka Etyczna - Compliance],MATCH($B137,tab_MinKomp[[Stanowisko / Position ]:[Stanowisko / Position ]],0)))</f>
        <v>0</v>
      </c>
      <c r="AM138" s="341" t="str">
        <f>IF(INDEX(tab_MinKomp[WDRAŻANIE NOWYCH PROJEKTÓW/ PROCEDURA CTM],MATCH($B137,tab_MinKomp[[Stanowisko / Position ]:[Stanowisko / Position ]],0))="n/a","n/a",AM137-INDEX(tab_MinKomp[WDRAŻANIE NOWYCH PROJEKTÓW/ PROCEDURA CTM],MATCH($B137,tab_MinKomp[[Stanowisko / Position ]:[Stanowisko / Position ]],0)))</f>
        <v>n/a</v>
      </c>
      <c r="AN138" s="341" t="str">
        <f>IF(INDEX(tab_MinKomp[KAMIENIE MILOWE MSL/PIFF],MATCH($B137,tab_MinKomp[[Stanowisko / Position ]:[Stanowisko / Position ]],0))="n/a","n/a",AN137-INDEX(tab_MinKomp[KAMIENIE MILOWE MSL/PIFF],MATCH($B137,tab_MinKomp[[Stanowisko / Position ]:[Stanowisko / Position ]],0)))</f>
        <v>n/a</v>
      </c>
      <c r="AO138" s="341" t="str">
        <f>IF(INDEX(tab_MinKomp[CP],MATCH($B137,tab_MinKomp[[Stanowisko / Position ]:[Stanowisko / Position ]],0))="n/a","n/a",AO137-INDEX(tab_MinKomp[CP],MATCH($B137,tab_MinKomp[[Stanowisko / Position ]:[Stanowisko / Position ]],0)))</f>
        <v>n/a</v>
      </c>
      <c r="AP138" s="341" t="str">
        <f>IF(INDEX(tab_MinKomp[FMEA],MATCH($B137,tab_MinKomp[[Stanowisko / Position ]:[Stanowisko / Position ]],0))="n/a","n/a",AP137-INDEX(tab_MinKomp[FMEA],MATCH($B137,tab_MinKomp[[Stanowisko / Position ]:[Stanowisko / Position ]],0)))</f>
        <v>n/a</v>
      </c>
      <c r="AQ138" s="341" t="str">
        <f>IF(INDEX(tab_MinKomp[FLOW CHART],MATCH($B137,tab_MinKomp[[Stanowisko / Position ]:[Stanowisko / Position ]],0))="n/a","n/a",AQ137-INDEX(tab_MinKomp[FLOW CHART],MATCH($B137,tab_MinKomp[[Stanowisko / Position ]:[Stanowisko / Position ]],0)))</f>
        <v>n/a</v>
      </c>
      <c r="AR138" s="341" t="str">
        <f>IF(INDEX(tab_MinKomp[APQP],MATCH($B137,tab_MinKomp[[Stanowisko / Position ]:[Stanowisko / Position ]],0))="n/a","n/a",AR137-INDEX(tab_MinKomp[APQP],MATCH($B137,tab_MinKomp[[Stanowisko / Position ]:[Stanowisko / Position ]],0)))</f>
        <v>n/a</v>
      </c>
      <c r="AS138" s="341" t="str">
        <f>IF(INDEX(tab_MinKomp[MSA],MATCH($B137,tab_MinKomp[[Stanowisko / Position ]:[Stanowisko / Position ]],0))="n/a","n/a",AS137-INDEX(tab_MinKomp[MSA],MATCH($B137,tab_MinKomp[[Stanowisko / Position ]:[Stanowisko / Position ]],0)))</f>
        <v>n/a</v>
      </c>
      <c r="AT138" s="341" t="str">
        <f>IF(INDEX(tab_MinKomp[SPC],MATCH($B137,tab_MinKomp[[Stanowisko / Position ]:[Stanowisko / Position ]],0))="n/a","n/a",AT137-INDEX(tab_MinKomp[SPC],MATCH($B137,tab_MinKomp[[Stanowisko / Position ]:[Stanowisko / Position ]],0)))</f>
        <v>n/a</v>
      </c>
      <c r="AU138" s="341" t="str">
        <f>IF(INDEX(tab_MinKomp[CSR (SPECYFICZNE WYMAGANIA KLIENTA)],MATCH($B137,tab_MinKomp[[Stanowisko / Position ]:[Stanowisko / Position ]],0))="n/a","n/a",AU137-INDEX(tab_MinKomp[CSR (SPECYFICZNE WYMAGANIA KLIENTA)],MATCH($B137,tab_MinKomp[[Stanowisko / Position ]:[Stanowisko / Position ]],0)))</f>
        <v>n/a</v>
      </c>
      <c r="AV138" s="341">
        <f>IF(INDEX(tab_MinKomp[5S],MATCH($B137,tab_MinKomp[[Stanowisko / Position ]:[Stanowisko / Position ]],0))="n/a","n/a",AV137-INDEX(tab_MinKomp[5S],MATCH($B137,tab_MinKomp[[Stanowisko / Position ]:[Stanowisko / Position ]],0)))</f>
        <v>-1</v>
      </c>
      <c r="AW138" s="341">
        <f>IF(INDEX(tab_MinKomp[LEAN MANAGEMENT],MATCH($B137,tab_MinKomp[[Stanowisko / Position ]:[Stanowisko / Position ]],0))="n/a","n/a",AW137-INDEX(tab_MinKomp[LEAN MANAGEMENT],MATCH($B137,tab_MinKomp[[Stanowisko / Position ]:[Stanowisko / Position ]],0)))</f>
        <v>-1</v>
      </c>
      <c r="AX138" s="341">
        <f>IF(INDEX(tab_MinKomp[5R],MATCH($B137,tab_MinKomp[[Stanowisko / Position ]:[Stanowisko / Position ]],0))="n/a","n/a",AX137-INDEX(tab_MinKomp[5R],MATCH($B137,tab_MinKomp[[Stanowisko / Position ]:[Stanowisko / Position ]],0)))</f>
        <v>-1</v>
      </c>
      <c r="AY138" s="341" t="str">
        <f>IF(INDEX(tab_MinKomp[Six Sigma],MATCH($B137,tab_MinKomp[[Stanowisko / Position ]:[Stanowisko / Position ]],0))="n/a","n/a",AY137-INDEX(tab_MinKomp[Six Sigma],MATCH($B137,tab_MinKomp[[Stanowisko / Position ]:[Stanowisko / Position ]],0)))</f>
        <v>n/a</v>
      </c>
      <c r="AZ138" s="341" t="str">
        <f>IF(INDEX(tab_MinKomp[System BAAN / Distribution &amp; Supply Chain],MATCH($B137,tab_MinKomp[[Stanowisko / Position ]:[Stanowisko / Position ]],0))="n/a","n/a",AZ137-INDEX(tab_MinKomp[System BAAN / Distribution &amp; Supply Chain],MATCH($B137,tab_MinKomp[[Stanowisko / Position ]:[Stanowisko / Position ]],0)))</f>
        <v>n/a</v>
      </c>
      <c r="BA138" s="341" t="str">
        <f>IF(INDEX(tab_MinKomp[Gospodarka magazynowa / Lagerverwaltung],MATCH($B137,tab_MinKomp[[Stanowisko / Position ]:[Stanowisko / Position ]],0))="n/a","n/a",BA137-INDEX(tab_MinKomp[Gospodarka magazynowa / Lagerverwaltung],MATCH($B137,tab_MinKomp[[Stanowisko / Position ]:[Stanowisko / Position ]],0)))</f>
        <v>n/a</v>
      </c>
      <c r="BB138" s="341" t="str">
        <f>IF(INDEX(tab_MinKomp[Inwentaryzacja - organizacja i przebieg / Inventurprozess],MATCH($B137,tab_MinKomp[[Stanowisko / Position ]:[Stanowisko / Position ]],0))="n/a","n/a",BB137-INDEX(tab_MinKomp[Inwentaryzacja - organizacja i przebieg / Inventurprozess],MATCH($B137,tab_MinKomp[[Stanowisko / Position ]:[Stanowisko / Position ]],0)))</f>
        <v>n/a</v>
      </c>
      <c r="BC138" s="341" t="str">
        <f>IF(INDEX(tab_MinKomp[Organizacja dostaw / Versorgungsorganisation],MATCH($B137,tab_MinKomp[[Stanowisko / Position ]:[Stanowisko / Position ]],0))="n/a","n/a",BC137-INDEX(tab_MinKomp[Organizacja dostaw / Versorgungsorganisation],MATCH($B137,tab_MinKomp[[Stanowisko / Position ]:[Stanowisko / Position ]],0)))</f>
        <v>n/a</v>
      </c>
      <c r="BD138" s="341" t="str">
        <f>IF(INDEX(tab_MinKomp[Organizacja wysyłek / Organisation von Lieferungen],MATCH($B137,tab_MinKomp[[Stanowisko / Position ]:[Stanowisko / Position ]],0))="n/a","n/a",BD137-INDEX(tab_MinKomp[Organizacja wysyłek / Organisation von Lieferungen],MATCH($B137,tab_MinKomp[[Stanowisko / Position ]:[Stanowisko / Position ]],0)))</f>
        <v>n/a</v>
      </c>
      <c r="BE138" s="341" t="str">
        <f>IF(INDEX(tab_MinKomp[Analiza magazynowa - Program Polen.mdb / Inventuranalyse],MATCH($B137,tab_MinKomp[[Stanowisko / Position ]:[Stanowisko / Position ]],0))="n/a","n/a",BE137-INDEX(tab_MinKomp[Analiza magazynowa - Program Polen.mdb / Inventuranalyse],MATCH($B137,tab_MinKomp[[Stanowisko / Position ]:[Stanowisko / Position ]],0)))</f>
        <v>n/a</v>
      </c>
      <c r="BF138" s="341" t="str">
        <f>IF(INDEX(tab_MinKomp[MMOG (Materials Management Operations Guidelines)],MATCH($B137,tab_MinKomp[[Stanowisko / Position ]:[Stanowisko / Position ]],0))="n/a","n/a",BF137-INDEX(tab_MinKomp[MMOG (Materials Management Operations Guidelines)],MATCH($B137,tab_MinKomp[[Stanowisko / Position ]:[Stanowisko / Position ]],0)))</f>
        <v>n/a</v>
      </c>
      <c r="BG138" s="341" t="str">
        <f>IF(INDEX(tab_MinKomp[DETC],MATCH($B137,tab_MinKomp[[Stanowisko / Position ]:[Stanowisko / Position ]],0))="n/a","n/a",BG137-INDEX(tab_MinKomp[DETC],MATCH($B137,tab_MinKomp[[Stanowisko / Position ]:[Stanowisko / Position ]],0)))</f>
        <v>n/a</v>
      </c>
      <c r="BH138" s="341" t="str">
        <f>IF(INDEX(tab_MinKomp[GPP],MATCH($B137,tab_MinKomp[[Stanowisko / Position ]:[Stanowisko / Position ]],0))="n/a","n/a",BH137-INDEX(tab_MinKomp[GPP],MATCH($B137,tab_MinKomp[[Stanowisko / Position ]:[Stanowisko / Position ]],0)))</f>
        <v>n/a</v>
      </c>
      <c r="BI138" s="341" t="str">
        <f>IF(INDEX(tab_MinKomp[AIAG (Automotive Industry Action Group)],MATCH($B137,tab_MinKomp[[Stanowisko / Position ]:[Stanowisko / Position ]],0))="n/a","n/a",BI137-INDEX(tab_MinKomp[AIAG (Automotive Industry Action Group)],MATCH($B137,tab_MinKomp[[Stanowisko / Position ]:[Stanowisko / Position ]],0)))</f>
        <v>n/a</v>
      </c>
      <c r="BJ138" s="341" t="str">
        <f>IF(INDEX(tab_MinKomp[Super-G disputes],MATCH($B137,tab_MinKomp[[Stanowisko / Position ]:[Stanowisko / Position ]],0))="n/a","n/a",BJ137-INDEX(tab_MinKomp[Super-G disputes],MATCH($B137,tab_MinKomp[[Stanowisko / Position ]:[Stanowisko / Position ]],0)))</f>
        <v>n/a</v>
      </c>
      <c r="BK138" s="341" t="str">
        <f>IF(INDEX(tab_MinKomp[CMMS3/eDDL (Direct Data Link)],MATCH($B137,tab_MinKomp[[Stanowisko / Position ]:[Stanowisko / Position ]],0))="n/a","n/a",BK137-INDEX(tab_MinKomp[CMMS3/eDDL (Direct Data Link)],MATCH($B137,tab_MinKomp[[Stanowisko / Position ]:[Stanowisko / Position ]],0)))</f>
        <v>n/a</v>
      </c>
      <c r="BL138" s="341" t="str">
        <f>IF(INDEX(tab_MinKomp[MP&amp;L (Material Planning and Logistics)],MATCH($B137,tab_MinKomp[[Stanowisko / Position ]:[Stanowisko / Position ]],0))="n/a","n/a",BL137-INDEX(tab_MinKomp[MP&amp;L (Material Planning and Logistics)],MATCH($B137,tab_MinKomp[[Stanowisko / Position ]:[Stanowisko / Position ]],0)))</f>
        <v>n/a</v>
      </c>
      <c r="BM138" s="341" t="str">
        <f>IF(INDEX(tab_MinKomp[Planowanie produkcji / Produktionsplanung],MATCH($B137,tab_MinKomp[[Stanowisko / Position ]:[Stanowisko / Position ]],0))="n/a","n/a",BM137-INDEX(tab_MinKomp[Planowanie produkcji / Produktionsplanung],MATCH($B137,tab_MinKomp[[Stanowisko / Position ]:[Stanowisko / Position ]],0)))</f>
        <v>n/a</v>
      </c>
      <c r="BN138" s="341">
        <f>IF(INDEX(tab_MinKomp[Obsługa maszyn Engel / Engel Maschinenbedienung],MATCH($B137,tab_MinKomp[[Stanowisko / Position ]:[Stanowisko / Position ]],0))="n/a","n/a",BN137-INDEX(tab_MinKomp[Obsługa maszyn Engel / Engel Maschinenbedienung],MATCH($B137,tab_MinKomp[[Stanowisko / Position ]:[Stanowisko / Position ]],0)))</f>
        <v>0</v>
      </c>
      <c r="BO138" s="341">
        <f>IF(INDEX(tab_MinKomp[Obsługa maszyn Novapax / Novapax Maschinenbedienung],MATCH($B137,tab_MinKomp[[Stanowisko / Position ]:[Stanowisko / Position ]],0))="n/a","n/a",BO137-INDEX(tab_MinKomp[Obsługa maszyn Novapax / Novapax Maschinenbedienung],MATCH($B137,tab_MinKomp[[Stanowisko / Position ]:[Stanowisko / Position ]],0)))</f>
        <v>0</v>
      </c>
      <c r="BP138" s="341">
        <f>IF(INDEX(tab_MinKomp[Obsługa maszyn KVT / KVT Maschinenbedienung],MATCH($B137,tab_MinKomp[[Stanowisko / Position ]:[Stanowisko / Position ]],0))="n/a","n/a",BP137-INDEX(tab_MinKomp[Obsługa maszyn KVT / KVT Maschinenbedienung],MATCH($B137,tab_MinKomp[[Stanowisko / Position ]:[Stanowisko / Position ]],0)))</f>
        <v>0</v>
      </c>
      <c r="BQ138" s="341">
        <f>IF(INDEX(tab_MinKomp[Obsługa maszyn ASL / ASL Maschinenbedienung],MATCH($B137,tab_MinKomp[[Stanowisko / Position ]:[Stanowisko / Position ]],0))="n/a","n/a",BQ137-INDEX(tab_MinKomp[Obsługa maszyn ASL / ASL Maschinenbedienung],MATCH($B137,tab_MinKomp[[Stanowisko / Position ]:[Stanowisko / Position ]],0)))</f>
        <v>0</v>
      </c>
      <c r="BR138" s="341">
        <f>IF(INDEX(tab_MinKomp[Obsługa maszyn Branson / Branson Maschinenbedienung],MATCH($B137,tab_MinKomp[[Stanowisko / Position ]:[Stanowisko / Position ]],0))="n/a","n/a",BR137-INDEX(tab_MinKomp[Obsługa maszyn Branson / Branson Maschinenbedienung],MATCH($B137,tab_MinKomp[[Stanowisko / Position ]:[Stanowisko / Position ]],0)))</f>
        <v>0</v>
      </c>
      <c r="BS138" s="341">
        <f>IF(INDEX(tab_MinKomp[Obsługa maszyn Kamtec / Kamtec Maschinenbedienung],MATCH($B137,tab_MinKomp[[Stanowisko / Position ]:[Stanowisko / Position ]],0))="n/a","n/a",BS137-INDEX(tab_MinKomp[Obsługa maszyn Kamtec / Kamtec Maschinenbedienung],MATCH($B137,tab_MinKomp[[Stanowisko / Position ]:[Stanowisko / Position ]],0)))</f>
        <v>0</v>
      </c>
      <c r="BT138" s="341">
        <f>IF(INDEX(tab_MinKomp[Obsługa maszyn Piovan / Piovan Maschinenbedienung],MATCH($B137,tab_MinKomp[[Stanowisko / Position ]:[Stanowisko / Position ]],0))="n/a","n/a",BT137-INDEX(tab_MinKomp[Obsługa maszyn Piovan / Piovan Maschinenbedienung],MATCH($B137,tab_MinKomp[[Stanowisko / Position ]:[Stanowisko / Position ]],0)))</f>
        <v>0</v>
      </c>
      <c r="BU138" s="341">
        <f>IF(INDEX(tab_MinKomp[Obsługa maszyn REP / REP Maschinenbedienung],MATCH($B137,tab_MinKomp[[Stanowisko / Position ]:[Stanowisko / Position ]],0))="n/a","n/a",BU137-INDEX(tab_MinKomp[Obsługa maszyn REP / REP Maschinenbedienung],MATCH($B137,tab_MinKomp[[Stanowisko / Position ]:[Stanowisko / Position ]],0)))</f>
        <v>0</v>
      </c>
      <c r="BV138" s="341">
        <f>IF(INDEX(tab_MinKomp[Eliminacja awarii / Beseitigung von Ausfällen],MATCH($B137,tab_MinKomp[[Stanowisko / Position ]:[Stanowisko / Position ]],0))="n/a","n/a",BV137-INDEX(tab_MinKomp[Eliminacja awarii / Beseitigung von Ausfällen],MATCH($B137,tab_MinKomp[[Stanowisko / Position ]:[Stanowisko / Position ]],0)))</f>
        <v>0</v>
      </c>
      <c r="BW138" s="341" t="str">
        <f>IF(INDEX(tab_MinKomp[Informatyka ogólna (techniczne i systemowe) / Allgemeine IT (Technik und System)],MATCH($B137,tab_MinKomp[[Stanowisko / Position ]:[Stanowisko / Position ]],0))="n/a","n/a",BW137-INDEX(tab_MinKomp[Informatyka ogólna (techniczne i systemowe) / Allgemeine IT (Technik und System)],MATCH($B137,tab_MinKomp[[Stanowisko / Position ]:[Stanowisko / Position ]],0)))</f>
        <v>n/a</v>
      </c>
      <c r="BX138" s="341" t="str">
        <f>IF(INDEX(tab_MinKomp[Sieci komputerowe / Computernetzwerke],MATCH($B137,tab_MinKomp[[Stanowisko / Position ]:[Stanowisko / Position ]],0))="n/a","n/a",BX137-INDEX(tab_MinKomp[Sieci komputerowe / Computernetzwerke],MATCH($B137,tab_MinKomp[[Stanowisko / Position ]:[Stanowisko / Position ]],0)))</f>
        <v>n/a</v>
      </c>
      <c r="BY138" s="341" t="str">
        <f>IF(INDEX(tab_MinKomp[Hardware (komputery PC, drukarki biurowe i etykietowe, telefonia stacjonarna i mobilna) (PC, Drucker, Telefpne, Handys)],MATCH($B137,tab_MinKomp[[Stanowisko / Position ]:[Stanowisko / Position ]],0))="n/a","n/a",BY137-INDEX(tab_MinKomp[Hardware (komputery PC, drukarki biurowe i etykietowe, telefonia stacjonarna i mobilna) (PC, Drucker, Telefpne, Handys)],MATCH($B137,tab_MinKomp[[Stanowisko / Position ]:[Stanowisko / Position ]],0)))</f>
        <v>n/a</v>
      </c>
      <c r="BZ138" s="341" t="str">
        <f>IF(INDEX(tab_MinKomp[Software &amp; Systems (MS Office, MS Remote Desktop)],MATCH($B137,tab_MinKomp[[Stanowisko / Position ]:[Stanowisko / Position ]],0))="n/a","n/a",BZ137-INDEX(tab_MinKomp[Software &amp; Systems (MS Office, MS Remote Desktop)],MATCH($B137,tab_MinKomp[[Stanowisko / Position ]:[Stanowisko / Position ]],0)))</f>
        <v>n/a</v>
      </c>
      <c r="CA138" s="341" t="str">
        <f>IF(INDEX(tab_MinKomp[Programowanie obiektowe (PHP) / Objektprogrammierung],MATCH($B137,tab_MinKomp[[Stanowisko / Position ]:[Stanowisko / Position ]],0))="n/a","n/a",CA137-INDEX(tab_MinKomp[Programowanie obiektowe (PHP) / Objektprogrammierung],MATCH($B137,tab_MinKomp[[Stanowisko / Position ]:[Stanowisko / Position ]],0)))</f>
        <v>n/a</v>
      </c>
      <c r="CB138" s="341" t="str">
        <f>IF(INDEX(tab_MinKomp[Scrum],MATCH($B137,tab_MinKomp[[Stanowisko / Position ]:[Stanowisko / Position ]],0))="n/a","n/a",CB137-INDEX(tab_MinKomp[Scrum],MATCH($B137,tab_MinKomp[[Stanowisko / Position ]:[Stanowisko / Position ]],0)))</f>
        <v>n/a</v>
      </c>
      <c r="CC138" s="341" t="str">
        <f>IF(INDEX(tab_MinKomp[SQL (MySQL)],MATCH($B137,tab_MinKomp[[Stanowisko / Position ]:[Stanowisko / Position ]],0))="n/a","n/a",CC137-INDEX(tab_MinKomp[SQL (MySQL)],MATCH($B137,tab_MinKomp[[Stanowisko / Position ]:[Stanowisko / Position ]],0)))</f>
        <v>n/a</v>
      </c>
      <c r="CD138" s="341" t="str">
        <f>IF(INDEX(tab_MinKomp[Javascript],MATCH($B137,tab_MinKomp[[Stanowisko / Position ]:[Stanowisko / Position ]],0))="n/a","n/a",CD137-INDEX(tab_MinKomp[Javascript],MATCH($B137,tab_MinKomp[[Stanowisko / Position ]:[Stanowisko / Position ]],0)))</f>
        <v>n/a</v>
      </c>
      <c r="CE138" s="341" t="str">
        <f>IF(INDEX(tab_MinKomp[Joomla],MATCH($B137,tab_MinKomp[[Stanowisko / Position ]:[Stanowisko / Position ]],0))="n/a","n/a",CE137-INDEX(tab_MinKomp[Joomla],MATCH($B137,tab_MinKomp[[Stanowisko / Position ]:[Stanowisko / Position ]],0)))</f>
        <v>n/a</v>
      </c>
      <c r="CF138" s="341" t="str">
        <f>IF(INDEX(tab_MinKomp[Bash],MATCH($B137,tab_MinKomp[[Stanowisko / Position ]:[Stanowisko / Position ]],0))="n/a","n/a",CF137-INDEX(tab_MinKomp[Bash],MATCH($B137,tab_MinKomp[[Stanowisko / Position ]:[Stanowisko / Position ]],0)))</f>
        <v>n/a</v>
      </c>
      <c r="CG138" s="341" t="str">
        <f>IF(INDEX(tab_MinKomp[Systemy MES (HYDRA / SFMS)],MATCH($B137,tab_MinKomp[[Stanowisko / Position ]:[Stanowisko / Position ]],0))="n/a","n/a",CG137-INDEX(tab_MinKomp[Systemy MES (HYDRA / SFMS)],MATCH($B137,tab_MinKomp[[Stanowisko / Position ]:[Stanowisko / Position ]],0)))</f>
        <v>n/a</v>
      </c>
      <c r="CH138" s="341" t="str">
        <f>IF(INDEX(tab_MinKomp[HTML / CSS],MATCH($B137,tab_MinKomp[[Stanowisko / Position ]:[Stanowisko / Position ]],0))="n/a","n/a",CH137-INDEX(tab_MinKomp[HTML / CSS],MATCH($B137,tab_MinKomp[[Stanowisko / Position ]:[Stanowisko / Position ]],0)))</f>
        <v>n/a</v>
      </c>
      <c r="CI138" s="341">
        <f>IF(INDEX(tab_MinKomp[SYSTEM PR],MATCH($B137,tab_MinKomp[[Stanowisko / Position ]:[Stanowisko / Position ]],0))="n/a","n/a",CI137-INDEX(tab_MinKomp[SYSTEM PR],MATCH($B137,tab_MinKomp[[Stanowisko / Position ]:[Stanowisko / Position ]],0)))</f>
        <v>0</v>
      </c>
      <c r="CJ138" s="341" t="str">
        <f>IF(INDEX(tab_MinKomp[System Einkauf XP / EBA],MATCH($B137,tab_MinKomp[[Stanowisko / Position ]:[Stanowisko / Position ]],0))="n/a","n/a",CJ137-INDEX(tab_MinKomp[System Einkauf XP / EBA],MATCH($B137,tab_MinKomp[[Stanowisko / Position ]:[Stanowisko / Position ]],0)))</f>
        <v>n/a</v>
      </c>
      <c r="CK138" s="341" t="str">
        <f>IF(INDEX(tab_MinKomp[Techniki negocjacyjne / Verhandlungstechniken],MATCH($B137,tab_MinKomp[[Stanowisko / Position ]:[Stanowisko / Position ]],0))="n/a","n/a",CK137-INDEX(tab_MinKomp[Techniki negocjacyjne / Verhandlungstechniken],MATCH($B137,tab_MinKomp[[Stanowisko / Position ]:[Stanowisko / Position ]],0)))</f>
        <v>n/a</v>
      </c>
      <c r="CL138" s="341">
        <f>IF(INDEX(tab_MinKomp[Znajomość rynku branżowego / Kenntnis des Industrie Marktes],MATCH($B137,tab_MinKomp[[Stanowisko / Position ]:[Stanowisko / Position ]],0))="n/a","n/a",CL137-INDEX(tab_MinKomp[Znajomość rynku branżowego / Kenntnis des Industrie Marktes],MATCH($B137,tab_MinKomp[[Stanowisko / Position ]:[Stanowisko / Position ]],0)))</f>
        <v>0</v>
      </c>
      <c r="CM138" s="341" t="str">
        <f>IF(INDEX(tab_MinKomp[RAPORTY 8D / 8D Berichten],MATCH($B137,tab_MinKomp[[Stanowisko / Position ]:[Stanowisko / Position ]],0))="n/a","n/a",CM137-INDEX(tab_MinKomp[RAPORTY 8D / 8D Berichten],MATCH($B137,tab_MinKomp[[Stanowisko / Position ]:[Stanowisko / Position ]],0)))</f>
        <v>n/a</v>
      </c>
      <c r="CN138" s="341">
        <f>IF(INDEX(tab_MinKomp[NARZĘDZIA JAKOŚCIOWE (5WHY, Ishikawa, etc) / QS-Werkzeuge],MATCH($B137,tab_MinKomp[[Stanowisko / Position ]:[Stanowisko / Position ]],0))="n/a","n/a",CN137-INDEX(tab_MinKomp[NARZĘDZIA JAKOŚCIOWE (5WHY, Ishikawa, etc) / QS-Werkzeuge],MATCH($B137,tab_MinKomp[[Stanowisko / Position ]:[Stanowisko / Position ]],0)))</f>
        <v>-1</v>
      </c>
      <c r="CO138" s="341">
        <f>IF(INDEX(tab_MinKomp[PDCA],MATCH($B137,tab_MinKomp[[Stanowisko / Position ]:[Stanowisko / Position ]],0))="n/a","n/a",CO137-INDEX(tab_MinKomp[PDCA],MATCH($B137,tab_MinKomp[[Stanowisko / Position ]:[Stanowisko / Position ]],0)))</f>
        <v>-1</v>
      </c>
      <c r="CP138" s="341">
        <f>IF(INDEX(tab_MinKomp[Pareto],MATCH($B137,tab_MinKomp[[Stanowisko / Position ]:[Stanowisko / Position ]],0))="n/a","n/a",CP137-INDEX(tab_MinKomp[Pareto],MATCH($B137,tab_MinKomp[[Stanowisko / Position ]:[Stanowisko / Position ]],0)))</f>
        <v>-1</v>
      </c>
      <c r="CQ138" s="341" t="str">
        <f>IF(INDEX(tab_MinKomp[PPAP/PSW],MATCH($B137,tab_MinKomp[[Stanowisko / Position ]:[Stanowisko / Position ]],0))="n/a","n/a",CQ137-INDEX(tab_MinKomp[PPAP/PSW],MATCH($B137,tab_MinKomp[[Stanowisko / Position ]:[Stanowisko / Position ]],0)))</f>
        <v>n/a</v>
      </c>
      <c r="CR138" s="341" t="str">
        <f>IF(INDEX(tab_MinKomp[SUPPLIER MANAGEMENT],MATCH($B137,tab_MinKomp[[Stanowisko / Position ]:[Stanowisko / Position ]],0))="n/a","n/a",CR137-INDEX(tab_MinKomp[SUPPLIER MANAGEMENT],MATCH($B137,tab_MinKomp[[Stanowisko / Position ]:[Stanowisko / Position ]],0)))</f>
        <v>n/a</v>
      </c>
      <c r="CS138" s="341" t="str">
        <f>IF(INDEX(tab_MinKomp[OBSŁUGA PORTALI KLIENTA / Kundenportale],MATCH($B137,tab_MinKomp[[Stanowisko / Position ]:[Stanowisko / Position ]],0))="n/a","n/a",CS137-INDEX(tab_MinKomp[OBSŁUGA PORTALI KLIENTA / Kundenportale],MATCH($B137,tab_MinKomp[[Stanowisko / Position ]:[Stanowisko / Position ]],0)))</f>
        <v>n/a</v>
      </c>
      <c r="CT138" s="341" t="str">
        <f>IF(INDEX(tab_MinKomp[Obsługa systemu BABTECQ / BABTECQ System],MATCH($B137,tab_MinKomp[[Stanowisko / Position ]:[Stanowisko / Position ]],0))="n/a","n/a",CT137-INDEX(tab_MinKomp[Obsługa systemu BABTECQ / BABTECQ System],MATCH($B137,tab_MinKomp[[Stanowisko / Position ]:[Stanowisko / Position ]],0)))</f>
        <v>n/a</v>
      </c>
      <c r="CU138" s="341">
        <f>IF(INDEX(tab_MinKomp[Rysunek techniczny / technische Zeichnung],MATCH($B137,tab_MinKomp[[Stanowisko / Position ]:[Stanowisko / Position ]],0))="n/a","n/a",CU137-INDEX(tab_MinKomp[Rysunek techniczny / technische Zeichnung],MATCH($B137,tab_MinKomp[[Stanowisko / Position ]:[Stanowisko / Position ]],0)))</f>
        <v>0</v>
      </c>
      <c r="CV138" s="341" t="str">
        <f>IF(INDEX(tab_MinKomp[Kalibracja / Kalibrierung],MATCH($B137,tab_MinKomp[[Stanowisko / Position ]:[Stanowisko / Position ]],0))="n/a","n/a",CV137-INDEX(tab_MinKomp[Kalibracja / Kalibrierung],MATCH($B137,tab_MinKomp[[Stanowisko / Position ]:[Stanowisko / Position ]],0)))</f>
        <v>n/a</v>
      </c>
      <c r="CW138" s="341" t="str">
        <f>IF(INDEX(tab_MinKomp[Rekwalifikacja / Requalifizierung],MATCH($B137,tab_MinKomp[[Stanowisko / Position ]:[Stanowisko / Position ]],0))="n/a","n/a",CW137-INDEX(tab_MinKomp[Rekwalifikacja / Requalifizierung],MATCH($B137,tab_MinKomp[[Stanowisko / Position ]:[Stanowisko / Position ]],0)))</f>
        <v>n/a</v>
      </c>
      <c r="CX138" s="341" t="str">
        <f>IF(INDEX(tab_MinKomp[Obsługa mikroskopu optycznego / Bedienung eines optischen Mikroskops],MATCH($B137,tab_MinKomp[[Stanowisko / Position ]:[Stanowisko / Position ]],0))="n/a","n/a",CX137-INDEX(tab_MinKomp[Obsługa mikroskopu optycznego / Bedienung eines optischen Mikroskops],MATCH($B137,tab_MinKomp[[Stanowisko / Position ]:[Stanowisko / Position ]],0)))</f>
        <v>n/a</v>
      </c>
      <c r="CY138" s="341" t="str">
        <f>IF(INDEX(tab_MinKomp[Wykonywanie pomiarów optycznych - ocena wizualna / Optische Messungen durchführen – visuelle Beurteilung],MATCH($B137,tab_MinKomp[[Stanowisko / Position ]:[Stanowisko / Position ]],0))="n/a","n/a",CY137-INDEX(tab_MinKomp[Wykonywanie pomiarów optycznych - ocena wizualna / Optische Messungen durchführen – visuelle Beurteilung],MATCH($B137,tab_MinKomp[[Stanowisko / Position ]:[Stanowisko / Position ]],0)))</f>
        <v>n/a</v>
      </c>
      <c r="CZ138" s="341" t="str">
        <f>IF(INDEX(tab_MinKomp[Obsługa Rheometra / Rheometra-Unterstützung],MATCH($B137,tab_MinKomp[[Stanowisko / Position ]:[Stanowisko / Position ]],0))="n/a","n/a",CZ137-INDEX(tab_MinKomp[Obsługa Rheometra / Rheometra-Unterstützung],MATCH($B137,tab_MinKomp[[Stanowisko / Position ]:[Stanowisko / Position ]],0)))</f>
        <v>n/a</v>
      </c>
      <c r="DA138" s="341" t="str">
        <f>IF(INDEX(tab_MinKomp[Testy właściwości Rheometra mieszanki gumy],MATCH($B137,tab_MinKomp[[Stanowisko / Position ]:[Stanowisko / Position ]],0))="n/a","n/a",DA137-INDEX(tab_MinKomp[Testy właściwości Rheometra mieszanki gumy],MATCH($B137,tab_MinKomp[[Stanowisko / Position ]:[Stanowisko / Position ]],0)))</f>
        <v>n/a</v>
      </c>
      <c r="DB138" s="341" t="str">
        <f>IF(INDEX(tab_MinKomp[CMM - Contura Zeiss],MATCH($B137,tab_MinKomp[[Stanowisko / Position ]:[Stanowisko / Position ]],0))="n/a","n/a",DB137-INDEX(tab_MinKomp[CMM - Contura Zeiss],MATCH($B137,tab_MinKomp[[Stanowisko / Position ]:[Stanowisko / Position ]],0)))</f>
        <v>n/a</v>
      </c>
      <c r="DC138" s="341" t="str">
        <f>IF(INDEX(tab_MinKomp[Wykonywanie precyzyjnych pomiarów metrycznych, pomiary 3D],MATCH($B137,tab_MinKomp[[Stanowisko / Position ]:[Stanowisko / Position ]],0))="n/a","n/a",DC137-INDEX(tab_MinKomp[Wykonywanie precyzyjnych pomiarów metrycznych, pomiary 3D],MATCH($B137,tab_MinKomp[[Stanowisko / Position ]:[Stanowisko / Position ]],0)))</f>
        <v>n/a</v>
      </c>
      <c r="DD138" s="341" t="str">
        <f>IF(INDEX(tab_MinKomp[Pisanie programów / Programme schreiben],MATCH($B137,tab_MinKomp[[Stanowisko / Position ]:[Stanowisko / Position ]],0))="n/a","n/a",DD137-INDEX(tab_MinKomp[Pisanie programów / Programme schreiben],MATCH($B137,tab_MinKomp[[Stanowisko / Position ]:[Stanowisko / Position ]],0)))</f>
        <v>n/a</v>
      </c>
      <c r="DE138" s="341" t="str">
        <f>IF(INDEX(tab_MinKomp[Obsługa wyposażenia do testów czystości (myjka + analizator) / Betrieb von Sauberkeitsprüfgeräten (Waschmaschine + Analysegerät)],MATCH($B137,tab_MinKomp[[Stanowisko / Position ]:[Stanowisko / Position ]],0))="n/a","n/a",DE137-INDEX(tab_MinKomp[Obsługa wyposażenia do testów czystości (myjka + analizator) / Betrieb von Sauberkeitsprüfgeräten (Waschmaschine + Analysegerät)],MATCH($B137,tab_MinKomp[[Stanowisko / Position ]:[Stanowisko / Position ]],0)))</f>
        <v>n/a</v>
      </c>
      <c r="DF138" s="341" t="str">
        <f>IF(INDEX(tab_MinKomp[Testy czystości / Reinheitstests],MATCH($B137,tab_MinKomp[[Stanowisko / Position ]:[Stanowisko / Position ]],0))="n/a","n/a",DF137-INDEX(tab_MinKomp[Testy czystości / Reinheitstests],MATCH($B137,tab_MinKomp[[Stanowisko / Position ]:[Stanowisko / Position ]],0)))</f>
        <v>n/a</v>
      </c>
      <c r="DG138" s="341" t="str">
        <f>IF(INDEX(tab_MinKomp[Obsługa wysokościomierza / Unterstützung für Höhenmesser],MATCH($B137,tab_MinKomp[[Stanowisko / Position ]:[Stanowisko / Position ]],0))="n/a","n/a",DG137-INDEX(tab_MinKomp[Obsługa wysokościomierza / Unterstützung für Höhenmesser],MATCH($B137,tab_MinKomp[[Stanowisko / Position ]:[Stanowisko / Position ]],0)))</f>
        <v>n/a</v>
      </c>
      <c r="DH138" s="341" t="str">
        <f>IF(INDEX(tab_MinKomp[Pomiary wysokości materiału / Materialhöhenmessungen],MATCH($B137,tab_MinKomp[[Stanowisko / Position ]:[Stanowisko / Position ]],0))="n/a","n/a",DH137-INDEX(tab_MinKomp[Pomiary wysokości materiału / Materialhöhenmessungen],MATCH($B137,tab_MinKomp[[Stanowisko / Position ]:[Stanowisko / Position ]],0)))</f>
        <v>n/a</v>
      </c>
      <c r="DI138" s="341" t="str">
        <f>IF(INDEX(tab_MinKomp[Obsługa okrągłościomierza / Unterstützung für Rundheitsmessgeräte],MATCH($B137,tab_MinKomp[[Stanowisko / Position ]:[Stanowisko / Position ]],0))="n/a","n/a",DI137-INDEX(tab_MinKomp[Obsługa okrągłościomierza / Unterstützung für Rundheitsmessgeräte],MATCH($B137,tab_MinKomp[[Stanowisko / Position ]:[Stanowisko / Position ]],0)))</f>
        <v>n/a</v>
      </c>
      <c r="DJ138" s="341" t="str">
        <f>IF(INDEX(tab_MinKomp[Wykonywania pomiarów owalności, srednicy materiału / Messung der Ovalität und des Durchmessers des Materials],MATCH($B137,tab_MinKomp[[Stanowisko / Position ]:[Stanowisko / Position ]],0))="n/a","n/a",DJ137-INDEX(tab_MinKomp[Wykonywania pomiarów owalności, srednicy materiału / Messung der Ovalität und des Durchmessers des Materials],MATCH($B137,tab_MinKomp[[Stanowisko / Position ]:[Stanowisko / Position ]],0)))</f>
        <v>n/a</v>
      </c>
      <c r="DK138" s="341" t="str">
        <f>IF(INDEX(tab_MinKomp[Obsługa urządzenia do pomiarów chropowoatości powierzchni materiału],MATCH($B137,tab_MinKomp[[Stanowisko / Position ]:[Stanowisko / Position ]],0))="n/a","n/a",DK137-INDEX(tab_MinKomp[Obsługa urządzenia do pomiarów chropowoatości powierzchni materiału],MATCH($B137,tab_MinKomp[[Stanowisko / Position ]:[Stanowisko / Position ]],0)))</f>
        <v>n/a</v>
      </c>
      <c r="DL138" s="341" t="str">
        <f>IF(INDEX(tab_MinKomp[Wykonywanie pomiarów chropowatości powierzchni materiału / Durchführung von Messungen der Materialoberflächenrauheit],MATCH($B137,tab_MinKomp[[Stanowisko / Position ]:[Stanowisko / Position ]],0))="n/a","n/a",DL137-INDEX(tab_MinKomp[Wykonywanie pomiarów chropowatości powierzchni materiału / Durchführung von Messungen der Materialoberflächenrauheit],MATCH($B137,tab_MinKomp[[Stanowisko / Position ]:[Stanowisko / Position ]],0)))</f>
        <v>n/a</v>
      </c>
      <c r="DM138" s="341" t="str">
        <f>IF(INDEX(tab_MinKomp[Obsługa urządzenia do pomiaru siły radialnej części - postępowanie z trzpieniami. / Funktionsweise des Geräts zur Messung der Radialkraft von Teilen – Handhabungsstifte.],MATCH($B137,tab_MinKomp[[Stanowisko / Position ]:[Stanowisko / Position ]],0))="n/a","n/a",DM137-INDEX(tab_MinKomp[Obsługa urządzenia do pomiaru siły radialnej części - postępowanie z trzpieniami. / Funktionsweise des Geräts zur Messung der Radialkraft von Teilen – Handhabungsstifte.],MATCH($B137,tab_MinKomp[[Stanowisko / Position ]:[Stanowisko / Position ]],0)))</f>
        <v>n/a</v>
      </c>
      <c r="DN138" s="341" t="str">
        <f>IF(INDEX(tab_MinKomp[Wykonywanie pomiarów siły radialnej części / Führen Sie Radialkraftmessungen an Teilen durch],MATCH($B137,tab_MinKomp[[Stanowisko / Position ]:[Stanowisko / Position ]],0))="n/a","n/a",DN137-INDEX(tab_MinKomp[Wykonywanie pomiarów siły radialnej części / Führen Sie Radialkraftmessungen an Teilen durch],MATCH($B137,tab_MinKomp[[Stanowisko / Position ]:[Stanowisko / Position ]],0)))</f>
        <v>n/a</v>
      </c>
      <c r="DO138" s="341" t="str">
        <f>IF(INDEX(tab_MinKomp[Obsługa komory do testów wybuchwych / Betrieb einer Explosionsprüfkammer],MATCH($B137,tab_MinKomp[[Stanowisko / Position ]:[Stanowisko / Position ]],0))="n/a","n/a",DO137-INDEX(tab_MinKomp[Obsługa komory do testów wybuchwych / Betrieb einer Explosionsprüfkammer],MATCH($B137,tab_MinKomp[[Stanowisko / Position ]:[Stanowisko / Position ]],0)))</f>
        <v>n/a</v>
      </c>
      <c r="DP138" s="341" t="str">
        <f>IF(INDEX(tab_MinKomp[Wykonywanie testów wybuchowych części / Durchführung von Explosionstests an Teilen],MATCH($B137,tab_MinKomp[[Stanowisko / Position ]:[Stanowisko / Position ]],0))="n/a","n/a",DP137-INDEX(tab_MinKomp[Wykonywanie testów wybuchowych części / Durchführung von Explosionstests an Teilen],MATCH($B137,tab_MinKomp[[Stanowisko / Position ]:[Stanowisko / Position ]],0)))</f>
        <v>n/a</v>
      </c>
      <c r="DQ138" s="341" t="str">
        <f>IF(INDEX(tab_MinKomp[Obsługa urządzeń do mierzenia siły trzymania i/lub rozciągania / Betrieb von Geräten zur Messung der Halte- und/oder Dehnkraft],MATCH($B137,tab_MinKomp[[Stanowisko / Position ]:[Stanowisko / Position ]],0))="n/a","n/a",DQ137-INDEX(tab_MinKomp[Obsługa urządzeń do mierzenia siły trzymania i/lub rozciągania / Betrieb von Geräten zur Messung der Halte- und/oder Dehnkraft],MATCH($B137,tab_MinKomp[[Stanowisko / Position ]:[Stanowisko / Position ]],0)))</f>
        <v>n/a</v>
      </c>
      <c r="DR138" s="341" t="str">
        <f>IF(INDEX(tab_MinKomp[Wykonywanie testów mierzenia siły trzymania i/lub rozciągania / Durchführung von Tests zur Messung der Halte- und/oder Streckkraft],MATCH($B137,tab_MinKomp[[Stanowisko / Position ]:[Stanowisko / Position ]],0))="n/a","n/a",DR137-INDEX(tab_MinKomp[Wykonywanie testów mierzenia siły trzymania i/lub rozciągania / Durchführung von Tests zur Messung der Halte- und/oder Streckkraft],MATCH($B137,tab_MinKomp[[Stanowisko / Position ]:[Stanowisko / Position ]],0)))</f>
        <v>n/a</v>
      </c>
      <c r="DS138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Luftstrom)],MATCH($B137,tab_MinKomp[[Stanowisko / Position ]:[Stanowisko / Position ]],0))="n/a","n/a",DS137-INDEX(tab_MinKomp[Obsługa multimetru do pomiarów środowiskowych (temperatura, wilgotność, hałas, oświetlenie, przepływ powietrza) / Betrieb eines Multimeters für Umweltmessungen (Temperatur, Luftfeuchtigkeit, Lärm, Beleuchtung, Luftstrom)],MATCH($B137,tab_MinKomp[[Stanowisko / Position ]:[Stanowisko / Position ]],0)))</f>
        <v>n/a</v>
      </c>
      <c r="DT138" s="341" t="str">
        <f>IF(INDEX(tab_MinKomp[Kontrola warunków środowiskowych pracy (temperatura, wilgotność, hałas, oświetlenie, przepływ powietrza) / Kontrolle der Arbeitsumgebungsbedingungen (Temperatur, Luftfeuchtigkeit, Lärm, Beleuchtung, Luftstrom)],MATCH($B137,tab_MinKomp[[Stanowisko / Position ]:[Stanowisko / Position ]],0))="n/a","n/a",DT137-INDEX(tab_MinKomp[Kontrola warunków środowiskowych pracy (temperatura, wilgotność, hałas, oświetlenie, przepływ powietrza) / Kontrolle der Arbeitsumgebungsbedingungen (Temperatur, Luftfeuchtigkeit, Lärm, Beleuchtung, Luftstrom)],MATCH($B137,tab_MinKomp[[Stanowisko / Position ]:[Stanowisko / Position ]],0)))</f>
        <v>n/a</v>
      </c>
      <c r="DU138" s="341" t="str">
        <f>IF(INDEX(tab_MinKomp[MSA i SPC],MATCH($B137,tab_MinKomp[[Stanowisko / Position ]:[Stanowisko / Position ]],0))="n/a","n/a",DU137-INDEX(tab_MinKomp[MSA i SPC],MATCH($B137,tab_MinKomp[[Stanowisko / Position ]:[Stanowisko / Position ]],0)))</f>
        <v>n/a</v>
      </c>
      <c r="DV138" s="341" t="str">
        <f>IF(INDEX(tab_MinKomp[Kontrola wejściowa komponentów/ Eingangskontrolle],MATCH($B137,tab_MinKomp[[Stanowisko / Position ]:[Stanowisko / Position ]],0))="n/a","n/a",DV137-INDEX(tab_MinKomp[Kontrola wejściowa komponentów/ Eingangskontrolle],MATCH($B137,tab_MinKomp[[Stanowisko / Position ]:[Stanowisko / Position ]],0)))</f>
        <v>n/a</v>
      </c>
      <c r="DW138" s="341" t="str">
        <f>IF(INDEX(tab_MinKomp[Kontrola wyjściowa produktu / Ausgangskontrolle],MATCH($B137,tab_MinKomp[[Stanowisko / Position ]:[Stanowisko / Position ]],0))="n/a","n/a",DW137-INDEX(tab_MinKomp[Kontrola wyjściowa produktu / Ausgangskontrolle],MATCH($B137,tab_MinKomp[[Stanowisko / Position ]:[Stanowisko / Position ]],0)))</f>
        <v>n/a</v>
      </c>
      <c r="DX138" s="341" t="str">
        <f>IF(INDEX(tab_MinKomp[Kontrola codzienna produkcji / Tägliche Produktionskontrolle],MATCH($B137,tab_MinKomp[[Stanowisko / Position ]:[Stanowisko / Position ]],0))="n/a","n/a",DX137-INDEX(tab_MinKomp[Kontrola codzienna produkcji / Tägliche Produktionskontrolle],MATCH($B137,tab_MinKomp[[Stanowisko / Position ]:[Stanowisko / Position ]],0)))</f>
        <v>n/a</v>
      </c>
      <c r="DY138" s="341">
        <f>IF(INDEX(tab_MinKomp[Konserwacja Rep],MATCH($B137,tab_MinKomp[[Stanowisko / Position ]:[Stanowisko / Position ]],0))="n/a","n/a",DY137-INDEX(tab_MinKomp[Konserwacja Rep],MATCH($B137,tab_MinKomp[[Stanowisko / Position ]:[Stanowisko / Position ]],0)))</f>
        <v>-1</v>
      </c>
      <c r="DZ138" s="341">
        <f>IF(INDEX(tab_MinKomp[[Konserwacja Engel ]],MATCH($B137,tab_MinKomp[[Stanowisko / Position ]:[Stanowisko / Position ]],0))="n/a","n/a",DZ137-INDEX(tab_MinKomp[[Konserwacja Engel ]],MATCH($B137,tab_MinKomp[[Stanowisko / Position ]:[Stanowisko / Position ]],0)))</f>
        <v>-1</v>
      </c>
      <c r="EA138" s="341">
        <f>IF(INDEX(tab_MinKomp[Konserwacja B 50],MATCH($B137,tab_MinKomp[[Stanowisko / Position ]:[Stanowisko / Position ]],0))="n/a","n/a",EA137-INDEX(tab_MinKomp[Konserwacja B 50],MATCH($B137,tab_MinKomp[[Stanowisko / Position ]:[Stanowisko / Position ]],0)))</f>
        <v>0</v>
      </c>
      <c r="EB138" s="341">
        <f>IF(INDEX(tab_MinKomp[[Konserwacja EOL ]],MATCH($B137,tab_MinKomp[[Stanowisko / Position ]:[Stanowisko / Position ]],0))="n/a","n/a",EB137-INDEX(tab_MinKomp[[Konserwacja EOL ]],MATCH($B137,tab_MinKomp[[Stanowisko / Position ]:[Stanowisko / Position ]],0)))</f>
        <v>0</v>
      </c>
      <c r="EC138" s="341">
        <f>IF(INDEX(tab_MinKomp[Konserwacja Branson],MATCH($B137,tab_MinKomp[[Stanowisko / Position ]:[Stanowisko / Position ]],0))="n/a","n/a",EC137-INDEX(tab_MinKomp[Konserwacja Branson],MATCH($B137,tab_MinKomp[[Stanowisko / Position ]:[Stanowisko / Position ]],0)))</f>
        <v>-1</v>
      </c>
      <c r="ED138" s="341">
        <f>IF(INDEX(tab_MinKomp[Konserwacja coolery],MATCH($B137,tab_MinKomp[[Stanowisko / Position ]:[Stanowisko / Position ]],0))="n/a","n/a",ED137-INDEX(tab_MinKomp[Konserwacja coolery],MATCH($B137,tab_MinKomp[[Stanowisko / Position ]:[Stanowisko / Position ]],0)))</f>
        <v>-1</v>
      </c>
      <c r="EE138" s="341">
        <f>IF(INDEX(tab_MinKomp[Konserwacja piecy],MATCH($B137,tab_MinKomp[[Stanowisko / Position ]:[Stanowisko / Position ]],0))="n/a","n/a",EE137-INDEX(tab_MinKomp[Konserwacja piecy],MATCH($B137,tab_MinKomp[[Stanowisko / Position ]:[Stanowisko / Position ]],0)))</f>
        <v>-2</v>
      </c>
      <c r="EF138" s="341">
        <f>IF(INDEX(tab_MinKomp[Rysunek techniczny- czytanie],MATCH($B137,tab_MinKomp[[Stanowisko / Position ]:[Stanowisko / Position ]],0))="n/a","n/a",EF137-INDEX(tab_MinKomp[Rysunek techniczny- czytanie],MATCH($B137,tab_MinKomp[[Stanowisko / Position ]:[Stanowisko / Position ]],0)))</f>
        <v>0</v>
      </c>
      <c r="EG138" s="341">
        <f>IF(INDEX(tab_MinKomp[Elektryka],MATCH($B137,tab_MinKomp[[Stanowisko / Position ]:[Stanowisko / Position ]],0))="n/a","n/a",EG137-INDEX(tab_MinKomp[Elektryka],MATCH($B137,tab_MinKomp[[Stanowisko / Position ]:[Stanowisko / Position ]],0)))</f>
        <v>0</v>
      </c>
      <c r="EH138" s="341">
        <f>IF(INDEX(tab_MinKomp[Pneumatyka],MATCH($B137,tab_MinKomp[[Stanowisko / Position ]:[Stanowisko / Position ]],0))="n/a","n/a",EH137-INDEX(tab_MinKomp[Pneumatyka],MATCH($B137,tab_MinKomp[[Stanowisko / Position ]:[Stanowisko / Position ]],0)))</f>
        <v>0</v>
      </c>
      <c r="EI138" s="341">
        <f>IF(INDEX(tab_MinKomp[[Hydraulika ]],MATCH($B137,tab_MinKomp[[Stanowisko / Position ]:[Stanowisko / Position ]],0))="n/a","n/a",EI137-INDEX(tab_MinKomp[[Hydraulika ]],MATCH($B137,tab_MinKomp[[Stanowisko / Position ]:[Stanowisko / Position ]],0)))</f>
        <v>0</v>
      </c>
      <c r="EJ138" s="341">
        <f>IF(INDEX(tab_MinKomp[Podciśnienie],MATCH($B137,tab_MinKomp[[Stanowisko / Position ]:[Stanowisko / Position ]],0))="n/a","n/a",EJ137-INDEX(tab_MinKomp[Podciśnienie],MATCH($B137,tab_MinKomp[[Stanowisko / Position ]:[Stanowisko / Position ]],0)))</f>
        <v>0</v>
      </c>
      <c r="EK138" s="341">
        <f>IF(INDEX(tab_MinKomp[Usuwanie awarii],MATCH($B137,tab_MinKomp[[Stanowisko / Position ]:[Stanowisko / Position ]],0))="n/a","n/a",EK137-INDEX(tab_MinKomp[Usuwanie awarii],MATCH($B137,tab_MinKomp[[Stanowisko / Position ]:[Stanowisko / Position ]],0)))</f>
        <v>0</v>
      </c>
      <c r="EL138" s="341">
        <f>IF(INDEX(tab_MinKomp[Obsługa robotów],MATCH($B137,tab_MinKomp[[Stanowisko / Position ]:[Stanowisko / Position ]],0))="n/a","n/a",EL137-INDEX(tab_MinKomp[Obsługa robotów],MATCH($B137,tab_MinKomp[[Stanowisko / Position ]:[Stanowisko / Position ]],0)))</f>
        <v>-2</v>
      </c>
      <c r="EM138" s="341">
        <f>IF(INDEX(tab_MinKomp[Obsługa sterowania maszyny],MATCH($B137,tab_MinKomp[[Stanowisko / Position ]:[Stanowisko / Position ]],0))="n/a","n/a",EM137-INDEX(tab_MinKomp[Obsługa sterowania maszyny],MATCH($B137,tab_MinKomp[[Stanowisko / Position ]:[Stanowisko / Position ]],0)))</f>
        <v>-1</v>
      </c>
      <c r="EN138" s="341">
        <f>IF(INDEX(tab_MinKomp[Usuwanie przyczyn żródłowych],MATCH($B137,tab_MinKomp[[Stanowisko / Position ]:[Stanowisko / Position ]],0))="n/a","n/a",EN137-INDEX(tab_MinKomp[Usuwanie przyczyn żródłowych],MATCH($B137,tab_MinKomp[[Stanowisko / Position ]:[Stanowisko / Position ]],0)))</f>
        <v>-2</v>
      </c>
      <c r="EO138" s="341">
        <f>IF(INDEX(tab_MinKomp[Cmms stosowanie],MATCH($B137,tab_MinKomp[[Stanowisko / Position ]:[Stanowisko / Position ]],0))="n/a","n/a",EO137-INDEX(tab_MinKomp[Cmms stosowanie],MATCH($B137,tab_MinKomp[[Stanowisko / Position ]:[Stanowisko / Position ]],0)))</f>
        <v>0</v>
      </c>
      <c r="EP138" s="341" t="str">
        <f>IF(INDEX(tab_MinKomp[[Czyszczenie form gumowych ]],MATCH($B137,tab_MinKomp[[Stanowisko / Position ]:[Stanowisko / Position ]],0))="n/a","n/a",EP137-INDEX(tab_MinKomp[[Czyszczenie form gumowych ]],MATCH($B137,tab_MinKomp[[Stanowisko / Position ]:[Stanowisko / Position ]],0)))</f>
        <v>n/a</v>
      </c>
      <c r="EQ138" s="341" t="str">
        <f>IF(INDEX(tab_MinKomp[Czyszczenie form plastikowych],MATCH($B137,tab_MinKomp[[Stanowisko / Position ]:[Stanowisko / Position ]],0))="n/a","n/a",EQ137-INDEX(tab_MinKomp[Czyszczenie form plastikowych],MATCH($B137,tab_MinKomp[[Stanowisko / Position ]:[Stanowisko / Position ]],0)))</f>
        <v>n/a</v>
      </c>
      <c r="ER138" s="341" t="str">
        <f>IF(INDEX(tab_MinKomp[Wymiana form plastik],MATCH($B137,tab_MinKomp[[Stanowisko / Position ]:[Stanowisko / Position ]],0))="n/a","n/a",ER137-INDEX(tab_MinKomp[Wymiana form plastik],MATCH($B137,tab_MinKomp[[Stanowisko / Position ]:[Stanowisko / Position ]],0)))</f>
        <v>n/a</v>
      </c>
      <c r="ES138" s="341" t="str">
        <f>IF(INDEX(tab_MinKomp[Wymiana form guma],MATCH($B137,tab_MinKomp[[Stanowisko / Position ]:[Stanowisko / Position ]],0))="n/a","n/a",ES137-INDEX(tab_MinKomp[Wymiana form guma],MATCH($B137,tab_MinKomp[[Stanowisko / Position ]:[Stanowisko / Position ]],0)))</f>
        <v>n/a</v>
      </c>
      <c r="ET138" s="341" t="str">
        <f>IF(INDEX(tab_MinKomp[Konserwacja KK],MATCH($B137,tab_MinKomp[[Stanowisko / Position ]:[Stanowisko / Position ]],0))="n/a","n/a",ET137-INDEX(tab_MinKomp[Konserwacja KK],MATCH($B137,tab_MinKomp[[Stanowisko / Position ]:[Stanowisko / Position ]],0)))</f>
        <v>n/a</v>
      </c>
      <c r="EU138" s="341" t="str">
        <f>IF(INDEX(tab_MinKomp[Konserwacja form guma],MATCH($B137,tab_MinKomp[[Stanowisko / Position ]:[Stanowisko / Position ]],0))="n/a","n/a",EU137-INDEX(tab_MinKomp[Konserwacja form guma],MATCH($B137,tab_MinKomp[[Stanowisko / Position ]:[Stanowisko / Position ]],0)))</f>
        <v>n/a</v>
      </c>
      <c r="EV138" s="341" t="str">
        <f>IF(INDEX(tab_MinKomp[Konserwacja form plastiki],MATCH($B137,tab_MinKomp[[Stanowisko / Position ]:[Stanowisko / Position ]],0))="n/a","n/a",EV137-INDEX(tab_MinKomp[Konserwacja form plastiki],MATCH($B137,tab_MinKomp[[Stanowisko / Position ]:[Stanowisko / Position ]],0)))</f>
        <v>n/a</v>
      </c>
      <c r="EW138" s="330" t="str">
        <f>IF(INDEX(tab_MinKomp[Konserwacja form plastiki],MATCH($B137,tab_MinKomp[[Stanowisko / Position ]:[Stanowisko / Position ]],0))="n/a","n/a",EW137-INDEX(tab_MinKomp[Konserwacja form plastiki],MATCH($B137,tab_MinKomp[[Stanowisko / Position ]:[Stanowisko / Position ]],0)))</f>
        <v>n/a</v>
      </c>
      <c r="EX138" s="341" t="str">
        <f>IF(INDEX(tab_MinKomp[Konserwacja Gorącego Kanału],MATCH($B137,tab_MinKomp[[Stanowisko / Position ]:[Stanowisko / Position ]],0))="n/a","n/a",EX137-INDEX(tab_MinKomp[Konserwacja Gorącego Kanału],MATCH($B137,tab_MinKomp[[Stanowisko / Position ]:[Stanowisko / Position ]],0)))</f>
        <v>n/a</v>
      </c>
      <c r="EY138" s="341">
        <f>IF(INDEX(tab_MinKomp[MS Office (Excel)],MATCH($B137,tab_MinKomp[[Stanowisko / Position ]:[Stanowisko / Position ]],0))="n/a","n/a",EY137-INDEX(tab_MinKomp[MS Office (Excel)],MATCH($B137,tab_MinKomp[[Stanowisko / Position ]:[Stanowisko / Position ]],0)))</f>
        <v>0</v>
      </c>
      <c r="EZ138" s="341">
        <f>IF(INDEX(tab_MinKomp[MS Office (Word)],MATCH($B137,tab_MinKomp[[Stanowisko / Position ]:[Stanowisko / Position ]],0))="n/a","n/a",EZ137-INDEX(tab_MinKomp[MS Office (Word)],MATCH($B137,tab_MinKomp[[Stanowisko / Position ]:[Stanowisko / Position ]],0)))</f>
        <v>0</v>
      </c>
      <c r="FA138" s="341">
        <f>IF(INDEX(tab_MinKomp[MS Office (Power Point)],MATCH($B137,tab_MinKomp[[Stanowisko / Position ]:[Stanowisko / Position ]],0))="n/a","n/a",FA137-INDEX(tab_MinKomp[MS Office (Power Point)],MATCH($B137,tab_MinKomp[[Stanowisko / Position ]:[Stanowisko / Position ]],0)))</f>
        <v>0</v>
      </c>
      <c r="FB138" s="341" t="str">
        <f>IF(INDEX(tab_MinKomp[Język angielski / Englisch],MATCH($B137,tab_MinKomp[[Stanowisko / Position ]:[Stanowisko / Position ]],0))="n/a","n/a",FB137-INDEX(tab_MinKomp[Język angielski / Englisch],MATCH($B137,tab_MinKomp[[Stanowisko / Position ]:[Stanowisko / Position ]],0)))</f>
        <v>n/a</v>
      </c>
      <c r="FC138" s="341" t="str">
        <f>IF(INDEX(tab_MinKomp[Język niemiecki / Deutsch],MATCH($B137,tab_MinKomp[[Stanowisko / Position ]:[Stanowisko / Position ]],0))="n/a","n/a",FC137-INDEX(tab_MinKomp[Język niemiecki / Deutsch],MATCH($B137,tab_MinKomp[[Stanowisko / Position ]:[Stanowisko / Position ]],0)))</f>
        <v>n/a</v>
      </c>
      <c r="FD138" s="341">
        <f>IF(INDEX(tab_MinKomp[Zarządzanie dokumentacją procesową / Process dokumentation management],MATCH($B137,tab_MinKomp[[Stanowisko / Position ]:[Stanowisko / Position ]],0))="n/a","n/a",FD137-INDEX(tab_MinKomp[Zarządzanie dokumentacją procesową / Process dokumentation management],MATCH($B137,tab_MinKomp[[Stanowisko / Position ]:[Stanowisko / Position ]],0)))</f>
        <v>-1</v>
      </c>
      <c r="FE138" s="341">
        <f>IF(INDEX(tab_MinKomp[Znajomość procesów z obszaru / Kenntiss der prozesse in dem Bereich],MATCH($B137,tab_MinKomp[[Stanowisko / Position ]:[Stanowisko / Position ]],0))="n/a","n/a",FE137-INDEX(tab_MinKomp[Znajomość procesów z obszaru / Kenntiss der prozesse in dem Bereich],MATCH($B137,tab_MinKomp[[Stanowisko / Position ]:[Stanowisko / Position ]],0)))</f>
        <v>-1</v>
      </c>
      <c r="FF138" s="341">
        <f>IF(INDEX(tab_MinKomp[optymalizacja procesów / Prozessoptymalisierung],MATCH($B137,tab_MinKomp[[Stanowisko / Position ]:[Stanowisko / Position ]],0))="n/a","n/a",FF137-INDEX(tab_MinKomp[optymalizacja procesów / Prozessoptymalisierung],MATCH($B137,tab_MinKomp[[Stanowisko / Position ]:[Stanowisko / Position ]],0)))</f>
        <v>-2</v>
      </c>
      <c r="FG138" s="341">
        <f>IF(INDEX(tab_MinKomp[Umiejętności szkoleniowe / Trainingsfähigkeiten],MATCH($B137,tab_MinKomp[[Stanowisko / Position ]:[Stanowisko / Position ]],0))="n/a","n/a",FG137-INDEX(tab_MinKomp[Umiejętności szkoleniowe / Trainingsfähigkeiten],MATCH($B137,tab_MinKomp[[Stanowisko / Position ]:[Stanowisko / Position ]],0)))</f>
        <v>-1</v>
      </c>
      <c r="FH138" s="341">
        <f>IF(INDEX(tab_MinKomp[Analityczne myślenie, podejście / Analitysches Denken, Einstellung],MATCH($B137,tab_MinKomp[[Stanowisko / Position ]:[Stanowisko / Position ]],0))="n/a","n/a",FH137-INDEX(tab_MinKomp[Analityczne myślenie, podejście / Analitysches Denken, Einstellung],MATCH($B137,tab_MinKomp[[Stanowisko / Position ]:[Stanowisko / Position ]],0)))</f>
        <v>0</v>
      </c>
      <c r="FI138" s="341">
        <f>IF(INDEX(tab_MinKomp[Dokładność, precyzja w dzialaniu / Genauigkeit, Präzision in die Arbeit],MATCH($B137,tab_MinKomp[[Stanowisko / Position ]:[Stanowisko / Position ]],0))="n/a","n/a",FI137-INDEX(tab_MinKomp[Dokładność, precyzja w dzialaniu / Genauigkeit, Präzision in die Arbeit],MATCH($B137,tab_MinKomp[[Stanowisko / Position ]:[Stanowisko / Position ]],0)))</f>
        <v>-1</v>
      </c>
      <c r="FJ138" s="341">
        <f>IF(INDEX(tab_MinKomp[Dyspozycyjność / Verfügbarkeit],MATCH($B137,tab_MinKomp[[Stanowisko / Position ]:[Stanowisko / Position ]],0))="n/a","n/a",FJ137-INDEX(tab_MinKomp[Dyspozycyjność / Verfügbarkeit],MATCH($B137,tab_MinKomp[[Stanowisko / Position ]:[Stanowisko / Position ]],0)))</f>
        <v>0</v>
      </c>
      <c r="FK138" s="341">
        <f>IF(INDEX(tab_MinKomp[Zaangażowanie / 
Engagement],MATCH($B137,tab_MinKomp[[Stanowisko / Position ]:[Stanowisko / Position ]],0))="n/a","n/a",FK137-INDEX(tab_MinKomp[Zaangażowanie / 
Engagement],MATCH($B137,tab_MinKomp[[Stanowisko / Position ]:[Stanowisko / Position ]],0)))</f>
        <v>0</v>
      </c>
      <c r="FL138" s="341" t="str">
        <f>IF(INDEX(tab_MinKomp[Planowanie strategiczne / Strategische Planung],MATCH($B137,tab_MinKomp[[Stanowisko / Position ]:[Stanowisko / Position ]],0))="n/a","n/a",FL137-INDEX(tab_MinKomp[Planowanie strategiczne / Strategische Planung],MATCH($B137,tab_MinKomp[[Stanowisko / Position ]:[Stanowisko / Position ]],0)))</f>
        <v>n/a</v>
      </c>
      <c r="FM138" s="341">
        <f>IF(INDEX(tab_MinKomp[Konsekwentne i dynamiczne działanie],MATCH($B137,tab_MinKomp[[Stanowisko / Position ]:[Stanowisko / Position ]],0))="n/a","n/a",FM137-INDEX(tab_MinKomp[Konsekwentne i dynamiczne działanie],MATCH($B137,tab_MinKomp[[Stanowisko / Position ]:[Stanowisko / Position ]],0)))</f>
        <v>-1</v>
      </c>
      <c r="FN138" s="341">
        <f>IF(INDEX(tab_MinKomp[Elastyczność w działaniu],MATCH($B137,tab_MinKomp[[Stanowisko / Position ]:[Stanowisko / Position ]],0))="n/a","n/a",FN137-INDEX(tab_MinKomp[Elastyczność w działaniu],MATCH($B137,tab_MinKomp[[Stanowisko / Position ]:[Stanowisko / Position ]],0)))</f>
        <v>0</v>
      </c>
      <c r="FO138" s="341">
        <f>IF(INDEX(tab_MinKomp[Komunikatywność],MATCH($B137,tab_MinKomp[[Stanowisko / Position ]:[Stanowisko / Position ]],0))="n/a","n/a",FO137-INDEX(tab_MinKomp[Komunikatywność],MATCH($B137,tab_MinKomp[[Stanowisko / Position ]:[Stanowisko / Position ]],0)))</f>
        <v>0</v>
      </c>
      <c r="FP138" s="341" t="str">
        <f>IF(INDEX(tab_MinKomp[Motywowanie i budowanie zaangażowania zespołu],MATCH($B137,tab_MinKomp[[Stanowisko / Position ]:[Stanowisko / Position ]],0))="n/a","n/a",FP137-INDEX(tab_MinKomp[Motywowanie i budowanie zaangażowania zespołu],MATCH($B137,tab_MinKomp[[Stanowisko / Position ]:[Stanowisko / Position ]],0)))</f>
        <v>n/a</v>
      </c>
      <c r="FQ138" s="346" t="str">
        <f>IFERROR(IF(INDEX(tab_MinKomp[BRAK / Keine],MATCH($B137,tab_MinKomp[[Stanowisko / Position ]:[Stanowisko / Position ]],0))="n/a","n/a",INDEX(tab_MinKomp[BRAK / Keine],MATCH($B137,tab_MinKomp[[Stanowisko / Position ]:[Stanowisko / Position ]],0))-FQ137),"")</f>
        <v>n/a</v>
      </c>
      <c r="FR138" s="343" t="str">
        <f>IF(INDEX(tab_MinKomp[MINIMUM 1 ROK / min. 1 Jahr],MATCH($B137,tab_MinKomp[[Stanowisko / Position ]:[Stanowisko / Position ]],0))="n/a","n/a",INDEX(tab_MinKomp[MINIMUM 1 ROK / min. 1 Jahr],MATCH($B137,tab_MinKomp[[Stanowisko / Position ]:[Stanowisko / Position ]],0)))</f>
        <v>n/a</v>
      </c>
      <c r="FS138" s="343" t="str">
        <f>IF(INDEX(tab_MinKomp[MINIMUM 2 LATA / min. 2 Jahre],MATCH($B137,tab_MinKomp[[Stanowisko / Position ]:[Stanowisko / Position ]],0))="n/a","n/a",INDEX(tab_MinKomp[MINIMUM 2 LATA / min. 2 Jahre],MATCH($B137,tab_MinKomp[[Stanowisko / Position ]:[Stanowisko / Position ]],0)))</f>
        <v>n/a</v>
      </c>
      <c r="FT138" s="343" t="str">
        <f>IF(INDEX(tab_MinKomp[MINIMUM 3 LATA / min. 3 Jahre],MATCH($B137,tab_MinKomp[[Stanowisko / Position ]:[Stanowisko / Position ]],0))="n/a","n/a",INDEX(tab_MinKomp[MINIMUM 3 LATA / min. 3 Jahre],MATCH($B137,tab_MinKomp[[Stanowisko / Position ]:[Stanowisko / Position ]],0)))</f>
        <v>n/a</v>
      </c>
      <c r="FU138" s="343" t="str">
        <f>IF(INDEX(tab_MinKomp[MINIMUM 4 LATA / min. 4 Jahre],MATCH($B137,tab_MinKomp[[Stanowisko / Position ]:[Stanowisko / Position ]],0))="n/a","n/a",INDEX(tab_MinKomp[MINIMUM 4 LATA / min. 4 Jahre],MATCH($B137,tab_MinKomp[[Stanowisko / Position ]:[Stanowisko / Position ]],0)))</f>
        <v>n/a</v>
      </c>
      <c r="FV138" s="347" t="str">
        <f>IF(INDEX(tab_MinKomp[MINIMUM 5 LAT / min. 5 Jahre],MATCH($B137,tab_MinKomp[[Stanowisko / Position ]:[Stanowisko / Position ]],0))="n/a","n/a",INDEX(tab_MinKomp[MINIMUM 5 LAT / min. 5 Jahre],MATCH($B137,tab_MinKomp[[Stanowisko / Position ]:[Stanowisko / Position ]],0)))</f>
        <v>n/a</v>
      </c>
      <c r="FW138" s="346" t="str">
        <f>IF(INDEX(tab_MinKomp[BRAK / Keine9],MATCH($B137,tab_MinKomp[[Stanowisko / Position ]:[Stanowisko / Position ]],0))="n/a","n/a",INDEX(tab_MinKomp[BRAK / Keine9],MATCH($B137,tab_MinKomp[[Stanowisko / Position ]:[Stanowisko / Position ]],0)))</f>
        <v>n/a</v>
      </c>
      <c r="FX138" s="343" t="str">
        <f>IF(INDEX(tab_MinKomp[ZAWODOWE / Berufsausbildung],MATCH($B137,tab_MinKomp[[Stanowisko / Position ]:[Stanowisko / Position ]],0))="n/a","n/a",INDEX(tab_MinKomp[ZAWODOWE / Berufsausbildung],MATCH($B137,tab_MinKomp[[Stanowisko / Position ]:[Stanowisko / Position ]],0)))</f>
        <v>n/a</v>
      </c>
      <c r="FY138" s="343" t="str">
        <f>IF(INDEX(tab_MinKomp[ŚREDNIE OGÓLNE / Abitur allgemeine],MATCH($B137,tab_MinKomp[[Stanowisko / Position ]:[Stanowisko / Position ]],0))="n/a","n/a",INDEX(tab_MinKomp[ŚREDNIE OGÓLNE / Abitur allgemeine],MATCH($B137,tab_MinKomp[[Stanowisko / Position ]:[Stanowisko / Position ]],0)))</f>
        <v>n/a</v>
      </c>
      <c r="FZ138" s="343" t="str">
        <f>IF(INDEX(tab_MinKomp[ŚREDNIE KIERUNKOWE / berufliches Gymnasium],MATCH($B137,tab_MinKomp[[Stanowisko / Position ]:[Stanowisko / Position ]],0))="n/a","n/a",INDEX(tab_MinKomp[ŚREDNIE KIERUNKOWE / berufliches Gymnasium],MATCH($B137,tab_MinKomp[[Stanowisko / Position ]:[Stanowisko / Position ]],0)))</f>
        <v>n/a</v>
      </c>
      <c r="GA138" s="343" t="str">
        <f>IF(INDEX(tab_MinKomp[WYŻSZE OGÓLNE / Hochschule allgemeine],MATCH($B137,tab_MinKomp[[Stanowisko / Position ]:[Stanowisko / Position ]],0))="n/a","n/a",INDEX(tab_MinKomp[WYŻSZE OGÓLNE / Hochschule allgemeine],MATCH($B137,tab_MinKomp[[Stanowisko / Position ]:[Stanowisko / Position ]],0)))</f>
        <v>n/a</v>
      </c>
      <c r="GB138" s="347" t="str">
        <f>IF(INDEX(tab_MinKomp[WYŻSZE KIERUNKOWE / Hochschule berufliche],MATCH($B137,tab_MinKomp[[Stanowisko / Position ]:[Stanowisko / Position ]],0))="n/a","n/a",INDEX(tab_MinKomp[WYŻSZE KIERUNKOWE / Hochschule berufliche],MATCH($B137,tab_MinKomp[[Stanowisko / Position ]:[Stanowisko / Position ]],0)))</f>
        <v>n/a</v>
      </c>
      <c r="GC138" s="346" t="str">
        <f>IF(INDEX(tab_MinKomp[PIERWSZA POMOC / Erste Hilfe],MATCH($B137,tab_MinKomp[[Stanowisko / Position ]:[Stanowisko / Position ]],0))="n/a","n/a",INDEX(tab_MinKomp[PIERWSZA POMOC / Erste Hilfe],MATCH($B137,tab_MinKomp[[Stanowisko / Position ]:[Stanowisko / Position ]],0)))</f>
        <v>n/a</v>
      </c>
      <c r="GD138" s="343" t="str">
        <f>IF(INDEX(tab_MinKomp[Specjalista BHP / BHP Spezialist],MATCH($B137,tab_MinKomp[[Stanowisko / Position ]:[Stanowisko / Position ]],0))="n/a","n/a",INDEX(tab_MinKomp[Specjalista BHP / BHP Spezialist],MATCH($B137,tab_MinKomp[[Stanowisko / Position ]:[Stanowisko / Position ]],0)))</f>
        <v>n/a</v>
      </c>
      <c r="GE138" s="343" t="str">
        <f>IF(INDEX(tab_MinKomp[Inspektor ochrony PPOŻ / Brandschutzinspektor],MATCH($B137,tab_MinKomp[[Stanowisko / Position ]:[Stanowisko / Position ]],0))="n/a","n/a",INDEX(tab_MinKomp[Inspektor ochrony PPOŻ / Brandschutzinspektor],MATCH($B137,tab_MinKomp[[Stanowisko / Position ]:[Stanowisko / Position ]],0)))</f>
        <v>n/a</v>
      </c>
      <c r="GF138" s="343" t="str">
        <f>IF(INDEX(tab_MinKomp[WÓZKI JEZDNIOWE / Gebelstapler],MATCH($B137,tab_MinKomp[[Stanowisko / Position ]:[Stanowisko / Position ]],0))="n/a","n/a",INDEX(tab_MinKomp[WÓZKI JEZDNIOWE / Gebelstapler],MATCH($B137,tab_MinKomp[[Stanowisko / Position ]:[Stanowisko / Position ]],0)))</f>
        <v>x</v>
      </c>
      <c r="GG138" s="343" t="str">
        <f>IF(INDEX(tab_MinKomp[SEP],MATCH($B137,tab_MinKomp[[Stanowisko / Position ]:[Stanowisko / Position ]],0))="n/a","n/a",INDEX(tab_MinKomp[SEP],MATCH($B137,tab_MinKomp[[Stanowisko / Position ]:[Stanowisko / Position ]],0)))</f>
        <v>x</v>
      </c>
      <c r="GH138" s="343" t="str">
        <f>IF(INDEX(tab_MinKomp[SEP  DOZÓR / SEP Aufsicht],MATCH($B137,tab_MinKomp[[Stanowisko / Position ]:[Stanowisko / Position ]],0))="n/a","n/a",INDEX(tab_MinKomp[SEP  DOZÓR / SEP Aufsicht],MATCH($B137,tab_MinKomp[[Stanowisko / Position ]:[Stanowisko / Position ]],0)))</f>
        <v>n/a</v>
      </c>
      <c r="GI138" s="343" t="str">
        <f>IF(INDEX(tab_MinKomp[PODNOŚNIKI / Hebevorrichtung],MATCH($B137,tab_MinKomp[[Stanowisko / Position ]:[Stanowisko / Position ]],0))="n/a","n/a",INDEX(tab_MinKomp[PODNOŚNIKI / Hebevorrichtung],MATCH($B137,tab_MinKomp[[Stanowisko / Position ]:[Stanowisko / Position ]],0)))</f>
        <v>x</v>
      </c>
      <c r="GJ138" s="343" t="str">
        <f>IF(INDEX(tab_MinKomp[SUWNICE / Laufkran],MATCH($B137,tab_MinKomp[[Stanowisko / Position ]:[Stanowisko / Position ]],0))="n/a","n/a",INDEX(tab_MinKomp[SUWNICE / Laufkran],MATCH($B137,tab_MinKomp[[Stanowisko / Position ]:[Stanowisko / Position ]],0)))</f>
        <v>n/a</v>
      </c>
      <c r="GK138" s="347" t="str">
        <f>IF(INDEX(tab_MinKomp[WYSOKOŚCIOWE / Höhenberechtigungen],MATCH($B137,tab_MinKomp[[Stanowisko / Position ]:[Stanowisko / Position ]],0))="n/a","n/a",INDEX(tab_MinKomp[WYSOKOŚCIOWE / Höhenberechtigungen],MATCH($B137,tab_MinKomp[[Stanowisko / Position ]:[Stanowisko / Position ]],0)))</f>
        <v>x</v>
      </c>
      <c r="GL138" s="320">
        <f>SUM(G138:FP138)/(GL137-(SUM(G138:FP138)))</f>
        <v>-0.26041666666666669</v>
      </c>
      <c r="GM138" s="132"/>
    </row>
    <row r="139" spans="1:195" s="133" customFormat="1" ht="28.35" customHeight="1" x14ac:dyDescent="0.25">
      <c r="A139" s="135" t="s">
        <v>181</v>
      </c>
      <c r="B139" s="135" t="s">
        <v>252</v>
      </c>
      <c r="C139" s="135" t="s">
        <v>613</v>
      </c>
      <c r="D139" s="135">
        <v>828</v>
      </c>
      <c r="E139" s="565" t="s">
        <v>622</v>
      </c>
      <c r="F139" s="307" t="s">
        <v>165</v>
      </c>
      <c r="G139" s="308">
        <v>2</v>
      </c>
      <c r="H139" s="308">
        <v>2</v>
      </c>
      <c r="I139" s="308">
        <v>2</v>
      </c>
      <c r="J139" s="308">
        <v>2</v>
      </c>
      <c r="K139" s="308">
        <v>2</v>
      </c>
      <c r="L139" s="308">
        <v>1</v>
      </c>
      <c r="M139" s="308" t="s">
        <v>176</v>
      </c>
      <c r="N139" s="308" t="s">
        <v>176</v>
      </c>
      <c r="O139" s="308">
        <v>1</v>
      </c>
      <c r="P139" s="308">
        <v>1</v>
      </c>
      <c r="Q139" s="308" t="s">
        <v>176</v>
      </c>
      <c r="R139" s="308" t="s">
        <v>176</v>
      </c>
      <c r="S139" s="308" t="s">
        <v>176</v>
      </c>
      <c r="T139" s="308" t="s">
        <v>176</v>
      </c>
      <c r="U139" s="308" t="s">
        <v>176</v>
      </c>
      <c r="V139" s="308" t="s">
        <v>176</v>
      </c>
      <c r="W139" s="308" t="s">
        <v>176</v>
      </c>
      <c r="X139" s="308" t="s">
        <v>176</v>
      </c>
      <c r="Y139" s="308" t="s">
        <v>176</v>
      </c>
      <c r="Z139" s="308" t="s">
        <v>176</v>
      </c>
      <c r="AA139" s="308" t="s">
        <v>176</v>
      </c>
      <c r="AB139" s="308" t="s">
        <v>176</v>
      </c>
      <c r="AC139" s="308" t="s">
        <v>176</v>
      </c>
      <c r="AD139" s="308" t="s">
        <v>176</v>
      </c>
      <c r="AE139" s="308" t="s">
        <v>176</v>
      </c>
      <c r="AF139" s="308" t="s">
        <v>176</v>
      </c>
      <c r="AG139" s="308" t="s">
        <v>176</v>
      </c>
      <c r="AH139" s="308" t="s">
        <v>176</v>
      </c>
      <c r="AI139" s="308" t="s">
        <v>176</v>
      </c>
      <c r="AJ139" s="308" t="s">
        <v>176</v>
      </c>
      <c r="AK139" s="308" t="s">
        <v>176</v>
      </c>
      <c r="AL139" s="308">
        <v>1</v>
      </c>
      <c r="AM139" s="308" t="s">
        <v>176</v>
      </c>
      <c r="AN139" s="308" t="s">
        <v>176</v>
      </c>
      <c r="AO139" s="308" t="s">
        <v>176</v>
      </c>
      <c r="AP139" s="308" t="s">
        <v>176</v>
      </c>
      <c r="AQ139" s="308" t="s">
        <v>176</v>
      </c>
      <c r="AR139" s="308" t="s">
        <v>176</v>
      </c>
      <c r="AS139" s="308" t="s">
        <v>176</v>
      </c>
      <c r="AT139" s="308" t="s">
        <v>176</v>
      </c>
      <c r="AU139" s="308" t="s">
        <v>176</v>
      </c>
      <c r="AV139" s="308">
        <v>2</v>
      </c>
      <c r="AW139" s="308">
        <v>1</v>
      </c>
      <c r="AX139" s="308">
        <v>1</v>
      </c>
      <c r="AY139" s="308" t="s">
        <v>176</v>
      </c>
      <c r="AZ139" s="308" t="s">
        <v>176</v>
      </c>
      <c r="BA139" s="308" t="s">
        <v>176</v>
      </c>
      <c r="BB139" s="308" t="s">
        <v>176</v>
      </c>
      <c r="BC139" s="308" t="s">
        <v>176</v>
      </c>
      <c r="BD139" s="308" t="s">
        <v>176</v>
      </c>
      <c r="BE139" s="308" t="s">
        <v>176</v>
      </c>
      <c r="BF139" s="308" t="s">
        <v>176</v>
      </c>
      <c r="BG139" s="308" t="s">
        <v>176</v>
      </c>
      <c r="BH139" s="308" t="s">
        <v>176</v>
      </c>
      <c r="BI139" s="308" t="s">
        <v>176</v>
      </c>
      <c r="BJ139" s="308" t="s">
        <v>176</v>
      </c>
      <c r="BK139" s="308" t="s">
        <v>176</v>
      </c>
      <c r="BL139" s="308" t="s">
        <v>176</v>
      </c>
      <c r="BM139" s="308" t="s">
        <v>176</v>
      </c>
      <c r="BN139" s="308">
        <v>1</v>
      </c>
      <c r="BO139" s="308">
        <v>1</v>
      </c>
      <c r="BP139" s="308">
        <v>1</v>
      </c>
      <c r="BQ139" s="308">
        <v>1</v>
      </c>
      <c r="BR139" s="308">
        <v>1</v>
      </c>
      <c r="BS139" s="308">
        <v>1</v>
      </c>
      <c r="BT139" s="308">
        <v>1</v>
      </c>
      <c r="BU139" s="308">
        <v>1</v>
      </c>
      <c r="BV139" s="308">
        <v>2</v>
      </c>
      <c r="BW139" s="308" t="s">
        <v>176</v>
      </c>
      <c r="BX139" s="308" t="s">
        <v>176</v>
      </c>
      <c r="BY139" s="308" t="s">
        <v>176</v>
      </c>
      <c r="BZ139" s="308" t="s">
        <v>176</v>
      </c>
      <c r="CA139" s="308" t="s">
        <v>176</v>
      </c>
      <c r="CB139" s="308" t="s">
        <v>176</v>
      </c>
      <c r="CC139" s="308" t="s">
        <v>176</v>
      </c>
      <c r="CD139" s="308" t="s">
        <v>176</v>
      </c>
      <c r="CE139" s="308" t="s">
        <v>176</v>
      </c>
      <c r="CF139" s="308" t="s">
        <v>176</v>
      </c>
      <c r="CG139" s="308" t="s">
        <v>176</v>
      </c>
      <c r="CH139" s="308" t="s">
        <v>176</v>
      </c>
      <c r="CI139" s="308">
        <v>1</v>
      </c>
      <c r="CJ139" s="308" t="s">
        <v>176</v>
      </c>
      <c r="CK139" s="308" t="s">
        <v>176</v>
      </c>
      <c r="CL139" s="308">
        <v>1</v>
      </c>
      <c r="CM139" s="308" t="s">
        <v>176</v>
      </c>
      <c r="CN139" s="308">
        <v>1</v>
      </c>
      <c r="CO139" s="308">
        <v>1</v>
      </c>
      <c r="CP139" s="308">
        <v>1</v>
      </c>
      <c r="CQ139" s="323" t="s">
        <v>176</v>
      </c>
      <c r="CR139" s="308" t="s">
        <v>176</v>
      </c>
      <c r="CS139" s="308" t="s">
        <v>176</v>
      </c>
      <c r="CT139" s="308" t="s">
        <v>176</v>
      </c>
      <c r="CU139" s="308">
        <v>2</v>
      </c>
      <c r="CV139" s="308" t="s">
        <v>176</v>
      </c>
      <c r="CW139" s="308" t="s">
        <v>176</v>
      </c>
      <c r="CX139" s="308" t="s">
        <v>176</v>
      </c>
      <c r="CY139" s="308" t="s">
        <v>176</v>
      </c>
      <c r="CZ139" s="308" t="s">
        <v>176</v>
      </c>
      <c r="DA139" s="308" t="s">
        <v>176</v>
      </c>
      <c r="DB139" s="308" t="s">
        <v>176</v>
      </c>
      <c r="DC139" s="308" t="s">
        <v>176</v>
      </c>
      <c r="DD139" s="308" t="s">
        <v>176</v>
      </c>
      <c r="DE139" s="308" t="s">
        <v>176</v>
      </c>
      <c r="DF139" s="308" t="s">
        <v>176</v>
      </c>
      <c r="DG139" s="308" t="s">
        <v>176</v>
      </c>
      <c r="DH139" s="308" t="s">
        <v>176</v>
      </c>
      <c r="DI139" s="308" t="s">
        <v>176</v>
      </c>
      <c r="DJ139" s="308" t="s">
        <v>176</v>
      </c>
      <c r="DK139" s="308" t="s">
        <v>176</v>
      </c>
      <c r="DL139" s="308" t="s">
        <v>176</v>
      </c>
      <c r="DM139" s="308" t="s">
        <v>176</v>
      </c>
      <c r="DN139" s="308" t="s">
        <v>176</v>
      </c>
      <c r="DO139" s="308" t="s">
        <v>176</v>
      </c>
      <c r="DP139" s="308" t="s">
        <v>176</v>
      </c>
      <c r="DQ139" s="308" t="s">
        <v>176</v>
      </c>
      <c r="DR139" s="308" t="s">
        <v>176</v>
      </c>
      <c r="DS139" s="308" t="s">
        <v>176</v>
      </c>
      <c r="DT139" s="308" t="s">
        <v>176</v>
      </c>
      <c r="DU139" s="308" t="s">
        <v>176</v>
      </c>
      <c r="DV139" s="308" t="s">
        <v>176</v>
      </c>
      <c r="DW139" s="308" t="s">
        <v>176</v>
      </c>
      <c r="DX139" s="308" t="s">
        <v>176</v>
      </c>
      <c r="DY139" s="308">
        <v>2</v>
      </c>
      <c r="DZ139" s="308">
        <v>2</v>
      </c>
      <c r="EA139" s="308">
        <v>2</v>
      </c>
      <c r="EB139" s="308">
        <v>2</v>
      </c>
      <c r="EC139" s="308">
        <v>2</v>
      </c>
      <c r="ED139" s="308">
        <v>2</v>
      </c>
      <c r="EE139" s="308">
        <v>2</v>
      </c>
      <c r="EF139" s="308">
        <v>2</v>
      </c>
      <c r="EG139" s="308">
        <v>2</v>
      </c>
      <c r="EH139" s="308">
        <v>2</v>
      </c>
      <c r="EI139" s="308">
        <v>2</v>
      </c>
      <c r="EJ139" s="308">
        <v>2</v>
      </c>
      <c r="EK139" s="308">
        <v>2</v>
      </c>
      <c r="EL139" s="308">
        <v>1</v>
      </c>
      <c r="EM139" s="308">
        <v>2</v>
      </c>
      <c r="EN139" s="308">
        <v>2</v>
      </c>
      <c r="EO139" s="308">
        <v>2</v>
      </c>
      <c r="EP139" s="308" t="s">
        <v>176</v>
      </c>
      <c r="EQ139" s="308" t="s">
        <v>176</v>
      </c>
      <c r="ER139" s="308" t="s">
        <v>176</v>
      </c>
      <c r="ES139" s="308" t="s">
        <v>176</v>
      </c>
      <c r="ET139" s="308" t="s">
        <v>176</v>
      </c>
      <c r="EU139" s="308" t="s">
        <v>176</v>
      </c>
      <c r="EV139" s="308" t="s">
        <v>176</v>
      </c>
      <c r="EW139" s="308" t="s">
        <v>176</v>
      </c>
      <c r="EX139" s="308" t="s">
        <v>176</v>
      </c>
      <c r="EY139" s="308">
        <v>1</v>
      </c>
      <c r="EZ139" s="308">
        <v>1</v>
      </c>
      <c r="FA139" s="308"/>
      <c r="FB139" s="308" t="s">
        <v>176</v>
      </c>
      <c r="FC139" s="308" t="s">
        <v>176</v>
      </c>
      <c r="FD139" s="308">
        <v>1</v>
      </c>
      <c r="FE139" s="308">
        <v>2</v>
      </c>
      <c r="FF139" s="308">
        <v>1</v>
      </c>
      <c r="FG139" s="308">
        <v>2</v>
      </c>
      <c r="FH139" s="308">
        <v>2</v>
      </c>
      <c r="FI139" s="308">
        <v>2</v>
      </c>
      <c r="FJ139" s="308">
        <v>2</v>
      </c>
      <c r="FK139" s="308">
        <v>2</v>
      </c>
      <c r="FL139" s="323" t="s">
        <v>176</v>
      </c>
      <c r="FM139" s="308">
        <v>2</v>
      </c>
      <c r="FN139" s="308">
        <v>2</v>
      </c>
      <c r="FO139" s="308">
        <v>2</v>
      </c>
      <c r="FP139" s="323" t="s">
        <v>176</v>
      </c>
      <c r="FQ139" s="323" t="s">
        <v>176</v>
      </c>
      <c r="FR139" s="323" t="s">
        <v>176</v>
      </c>
      <c r="FS139" s="323" t="s">
        <v>176</v>
      </c>
      <c r="FT139" s="323" t="s">
        <v>176</v>
      </c>
      <c r="FU139" s="323" t="s">
        <v>176</v>
      </c>
      <c r="FV139" s="323" t="s">
        <v>176</v>
      </c>
      <c r="FW139" s="323" t="s">
        <v>176</v>
      </c>
      <c r="FX139" s="323" t="s">
        <v>176</v>
      </c>
      <c r="FY139" s="323" t="s">
        <v>176</v>
      </c>
      <c r="FZ139" s="323" t="s">
        <v>176</v>
      </c>
      <c r="GA139" s="323" t="s">
        <v>176</v>
      </c>
      <c r="GB139" s="323" t="s">
        <v>176</v>
      </c>
      <c r="GC139" s="323" t="s">
        <v>176</v>
      </c>
      <c r="GD139" s="323" t="s">
        <v>176</v>
      </c>
      <c r="GE139" s="323" t="s">
        <v>176</v>
      </c>
      <c r="GF139" s="323"/>
      <c r="GG139" s="323"/>
      <c r="GH139" s="323" t="s">
        <v>176</v>
      </c>
      <c r="GI139" s="323"/>
      <c r="GJ139" s="323" t="s">
        <v>176</v>
      </c>
      <c r="GK139" s="323"/>
      <c r="GL139" s="311">
        <f>SUM(G139:FP139)</f>
        <v>90</v>
      </c>
      <c r="GM139" s="132"/>
    </row>
    <row r="140" spans="1:195" s="133" customFormat="1" ht="28.35" customHeight="1" thickBot="1" x14ac:dyDescent="0.3">
      <c r="A140" s="138" t="s">
        <v>181</v>
      </c>
      <c r="B140" s="135" t="s">
        <v>252</v>
      </c>
      <c r="C140" s="138" t="str">
        <f>C139</f>
        <v>KS</v>
      </c>
      <c r="D140" s="138">
        <f>D139</f>
        <v>828</v>
      </c>
      <c r="E140" s="566" t="str">
        <f>E139</f>
        <v>Filipkowski Zbigniew</v>
      </c>
      <c r="F140" s="312" t="s">
        <v>166</v>
      </c>
      <c r="G140" s="341">
        <f>IF(INDEX(tab_MinKomp[Przepisy BHP / BHP Vorschriften],MATCH($B139,tab_MinKomp[[Stanowisko / Position ]:[Stanowisko / Position ]],0))="n/a","n/a",G139-INDEX(tab_MinKomp[Przepisy BHP / BHP Vorschriften],MATCH($B139,tab_MinKomp[[Stanowisko / Position ]:[Stanowisko / Position ]],0)))</f>
        <v>0</v>
      </c>
      <c r="H140" s="341">
        <f>IF(INDEX(tab_MinKomp[Przepisy PPOŻ / Brandschutzbestimmungen],MATCH($B139,tab_MinKomp[[Stanowisko / Position ]:[Stanowisko / Position ]],0))="n/a","n/a",H139-INDEX(tab_MinKomp[Przepisy PPOŻ / Brandschutzbestimmungen],MATCH($B139,tab_MinKomp[[Stanowisko / Position ]:[Stanowisko / Position ]],0)))</f>
        <v>0</v>
      </c>
      <c r="I140" s="341">
        <f>IF(INDEX(tab_MinKomp[Ryzyko zawodowe na stanowiskach pracyv/ Berufliche Risiken an Arbeitsstellen],MATCH($B139,tab_MinKomp[[Stanowisko / Position ]:[Stanowisko / Position ]],0))="n/a","n/a",I139-INDEX(tab_MinKomp[Ryzyko zawodowe na stanowiskach pracyv/ Berufliche Risiken an Arbeitsstellen],MATCH($B139,tab_MinKomp[[Stanowisko / Position ]:[Stanowisko / Position ]],0)))</f>
        <v>0</v>
      </c>
      <c r="J140" s="341">
        <f>IF(INDEX(tab_MinKomp[Gospodarka substancjami niebezpiecznymi / Gefahrstoffmanagement],MATCH($B139,tab_MinKomp[[Stanowisko / Position ]:[Stanowisko / Position ]],0))="n/a","n/a",J139-INDEX(tab_MinKomp[Gospodarka substancjami niebezpiecznymi / Gefahrstoffmanagement],MATCH($B139,tab_MinKomp[[Stanowisko / Position ]:[Stanowisko / Position ]],0)))</f>
        <v>0</v>
      </c>
      <c r="K140" s="341">
        <f>IF(INDEX(tab_MinKomp[Gospodarka odpadami / Abfallwirtschaft],MATCH($B139,tab_MinKomp[[Stanowisko / Position ]:[Stanowisko / Position ]],0))="n/a","n/a",K139-INDEX(tab_MinKomp[Gospodarka odpadami / Abfallwirtschaft],MATCH($B139,tab_MinKomp[[Stanowisko / Position ]:[Stanowisko / Position ]],0)))</f>
        <v>0</v>
      </c>
      <c r="L140" s="341">
        <f>IF(INDEX(tab_MinKomp[Przepisy kodeksu pracy / Bestimmungen des Arbeitsgesetzes],MATCH($B139,tab_MinKomp[[Stanowisko / Position ]:[Stanowisko / Position ]],0))="n/a","n/a",L139-INDEX(tab_MinKomp[Przepisy kodeksu pracy / Bestimmungen des Arbeitsgesetzes],MATCH($B139,tab_MinKomp[[Stanowisko / Position ]:[Stanowisko / Position ]],0)))</f>
        <v>0</v>
      </c>
      <c r="M140" s="341" t="str">
        <f>IF(INDEX(tab_MinKomp[Przepisy o ub.społ. ZUS  / Sozialversicherungsvorschriften],MATCH($B139,tab_MinKomp[[Stanowisko / Position ]:[Stanowisko / Position ]],0))="n/a","n/a",M139-INDEX(tab_MinKomp[Przepisy o ub.społ. ZUS  / Sozialversicherungsvorschriften],MATCH($B139,tab_MinKomp[[Stanowisko / Position ]:[Stanowisko / Position ]],0)))</f>
        <v>n/a</v>
      </c>
      <c r="N140" s="341" t="str">
        <f>IF(INDEX(tab_MinKomp[PRZEPISY O PDOF /persönlich Einkommensteuergesetz ],MATCH($B139,tab_MinKomp[[Stanowisko / Position ]:[Stanowisko / Position ]],0))="n/a","n/a",N139-INDEX(tab_MinKomp[PRZEPISY O PDOF /persönlich Einkommensteuergesetz ],MATCH($B139,tab_MinKomp[[Stanowisko / Position ]:[Stanowisko / Position ]],0)))</f>
        <v>n/a</v>
      </c>
      <c r="O140" s="341">
        <f>IF(INDEX(tab_MinKomp[Regulamin pracy / Arbeitsordnung],MATCH($B139,tab_MinKomp[[Stanowisko / Position ]:[Stanowisko / Position ]],0))="n/a","n/a",O139-INDEX(tab_MinKomp[Regulamin pracy / Arbeitsordnung],MATCH($B139,tab_MinKomp[[Stanowisko / Position ]:[Stanowisko / Position ]],0)))</f>
        <v>0</v>
      </c>
      <c r="P140" s="341">
        <f>IF(INDEX(tab_MinKomp[Regulamin wynagradzania / Vergütungsordnung],MATCH($B139,tab_MinKomp[[Stanowisko / Position ]:[Stanowisko / Position ]],0))="n/a","n/a",P139-INDEX(tab_MinKomp[Regulamin wynagradzania / Vergütungsordnung],MATCH($B139,tab_MinKomp[[Stanowisko / Position ]:[Stanowisko / Position ]],0)))</f>
        <v>0</v>
      </c>
      <c r="Q140" s="341" t="str">
        <f>IF(INDEX(tab_MinKomp[System R2PŁATNIK PRO: Płace / Lohnabrechnung],MATCH($B139,tab_MinKomp[[Stanowisko / Position ]:[Stanowisko / Position ]],0))="n/a","n/a",Q139-INDEX(tab_MinKomp[System R2PŁATNIK PRO: Płace / Lohnabrechnung],MATCH($B139,tab_MinKomp[[Stanowisko / Position ]:[Stanowisko / Position ]],0)))</f>
        <v>n/a</v>
      </c>
      <c r="R140" s="341" t="str">
        <f>IF(INDEX(tab_MinKomp[SystemR2PŁATNIK PRO: KADRY / Personaldaten],MATCH($B139,tab_MinKomp[[Stanowisko / Position ]:[Stanowisko / Position ]],0))="n/a","n/a",R139-INDEX(tab_MinKomp[SystemR2PŁATNIK PRO: KADRY / Personaldaten],MATCH($B139,tab_MinKomp[[Stanowisko / Position ]:[Stanowisko / Position ]],0)))</f>
        <v>n/a</v>
      </c>
      <c r="S140" s="341" t="str">
        <f>IF(INDEX(tab_MinKomp[SYSTEM R2PŁATNIK PRO: zarządzanie pracownikami / Arbeitsverwaltung],MATCH($B139,tab_MinKomp[[Stanowisko / Position ]:[Stanowisko / Position ]],0))="n/a","n/a",S139-INDEX(tab_MinKomp[SYSTEM R2PŁATNIK PRO: zarządzanie pracownikami / Arbeitsverwaltung],MATCH($B139,tab_MinKomp[[Stanowisko / Position ]:[Stanowisko / Position ]],0)))</f>
        <v>n/a</v>
      </c>
      <c r="T140" s="341" t="str">
        <f>IF(INDEX(tab_MinKomp[Doradztwo, wsparcie personalne / Personalberatung und Unterstützung],MATCH($B139,tab_MinKomp[[Stanowisko / Position ]:[Stanowisko / Position ]],0))="n/a","n/a",T139-INDEX(tab_MinKomp[Doradztwo, wsparcie personalne / Personalberatung und Unterstützung],MATCH($B139,tab_MinKomp[[Stanowisko / Position ]:[Stanowisko / Position ]],0)))</f>
        <v>n/a</v>
      </c>
      <c r="U140" s="341" t="str">
        <f>IF(INDEX(tab_MinKomp[Przepisy o podatku VAT / MwSt.- Gesetz],MATCH($B139,tab_MinKomp[[Stanowisko / Position ]:[Stanowisko / Position ]],0))="n/a","n/a",U139-INDEX(tab_MinKomp[Przepisy o podatku VAT / MwSt.- Gesetz],MATCH($B139,tab_MinKomp[[Stanowisko / Position ]:[Stanowisko / Position ]],0)))</f>
        <v>n/a</v>
      </c>
      <c r="V140" s="341" t="str">
        <f>IF(INDEX(tab_MinKomp[PrzepisyPDOP / geschäftlich Einkommensteuergesetz],MATCH($B139,tab_MinKomp[[Stanowisko / Position ]:[Stanowisko / Position ]],0))="n/a","n/a",V139-INDEX(tab_MinKomp[PrzepisyPDOP / geschäftlich Einkommensteuergesetz],MATCH($B139,tab_MinKomp[[Stanowisko / Position ]:[Stanowisko / Position ]],0)))</f>
        <v>n/a</v>
      </c>
      <c r="W140" s="341" t="str">
        <f>IF(INDEX(tab_MinKomp[System BAAN / FINANSE (FIBU)],MATCH($B139,tab_MinKomp[[Stanowisko / Position ]:[Stanowisko / Position ]],0))="n/a","n/a",W139-INDEX(tab_MinKomp[System BAAN / FINANSE (FIBU)],MATCH($B139,tab_MinKomp[[Stanowisko / Position ]:[Stanowisko / Position ]],0)))</f>
        <v>n/a</v>
      </c>
      <c r="X140" s="341" t="str">
        <f>IF(INDEX(tab_MinKomp[Systemy pomocnicze / Hilfssysteme(STOCKPROGRAM, KALK2000 etc.)],MATCH($B139,tab_MinKomp[[Stanowisko / Position ]:[Stanowisko / Position ]],0))="n/a","n/a",X139-INDEX(tab_MinKomp[Systemy pomocnicze / Hilfssysteme(STOCKPROGRAM, KALK2000 etc.)],MATCH($B139,tab_MinKomp[[Stanowisko / Position ]:[Stanowisko / Position ]],0)))</f>
        <v>n/a</v>
      </c>
      <c r="Y140" s="341" t="str">
        <f>IF(INDEX(tab_MinKomp[Polityka rachunkowości / Buchführungspolitik],MATCH($B139,tab_MinKomp[[Stanowisko / Position ]:[Stanowisko / Position ]],0))="n/a","n/a",Y139-INDEX(tab_MinKomp[Polityka rachunkowości / Buchführungspolitik],MATCH($B139,tab_MinKomp[[Stanowisko / Position ]:[Stanowisko / Position ]],0)))</f>
        <v>n/a</v>
      </c>
      <c r="Z140" s="341" t="str">
        <f>IF(INDEX(tab_MinKomp[Ustawa o rachunkowości / Rechnungslegungsgesetz],MATCH($B139,tab_MinKomp[[Stanowisko / Position ]:[Stanowisko / Position ]],0))="n/a","n/a",Z139-INDEX(tab_MinKomp[Ustawa o rachunkowości / Rechnungslegungsgesetz],MATCH($B139,tab_MinKomp[[Stanowisko / Position ]:[Stanowisko / Position ]],0)))</f>
        <v>n/a</v>
      </c>
      <c r="AA140" s="341" t="str">
        <f>IF(INDEX(tab_MinKomp[WORKFLOW - TS-100],MATCH($B139,tab_MinKomp[[Stanowisko / Position ]:[Stanowisko / Position ]],0))="n/a","n/a",AA139-INDEX(tab_MinKomp[WORKFLOW - TS-100],MATCH($B139,tab_MinKomp[[Stanowisko / Position ]:[Stanowisko / Position ]],0)))</f>
        <v>n/a</v>
      </c>
      <c r="AB140" s="341" t="str">
        <f>IF(INDEX(tab_MinKomp[WORKFLOW - SFMS],MATCH($B139,tab_MinKomp[[Stanowisko / Position ]:[Stanowisko / Position ]],0))="n/a","n/a",AB139-INDEX(tab_MinKomp[WORKFLOW - SFMS],MATCH($B139,tab_MinKomp[[Stanowisko / Position ]:[Stanowisko / Position ]],0)))</f>
        <v>n/a</v>
      </c>
      <c r="AC140" s="341" t="str">
        <f>IF(INDEX(tab_MinKomp[System ISO 9001:2015],MATCH($B139,tab_MinKomp[[Stanowisko / Position ]:[Stanowisko / Position ]],0))="n/a","n/a",AC139-INDEX(tab_MinKomp[System ISO 9001:2015],MATCH($B139,tab_MinKomp[[Stanowisko / Position ]:[Stanowisko / Position ]],0)))</f>
        <v>n/a</v>
      </c>
      <c r="AD140" s="341" t="str">
        <f>IF(INDEX(tab_MinKomp[System IATF 16949:2016],MATCH($B139,tab_MinKomp[[Stanowisko / Position ]:[Stanowisko / Position ]],0))="n/a","n/a",AD139-INDEX(tab_MinKomp[System IATF 16949:2016],MATCH($B139,tab_MinKomp[[Stanowisko / Position ]:[Stanowisko / Position ]],0)))</f>
        <v>n/a</v>
      </c>
      <c r="AE140" s="341" t="str">
        <f>IF(INDEX(tab_MinKomp[System ISO 14001:2015],MATCH($B139,tab_MinKomp[[Stanowisko / Position ]:[Stanowisko / Position ]],0))="n/a","n/a",AE139-INDEX(tab_MinKomp[System ISO 14001:2015],MATCH($B139,tab_MinKomp[[Stanowisko / Position ]:[Stanowisko / Position ]],0)))</f>
        <v>n/a</v>
      </c>
      <c r="AF140" s="341" t="str">
        <f>IF(INDEX(tab_MinKomp[System PN-N 18001:2004 / ISO 45001:2018],MATCH($B139,tab_MinKomp[[Stanowisko / Position ]:[Stanowisko / Position ]],0))="n/a","n/a",AF139-INDEX(tab_MinKomp[System PN-N 18001:2004 / ISO 45001:2018],MATCH($B139,tab_MinKomp[[Stanowisko / Position ]:[Stanowisko / Position ]],0)))</f>
        <v>n/a</v>
      </c>
      <c r="AG140" s="341" t="str">
        <f>IF(INDEX(tab_MinKomp[Wymagania VDA 6.3 Process / Forderungen],MATCH($B139,tab_MinKomp[[Stanowisko / Position ]:[Stanowisko / Position ]],0))="n/a","n/a",AG139-INDEX(tab_MinKomp[Wymagania VDA 6.3 Process / Forderungen],MATCH($B139,tab_MinKomp[[Stanowisko / Position ]:[Stanowisko / Position ]],0)))</f>
        <v>n/a</v>
      </c>
      <c r="AH140" s="341" t="str">
        <f>IF(INDEX(tab_MinKomp[Wymagania VDA 6.5 Product / Forderungen],MATCH($B139,tab_MinKomp[[Stanowisko / Position ]:[Stanowisko / Position ]],0))="n/a","n/a",AH139-INDEX(tab_MinKomp[Wymagania VDA 6.5 Product / Forderungen],MATCH($B139,tab_MinKomp[[Stanowisko / Position ]:[Stanowisko / Position ]],0)))</f>
        <v>n/a</v>
      </c>
      <c r="AI140" s="341" t="str">
        <f>IF(INDEX(tab_MinKomp[PSCR (VW Product Safety &amp; Conformity Representative)],MATCH($B139,tab_MinKomp[[Stanowisko / Position ]:[Stanowisko / Position ]],0))="n/a","n/a",AI139-INDEX(tab_MinKomp[PSCR (VW Product Safety &amp; Conformity Representative)],MATCH($B139,tab_MinKomp[[Stanowisko / Position ]:[Stanowisko / Position ]],0)))</f>
        <v>n/a</v>
      </c>
      <c r="AJ140" s="341" t="str">
        <f>IF(INDEX(tab_MinKomp[Auditor systemu ISO 17025:2018],MATCH($B139,tab_MinKomp[[Stanowisko / Position ]:[Stanowisko / Position ]],0))="n/a","n/a",AJ139-INDEX(tab_MinKomp[Auditor systemu ISO 17025:2018],MATCH($B139,tab_MinKomp[[Stanowisko / Position ]:[Stanowisko / Position ]],0)))</f>
        <v>n/a</v>
      </c>
      <c r="AK140" s="341" t="str">
        <f>IF(INDEX(tab_MinKomp[Pełnomocnik systemu / Systemvertreter],MATCH($B139,tab_MinKomp[[Stanowisko / Position ]:[Stanowisko / Position ]],0))="n/a","n/a",AK139-INDEX(tab_MinKomp[Pełnomocnik systemu / Systemvertreter],MATCH($B139,tab_MinKomp[[Stanowisko / Position ]:[Stanowisko / Position ]],0)))</f>
        <v>n/a</v>
      </c>
      <c r="AL140" s="341">
        <f>IF(INDEX(tab_MinKomp[Polityka Etyczna - Compliance],MATCH($B139,tab_MinKomp[[Stanowisko / Position ]:[Stanowisko / Position ]],0))="n/a","n/a",AL139-INDEX(tab_MinKomp[Polityka Etyczna - Compliance],MATCH($B139,tab_MinKomp[[Stanowisko / Position ]:[Stanowisko / Position ]],0)))</f>
        <v>0</v>
      </c>
      <c r="AM140" s="341" t="str">
        <f>IF(INDEX(tab_MinKomp[WDRAŻANIE NOWYCH PROJEKTÓW/ PROCEDURA CTM],MATCH($B139,tab_MinKomp[[Stanowisko / Position ]:[Stanowisko / Position ]],0))="n/a","n/a",AM139-INDEX(tab_MinKomp[WDRAŻANIE NOWYCH PROJEKTÓW/ PROCEDURA CTM],MATCH($B139,tab_MinKomp[[Stanowisko / Position ]:[Stanowisko / Position ]],0)))</f>
        <v>n/a</v>
      </c>
      <c r="AN140" s="341" t="str">
        <f>IF(INDEX(tab_MinKomp[KAMIENIE MILOWE MSL/PIFF],MATCH($B139,tab_MinKomp[[Stanowisko / Position ]:[Stanowisko / Position ]],0))="n/a","n/a",AN139-INDEX(tab_MinKomp[KAMIENIE MILOWE MSL/PIFF],MATCH($B139,tab_MinKomp[[Stanowisko / Position ]:[Stanowisko / Position ]],0)))</f>
        <v>n/a</v>
      </c>
      <c r="AO140" s="341" t="str">
        <f>IF(INDEX(tab_MinKomp[CP],MATCH($B139,tab_MinKomp[[Stanowisko / Position ]:[Stanowisko / Position ]],0))="n/a","n/a",AO139-INDEX(tab_MinKomp[CP],MATCH($B139,tab_MinKomp[[Stanowisko / Position ]:[Stanowisko / Position ]],0)))</f>
        <v>n/a</v>
      </c>
      <c r="AP140" s="341" t="str">
        <f>IF(INDEX(tab_MinKomp[FMEA],MATCH($B139,tab_MinKomp[[Stanowisko / Position ]:[Stanowisko / Position ]],0))="n/a","n/a",AP139-INDEX(tab_MinKomp[FMEA],MATCH($B139,tab_MinKomp[[Stanowisko / Position ]:[Stanowisko / Position ]],0)))</f>
        <v>n/a</v>
      </c>
      <c r="AQ140" s="341" t="str">
        <f>IF(INDEX(tab_MinKomp[FLOW CHART],MATCH($B139,tab_MinKomp[[Stanowisko / Position ]:[Stanowisko / Position ]],0))="n/a","n/a",AQ139-INDEX(tab_MinKomp[FLOW CHART],MATCH($B139,tab_MinKomp[[Stanowisko / Position ]:[Stanowisko / Position ]],0)))</f>
        <v>n/a</v>
      </c>
      <c r="AR140" s="341" t="str">
        <f>IF(INDEX(tab_MinKomp[APQP],MATCH($B139,tab_MinKomp[[Stanowisko / Position ]:[Stanowisko / Position ]],0))="n/a","n/a",AR139-INDEX(tab_MinKomp[APQP],MATCH($B139,tab_MinKomp[[Stanowisko / Position ]:[Stanowisko / Position ]],0)))</f>
        <v>n/a</v>
      </c>
      <c r="AS140" s="341" t="str">
        <f>IF(INDEX(tab_MinKomp[MSA],MATCH($B139,tab_MinKomp[[Stanowisko / Position ]:[Stanowisko / Position ]],0))="n/a","n/a",AS139-INDEX(tab_MinKomp[MSA],MATCH($B139,tab_MinKomp[[Stanowisko / Position ]:[Stanowisko / Position ]],0)))</f>
        <v>n/a</v>
      </c>
      <c r="AT140" s="341" t="str">
        <f>IF(INDEX(tab_MinKomp[SPC],MATCH($B139,tab_MinKomp[[Stanowisko / Position ]:[Stanowisko / Position ]],0))="n/a","n/a",AT139-INDEX(tab_MinKomp[SPC],MATCH($B139,tab_MinKomp[[Stanowisko / Position ]:[Stanowisko / Position ]],0)))</f>
        <v>n/a</v>
      </c>
      <c r="AU140" s="341" t="str">
        <f>IF(INDEX(tab_MinKomp[CSR (SPECYFICZNE WYMAGANIA KLIENTA)],MATCH($B139,tab_MinKomp[[Stanowisko / Position ]:[Stanowisko / Position ]],0))="n/a","n/a",AU139-INDEX(tab_MinKomp[CSR (SPECYFICZNE WYMAGANIA KLIENTA)],MATCH($B139,tab_MinKomp[[Stanowisko / Position ]:[Stanowisko / Position ]],0)))</f>
        <v>n/a</v>
      </c>
      <c r="AV140" s="341">
        <f>IF(INDEX(tab_MinKomp[5S],MATCH($B139,tab_MinKomp[[Stanowisko / Position ]:[Stanowisko / Position ]],0))="n/a","n/a",AV139-INDEX(tab_MinKomp[5S],MATCH($B139,tab_MinKomp[[Stanowisko / Position ]:[Stanowisko / Position ]],0)))</f>
        <v>0</v>
      </c>
      <c r="AW140" s="341">
        <f>IF(INDEX(tab_MinKomp[LEAN MANAGEMENT],MATCH($B139,tab_MinKomp[[Stanowisko / Position ]:[Stanowisko / Position ]],0))="n/a","n/a",AW139-INDEX(tab_MinKomp[LEAN MANAGEMENT],MATCH($B139,tab_MinKomp[[Stanowisko / Position ]:[Stanowisko / Position ]],0)))</f>
        <v>0</v>
      </c>
      <c r="AX140" s="341">
        <f>IF(INDEX(tab_MinKomp[5R],MATCH($B139,tab_MinKomp[[Stanowisko / Position ]:[Stanowisko / Position ]],0))="n/a","n/a",AX139-INDEX(tab_MinKomp[5R],MATCH($B139,tab_MinKomp[[Stanowisko / Position ]:[Stanowisko / Position ]],0)))</f>
        <v>0</v>
      </c>
      <c r="AY140" s="341" t="str">
        <f>IF(INDEX(tab_MinKomp[Six Sigma],MATCH($B139,tab_MinKomp[[Stanowisko / Position ]:[Stanowisko / Position ]],0))="n/a","n/a",AY139-INDEX(tab_MinKomp[Six Sigma],MATCH($B139,tab_MinKomp[[Stanowisko / Position ]:[Stanowisko / Position ]],0)))</f>
        <v>n/a</v>
      </c>
      <c r="AZ140" s="341" t="str">
        <f>IF(INDEX(tab_MinKomp[System BAAN / Distribution &amp; Supply Chain],MATCH($B139,tab_MinKomp[[Stanowisko / Position ]:[Stanowisko / Position ]],0))="n/a","n/a",AZ139-INDEX(tab_MinKomp[System BAAN / Distribution &amp; Supply Chain],MATCH($B139,tab_MinKomp[[Stanowisko / Position ]:[Stanowisko / Position ]],0)))</f>
        <v>n/a</v>
      </c>
      <c r="BA140" s="341" t="str">
        <f>IF(INDEX(tab_MinKomp[Gospodarka magazynowa / Lagerverwaltung],MATCH($B139,tab_MinKomp[[Stanowisko / Position ]:[Stanowisko / Position ]],0))="n/a","n/a",BA139-INDEX(tab_MinKomp[Gospodarka magazynowa / Lagerverwaltung],MATCH($B139,tab_MinKomp[[Stanowisko / Position ]:[Stanowisko / Position ]],0)))</f>
        <v>n/a</v>
      </c>
      <c r="BB140" s="341" t="str">
        <f>IF(INDEX(tab_MinKomp[Inwentaryzacja - organizacja i przebieg / Inventurprozess],MATCH($B139,tab_MinKomp[[Stanowisko / Position ]:[Stanowisko / Position ]],0))="n/a","n/a",BB139-INDEX(tab_MinKomp[Inwentaryzacja - organizacja i przebieg / Inventurprozess],MATCH($B139,tab_MinKomp[[Stanowisko / Position ]:[Stanowisko / Position ]],0)))</f>
        <v>n/a</v>
      </c>
      <c r="BC140" s="341" t="str">
        <f>IF(INDEX(tab_MinKomp[Organizacja dostaw / Versorgungsorganisation],MATCH($B139,tab_MinKomp[[Stanowisko / Position ]:[Stanowisko / Position ]],0))="n/a","n/a",BC139-INDEX(tab_MinKomp[Organizacja dostaw / Versorgungsorganisation],MATCH($B139,tab_MinKomp[[Stanowisko / Position ]:[Stanowisko / Position ]],0)))</f>
        <v>n/a</v>
      </c>
      <c r="BD140" s="341" t="str">
        <f>IF(INDEX(tab_MinKomp[Organizacja wysyłek / Organisation von Lieferungen],MATCH($B139,tab_MinKomp[[Stanowisko / Position ]:[Stanowisko / Position ]],0))="n/a","n/a",BD139-INDEX(tab_MinKomp[Organizacja wysyłek / Organisation von Lieferungen],MATCH($B139,tab_MinKomp[[Stanowisko / Position ]:[Stanowisko / Position ]],0)))</f>
        <v>n/a</v>
      </c>
      <c r="BE140" s="341" t="str">
        <f>IF(INDEX(tab_MinKomp[Analiza magazynowa - Program Polen.mdb / Inventuranalyse],MATCH($B139,tab_MinKomp[[Stanowisko / Position ]:[Stanowisko / Position ]],0))="n/a","n/a",BE139-INDEX(tab_MinKomp[Analiza magazynowa - Program Polen.mdb / Inventuranalyse],MATCH($B139,tab_MinKomp[[Stanowisko / Position ]:[Stanowisko / Position ]],0)))</f>
        <v>n/a</v>
      </c>
      <c r="BF140" s="341" t="str">
        <f>IF(INDEX(tab_MinKomp[MMOG (Materials Management Operations Guidelines)],MATCH($B139,tab_MinKomp[[Stanowisko / Position ]:[Stanowisko / Position ]],0))="n/a","n/a",BF139-INDEX(tab_MinKomp[MMOG (Materials Management Operations Guidelines)],MATCH($B139,tab_MinKomp[[Stanowisko / Position ]:[Stanowisko / Position ]],0)))</f>
        <v>n/a</v>
      </c>
      <c r="BG140" s="341" t="str">
        <f>IF(INDEX(tab_MinKomp[DETC],MATCH($B139,tab_MinKomp[[Stanowisko / Position ]:[Stanowisko / Position ]],0))="n/a","n/a",BG139-INDEX(tab_MinKomp[DETC],MATCH($B139,tab_MinKomp[[Stanowisko / Position ]:[Stanowisko / Position ]],0)))</f>
        <v>n/a</v>
      </c>
      <c r="BH140" s="341" t="str">
        <f>IF(INDEX(tab_MinKomp[GPP],MATCH($B139,tab_MinKomp[[Stanowisko / Position ]:[Stanowisko / Position ]],0))="n/a","n/a",BH139-INDEX(tab_MinKomp[GPP],MATCH($B139,tab_MinKomp[[Stanowisko / Position ]:[Stanowisko / Position ]],0)))</f>
        <v>n/a</v>
      </c>
      <c r="BI140" s="341" t="str">
        <f>IF(INDEX(tab_MinKomp[AIAG (Automotive Industry Action Group)],MATCH($B139,tab_MinKomp[[Stanowisko / Position ]:[Stanowisko / Position ]],0))="n/a","n/a",BI139-INDEX(tab_MinKomp[AIAG (Automotive Industry Action Group)],MATCH($B139,tab_MinKomp[[Stanowisko / Position ]:[Stanowisko / Position ]],0)))</f>
        <v>n/a</v>
      </c>
      <c r="BJ140" s="341" t="str">
        <f>IF(INDEX(tab_MinKomp[Super-G disputes],MATCH($B139,tab_MinKomp[[Stanowisko / Position ]:[Stanowisko / Position ]],0))="n/a","n/a",BJ139-INDEX(tab_MinKomp[Super-G disputes],MATCH($B139,tab_MinKomp[[Stanowisko / Position ]:[Stanowisko / Position ]],0)))</f>
        <v>n/a</v>
      </c>
      <c r="BK140" s="341" t="str">
        <f>IF(INDEX(tab_MinKomp[CMMS3/eDDL (Direct Data Link)],MATCH($B139,tab_MinKomp[[Stanowisko / Position ]:[Stanowisko / Position ]],0))="n/a","n/a",BK139-INDEX(tab_MinKomp[CMMS3/eDDL (Direct Data Link)],MATCH($B139,tab_MinKomp[[Stanowisko / Position ]:[Stanowisko / Position ]],0)))</f>
        <v>n/a</v>
      </c>
      <c r="BL140" s="341" t="str">
        <f>IF(INDEX(tab_MinKomp[MP&amp;L (Material Planning and Logistics)],MATCH($B139,tab_MinKomp[[Stanowisko / Position ]:[Stanowisko / Position ]],0))="n/a","n/a",BL139-INDEX(tab_MinKomp[MP&amp;L (Material Planning and Logistics)],MATCH($B139,tab_MinKomp[[Stanowisko / Position ]:[Stanowisko / Position ]],0)))</f>
        <v>n/a</v>
      </c>
      <c r="BM140" s="341" t="str">
        <f>IF(INDEX(tab_MinKomp[Planowanie produkcji / Produktionsplanung],MATCH($B139,tab_MinKomp[[Stanowisko / Position ]:[Stanowisko / Position ]],0))="n/a","n/a",BM139-INDEX(tab_MinKomp[Planowanie produkcji / Produktionsplanung],MATCH($B139,tab_MinKomp[[Stanowisko / Position ]:[Stanowisko / Position ]],0)))</f>
        <v>n/a</v>
      </c>
      <c r="BN140" s="341">
        <f>IF(INDEX(tab_MinKomp[Obsługa maszyn Engel / Engel Maschinenbedienung],MATCH($B139,tab_MinKomp[[Stanowisko / Position ]:[Stanowisko / Position ]],0))="n/a","n/a",BN139-INDEX(tab_MinKomp[Obsługa maszyn Engel / Engel Maschinenbedienung],MATCH($B139,tab_MinKomp[[Stanowisko / Position ]:[Stanowisko / Position ]],0)))</f>
        <v>0</v>
      </c>
      <c r="BO140" s="341">
        <f>IF(INDEX(tab_MinKomp[Obsługa maszyn Novapax / Novapax Maschinenbedienung],MATCH($B139,tab_MinKomp[[Stanowisko / Position ]:[Stanowisko / Position ]],0))="n/a","n/a",BO139-INDEX(tab_MinKomp[Obsługa maszyn Novapax / Novapax Maschinenbedienung],MATCH($B139,tab_MinKomp[[Stanowisko / Position ]:[Stanowisko / Position ]],0)))</f>
        <v>0</v>
      </c>
      <c r="BP140" s="341">
        <f>IF(INDEX(tab_MinKomp[Obsługa maszyn KVT / KVT Maschinenbedienung],MATCH($B139,tab_MinKomp[[Stanowisko / Position ]:[Stanowisko / Position ]],0))="n/a","n/a",BP139-INDEX(tab_MinKomp[Obsługa maszyn KVT / KVT Maschinenbedienung],MATCH($B139,tab_MinKomp[[Stanowisko / Position ]:[Stanowisko / Position ]],0)))</f>
        <v>0</v>
      </c>
      <c r="BQ140" s="341">
        <f>IF(INDEX(tab_MinKomp[Obsługa maszyn ASL / ASL Maschinenbedienung],MATCH($B139,tab_MinKomp[[Stanowisko / Position ]:[Stanowisko / Position ]],0))="n/a","n/a",BQ139-INDEX(tab_MinKomp[Obsługa maszyn ASL / ASL Maschinenbedienung],MATCH($B139,tab_MinKomp[[Stanowisko / Position ]:[Stanowisko / Position ]],0)))</f>
        <v>0</v>
      </c>
      <c r="BR140" s="341">
        <f>IF(INDEX(tab_MinKomp[Obsługa maszyn Branson / Branson Maschinenbedienung],MATCH($B139,tab_MinKomp[[Stanowisko / Position ]:[Stanowisko / Position ]],0))="n/a","n/a",BR139-INDEX(tab_MinKomp[Obsługa maszyn Branson / Branson Maschinenbedienung],MATCH($B139,tab_MinKomp[[Stanowisko / Position ]:[Stanowisko / Position ]],0)))</f>
        <v>0</v>
      </c>
      <c r="BS140" s="341">
        <f>IF(INDEX(tab_MinKomp[Obsługa maszyn Kamtec / Kamtec Maschinenbedienung],MATCH($B139,tab_MinKomp[[Stanowisko / Position ]:[Stanowisko / Position ]],0))="n/a","n/a",BS139-INDEX(tab_MinKomp[Obsługa maszyn Kamtec / Kamtec Maschinenbedienung],MATCH($B139,tab_MinKomp[[Stanowisko / Position ]:[Stanowisko / Position ]],0)))</f>
        <v>0</v>
      </c>
      <c r="BT140" s="341">
        <f>IF(INDEX(tab_MinKomp[Obsługa maszyn Piovan / Piovan Maschinenbedienung],MATCH($B139,tab_MinKomp[[Stanowisko / Position ]:[Stanowisko / Position ]],0))="n/a","n/a",BT139-INDEX(tab_MinKomp[Obsługa maszyn Piovan / Piovan Maschinenbedienung],MATCH($B139,tab_MinKomp[[Stanowisko / Position ]:[Stanowisko / Position ]],0)))</f>
        <v>0</v>
      </c>
      <c r="BU140" s="341">
        <f>IF(INDEX(tab_MinKomp[Obsługa maszyn REP / REP Maschinenbedienung],MATCH($B139,tab_MinKomp[[Stanowisko / Position ]:[Stanowisko / Position ]],0))="n/a","n/a",BU139-INDEX(tab_MinKomp[Obsługa maszyn REP / REP Maschinenbedienung],MATCH($B139,tab_MinKomp[[Stanowisko / Position ]:[Stanowisko / Position ]],0)))</f>
        <v>0</v>
      </c>
      <c r="BV140" s="341">
        <f>IF(INDEX(tab_MinKomp[Eliminacja awarii / Beseitigung von Ausfällen],MATCH($B139,tab_MinKomp[[Stanowisko / Position ]:[Stanowisko / Position ]],0))="n/a","n/a",BV139-INDEX(tab_MinKomp[Eliminacja awarii / Beseitigung von Ausfällen],MATCH($B139,tab_MinKomp[[Stanowisko / Position ]:[Stanowisko / Position ]],0)))</f>
        <v>0</v>
      </c>
      <c r="BW140" s="341" t="str">
        <f>IF(INDEX(tab_MinKomp[Informatyka ogólna (techniczne i systemowe) / Allgemeine IT (Technik und System)],MATCH($B139,tab_MinKomp[[Stanowisko / Position ]:[Stanowisko / Position ]],0))="n/a","n/a",BW139-INDEX(tab_MinKomp[Informatyka ogólna (techniczne i systemowe) / Allgemeine IT (Technik und System)],MATCH($B139,tab_MinKomp[[Stanowisko / Position ]:[Stanowisko / Position ]],0)))</f>
        <v>n/a</v>
      </c>
      <c r="BX140" s="341" t="str">
        <f>IF(INDEX(tab_MinKomp[Sieci komputerowe / Computernetzwerke],MATCH($B139,tab_MinKomp[[Stanowisko / Position ]:[Stanowisko / Position ]],0))="n/a","n/a",BX139-INDEX(tab_MinKomp[Sieci komputerowe / Computernetzwerke],MATCH($B139,tab_MinKomp[[Stanowisko / Position ]:[Stanowisko / Position ]],0)))</f>
        <v>n/a</v>
      </c>
      <c r="BY140" s="341" t="str">
        <f>IF(INDEX(tab_MinKomp[Hardware (komputery PC, drukarki biurowe i etykietowe, telefonia stacjonarna i mobilna) (PC, Drucker, Telefpne, Handys)],MATCH($B139,tab_MinKomp[[Stanowisko / Position ]:[Stanowisko / Position ]],0))="n/a","n/a",BY139-INDEX(tab_MinKomp[Hardware (komputery PC, drukarki biurowe i etykietowe, telefonia stacjonarna i mobilna) (PC, Drucker, Telefpne, Handys)],MATCH($B139,tab_MinKomp[[Stanowisko / Position ]:[Stanowisko / Position ]],0)))</f>
        <v>n/a</v>
      </c>
      <c r="BZ140" s="341" t="str">
        <f>IF(INDEX(tab_MinKomp[Software &amp; Systems (MS Office, MS Remote Desktop)],MATCH($B139,tab_MinKomp[[Stanowisko / Position ]:[Stanowisko / Position ]],0))="n/a","n/a",BZ139-INDEX(tab_MinKomp[Software &amp; Systems (MS Office, MS Remote Desktop)],MATCH($B139,tab_MinKomp[[Stanowisko / Position ]:[Stanowisko / Position ]],0)))</f>
        <v>n/a</v>
      </c>
      <c r="CA140" s="341" t="str">
        <f>IF(INDEX(tab_MinKomp[Programowanie obiektowe (PHP) / Objektprogrammierung],MATCH($B139,tab_MinKomp[[Stanowisko / Position ]:[Stanowisko / Position ]],0))="n/a","n/a",CA139-INDEX(tab_MinKomp[Programowanie obiektowe (PHP) / Objektprogrammierung],MATCH($B139,tab_MinKomp[[Stanowisko / Position ]:[Stanowisko / Position ]],0)))</f>
        <v>n/a</v>
      </c>
      <c r="CB140" s="341" t="str">
        <f>IF(INDEX(tab_MinKomp[Scrum],MATCH($B139,tab_MinKomp[[Stanowisko / Position ]:[Stanowisko / Position ]],0))="n/a","n/a",CB139-INDEX(tab_MinKomp[Scrum],MATCH($B139,tab_MinKomp[[Stanowisko / Position ]:[Stanowisko / Position ]],0)))</f>
        <v>n/a</v>
      </c>
      <c r="CC140" s="341" t="str">
        <f>IF(INDEX(tab_MinKomp[SQL (MySQL)],MATCH($B139,tab_MinKomp[[Stanowisko / Position ]:[Stanowisko / Position ]],0))="n/a","n/a",CC139-INDEX(tab_MinKomp[SQL (MySQL)],MATCH($B139,tab_MinKomp[[Stanowisko / Position ]:[Stanowisko / Position ]],0)))</f>
        <v>n/a</v>
      </c>
      <c r="CD140" s="341" t="str">
        <f>IF(INDEX(tab_MinKomp[Javascript],MATCH($B139,tab_MinKomp[[Stanowisko / Position ]:[Stanowisko / Position ]],0))="n/a","n/a",CD139-INDEX(tab_MinKomp[Javascript],MATCH($B139,tab_MinKomp[[Stanowisko / Position ]:[Stanowisko / Position ]],0)))</f>
        <v>n/a</v>
      </c>
      <c r="CE140" s="341" t="str">
        <f>IF(INDEX(tab_MinKomp[Joomla],MATCH($B139,tab_MinKomp[[Stanowisko / Position ]:[Stanowisko / Position ]],0))="n/a","n/a",CE139-INDEX(tab_MinKomp[Joomla],MATCH($B139,tab_MinKomp[[Stanowisko / Position ]:[Stanowisko / Position ]],0)))</f>
        <v>n/a</v>
      </c>
      <c r="CF140" s="341" t="str">
        <f>IF(INDEX(tab_MinKomp[Bash],MATCH($B139,tab_MinKomp[[Stanowisko / Position ]:[Stanowisko / Position ]],0))="n/a","n/a",CF139-INDEX(tab_MinKomp[Bash],MATCH($B139,tab_MinKomp[[Stanowisko / Position ]:[Stanowisko / Position ]],0)))</f>
        <v>n/a</v>
      </c>
      <c r="CG140" s="341" t="str">
        <f>IF(INDEX(tab_MinKomp[Systemy MES (HYDRA / SFMS)],MATCH($B139,tab_MinKomp[[Stanowisko / Position ]:[Stanowisko / Position ]],0))="n/a","n/a",CG139-INDEX(tab_MinKomp[Systemy MES (HYDRA / SFMS)],MATCH($B139,tab_MinKomp[[Stanowisko / Position ]:[Stanowisko / Position ]],0)))</f>
        <v>n/a</v>
      </c>
      <c r="CH140" s="341" t="str">
        <f>IF(INDEX(tab_MinKomp[HTML / CSS],MATCH($B139,tab_MinKomp[[Stanowisko / Position ]:[Stanowisko / Position ]],0))="n/a","n/a",CH139-INDEX(tab_MinKomp[HTML / CSS],MATCH($B139,tab_MinKomp[[Stanowisko / Position ]:[Stanowisko / Position ]],0)))</f>
        <v>n/a</v>
      </c>
      <c r="CI140" s="341">
        <f>IF(INDEX(tab_MinKomp[SYSTEM PR],MATCH($B139,tab_MinKomp[[Stanowisko / Position ]:[Stanowisko / Position ]],0))="n/a","n/a",CI139-INDEX(tab_MinKomp[SYSTEM PR],MATCH($B139,tab_MinKomp[[Stanowisko / Position ]:[Stanowisko / Position ]],0)))</f>
        <v>0</v>
      </c>
      <c r="CJ140" s="341" t="str">
        <f>IF(INDEX(tab_MinKomp[System Einkauf XP / EBA],MATCH($B139,tab_MinKomp[[Stanowisko / Position ]:[Stanowisko / Position ]],0))="n/a","n/a",CJ139-INDEX(tab_MinKomp[System Einkauf XP / EBA],MATCH($B139,tab_MinKomp[[Stanowisko / Position ]:[Stanowisko / Position ]],0)))</f>
        <v>n/a</v>
      </c>
      <c r="CK140" s="341" t="str">
        <f>IF(INDEX(tab_MinKomp[Techniki negocjacyjne / Verhandlungstechniken],MATCH($B139,tab_MinKomp[[Stanowisko / Position ]:[Stanowisko / Position ]],0))="n/a","n/a",CK139-INDEX(tab_MinKomp[Techniki negocjacyjne / Verhandlungstechniken],MATCH($B139,tab_MinKomp[[Stanowisko / Position ]:[Stanowisko / Position ]],0)))</f>
        <v>n/a</v>
      </c>
      <c r="CL140" s="341">
        <f>IF(INDEX(tab_MinKomp[Znajomość rynku branżowego / Kenntnis des Industrie Marktes],MATCH($B139,tab_MinKomp[[Stanowisko / Position ]:[Stanowisko / Position ]],0))="n/a","n/a",CL139-INDEX(tab_MinKomp[Znajomość rynku branżowego / Kenntnis des Industrie Marktes],MATCH($B139,tab_MinKomp[[Stanowisko / Position ]:[Stanowisko / Position ]],0)))</f>
        <v>0</v>
      </c>
      <c r="CM140" s="341" t="str">
        <f>IF(INDEX(tab_MinKomp[RAPORTY 8D / 8D Berichten],MATCH($B139,tab_MinKomp[[Stanowisko / Position ]:[Stanowisko / Position ]],0))="n/a","n/a",CM139-INDEX(tab_MinKomp[RAPORTY 8D / 8D Berichten],MATCH($B139,tab_MinKomp[[Stanowisko / Position ]:[Stanowisko / Position ]],0)))</f>
        <v>n/a</v>
      </c>
      <c r="CN140" s="341">
        <f>IF(INDEX(tab_MinKomp[NARZĘDZIA JAKOŚCIOWE (5WHY, Ishikawa, etc) / QS-Werkzeuge],MATCH($B139,tab_MinKomp[[Stanowisko / Position ]:[Stanowisko / Position ]],0))="n/a","n/a",CN139-INDEX(tab_MinKomp[NARZĘDZIA JAKOŚCIOWE (5WHY, Ishikawa, etc) / QS-Werkzeuge],MATCH($B139,tab_MinKomp[[Stanowisko / Position ]:[Stanowisko / Position ]],0)))</f>
        <v>-1</v>
      </c>
      <c r="CO140" s="341">
        <f>IF(INDEX(tab_MinKomp[PDCA],MATCH($B139,tab_MinKomp[[Stanowisko / Position ]:[Stanowisko / Position ]],0))="n/a","n/a",CO139-INDEX(tab_MinKomp[PDCA],MATCH($B139,tab_MinKomp[[Stanowisko / Position ]:[Stanowisko / Position ]],0)))</f>
        <v>-1</v>
      </c>
      <c r="CP140" s="341">
        <f>IF(INDEX(tab_MinKomp[Pareto],MATCH($B139,tab_MinKomp[[Stanowisko / Position ]:[Stanowisko / Position ]],0))="n/a","n/a",CP139-INDEX(tab_MinKomp[Pareto],MATCH($B139,tab_MinKomp[[Stanowisko / Position ]:[Stanowisko / Position ]],0)))</f>
        <v>-1</v>
      </c>
      <c r="CQ140" s="341" t="str">
        <f>IF(INDEX(tab_MinKomp[PPAP/PSW],MATCH($B139,tab_MinKomp[[Stanowisko / Position ]:[Stanowisko / Position ]],0))="n/a","n/a",CQ139-INDEX(tab_MinKomp[PPAP/PSW],MATCH($B139,tab_MinKomp[[Stanowisko / Position ]:[Stanowisko / Position ]],0)))</f>
        <v>n/a</v>
      </c>
      <c r="CR140" s="341" t="str">
        <f>IF(INDEX(tab_MinKomp[SUPPLIER MANAGEMENT],MATCH($B139,tab_MinKomp[[Stanowisko / Position ]:[Stanowisko / Position ]],0))="n/a","n/a",CR139-INDEX(tab_MinKomp[SUPPLIER MANAGEMENT],MATCH($B139,tab_MinKomp[[Stanowisko / Position ]:[Stanowisko / Position ]],0)))</f>
        <v>n/a</v>
      </c>
      <c r="CS140" s="341" t="str">
        <f>IF(INDEX(tab_MinKomp[OBSŁUGA PORTALI KLIENTA / Kundenportale],MATCH($B139,tab_MinKomp[[Stanowisko / Position ]:[Stanowisko / Position ]],0))="n/a","n/a",CS139-INDEX(tab_MinKomp[OBSŁUGA PORTALI KLIENTA / Kundenportale],MATCH($B139,tab_MinKomp[[Stanowisko / Position ]:[Stanowisko / Position ]],0)))</f>
        <v>n/a</v>
      </c>
      <c r="CT140" s="341" t="str">
        <f>IF(INDEX(tab_MinKomp[Obsługa systemu BABTECQ / BABTECQ System],MATCH($B139,tab_MinKomp[[Stanowisko / Position ]:[Stanowisko / Position ]],0))="n/a","n/a",CT139-INDEX(tab_MinKomp[Obsługa systemu BABTECQ / BABTECQ System],MATCH($B139,tab_MinKomp[[Stanowisko / Position ]:[Stanowisko / Position ]],0)))</f>
        <v>n/a</v>
      </c>
      <c r="CU140" s="341">
        <f>IF(INDEX(tab_MinKomp[Rysunek techniczny / technische Zeichnung],MATCH($B139,tab_MinKomp[[Stanowisko / Position ]:[Stanowisko / Position ]],0))="n/a","n/a",CU139-INDEX(tab_MinKomp[Rysunek techniczny / technische Zeichnung],MATCH($B139,tab_MinKomp[[Stanowisko / Position ]:[Stanowisko / Position ]],0)))</f>
        <v>0</v>
      </c>
      <c r="CV140" s="341" t="str">
        <f>IF(INDEX(tab_MinKomp[Kalibracja / Kalibrierung],MATCH($B139,tab_MinKomp[[Stanowisko / Position ]:[Stanowisko / Position ]],0))="n/a","n/a",CV139-INDEX(tab_MinKomp[Kalibracja / Kalibrierung],MATCH($B139,tab_MinKomp[[Stanowisko / Position ]:[Stanowisko / Position ]],0)))</f>
        <v>n/a</v>
      </c>
      <c r="CW140" s="341" t="str">
        <f>IF(INDEX(tab_MinKomp[Rekwalifikacja / Requalifizierung],MATCH($B139,tab_MinKomp[[Stanowisko / Position ]:[Stanowisko / Position ]],0))="n/a","n/a",CW139-INDEX(tab_MinKomp[Rekwalifikacja / Requalifizierung],MATCH($B139,tab_MinKomp[[Stanowisko / Position ]:[Stanowisko / Position ]],0)))</f>
        <v>n/a</v>
      </c>
      <c r="CX140" s="341" t="str">
        <f>IF(INDEX(tab_MinKomp[Obsługa mikroskopu optycznego / Bedienung eines optischen Mikroskops],MATCH($B139,tab_MinKomp[[Stanowisko / Position ]:[Stanowisko / Position ]],0))="n/a","n/a",CX139-INDEX(tab_MinKomp[Obsługa mikroskopu optycznego / Bedienung eines optischen Mikroskops],MATCH($B139,tab_MinKomp[[Stanowisko / Position ]:[Stanowisko / Position ]],0)))</f>
        <v>n/a</v>
      </c>
      <c r="CY140" s="341" t="str">
        <f>IF(INDEX(tab_MinKomp[Wykonywanie pomiarów optycznych - ocena wizualna / Optische Messungen durchführen – visuelle Beurteilung],MATCH($B139,tab_MinKomp[[Stanowisko / Position ]:[Stanowisko / Position ]],0))="n/a","n/a",CY139-INDEX(tab_MinKomp[Wykonywanie pomiarów optycznych - ocena wizualna / Optische Messungen durchführen – visuelle Beurteilung],MATCH($B139,tab_MinKomp[[Stanowisko / Position ]:[Stanowisko / Position ]],0)))</f>
        <v>n/a</v>
      </c>
      <c r="CZ140" s="341" t="str">
        <f>IF(INDEX(tab_MinKomp[Obsługa Rheometra / Rheometra-Unterstützung],MATCH($B139,tab_MinKomp[[Stanowisko / Position ]:[Stanowisko / Position ]],0))="n/a","n/a",CZ139-INDEX(tab_MinKomp[Obsługa Rheometra / Rheometra-Unterstützung],MATCH($B139,tab_MinKomp[[Stanowisko / Position ]:[Stanowisko / Position ]],0)))</f>
        <v>n/a</v>
      </c>
      <c r="DA140" s="341" t="str">
        <f>IF(INDEX(tab_MinKomp[Testy właściwości Rheometra mieszanki gumy],MATCH($B139,tab_MinKomp[[Stanowisko / Position ]:[Stanowisko / Position ]],0))="n/a","n/a",DA139-INDEX(tab_MinKomp[Testy właściwości Rheometra mieszanki gumy],MATCH($B139,tab_MinKomp[[Stanowisko / Position ]:[Stanowisko / Position ]],0)))</f>
        <v>n/a</v>
      </c>
      <c r="DB140" s="341" t="str">
        <f>IF(INDEX(tab_MinKomp[CMM - Contura Zeiss],MATCH($B139,tab_MinKomp[[Stanowisko / Position ]:[Stanowisko / Position ]],0))="n/a","n/a",DB139-INDEX(tab_MinKomp[CMM - Contura Zeiss],MATCH($B139,tab_MinKomp[[Stanowisko / Position ]:[Stanowisko / Position ]],0)))</f>
        <v>n/a</v>
      </c>
      <c r="DC140" s="341" t="str">
        <f>IF(INDEX(tab_MinKomp[Wykonywanie precyzyjnych pomiarów metrycznych, pomiary 3D],MATCH($B139,tab_MinKomp[[Stanowisko / Position ]:[Stanowisko / Position ]],0))="n/a","n/a",DC139-INDEX(tab_MinKomp[Wykonywanie precyzyjnych pomiarów metrycznych, pomiary 3D],MATCH($B139,tab_MinKomp[[Stanowisko / Position ]:[Stanowisko / Position ]],0)))</f>
        <v>n/a</v>
      </c>
      <c r="DD140" s="341" t="str">
        <f>IF(INDEX(tab_MinKomp[Pisanie programów / Programme schreiben],MATCH($B139,tab_MinKomp[[Stanowisko / Position ]:[Stanowisko / Position ]],0))="n/a","n/a",DD139-INDEX(tab_MinKomp[Pisanie programów / Programme schreiben],MATCH($B139,tab_MinKomp[[Stanowisko / Position ]:[Stanowisko / Position ]],0)))</f>
        <v>n/a</v>
      </c>
      <c r="DE140" s="341" t="str">
        <f>IF(INDEX(tab_MinKomp[Obsługa wyposażenia do testów czystości (myjka + analizator) / Betrieb von Sauberkeitsprüfgeräten (Waschmaschine + Analysegerät)],MATCH($B139,tab_MinKomp[[Stanowisko / Position ]:[Stanowisko / Position ]],0))="n/a","n/a",DE139-INDEX(tab_MinKomp[Obsługa wyposażenia do testów czystości (myjka + analizator) / Betrieb von Sauberkeitsprüfgeräten (Waschmaschine + Analysegerät)],MATCH($B139,tab_MinKomp[[Stanowisko / Position ]:[Stanowisko / Position ]],0)))</f>
        <v>n/a</v>
      </c>
      <c r="DF140" s="341" t="str">
        <f>IF(INDEX(tab_MinKomp[Testy czystości / Reinheitstests],MATCH($B139,tab_MinKomp[[Stanowisko / Position ]:[Stanowisko / Position ]],0))="n/a","n/a",DF139-INDEX(tab_MinKomp[Testy czystości / Reinheitstests],MATCH($B139,tab_MinKomp[[Stanowisko / Position ]:[Stanowisko / Position ]],0)))</f>
        <v>n/a</v>
      </c>
      <c r="DG140" s="341" t="str">
        <f>IF(INDEX(tab_MinKomp[Obsługa wysokościomierza / Unterstützung für Höhenmesser],MATCH($B139,tab_MinKomp[[Stanowisko / Position ]:[Stanowisko / Position ]],0))="n/a","n/a",DG139-INDEX(tab_MinKomp[Obsługa wysokościomierza / Unterstützung für Höhenmesser],MATCH($B139,tab_MinKomp[[Stanowisko / Position ]:[Stanowisko / Position ]],0)))</f>
        <v>n/a</v>
      </c>
      <c r="DH140" s="341" t="str">
        <f>IF(INDEX(tab_MinKomp[Pomiary wysokości materiału / Materialhöhenmessungen],MATCH($B139,tab_MinKomp[[Stanowisko / Position ]:[Stanowisko / Position ]],0))="n/a","n/a",DH139-INDEX(tab_MinKomp[Pomiary wysokości materiału / Materialhöhenmessungen],MATCH($B139,tab_MinKomp[[Stanowisko / Position ]:[Stanowisko / Position ]],0)))</f>
        <v>n/a</v>
      </c>
      <c r="DI140" s="341" t="str">
        <f>IF(INDEX(tab_MinKomp[Obsługa okrągłościomierza / Unterstützung für Rundheitsmessgeräte],MATCH($B139,tab_MinKomp[[Stanowisko / Position ]:[Stanowisko / Position ]],0))="n/a","n/a",DI139-INDEX(tab_MinKomp[Obsługa okrągłościomierza / Unterstützung für Rundheitsmessgeräte],MATCH($B139,tab_MinKomp[[Stanowisko / Position ]:[Stanowisko / Position ]],0)))</f>
        <v>n/a</v>
      </c>
      <c r="DJ140" s="341" t="str">
        <f>IF(INDEX(tab_MinKomp[Wykonywania pomiarów owalności, srednicy materiału / Messung der Ovalität und des Durchmessers des Materials],MATCH($B139,tab_MinKomp[[Stanowisko / Position ]:[Stanowisko / Position ]],0))="n/a","n/a",DJ139-INDEX(tab_MinKomp[Wykonywania pomiarów owalności, srednicy materiału / Messung der Ovalität und des Durchmessers des Materials],MATCH($B139,tab_MinKomp[[Stanowisko / Position ]:[Stanowisko / Position ]],0)))</f>
        <v>n/a</v>
      </c>
      <c r="DK140" s="341" t="str">
        <f>IF(INDEX(tab_MinKomp[Obsługa urządzenia do pomiarów chropowoatości powierzchni materiału],MATCH($B139,tab_MinKomp[[Stanowisko / Position ]:[Stanowisko / Position ]],0))="n/a","n/a",DK139-INDEX(tab_MinKomp[Obsługa urządzenia do pomiarów chropowoatości powierzchni materiału],MATCH($B139,tab_MinKomp[[Stanowisko / Position ]:[Stanowisko / Position ]],0)))</f>
        <v>n/a</v>
      </c>
      <c r="DL140" s="341" t="str">
        <f>IF(INDEX(tab_MinKomp[Wykonywanie pomiarów chropowatości powierzchni materiału / Durchführung von Messungen der Materialoberflächenrauheit],MATCH($B139,tab_MinKomp[[Stanowisko / Position ]:[Stanowisko / Position ]],0))="n/a","n/a",DL139-INDEX(tab_MinKomp[Wykonywanie pomiarów chropowatości powierzchni materiału / Durchführung von Messungen der Materialoberflächenrauheit],MATCH($B139,tab_MinKomp[[Stanowisko / Position ]:[Stanowisko / Position ]],0)))</f>
        <v>n/a</v>
      </c>
      <c r="DM140" s="341" t="str">
        <f>IF(INDEX(tab_MinKomp[Obsługa urządzenia do pomiaru siły radialnej części - postępowanie z trzpieniami. / Funktionsweise des Geräts zur Messung der Radialkraft von Teilen – Handhabungsstifte.],MATCH($B139,tab_MinKomp[[Stanowisko / Position ]:[Stanowisko / Position ]],0))="n/a","n/a",DM139-INDEX(tab_MinKomp[Obsługa urządzenia do pomiaru siły radialnej części - postępowanie z trzpieniami. / Funktionsweise des Geräts zur Messung der Radialkraft von Teilen – Handhabungsstifte.],MATCH($B139,tab_MinKomp[[Stanowisko / Position ]:[Stanowisko / Position ]],0)))</f>
        <v>n/a</v>
      </c>
      <c r="DN140" s="341" t="str">
        <f>IF(INDEX(tab_MinKomp[Wykonywanie pomiarów siły radialnej części / Führen Sie Radialkraftmessungen an Teilen durch],MATCH($B139,tab_MinKomp[[Stanowisko / Position ]:[Stanowisko / Position ]],0))="n/a","n/a",DN139-INDEX(tab_MinKomp[Wykonywanie pomiarów siły radialnej części / Führen Sie Radialkraftmessungen an Teilen durch],MATCH($B139,tab_MinKomp[[Stanowisko / Position ]:[Stanowisko / Position ]],0)))</f>
        <v>n/a</v>
      </c>
      <c r="DO140" s="341" t="str">
        <f>IF(INDEX(tab_MinKomp[Obsługa komory do testów wybuchwych / Betrieb einer Explosionsprüfkammer],MATCH($B139,tab_MinKomp[[Stanowisko / Position ]:[Stanowisko / Position ]],0))="n/a","n/a",DO139-INDEX(tab_MinKomp[Obsługa komory do testów wybuchwych / Betrieb einer Explosionsprüfkammer],MATCH($B139,tab_MinKomp[[Stanowisko / Position ]:[Stanowisko / Position ]],0)))</f>
        <v>n/a</v>
      </c>
      <c r="DP140" s="341" t="str">
        <f>IF(INDEX(tab_MinKomp[Wykonywanie testów wybuchowych części / Durchführung von Explosionstests an Teilen],MATCH($B139,tab_MinKomp[[Stanowisko / Position ]:[Stanowisko / Position ]],0))="n/a","n/a",DP139-INDEX(tab_MinKomp[Wykonywanie testów wybuchowych części / Durchführung von Explosionstests an Teilen],MATCH($B139,tab_MinKomp[[Stanowisko / Position ]:[Stanowisko / Position ]],0)))</f>
        <v>n/a</v>
      </c>
      <c r="DQ140" s="341" t="str">
        <f>IF(INDEX(tab_MinKomp[Obsługa urządzeń do mierzenia siły trzymania i/lub rozciągania / Betrieb von Geräten zur Messung der Halte- und/oder Dehnkraft],MATCH($B139,tab_MinKomp[[Stanowisko / Position ]:[Stanowisko / Position ]],0))="n/a","n/a",DQ139-INDEX(tab_MinKomp[Obsługa urządzeń do mierzenia siły trzymania i/lub rozciągania / Betrieb von Geräten zur Messung der Halte- und/oder Dehnkraft],MATCH($B139,tab_MinKomp[[Stanowisko / Position ]:[Stanowisko / Position ]],0)))</f>
        <v>n/a</v>
      </c>
      <c r="DR140" s="341" t="str">
        <f>IF(INDEX(tab_MinKomp[Wykonywanie testów mierzenia siły trzymania i/lub rozciągania / Durchführung von Tests zur Messung der Halte- und/oder Streckkraft],MATCH($B139,tab_MinKomp[[Stanowisko / Position ]:[Stanowisko / Position ]],0))="n/a","n/a",DR139-INDEX(tab_MinKomp[Wykonywanie testów mierzenia siły trzymania i/lub rozciągania / Durchführung von Tests zur Messung der Halte- und/oder Streckkraft],MATCH($B139,tab_MinKomp[[Stanowisko / Position ]:[Stanowisko / Position ]],0)))</f>
        <v>n/a</v>
      </c>
      <c r="DS140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Luftstrom)],MATCH($B139,tab_MinKomp[[Stanowisko / Position ]:[Stanowisko / Position ]],0))="n/a","n/a",DS139-INDEX(tab_MinKomp[Obsługa multimetru do pomiarów środowiskowych (temperatura, wilgotność, hałas, oświetlenie, przepływ powietrza) / Betrieb eines Multimeters für Umweltmessungen (Temperatur, Luftfeuchtigkeit, Lärm, Beleuchtung, Luftstrom)],MATCH($B139,tab_MinKomp[[Stanowisko / Position ]:[Stanowisko / Position ]],0)))</f>
        <v>n/a</v>
      </c>
      <c r="DT140" s="341" t="str">
        <f>IF(INDEX(tab_MinKomp[Kontrola warunków środowiskowych pracy (temperatura, wilgotność, hałas, oświetlenie, przepływ powietrza) / Kontrolle der Arbeitsumgebungsbedingungen (Temperatur, Luftfeuchtigkeit, Lärm, Beleuchtung, Luftstrom)],MATCH($B139,tab_MinKomp[[Stanowisko / Position ]:[Stanowisko / Position ]],0))="n/a","n/a",DT139-INDEX(tab_MinKomp[Kontrola warunków środowiskowych pracy (temperatura, wilgotność, hałas, oświetlenie, przepływ powietrza) / Kontrolle der Arbeitsumgebungsbedingungen (Temperatur, Luftfeuchtigkeit, Lärm, Beleuchtung, Luftstrom)],MATCH($B139,tab_MinKomp[[Stanowisko / Position ]:[Stanowisko / Position ]],0)))</f>
        <v>n/a</v>
      </c>
      <c r="DU140" s="341" t="str">
        <f>IF(INDEX(tab_MinKomp[MSA i SPC],MATCH($B139,tab_MinKomp[[Stanowisko / Position ]:[Stanowisko / Position ]],0))="n/a","n/a",DU139-INDEX(tab_MinKomp[MSA i SPC],MATCH($B139,tab_MinKomp[[Stanowisko / Position ]:[Stanowisko / Position ]],0)))</f>
        <v>n/a</v>
      </c>
      <c r="DV140" s="341" t="str">
        <f>IF(INDEX(tab_MinKomp[Kontrola wejściowa komponentów/ Eingangskontrolle],MATCH($B139,tab_MinKomp[[Stanowisko / Position ]:[Stanowisko / Position ]],0))="n/a","n/a",DV139-INDEX(tab_MinKomp[Kontrola wejściowa komponentów/ Eingangskontrolle],MATCH($B139,tab_MinKomp[[Stanowisko / Position ]:[Stanowisko / Position ]],0)))</f>
        <v>n/a</v>
      </c>
      <c r="DW140" s="341" t="str">
        <f>IF(INDEX(tab_MinKomp[Kontrola wyjściowa produktu / Ausgangskontrolle],MATCH($B139,tab_MinKomp[[Stanowisko / Position ]:[Stanowisko / Position ]],0))="n/a","n/a",DW139-INDEX(tab_MinKomp[Kontrola wyjściowa produktu / Ausgangskontrolle],MATCH($B139,tab_MinKomp[[Stanowisko / Position ]:[Stanowisko / Position ]],0)))</f>
        <v>n/a</v>
      </c>
      <c r="DX140" s="341" t="str">
        <f>IF(INDEX(tab_MinKomp[Kontrola codzienna produkcji / Tägliche Produktionskontrolle],MATCH($B139,tab_MinKomp[[Stanowisko / Position ]:[Stanowisko / Position ]],0))="n/a","n/a",DX139-INDEX(tab_MinKomp[Kontrola codzienna produkcji / Tägliche Produktionskontrolle],MATCH($B139,tab_MinKomp[[Stanowisko / Position ]:[Stanowisko / Position ]],0)))</f>
        <v>n/a</v>
      </c>
      <c r="DY140" s="341">
        <f>IF(INDEX(tab_MinKomp[Konserwacja Rep],MATCH($B139,tab_MinKomp[[Stanowisko / Position ]:[Stanowisko / Position ]],0))="n/a","n/a",DY139-INDEX(tab_MinKomp[Konserwacja Rep],MATCH($B139,tab_MinKomp[[Stanowisko / Position ]:[Stanowisko / Position ]],0)))</f>
        <v>0</v>
      </c>
      <c r="DZ140" s="341">
        <f>IF(INDEX(tab_MinKomp[[Konserwacja Engel ]],MATCH($B139,tab_MinKomp[[Stanowisko / Position ]:[Stanowisko / Position ]],0))="n/a","n/a",DZ139-INDEX(tab_MinKomp[[Konserwacja Engel ]],MATCH($B139,tab_MinKomp[[Stanowisko / Position ]:[Stanowisko / Position ]],0)))</f>
        <v>0</v>
      </c>
      <c r="EA140" s="341">
        <f>IF(INDEX(tab_MinKomp[Konserwacja B 50],MATCH($B139,tab_MinKomp[[Stanowisko / Position ]:[Stanowisko / Position ]],0))="n/a","n/a",EA139-INDEX(tab_MinKomp[Konserwacja B 50],MATCH($B139,tab_MinKomp[[Stanowisko / Position ]:[Stanowisko / Position ]],0)))</f>
        <v>0</v>
      </c>
      <c r="EB140" s="341">
        <f>IF(INDEX(tab_MinKomp[[Konserwacja EOL ]],MATCH($B139,tab_MinKomp[[Stanowisko / Position ]:[Stanowisko / Position ]],0))="n/a","n/a",EB139-INDEX(tab_MinKomp[[Konserwacja EOL ]],MATCH($B139,tab_MinKomp[[Stanowisko / Position ]:[Stanowisko / Position ]],0)))</f>
        <v>0</v>
      </c>
      <c r="EC140" s="341">
        <f>IF(INDEX(tab_MinKomp[Konserwacja Branson],MATCH($B139,tab_MinKomp[[Stanowisko / Position ]:[Stanowisko / Position ]],0))="n/a","n/a",EC139-INDEX(tab_MinKomp[Konserwacja Branson],MATCH($B139,tab_MinKomp[[Stanowisko / Position ]:[Stanowisko / Position ]],0)))</f>
        <v>0</v>
      </c>
      <c r="ED140" s="341">
        <f>IF(INDEX(tab_MinKomp[Konserwacja coolery],MATCH($B139,tab_MinKomp[[Stanowisko / Position ]:[Stanowisko / Position ]],0))="n/a","n/a",ED139-INDEX(tab_MinKomp[Konserwacja coolery],MATCH($B139,tab_MinKomp[[Stanowisko / Position ]:[Stanowisko / Position ]],0)))</f>
        <v>0</v>
      </c>
      <c r="EE140" s="341">
        <f>IF(INDEX(tab_MinKomp[Konserwacja piecy],MATCH($B139,tab_MinKomp[[Stanowisko / Position ]:[Stanowisko / Position ]],0))="n/a","n/a",EE139-INDEX(tab_MinKomp[Konserwacja piecy],MATCH($B139,tab_MinKomp[[Stanowisko / Position ]:[Stanowisko / Position ]],0)))</f>
        <v>0</v>
      </c>
      <c r="EF140" s="341">
        <f>IF(INDEX(tab_MinKomp[Rysunek techniczny- czytanie],MATCH($B139,tab_MinKomp[[Stanowisko / Position ]:[Stanowisko / Position ]],0))="n/a","n/a",EF139-INDEX(tab_MinKomp[Rysunek techniczny- czytanie],MATCH($B139,tab_MinKomp[[Stanowisko / Position ]:[Stanowisko / Position ]],0)))</f>
        <v>0</v>
      </c>
      <c r="EG140" s="341">
        <f>IF(INDEX(tab_MinKomp[Elektryka],MATCH($B139,tab_MinKomp[[Stanowisko / Position ]:[Stanowisko / Position ]],0))="n/a","n/a",EG139-INDEX(tab_MinKomp[Elektryka],MATCH($B139,tab_MinKomp[[Stanowisko / Position ]:[Stanowisko / Position ]],0)))</f>
        <v>0</v>
      </c>
      <c r="EH140" s="341">
        <f>IF(INDEX(tab_MinKomp[Pneumatyka],MATCH($B139,tab_MinKomp[[Stanowisko / Position ]:[Stanowisko / Position ]],0))="n/a","n/a",EH139-INDEX(tab_MinKomp[Pneumatyka],MATCH($B139,tab_MinKomp[[Stanowisko / Position ]:[Stanowisko / Position ]],0)))</f>
        <v>0</v>
      </c>
      <c r="EI140" s="341">
        <f>IF(INDEX(tab_MinKomp[[Hydraulika ]],MATCH($B139,tab_MinKomp[[Stanowisko / Position ]:[Stanowisko / Position ]],0))="n/a","n/a",EI139-INDEX(tab_MinKomp[[Hydraulika ]],MATCH($B139,tab_MinKomp[[Stanowisko / Position ]:[Stanowisko / Position ]],0)))</f>
        <v>0</v>
      </c>
      <c r="EJ140" s="341">
        <f>IF(INDEX(tab_MinKomp[Podciśnienie],MATCH($B139,tab_MinKomp[[Stanowisko / Position ]:[Stanowisko / Position ]],0))="n/a","n/a",EJ139-INDEX(tab_MinKomp[Podciśnienie],MATCH($B139,tab_MinKomp[[Stanowisko / Position ]:[Stanowisko / Position ]],0)))</f>
        <v>0</v>
      </c>
      <c r="EK140" s="341">
        <f>IF(INDEX(tab_MinKomp[Usuwanie awarii],MATCH($B139,tab_MinKomp[[Stanowisko / Position ]:[Stanowisko / Position ]],0))="n/a","n/a",EK139-INDEX(tab_MinKomp[Usuwanie awarii],MATCH($B139,tab_MinKomp[[Stanowisko / Position ]:[Stanowisko / Position ]],0)))</f>
        <v>0</v>
      </c>
      <c r="EL140" s="341">
        <f>IF(INDEX(tab_MinKomp[Obsługa robotów],MATCH($B139,tab_MinKomp[[Stanowisko / Position ]:[Stanowisko / Position ]],0))="n/a","n/a",EL139-INDEX(tab_MinKomp[Obsługa robotów],MATCH($B139,tab_MinKomp[[Stanowisko / Position ]:[Stanowisko / Position ]],0)))</f>
        <v>-1</v>
      </c>
      <c r="EM140" s="341">
        <f>IF(INDEX(tab_MinKomp[Obsługa sterowania maszyny],MATCH($B139,tab_MinKomp[[Stanowisko / Position ]:[Stanowisko / Position ]],0))="n/a","n/a",EM139-INDEX(tab_MinKomp[Obsługa sterowania maszyny],MATCH($B139,tab_MinKomp[[Stanowisko / Position ]:[Stanowisko / Position ]],0)))</f>
        <v>0</v>
      </c>
      <c r="EN140" s="341">
        <f>IF(INDEX(tab_MinKomp[Usuwanie przyczyn żródłowych],MATCH($B139,tab_MinKomp[[Stanowisko / Position ]:[Stanowisko / Position ]],0))="n/a","n/a",EN139-INDEX(tab_MinKomp[Usuwanie przyczyn żródłowych],MATCH($B139,tab_MinKomp[[Stanowisko / Position ]:[Stanowisko / Position ]],0)))</f>
        <v>-1</v>
      </c>
      <c r="EO140" s="341">
        <f>IF(INDEX(tab_MinKomp[Cmms stosowanie],MATCH($B139,tab_MinKomp[[Stanowisko / Position ]:[Stanowisko / Position ]],0))="n/a","n/a",EO139-INDEX(tab_MinKomp[Cmms stosowanie],MATCH($B139,tab_MinKomp[[Stanowisko / Position ]:[Stanowisko / Position ]],0)))</f>
        <v>0</v>
      </c>
      <c r="EP140" s="341" t="str">
        <f>IF(INDEX(tab_MinKomp[[Czyszczenie form gumowych ]],MATCH($B139,tab_MinKomp[[Stanowisko / Position ]:[Stanowisko / Position ]],0))="n/a","n/a",EP139-INDEX(tab_MinKomp[[Czyszczenie form gumowych ]],MATCH($B139,tab_MinKomp[[Stanowisko / Position ]:[Stanowisko / Position ]],0)))</f>
        <v>n/a</v>
      </c>
      <c r="EQ140" s="341" t="str">
        <f>IF(INDEX(tab_MinKomp[Czyszczenie form plastikowych],MATCH($B139,tab_MinKomp[[Stanowisko / Position ]:[Stanowisko / Position ]],0))="n/a","n/a",EQ139-INDEX(tab_MinKomp[Czyszczenie form plastikowych],MATCH($B139,tab_MinKomp[[Stanowisko / Position ]:[Stanowisko / Position ]],0)))</f>
        <v>n/a</v>
      </c>
      <c r="ER140" s="341" t="str">
        <f>IF(INDEX(tab_MinKomp[Wymiana form plastik],MATCH($B139,tab_MinKomp[[Stanowisko / Position ]:[Stanowisko / Position ]],0))="n/a","n/a",ER139-INDEX(tab_MinKomp[Wymiana form plastik],MATCH($B139,tab_MinKomp[[Stanowisko / Position ]:[Stanowisko / Position ]],0)))</f>
        <v>n/a</v>
      </c>
      <c r="ES140" s="341" t="str">
        <f>IF(INDEX(tab_MinKomp[Wymiana form guma],MATCH($B139,tab_MinKomp[[Stanowisko / Position ]:[Stanowisko / Position ]],0))="n/a","n/a",ES139-INDEX(tab_MinKomp[Wymiana form guma],MATCH($B139,tab_MinKomp[[Stanowisko / Position ]:[Stanowisko / Position ]],0)))</f>
        <v>n/a</v>
      </c>
      <c r="ET140" s="341" t="str">
        <f>IF(INDEX(tab_MinKomp[Konserwacja KK],MATCH($B139,tab_MinKomp[[Stanowisko / Position ]:[Stanowisko / Position ]],0))="n/a","n/a",ET139-INDEX(tab_MinKomp[Konserwacja KK],MATCH($B139,tab_MinKomp[[Stanowisko / Position ]:[Stanowisko / Position ]],0)))</f>
        <v>n/a</v>
      </c>
      <c r="EU140" s="341" t="str">
        <f>IF(INDEX(tab_MinKomp[Konserwacja form guma],MATCH($B139,tab_MinKomp[[Stanowisko / Position ]:[Stanowisko / Position ]],0))="n/a","n/a",EU139-INDEX(tab_MinKomp[Konserwacja form guma],MATCH($B139,tab_MinKomp[[Stanowisko / Position ]:[Stanowisko / Position ]],0)))</f>
        <v>n/a</v>
      </c>
      <c r="EV140" s="341" t="str">
        <f>IF(INDEX(tab_MinKomp[Konserwacja form plastiki],MATCH($B139,tab_MinKomp[[Stanowisko / Position ]:[Stanowisko / Position ]],0))="n/a","n/a",EV139-INDEX(tab_MinKomp[Konserwacja form plastiki],MATCH($B139,tab_MinKomp[[Stanowisko / Position ]:[Stanowisko / Position ]],0)))</f>
        <v>n/a</v>
      </c>
      <c r="EW140" s="330" t="str">
        <f>IF(INDEX(tab_MinKomp[Konserwacja form plastiki],MATCH($B139,tab_MinKomp[[Stanowisko / Position ]:[Stanowisko / Position ]],0))="n/a","n/a",EW139-INDEX(tab_MinKomp[Konserwacja form plastiki],MATCH($B139,tab_MinKomp[[Stanowisko / Position ]:[Stanowisko / Position ]],0)))</f>
        <v>n/a</v>
      </c>
      <c r="EX140" s="341" t="str">
        <f>IF(INDEX(tab_MinKomp[Konserwacja Gorącego Kanału],MATCH($B139,tab_MinKomp[[Stanowisko / Position ]:[Stanowisko / Position ]],0))="n/a","n/a",EX139-INDEX(tab_MinKomp[Konserwacja Gorącego Kanału],MATCH($B139,tab_MinKomp[[Stanowisko / Position ]:[Stanowisko / Position ]],0)))</f>
        <v>n/a</v>
      </c>
      <c r="EY140" s="341">
        <f>IF(INDEX(tab_MinKomp[MS Office (Excel)],MATCH($B139,tab_MinKomp[[Stanowisko / Position ]:[Stanowisko / Position ]],0))="n/a","n/a",EY139-INDEX(tab_MinKomp[MS Office (Excel)],MATCH($B139,tab_MinKomp[[Stanowisko / Position ]:[Stanowisko / Position ]],0)))</f>
        <v>0</v>
      </c>
      <c r="EZ140" s="341">
        <f>IF(INDEX(tab_MinKomp[MS Office (Word)],MATCH($B139,tab_MinKomp[[Stanowisko / Position ]:[Stanowisko / Position ]],0))="n/a","n/a",EZ139-INDEX(tab_MinKomp[MS Office (Word)],MATCH($B139,tab_MinKomp[[Stanowisko / Position ]:[Stanowisko / Position ]],0)))</f>
        <v>0</v>
      </c>
      <c r="FA140" s="341">
        <f>IF(INDEX(tab_MinKomp[MS Office (Power Point)],MATCH($B139,tab_MinKomp[[Stanowisko / Position ]:[Stanowisko / Position ]],0))="n/a","n/a",FA139-INDEX(tab_MinKomp[MS Office (Power Point)],MATCH($B139,tab_MinKomp[[Stanowisko / Position ]:[Stanowisko / Position ]],0)))</f>
        <v>-1</v>
      </c>
      <c r="FB140" s="341" t="str">
        <f>IF(INDEX(tab_MinKomp[Język angielski / Englisch],MATCH($B139,tab_MinKomp[[Stanowisko / Position ]:[Stanowisko / Position ]],0))="n/a","n/a",FB139-INDEX(tab_MinKomp[Język angielski / Englisch],MATCH($B139,tab_MinKomp[[Stanowisko / Position ]:[Stanowisko / Position ]],0)))</f>
        <v>n/a</v>
      </c>
      <c r="FC140" s="341" t="str">
        <f>IF(INDEX(tab_MinKomp[Język niemiecki / Deutsch],MATCH($B139,tab_MinKomp[[Stanowisko / Position ]:[Stanowisko / Position ]],0))="n/a","n/a",FC139-INDEX(tab_MinKomp[Język niemiecki / Deutsch],MATCH($B139,tab_MinKomp[[Stanowisko / Position ]:[Stanowisko / Position ]],0)))</f>
        <v>n/a</v>
      </c>
      <c r="FD140" s="341">
        <f>IF(INDEX(tab_MinKomp[Zarządzanie dokumentacją procesową / Process dokumentation management],MATCH($B139,tab_MinKomp[[Stanowisko / Position ]:[Stanowisko / Position ]],0))="n/a","n/a",FD139-INDEX(tab_MinKomp[Zarządzanie dokumentacją procesową / Process dokumentation management],MATCH($B139,tab_MinKomp[[Stanowisko / Position ]:[Stanowisko / Position ]],0)))</f>
        <v>0</v>
      </c>
      <c r="FE140" s="341">
        <f>IF(INDEX(tab_MinKomp[Znajomość procesów z obszaru / Kenntiss der prozesse in dem Bereich],MATCH($B139,tab_MinKomp[[Stanowisko / Position ]:[Stanowisko / Position ]],0))="n/a","n/a",FE139-INDEX(tab_MinKomp[Znajomość procesów z obszaru / Kenntiss der prozesse in dem Bereich],MATCH($B139,tab_MinKomp[[Stanowisko / Position ]:[Stanowisko / Position ]],0)))</f>
        <v>0</v>
      </c>
      <c r="FF140" s="341">
        <f>IF(INDEX(tab_MinKomp[optymalizacja procesów / Prozessoptymalisierung],MATCH($B139,tab_MinKomp[[Stanowisko / Position ]:[Stanowisko / Position ]],0))="n/a","n/a",FF139-INDEX(tab_MinKomp[optymalizacja procesów / Prozessoptymalisierung],MATCH($B139,tab_MinKomp[[Stanowisko / Position ]:[Stanowisko / Position ]],0)))</f>
        <v>-1</v>
      </c>
      <c r="FG140" s="341">
        <f>IF(INDEX(tab_MinKomp[Umiejętności szkoleniowe / Trainingsfähigkeiten],MATCH($B139,tab_MinKomp[[Stanowisko / Position ]:[Stanowisko / Position ]],0))="n/a","n/a",FG139-INDEX(tab_MinKomp[Umiejętności szkoleniowe / Trainingsfähigkeiten],MATCH($B139,tab_MinKomp[[Stanowisko / Position ]:[Stanowisko / Position ]],0)))</f>
        <v>1</v>
      </c>
      <c r="FH140" s="341">
        <f>IF(INDEX(tab_MinKomp[Analityczne myślenie, podejście / Analitysches Denken, Einstellung],MATCH($B139,tab_MinKomp[[Stanowisko / Position ]:[Stanowisko / Position ]],0))="n/a","n/a",FH139-INDEX(tab_MinKomp[Analityczne myślenie, podejście / Analitysches Denken, Einstellung],MATCH($B139,tab_MinKomp[[Stanowisko / Position ]:[Stanowisko / Position ]],0)))</f>
        <v>0</v>
      </c>
      <c r="FI140" s="341">
        <f>IF(INDEX(tab_MinKomp[Dokładność, precyzja w dzialaniu / Genauigkeit, Präzision in die Arbeit],MATCH($B139,tab_MinKomp[[Stanowisko / Position ]:[Stanowisko / Position ]],0))="n/a","n/a",FI139-INDEX(tab_MinKomp[Dokładność, precyzja w dzialaniu / Genauigkeit, Präzision in die Arbeit],MATCH($B139,tab_MinKomp[[Stanowisko / Position ]:[Stanowisko / Position ]],0)))</f>
        <v>0</v>
      </c>
      <c r="FJ140" s="341">
        <f>IF(INDEX(tab_MinKomp[Dyspozycyjność / Verfügbarkeit],MATCH($B139,tab_MinKomp[[Stanowisko / Position ]:[Stanowisko / Position ]],0))="n/a","n/a",FJ139-INDEX(tab_MinKomp[Dyspozycyjność / Verfügbarkeit],MATCH($B139,tab_MinKomp[[Stanowisko / Position ]:[Stanowisko / Position ]],0)))</f>
        <v>0</v>
      </c>
      <c r="FK140" s="341">
        <f>IF(INDEX(tab_MinKomp[Zaangażowanie / 
Engagement],MATCH($B139,tab_MinKomp[[Stanowisko / Position ]:[Stanowisko / Position ]],0))="n/a","n/a",FK139-INDEX(tab_MinKomp[Zaangażowanie / 
Engagement],MATCH($B139,tab_MinKomp[[Stanowisko / Position ]:[Stanowisko / Position ]],0)))</f>
        <v>0</v>
      </c>
      <c r="FL140" s="341" t="str">
        <f>IF(INDEX(tab_MinKomp[Planowanie strategiczne / Strategische Planung],MATCH($B139,tab_MinKomp[[Stanowisko / Position ]:[Stanowisko / Position ]],0))="n/a","n/a",FL139-INDEX(tab_MinKomp[Planowanie strategiczne / Strategische Planung],MATCH($B139,tab_MinKomp[[Stanowisko / Position ]:[Stanowisko / Position ]],0)))</f>
        <v>n/a</v>
      </c>
      <c r="FM140" s="341">
        <f>IF(INDEX(tab_MinKomp[Konsekwentne i dynamiczne działanie],MATCH($B139,tab_MinKomp[[Stanowisko / Position ]:[Stanowisko / Position ]],0))="n/a","n/a",FM139-INDEX(tab_MinKomp[Konsekwentne i dynamiczne działanie],MATCH($B139,tab_MinKomp[[Stanowisko / Position ]:[Stanowisko / Position ]],0)))</f>
        <v>0</v>
      </c>
      <c r="FN140" s="341">
        <f>IF(INDEX(tab_MinKomp[Elastyczność w działaniu],MATCH($B139,tab_MinKomp[[Stanowisko / Position ]:[Stanowisko / Position ]],0))="n/a","n/a",FN139-INDEX(tab_MinKomp[Elastyczność w działaniu],MATCH($B139,tab_MinKomp[[Stanowisko / Position ]:[Stanowisko / Position ]],0)))</f>
        <v>0</v>
      </c>
      <c r="FO140" s="341">
        <f>IF(INDEX(tab_MinKomp[Komunikatywność],MATCH($B139,tab_MinKomp[[Stanowisko / Position ]:[Stanowisko / Position ]],0))="n/a","n/a",FO139-INDEX(tab_MinKomp[Komunikatywność],MATCH($B139,tab_MinKomp[[Stanowisko / Position ]:[Stanowisko / Position ]],0)))</f>
        <v>0</v>
      </c>
      <c r="FP140" s="341" t="str">
        <f>IF(INDEX(tab_MinKomp[Motywowanie i budowanie zaangażowania zespołu],MATCH($B139,tab_MinKomp[[Stanowisko / Position ]:[Stanowisko / Position ]],0))="n/a","n/a",FP139-INDEX(tab_MinKomp[Motywowanie i budowanie zaangażowania zespołu],MATCH($B139,tab_MinKomp[[Stanowisko / Position ]:[Stanowisko / Position ]],0)))</f>
        <v>n/a</v>
      </c>
      <c r="FQ140" s="346" t="str">
        <f>IFERROR(IF(INDEX(tab_MinKomp[BRAK / Keine],MATCH($B139,tab_MinKomp[[Stanowisko / Position ]:[Stanowisko / Position ]],0))="n/a","n/a",INDEX(tab_MinKomp[BRAK / Keine],MATCH($B139,tab_MinKomp[[Stanowisko / Position ]:[Stanowisko / Position ]],0))-FQ139),"")</f>
        <v>n/a</v>
      </c>
      <c r="FR140" s="343" t="str">
        <f>IF(INDEX(tab_MinKomp[MINIMUM 1 ROK / min. 1 Jahr],MATCH($B139,tab_MinKomp[[Stanowisko / Position ]:[Stanowisko / Position ]],0))="n/a","n/a",INDEX(tab_MinKomp[MINIMUM 1 ROK / min. 1 Jahr],MATCH($B139,tab_MinKomp[[Stanowisko / Position ]:[Stanowisko / Position ]],0)))</f>
        <v>n/a</v>
      </c>
      <c r="FS140" s="343" t="str">
        <f>IF(INDEX(tab_MinKomp[MINIMUM 2 LATA / min. 2 Jahre],MATCH($B139,tab_MinKomp[[Stanowisko / Position ]:[Stanowisko / Position ]],0))="n/a","n/a",INDEX(tab_MinKomp[MINIMUM 2 LATA / min. 2 Jahre],MATCH($B139,tab_MinKomp[[Stanowisko / Position ]:[Stanowisko / Position ]],0)))</f>
        <v>n/a</v>
      </c>
      <c r="FT140" s="343" t="str">
        <f>IF(INDEX(tab_MinKomp[MINIMUM 3 LATA / min. 3 Jahre],MATCH($B139,tab_MinKomp[[Stanowisko / Position ]:[Stanowisko / Position ]],0))="n/a","n/a",INDEX(tab_MinKomp[MINIMUM 3 LATA / min. 3 Jahre],MATCH($B139,tab_MinKomp[[Stanowisko / Position ]:[Stanowisko / Position ]],0)))</f>
        <v>n/a</v>
      </c>
      <c r="FU140" s="343" t="str">
        <f>IF(INDEX(tab_MinKomp[MINIMUM 4 LATA / min. 4 Jahre],MATCH($B139,tab_MinKomp[[Stanowisko / Position ]:[Stanowisko / Position ]],0))="n/a","n/a",INDEX(tab_MinKomp[MINIMUM 4 LATA / min. 4 Jahre],MATCH($B139,tab_MinKomp[[Stanowisko / Position ]:[Stanowisko / Position ]],0)))</f>
        <v>n/a</v>
      </c>
      <c r="FV140" s="347" t="str">
        <f>IF(INDEX(tab_MinKomp[MINIMUM 5 LAT / min. 5 Jahre],MATCH($B139,tab_MinKomp[[Stanowisko / Position ]:[Stanowisko / Position ]],0))="n/a","n/a",INDEX(tab_MinKomp[MINIMUM 5 LAT / min. 5 Jahre],MATCH($B139,tab_MinKomp[[Stanowisko / Position ]:[Stanowisko / Position ]],0)))</f>
        <v>n/a</v>
      </c>
      <c r="FW140" s="346" t="str">
        <f>IF(INDEX(tab_MinKomp[BRAK / Keine9],MATCH($B139,tab_MinKomp[[Stanowisko / Position ]:[Stanowisko / Position ]],0))="n/a","n/a",INDEX(tab_MinKomp[BRAK / Keine9],MATCH($B139,tab_MinKomp[[Stanowisko / Position ]:[Stanowisko / Position ]],0)))</f>
        <v>n/a</v>
      </c>
      <c r="FX140" s="343" t="str">
        <f>IF(INDEX(tab_MinKomp[ZAWODOWE / Berufsausbildung],MATCH($B139,tab_MinKomp[[Stanowisko / Position ]:[Stanowisko / Position ]],0))="n/a","n/a",INDEX(tab_MinKomp[ZAWODOWE / Berufsausbildung],MATCH($B139,tab_MinKomp[[Stanowisko / Position ]:[Stanowisko / Position ]],0)))</f>
        <v>n/a</v>
      </c>
      <c r="FY140" s="343" t="str">
        <f>IF(INDEX(tab_MinKomp[ŚREDNIE OGÓLNE / Abitur allgemeine],MATCH($B139,tab_MinKomp[[Stanowisko / Position ]:[Stanowisko / Position ]],0))="n/a","n/a",INDEX(tab_MinKomp[ŚREDNIE OGÓLNE / Abitur allgemeine],MATCH($B139,tab_MinKomp[[Stanowisko / Position ]:[Stanowisko / Position ]],0)))</f>
        <v>n/a</v>
      </c>
      <c r="FZ140" s="343" t="str">
        <f>IF(INDEX(tab_MinKomp[ŚREDNIE KIERUNKOWE / berufliches Gymnasium],MATCH($B139,tab_MinKomp[[Stanowisko / Position ]:[Stanowisko / Position ]],0))="n/a","n/a",INDEX(tab_MinKomp[ŚREDNIE KIERUNKOWE / berufliches Gymnasium],MATCH($B139,tab_MinKomp[[Stanowisko / Position ]:[Stanowisko / Position ]],0)))</f>
        <v>n/a</v>
      </c>
      <c r="GA140" s="343" t="str">
        <f>IF(INDEX(tab_MinKomp[WYŻSZE OGÓLNE / Hochschule allgemeine],MATCH($B139,tab_MinKomp[[Stanowisko / Position ]:[Stanowisko / Position ]],0))="n/a","n/a",INDEX(tab_MinKomp[WYŻSZE OGÓLNE / Hochschule allgemeine],MATCH($B139,tab_MinKomp[[Stanowisko / Position ]:[Stanowisko / Position ]],0)))</f>
        <v>n/a</v>
      </c>
      <c r="GB140" s="347" t="str">
        <f>IF(INDEX(tab_MinKomp[WYŻSZE KIERUNKOWE / Hochschule berufliche],MATCH($B139,tab_MinKomp[[Stanowisko / Position ]:[Stanowisko / Position ]],0))="n/a","n/a",INDEX(tab_MinKomp[WYŻSZE KIERUNKOWE / Hochschule berufliche],MATCH($B139,tab_MinKomp[[Stanowisko / Position ]:[Stanowisko / Position ]],0)))</f>
        <v>n/a</v>
      </c>
      <c r="GC140" s="346" t="str">
        <f>IF(INDEX(tab_MinKomp[PIERWSZA POMOC / Erste Hilfe],MATCH($B139,tab_MinKomp[[Stanowisko / Position ]:[Stanowisko / Position ]],0))="n/a","n/a",INDEX(tab_MinKomp[PIERWSZA POMOC / Erste Hilfe],MATCH($B139,tab_MinKomp[[Stanowisko / Position ]:[Stanowisko / Position ]],0)))</f>
        <v>n/a</v>
      </c>
      <c r="GD140" s="343" t="str">
        <f>IF(INDEX(tab_MinKomp[Specjalista BHP / BHP Spezialist],MATCH($B139,tab_MinKomp[[Stanowisko / Position ]:[Stanowisko / Position ]],0))="n/a","n/a",INDEX(tab_MinKomp[Specjalista BHP / BHP Spezialist],MATCH($B139,tab_MinKomp[[Stanowisko / Position ]:[Stanowisko / Position ]],0)))</f>
        <v>n/a</v>
      </c>
      <c r="GE140" s="343" t="str">
        <f>IF(INDEX(tab_MinKomp[Inspektor ochrony PPOŻ / Brandschutzinspektor],MATCH($B139,tab_MinKomp[[Stanowisko / Position ]:[Stanowisko / Position ]],0))="n/a","n/a",INDEX(tab_MinKomp[Inspektor ochrony PPOŻ / Brandschutzinspektor],MATCH($B139,tab_MinKomp[[Stanowisko / Position ]:[Stanowisko / Position ]],0)))</f>
        <v>n/a</v>
      </c>
      <c r="GF140" s="343" t="str">
        <f>IF(INDEX(tab_MinKomp[WÓZKI JEZDNIOWE / Gebelstapler],MATCH($B139,tab_MinKomp[[Stanowisko / Position ]:[Stanowisko / Position ]],0))="n/a","n/a",INDEX(tab_MinKomp[WÓZKI JEZDNIOWE / Gebelstapler],MATCH($B139,tab_MinKomp[[Stanowisko / Position ]:[Stanowisko / Position ]],0)))</f>
        <v>x</v>
      </c>
      <c r="GG140" s="343" t="str">
        <f>IF(INDEX(tab_MinKomp[SEP],MATCH($B139,tab_MinKomp[[Stanowisko / Position ]:[Stanowisko / Position ]],0))="n/a","n/a",INDEX(tab_MinKomp[SEP],MATCH($B139,tab_MinKomp[[Stanowisko / Position ]:[Stanowisko / Position ]],0)))</f>
        <v>x</v>
      </c>
      <c r="GH140" s="343" t="str">
        <f>IF(INDEX(tab_MinKomp[SEP  DOZÓR / SEP Aufsicht],MATCH($B139,tab_MinKomp[[Stanowisko / Position ]:[Stanowisko / Position ]],0))="n/a","n/a",INDEX(tab_MinKomp[SEP  DOZÓR / SEP Aufsicht],MATCH($B139,tab_MinKomp[[Stanowisko / Position ]:[Stanowisko / Position ]],0)))</f>
        <v>n/a</v>
      </c>
      <c r="GI140" s="343" t="str">
        <f>IF(INDEX(tab_MinKomp[PODNOŚNIKI / Hebevorrichtung],MATCH($B139,tab_MinKomp[[Stanowisko / Position ]:[Stanowisko / Position ]],0))="n/a","n/a",INDEX(tab_MinKomp[PODNOŚNIKI / Hebevorrichtung],MATCH($B139,tab_MinKomp[[Stanowisko / Position ]:[Stanowisko / Position ]],0)))</f>
        <v>x</v>
      </c>
      <c r="GJ140" s="343" t="str">
        <f>IF(INDEX(tab_MinKomp[SUWNICE / Laufkran],MATCH($B139,tab_MinKomp[[Stanowisko / Position ]:[Stanowisko / Position ]],0))="n/a","n/a",INDEX(tab_MinKomp[SUWNICE / Laufkran],MATCH($B139,tab_MinKomp[[Stanowisko / Position ]:[Stanowisko / Position ]],0)))</f>
        <v>n/a</v>
      </c>
      <c r="GK140" s="347" t="str">
        <f>IF(INDEX(tab_MinKomp[WYSOKOŚCIOWE / Höhenberechtigungen],MATCH($B139,tab_MinKomp[[Stanowisko / Position ]:[Stanowisko / Position ]],0))="n/a","n/a",INDEX(tab_MinKomp[WYSOKOŚCIOWE / Höhenberechtigungen],MATCH($B139,tab_MinKomp[[Stanowisko / Position ]:[Stanowisko / Position ]],0)))</f>
        <v>x</v>
      </c>
      <c r="GL140" s="320">
        <f>SUM(G140:FP140)/(GL139-(SUM(G140:FP140)))</f>
        <v>-6.25E-2</v>
      </c>
      <c r="GM140" s="132"/>
    </row>
    <row r="141" spans="1:195" s="133" customFormat="1" ht="28.35" customHeight="1" x14ac:dyDescent="0.25">
      <c r="A141" s="138" t="s">
        <v>188</v>
      </c>
      <c r="B141" s="135" t="s">
        <v>207</v>
      </c>
      <c r="C141" s="138" t="s">
        <v>747</v>
      </c>
      <c r="D141" s="138">
        <v>1970</v>
      </c>
      <c r="E141" s="563" t="s">
        <v>730</v>
      </c>
      <c r="F141" s="307" t="s">
        <v>165</v>
      </c>
      <c r="G141" s="308">
        <v>2</v>
      </c>
      <c r="H141" s="308">
        <v>1</v>
      </c>
      <c r="I141" s="308">
        <v>2</v>
      </c>
      <c r="J141" s="308">
        <v>2</v>
      </c>
      <c r="K141" s="308">
        <v>2</v>
      </c>
      <c r="L141" s="308">
        <v>1</v>
      </c>
      <c r="M141" s="308" t="s">
        <v>176</v>
      </c>
      <c r="N141" s="308" t="s">
        <v>176</v>
      </c>
      <c r="O141" s="308">
        <v>1</v>
      </c>
      <c r="P141" s="308">
        <v>1</v>
      </c>
      <c r="Q141" s="308" t="s">
        <v>176</v>
      </c>
      <c r="R141" s="308" t="s">
        <v>176</v>
      </c>
      <c r="S141" s="308" t="s">
        <v>176</v>
      </c>
      <c r="T141" s="308" t="s">
        <v>176</v>
      </c>
      <c r="U141" s="308" t="s">
        <v>176</v>
      </c>
      <c r="V141" s="308" t="s">
        <v>176</v>
      </c>
      <c r="W141" s="308" t="s">
        <v>176</v>
      </c>
      <c r="X141" s="308" t="s">
        <v>176</v>
      </c>
      <c r="Y141" s="308" t="s">
        <v>176</v>
      </c>
      <c r="Z141" s="308" t="s">
        <v>176</v>
      </c>
      <c r="AA141" s="308" t="s">
        <v>176</v>
      </c>
      <c r="AB141" s="308" t="s">
        <v>176</v>
      </c>
      <c r="AC141" s="308" t="s">
        <v>176</v>
      </c>
      <c r="AD141" s="308" t="s">
        <v>176</v>
      </c>
      <c r="AE141" s="308" t="s">
        <v>176</v>
      </c>
      <c r="AF141" s="308" t="s">
        <v>176</v>
      </c>
      <c r="AG141" s="308" t="s">
        <v>176</v>
      </c>
      <c r="AH141" s="308" t="s">
        <v>176</v>
      </c>
      <c r="AI141" s="308" t="s">
        <v>176</v>
      </c>
      <c r="AJ141" s="308" t="s">
        <v>176</v>
      </c>
      <c r="AK141" s="308" t="s">
        <v>176</v>
      </c>
      <c r="AL141" s="308" t="s">
        <v>176</v>
      </c>
      <c r="AM141" s="308" t="s">
        <v>176</v>
      </c>
      <c r="AN141" s="308" t="s">
        <v>176</v>
      </c>
      <c r="AO141" s="308" t="s">
        <v>176</v>
      </c>
      <c r="AP141" s="308" t="s">
        <v>176</v>
      </c>
      <c r="AQ141" s="308" t="s">
        <v>176</v>
      </c>
      <c r="AR141" s="308" t="s">
        <v>176</v>
      </c>
      <c r="AS141" s="308" t="s">
        <v>176</v>
      </c>
      <c r="AT141" s="308" t="s">
        <v>176</v>
      </c>
      <c r="AU141" s="308" t="s">
        <v>176</v>
      </c>
      <c r="AV141" s="308">
        <v>1</v>
      </c>
      <c r="AW141" s="308">
        <v>1</v>
      </c>
      <c r="AX141" s="308">
        <v>1</v>
      </c>
      <c r="AY141" s="308" t="s">
        <v>176</v>
      </c>
      <c r="AZ141" s="308" t="s">
        <v>176</v>
      </c>
      <c r="BA141" s="308" t="s">
        <v>176</v>
      </c>
      <c r="BB141" s="308" t="s">
        <v>176</v>
      </c>
      <c r="BC141" s="308" t="s">
        <v>176</v>
      </c>
      <c r="BD141" s="308" t="s">
        <v>176</v>
      </c>
      <c r="BE141" s="308" t="s">
        <v>176</v>
      </c>
      <c r="BF141" s="308" t="s">
        <v>176</v>
      </c>
      <c r="BG141" s="308" t="s">
        <v>176</v>
      </c>
      <c r="BH141" s="308" t="s">
        <v>176</v>
      </c>
      <c r="BI141" s="308" t="s">
        <v>176</v>
      </c>
      <c r="BJ141" s="308" t="s">
        <v>176</v>
      </c>
      <c r="BK141" s="308" t="s">
        <v>176</v>
      </c>
      <c r="BL141" s="308" t="s">
        <v>176</v>
      </c>
      <c r="BM141" s="308" t="s">
        <v>176</v>
      </c>
      <c r="BN141" s="308">
        <v>1</v>
      </c>
      <c r="BO141" s="308">
        <v>1</v>
      </c>
      <c r="BP141" s="308" t="s">
        <v>176</v>
      </c>
      <c r="BQ141" s="308" t="s">
        <v>176</v>
      </c>
      <c r="BR141" s="308" t="s">
        <v>176</v>
      </c>
      <c r="BS141" s="308" t="s">
        <v>176</v>
      </c>
      <c r="BT141" s="308">
        <v>1</v>
      </c>
      <c r="BU141" s="308">
        <v>1</v>
      </c>
      <c r="BV141" s="308">
        <v>1</v>
      </c>
      <c r="BW141" s="308" t="s">
        <v>176</v>
      </c>
      <c r="BX141" s="308" t="s">
        <v>176</v>
      </c>
      <c r="BY141" s="308" t="s">
        <v>176</v>
      </c>
      <c r="BZ141" s="308" t="s">
        <v>176</v>
      </c>
      <c r="CA141" s="308" t="s">
        <v>176</v>
      </c>
      <c r="CB141" s="308" t="s">
        <v>176</v>
      </c>
      <c r="CC141" s="308" t="s">
        <v>176</v>
      </c>
      <c r="CD141" s="308" t="s">
        <v>176</v>
      </c>
      <c r="CE141" s="308" t="s">
        <v>176</v>
      </c>
      <c r="CF141" s="308" t="s">
        <v>176</v>
      </c>
      <c r="CG141" s="308" t="s">
        <v>176</v>
      </c>
      <c r="CH141" s="308" t="s">
        <v>176</v>
      </c>
      <c r="CI141" s="308" t="s">
        <v>176</v>
      </c>
      <c r="CJ141" s="308" t="s">
        <v>176</v>
      </c>
      <c r="CK141" s="308" t="s">
        <v>176</v>
      </c>
      <c r="CL141" s="308" t="s">
        <v>176</v>
      </c>
      <c r="CM141" s="308" t="s">
        <v>176</v>
      </c>
      <c r="CN141" s="308">
        <v>1</v>
      </c>
      <c r="CO141" s="308">
        <v>1</v>
      </c>
      <c r="CP141" s="308">
        <v>1</v>
      </c>
      <c r="CQ141" s="308" t="s">
        <v>176</v>
      </c>
      <c r="CR141" s="308" t="s">
        <v>176</v>
      </c>
      <c r="CS141" s="308" t="s">
        <v>176</v>
      </c>
      <c r="CT141" s="308" t="s">
        <v>176</v>
      </c>
      <c r="CU141" s="308">
        <v>2</v>
      </c>
      <c r="CV141" s="308" t="s">
        <v>176</v>
      </c>
      <c r="CW141" s="308" t="s">
        <v>176</v>
      </c>
      <c r="CX141" s="308" t="s">
        <v>176</v>
      </c>
      <c r="CY141" s="308" t="s">
        <v>176</v>
      </c>
      <c r="CZ141" s="308" t="s">
        <v>176</v>
      </c>
      <c r="DA141" s="308" t="s">
        <v>176</v>
      </c>
      <c r="DB141" s="308" t="s">
        <v>176</v>
      </c>
      <c r="DC141" s="308" t="s">
        <v>176</v>
      </c>
      <c r="DD141" s="308" t="s">
        <v>176</v>
      </c>
      <c r="DE141" s="308" t="s">
        <v>176</v>
      </c>
      <c r="DF141" s="308" t="s">
        <v>176</v>
      </c>
      <c r="DG141" s="308" t="s">
        <v>176</v>
      </c>
      <c r="DH141" s="308" t="s">
        <v>176</v>
      </c>
      <c r="DI141" s="308" t="s">
        <v>176</v>
      </c>
      <c r="DJ141" s="308" t="s">
        <v>176</v>
      </c>
      <c r="DK141" s="308" t="s">
        <v>176</v>
      </c>
      <c r="DL141" s="308" t="s">
        <v>176</v>
      </c>
      <c r="DM141" s="308" t="s">
        <v>176</v>
      </c>
      <c r="DN141" s="308" t="s">
        <v>176</v>
      </c>
      <c r="DO141" s="308" t="s">
        <v>176</v>
      </c>
      <c r="DP141" s="308" t="s">
        <v>176</v>
      </c>
      <c r="DQ141" s="308" t="s">
        <v>176</v>
      </c>
      <c r="DR141" s="308" t="s">
        <v>176</v>
      </c>
      <c r="DS141" s="308" t="s">
        <v>176</v>
      </c>
      <c r="DT141" s="308" t="s">
        <v>176</v>
      </c>
      <c r="DU141" s="308" t="s">
        <v>176</v>
      </c>
      <c r="DV141" s="306" t="s">
        <v>176</v>
      </c>
      <c r="DW141" s="306" t="s">
        <v>176</v>
      </c>
      <c r="DX141" s="306" t="s">
        <v>176</v>
      </c>
      <c r="DY141" s="308" t="s">
        <v>176</v>
      </c>
      <c r="DZ141" s="308" t="s">
        <v>176</v>
      </c>
      <c r="EA141" s="308" t="s">
        <v>176</v>
      </c>
      <c r="EB141" s="308" t="s">
        <v>176</v>
      </c>
      <c r="EC141" s="308" t="s">
        <v>176</v>
      </c>
      <c r="ED141" s="308" t="s">
        <v>176</v>
      </c>
      <c r="EE141" s="308" t="s">
        <v>176</v>
      </c>
      <c r="EF141" s="308">
        <v>2</v>
      </c>
      <c r="EG141" s="308">
        <v>2</v>
      </c>
      <c r="EH141" s="308">
        <v>1</v>
      </c>
      <c r="EI141" s="308">
        <v>1</v>
      </c>
      <c r="EJ141" s="308">
        <v>1</v>
      </c>
      <c r="EK141" s="308"/>
      <c r="EL141" s="308"/>
      <c r="EM141" s="308"/>
      <c r="EN141" s="308">
        <v>1</v>
      </c>
      <c r="EO141" s="308">
        <v>2</v>
      </c>
      <c r="EP141" s="308">
        <v>1</v>
      </c>
      <c r="EQ141" s="308"/>
      <c r="ER141" s="308"/>
      <c r="ES141" s="308"/>
      <c r="ET141" s="308"/>
      <c r="EU141" s="308"/>
      <c r="EV141" s="308"/>
      <c r="EW141" s="306">
        <v>3</v>
      </c>
      <c r="EX141" s="308"/>
      <c r="EY141" s="308">
        <v>2</v>
      </c>
      <c r="EZ141" s="308">
        <v>2</v>
      </c>
      <c r="FA141" s="308">
        <v>2</v>
      </c>
      <c r="FB141" s="308" t="s">
        <v>176</v>
      </c>
      <c r="FC141" s="308" t="s">
        <v>176</v>
      </c>
      <c r="FD141" s="308">
        <v>2</v>
      </c>
      <c r="FE141" s="308">
        <v>1</v>
      </c>
      <c r="FF141" s="308">
        <v>1</v>
      </c>
      <c r="FG141" s="308"/>
      <c r="FH141" s="308">
        <v>2</v>
      </c>
      <c r="FI141" s="308">
        <v>2</v>
      </c>
      <c r="FJ141" s="308">
        <v>2</v>
      </c>
      <c r="FK141" s="308">
        <v>2</v>
      </c>
      <c r="FL141" s="308" t="s">
        <v>176</v>
      </c>
      <c r="FM141" s="308">
        <v>2</v>
      </c>
      <c r="FN141" s="308">
        <v>2</v>
      </c>
      <c r="FO141" s="308">
        <v>2</v>
      </c>
      <c r="FP141" s="308" t="s">
        <v>176</v>
      </c>
      <c r="FQ141" s="308" t="s">
        <v>176</v>
      </c>
      <c r="FR141" s="308" t="s">
        <v>176</v>
      </c>
      <c r="FS141" s="308" t="s">
        <v>176</v>
      </c>
      <c r="FT141" s="308" t="s">
        <v>176</v>
      </c>
      <c r="FU141" s="308" t="s">
        <v>176</v>
      </c>
      <c r="FV141" s="308" t="s">
        <v>176</v>
      </c>
      <c r="FW141" s="308" t="s">
        <v>176</v>
      </c>
      <c r="FX141" s="308" t="s">
        <v>176</v>
      </c>
      <c r="FY141" s="308" t="s">
        <v>176</v>
      </c>
      <c r="FZ141" s="308" t="s">
        <v>176</v>
      </c>
      <c r="GA141" s="308" t="s">
        <v>176</v>
      </c>
      <c r="GB141" s="308" t="s">
        <v>176</v>
      </c>
      <c r="GC141" s="308" t="s">
        <v>176</v>
      </c>
      <c r="GD141" s="308" t="s">
        <v>176</v>
      </c>
      <c r="GE141" s="308" t="s">
        <v>176</v>
      </c>
      <c r="GF141" s="333" t="str">
        <f>IF(INDEX(tab_MinKomp[WÓZKI JEZDNIOWE / Gebelstapler],MATCH($B140,tab_MinKomp[[Stanowisko / Position ]:[Stanowisko / Position ]],0))="n/a","n/a",INDEX(tab_MinKomp[WÓZKI JEZDNIOWE / Gebelstapler],MATCH($B140,tab_MinKomp[[Stanowisko / Position ]:[Stanowisko / Position ]],0)))</f>
        <v>x</v>
      </c>
      <c r="GG141" s="333" t="str">
        <f>IF(INDEX(tab_MinKomp[SEP],MATCH($B140,tab_MinKomp[[Stanowisko / Position ]:[Stanowisko / Position ]],0))="n/a","n/a",INDEX(tab_MinKomp[SEP],MATCH($B140,tab_MinKomp[[Stanowisko / Position ]:[Stanowisko / Position ]],0)))</f>
        <v>x</v>
      </c>
      <c r="GH141" s="308" t="s">
        <v>176</v>
      </c>
      <c r="GI141" s="308" t="s">
        <v>176</v>
      </c>
      <c r="GJ141" s="308" t="s">
        <v>387</v>
      </c>
      <c r="GK141" s="308" t="s">
        <v>176</v>
      </c>
      <c r="GL141" s="329">
        <f>SUM(G141:FP141)</f>
        <v>63</v>
      </c>
      <c r="GM141" s="132"/>
    </row>
    <row r="142" spans="1:195" s="133" customFormat="1" ht="28.35" customHeight="1" thickBot="1" x14ac:dyDescent="0.3">
      <c r="A142" s="138" t="s">
        <v>188</v>
      </c>
      <c r="B142" s="135" t="s">
        <v>207</v>
      </c>
      <c r="C142" s="138" t="str">
        <f t="shared" ref="C142:C150" si="4">C141</f>
        <v>KC</v>
      </c>
      <c r="D142" s="138">
        <v>1970</v>
      </c>
      <c r="E142" s="564"/>
      <c r="F142" s="331" t="s">
        <v>166</v>
      </c>
      <c r="G142" s="330">
        <f>IF(INDEX(tab_MinKomp[Przepisy BHP / BHP Vorschriften],MATCH($B141,tab_MinKomp[[Stanowisko / Position ]:[Stanowisko / Position ]],0))="n/a","n/a",G141-INDEX(tab_MinKomp[Przepisy BHP / BHP Vorschriften],MATCH($B141,tab_MinKomp[[Stanowisko / Position ]:[Stanowisko / Position ]],0)))</f>
        <v>0</v>
      </c>
      <c r="H142" s="330">
        <f>IF(INDEX(tab_MinKomp[Przepisy PPOŻ / Brandschutzbestimmungen],MATCH($B141,tab_MinKomp[[Stanowisko / Position ]:[Stanowisko / Position ]],0))="n/a","n/a",H141-INDEX(tab_MinKomp[Przepisy PPOŻ / Brandschutzbestimmungen],MATCH($B141,tab_MinKomp[[Stanowisko / Position ]:[Stanowisko / Position ]],0)))</f>
        <v>-1</v>
      </c>
      <c r="I142" s="330">
        <f>IF(INDEX(tab_MinKomp[Ryzyko zawodowe na stanowiskach pracyv/ Berufliche Risiken an Arbeitsstellen],MATCH($B141,tab_MinKomp[[Stanowisko / Position ]:[Stanowisko / Position ]],0))="n/a","n/a",I141-INDEX(tab_MinKomp[Ryzyko zawodowe na stanowiskach pracyv/ Berufliche Risiken an Arbeitsstellen],MATCH($B141,tab_MinKomp[[Stanowisko / Position ]:[Stanowisko / Position ]],0)))</f>
        <v>0</v>
      </c>
      <c r="J142" s="314">
        <f>IF(INDEX(tab_MinKomp[Gospodarka substancjami niebezpiecznymi / Gefahrstoffmanagement],MATCH($B141,tab_MinKomp[[Stanowisko / Position ]:[Stanowisko / Position ]],0))="n/a","n/a",J141-INDEX(tab_MinKomp[Gospodarka substancjami niebezpiecznymi / Gefahrstoffmanagement],MATCH($B141,tab_MinKomp[[Stanowisko / Position ]:[Stanowisko / Position ]],0)))</f>
        <v>0</v>
      </c>
      <c r="K142" s="314">
        <f>IF(INDEX(tab_MinKomp[Gospodarka odpadami / Abfallwirtschaft],MATCH($B141,tab_MinKomp[[Stanowisko / Position ]:[Stanowisko / Position ]],0))="n/a","n/a",K141-INDEX(tab_MinKomp[Gospodarka odpadami / Abfallwirtschaft],MATCH($B141,tab_MinKomp[[Stanowisko / Position ]:[Stanowisko / Position ]],0)))</f>
        <v>0</v>
      </c>
      <c r="L142" s="315">
        <f>IF(INDEX(tab_MinKomp[Przepisy kodeksu pracy / Bestimmungen des Arbeitsgesetzes],MATCH($B141,tab_MinKomp[[Stanowisko / Position ]:[Stanowisko / Position ]],0))="n/a","n/a",L141-INDEX(tab_MinKomp[Przepisy kodeksu pracy / Bestimmungen des Arbeitsgesetzes],MATCH($B141,tab_MinKomp[[Stanowisko / Position ]:[Stanowisko / Position ]],0)))</f>
        <v>0</v>
      </c>
      <c r="M142" s="316" t="str">
        <f>IF(INDEX(tab_MinKomp[Przepisy o ub.społ. ZUS  / Sozialversicherungsvorschriften],MATCH($B141,tab_MinKomp[[Stanowisko / Position ]:[Stanowisko / Position ]],0))="n/a","n/a",M141-INDEX(tab_MinKomp[Przepisy o ub.społ. ZUS  / Sozialversicherungsvorschriften],MATCH($B141,tab_MinKomp[[Stanowisko / Position ]:[Stanowisko / Position ]],0)))</f>
        <v>n/a</v>
      </c>
      <c r="N142" s="315" t="str">
        <f>IF(INDEX(tab_MinKomp[PRZEPISY O PDOF /persönlich Einkommensteuergesetz ],MATCH($B141,tab_MinKomp[[Stanowisko / Position ]:[Stanowisko / Position ]],0))="n/a","n/a",N141-INDEX(tab_MinKomp[PRZEPISY O PDOF /persönlich Einkommensteuergesetz ],MATCH($B141,tab_MinKomp[[Stanowisko / Position ]:[Stanowisko / Position ]],0)))</f>
        <v>n/a</v>
      </c>
      <c r="O142" s="315">
        <f>IF(INDEX(tab_MinKomp[Regulamin pracy / Arbeitsordnung],MATCH($B141,tab_MinKomp[[Stanowisko / Position ]:[Stanowisko / Position ]],0))="n/a","n/a",O141-INDEX(tab_MinKomp[Regulamin pracy / Arbeitsordnung],MATCH($B141,tab_MinKomp[[Stanowisko / Position ]:[Stanowisko / Position ]],0)))</f>
        <v>0</v>
      </c>
      <c r="P142" s="315">
        <f>IF(INDEX(tab_MinKomp[Regulamin wynagradzania / Vergütungsordnung],MATCH($B141,tab_MinKomp[[Stanowisko / Position ]:[Stanowisko / Position ]],0))="n/a","n/a",P141-INDEX(tab_MinKomp[Regulamin wynagradzania / Vergütungsordnung],MATCH($B141,tab_MinKomp[[Stanowisko / Position ]:[Stanowisko / Position ]],0)))</f>
        <v>0</v>
      </c>
      <c r="Q142" s="315" t="str">
        <f>IF(INDEX(tab_MinKomp[System R2PŁATNIK PRO: Płace / Lohnabrechnung],MATCH($B141,tab_MinKomp[[Stanowisko / Position ]:[Stanowisko / Position ]],0))="n/a","n/a",Q141-INDEX(tab_MinKomp[System R2PŁATNIK PRO: Płace / Lohnabrechnung],MATCH($B141,tab_MinKomp[[Stanowisko / Position ]:[Stanowisko / Position ]],0)))</f>
        <v>n/a</v>
      </c>
      <c r="R142" s="315" t="str">
        <f>IF(INDEX(tab_MinKomp[SystemR2PŁATNIK PRO: KADRY / Personaldaten],MATCH($B141,tab_MinKomp[[Stanowisko / Position ]:[Stanowisko / Position ]],0))="n/a","n/a",R141-INDEX(tab_MinKomp[SystemR2PŁATNIK PRO: KADRY / Personaldaten],MATCH($B141,tab_MinKomp[[Stanowisko / Position ]:[Stanowisko / Position ]],0)))</f>
        <v>n/a</v>
      </c>
      <c r="S142" s="315" t="str">
        <f>IF(INDEX(tab_MinKomp[SYSTEM R2PŁATNIK PRO: zarządzanie pracownikami / Arbeitsverwaltung],MATCH($B141,tab_MinKomp[[Stanowisko / Position ]:[Stanowisko / Position ]],0))="n/a","n/a",S141-INDEX(tab_MinKomp[SYSTEM R2PŁATNIK PRO: zarządzanie pracownikami / Arbeitsverwaltung],MATCH($B141,tab_MinKomp[[Stanowisko / Position ]:[Stanowisko / Position ]],0)))</f>
        <v>n/a</v>
      </c>
      <c r="T142" s="315" t="str">
        <f>IF(INDEX(tab_MinKomp[Doradztwo, wsparcie personalne / Personalberatung und Unterstützung],MATCH($B141,tab_MinKomp[[Stanowisko / Position ]:[Stanowisko / Position ]],0))="n/a","n/a",T141-INDEX(tab_MinKomp[Doradztwo, wsparcie personalne / Personalberatung und Unterstützung],MATCH($B141,tab_MinKomp[[Stanowisko / Position ]:[Stanowisko / Position ]],0)))</f>
        <v>n/a</v>
      </c>
      <c r="U142" s="315" t="str">
        <f>IF(INDEX(tab_MinKomp[Przepisy o podatku VAT / MwSt.- Gesetz],MATCH($B141,tab_MinKomp[[Stanowisko / Position ]:[Stanowisko / Position ]],0))="n/a","n/a",U141-INDEX(tab_MinKomp[Przepisy o podatku VAT / MwSt.- Gesetz],MATCH($B141,tab_MinKomp[[Stanowisko / Position ]:[Stanowisko / Position ]],0)))</f>
        <v>n/a</v>
      </c>
      <c r="V142" s="315" t="str">
        <f>IF(INDEX(tab_MinKomp[PrzepisyPDOP / geschäftlich Einkommensteuergesetz],MATCH($B141,tab_MinKomp[[Stanowisko / Position ]:[Stanowisko / Position ]],0))="n/a","n/a",V141-INDEX(tab_MinKomp[PrzepisyPDOP / geschäftlich Einkommensteuergesetz],MATCH($B141,tab_MinKomp[[Stanowisko / Position ]:[Stanowisko / Position ]],0)))</f>
        <v>n/a</v>
      </c>
      <c r="W142" s="315" t="str">
        <f>IF(INDEX(tab_MinKomp[System BAAN / FINANSE (FIBU)],MATCH($B141,tab_MinKomp[[Stanowisko / Position ]:[Stanowisko / Position ]],0))="n/a","n/a",W141-INDEX(tab_MinKomp[System BAAN / FINANSE (FIBU)],MATCH($B141,tab_MinKomp[[Stanowisko / Position ]:[Stanowisko / Position ]],0)))</f>
        <v>n/a</v>
      </c>
      <c r="X142" s="315" t="str">
        <f>IF(INDEX(tab_MinKomp[Systemy pomocnicze / Hilfssysteme(STOCKPROGRAM, KALK2000 etc.)],MATCH($B141,tab_MinKomp[[Stanowisko / Position ]:[Stanowisko / Position ]],0))="n/a","n/a",X141-INDEX(tab_MinKomp[Systemy pomocnicze / Hilfssysteme(STOCKPROGRAM, KALK2000 etc.)],MATCH($B141,tab_MinKomp[[Stanowisko / Position ]:[Stanowisko / Position ]],0)))</f>
        <v>n/a</v>
      </c>
      <c r="Y142" s="315" t="str">
        <f>IF(INDEX(tab_MinKomp[Polityka rachunkowości / Buchführungspolitik],MATCH($B141,tab_MinKomp[[Stanowisko / Position ]:[Stanowisko / Position ]],0))="n/a","n/a",Y141-INDEX(tab_MinKomp[Polityka rachunkowości / Buchführungspolitik],MATCH($B141,tab_MinKomp[[Stanowisko / Position ]:[Stanowisko / Position ]],0)))</f>
        <v>n/a</v>
      </c>
      <c r="Z142" s="315" t="str">
        <f>IF(INDEX(tab_MinKomp[Ustawa o rachunkowości / Rechnungslegungsgesetz],MATCH($B141,tab_MinKomp[[Stanowisko / Position ]:[Stanowisko / Position ]],0))="n/a","n/a",Z141-INDEX(tab_MinKomp[Ustawa o rachunkowości / Rechnungslegungsgesetz],MATCH($B141,tab_MinKomp[[Stanowisko / Position ]:[Stanowisko / Position ]],0)))</f>
        <v>n/a</v>
      </c>
      <c r="AA142" s="315" t="str">
        <f>IF(INDEX(tab_MinKomp[WORKFLOW - TS-100],MATCH($B141,tab_MinKomp[[Stanowisko / Position ]:[Stanowisko / Position ]],0))="n/a","n/a",AA141-INDEX(tab_MinKomp[WORKFLOW - TS-100],MATCH($B141,tab_MinKomp[[Stanowisko / Position ]:[Stanowisko / Position ]],0)))</f>
        <v>n/a</v>
      </c>
      <c r="AB142" s="315" t="str">
        <f>IF(INDEX(tab_MinKomp[WORKFLOW - SFMS],MATCH($B141,tab_MinKomp[[Stanowisko / Position ]:[Stanowisko / Position ]],0))="n/a","n/a",AB141-INDEX(tab_MinKomp[WORKFLOW - SFMS],MATCH($B141,tab_MinKomp[[Stanowisko / Position ]:[Stanowisko / Position ]],0)))</f>
        <v>n/a</v>
      </c>
      <c r="AC142" s="315" t="str">
        <f>IF(INDEX(tab_MinKomp[System ISO 9001:2015],MATCH($B141,tab_MinKomp[[Stanowisko / Position ]:[Stanowisko / Position ]],0))="n/a","n/a",AC141-INDEX(tab_MinKomp[System ISO 9001:2015],MATCH($B141,tab_MinKomp[[Stanowisko / Position ]:[Stanowisko / Position ]],0)))</f>
        <v>n/a</v>
      </c>
      <c r="AD142" s="315" t="str">
        <f>IF(INDEX(tab_MinKomp[System IATF 16949:2016],MATCH($B141,tab_MinKomp[[Stanowisko / Position ]:[Stanowisko / Position ]],0))="n/a","n/a",AD141-INDEX(tab_MinKomp[System IATF 16949:2016],MATCH($B141,tab_MinKomp[[Stanowisko / Position ]:[Stanowisko / Position ]],0)))</f>
        <v>n/a</v>
      </c>
      <c r="AE142" s="315" t="str">
        <f>IF(INDEX(tab_MinKomp[System ISO 14001:2015],MATCH($B141,tab_MinKomp[[Stanowisko / Position ]:[Stanowisko / Position ]],0))="n/a","n/a",AE141-INDEX(tab_MinKomp[System ISO 14001:2015],MATCH($B141,tab_MinKomp[[Stanowisko / Position ]:[Stanowisko / Position ]],0)))</f>
        <v>n/a</v>
      </c>
      <c r="AF142" s="315" t="str">
        <f>IF(INDEX(tab_MinKomp[System PN-N 18001:2004 / ISO 45001:2018],MATCH($B141,tab_MinKomp[[Stanowisko / Position ]:[Stanowisko / Position ]],0))="n/a","n/a",AF141-INDEX(tab_MinKomp[System PN-N 18001:2004 / ISO 45001:2018],MATCH($B141,tab_MinKomp[[Stanowisko / Position ]:[Stanowisko / Position ]],0)))</f>
        <v>n/a</v>
      </c>
      <c r="AG142" s="315" t="str">
        <f>IF(INDEX(tab_MinKomp[Wymagania VDA 6.3 Process / Forderungen],MATCH($B141,tab_MinKomp[[Stanowisko / Position ]:[Stanowisko / Position ]],0))="n/a","n/a",AG141-INDEX(tab_MinKomp[Wymagania VDA 6.3 Process / Forderungen],MATCH($B141,tab_MinKomp[[Stanowisko / Position ]:[Stanowisko / Position ]],0)))</f>
        <v>n/a</v>
      </c>
      <c r="AH142" s="315" t="str">
        <f>IF(INDEX(tab_MinKomp[Wymagania VDA 6.5 Product / Forderungen],MATCH($B141,tab_MinKomp[[Stanowisko / Position ]:[Stanowisko / Position ]],0))="n/a","n/a",AH141-INDEX(tab_MinKomp[Wymagania VDA 6.5 Product / Forderungen],MATCH($B141,tab_MinKomp[[Stanowisko / Position ]:[Stanowisko / Position ]],0)))</f>
        <v>n/a</v>
      </c>
      <c r="AI142" s="315" t="str">
        <f>IF(INDEX(tab_MinKomp[PSCR (VW Product Safety &amp; Conformity Representative)],MATCH($B141,tab_MinKomp[[Stanowisko / Position ]:[Stanowisko / Position ]],0))="n/a","n/a",AI141-INDEX(tab_MinKomp[PSCR (VW Product Safety &amp; Conformity Representative)],MATCH($B141,tab_MinKomp[[Stanowisko / Position ]:[Stanowisko / Position ]],0)))</f>
        <v>n/a</v>
      </c>
      <c r="AJ142" s="315" t="str">
        <f>IF(INDEX(tab_MinKomp[Auditor systemu ISO 17025:2018],MATCH($B141,tab_MinKomp[[Stanowisko / Position ]:[Stanowisko / Position ]],0))="n/a","n/a",AJ141-INDEX(tab_MinKomp[Auditor systemu ISO 17025:2018],MATCH($B141,tab_MinKomp[[Stanowisko / Position ]:[Stanowisko / Position ]],0)))</f>
        <v>n/a</v>
      </c>
      <c r="AK142" s="315" t="str">
        <f>IF(INDEX(tab_MinKomp[Pełnomocnik systemu / Systemvertreter],MATCH($B141,tab_MinKomp[[Stanowisko / Position ]:[Stanowisko / Position ]],0))="n/a","n/a",AK141-INDEX(tab_MinKomp[Pełnomocnik systemu / Systemvertreter],MATCH($B141,tab_MinKomp[[Stanowisko / Position ]:[Stanowisko / Position ]],0)))</f>
        <v>n/a</v>
      </c>
      <c r="AL142" s="315" t="str">
        <f>IF(INDEX(tab_MinKomp[Polityka Etyczna - Compliance],MATCH($B141,tab_MinKomp[[Stanowisko / Position ]:[Stanowisko / Position ]],0))="n/a","n/a",AL141-INDEX(tab_MinKomp[Polityka Etyczna - Compliance],MATCH($B141,tab_MinKomp[[Stanowisko / Position ]:[Stanowisko / Position ]],0)))</f>
        <v>n/a</v>
      </c>
      <c r="AM142" s="315" t="str">
        <f>IF(INDEX(tab_MinKomp[WDRAŻANIE NOWYCH PROJEKTÓW/ PROCEDURA CTM],MATCH($B141,tab_MinKomp[[Stanowisko / Position ]:[Stanowisko / Position ]],0))="n/a","n/a",AM141-INDEX(tab_MinKomp[WDRAŻANIE NOWYCH PROJEKTÓW/ PROCEDURA CTM],MATCH($B141,tab_MinKomp[[Stanowisko / Position ]:[Stanowisko / Position ]],0)))</f>
        <v>n/a</v>
      </c>
      <c r="AN142" s="315" t="str">
        <f>IF(INDEX(tab_MinKomp[KAMIENIE MILOWE MSL/PIFF],MATCH($B141,tab_MinKomp[[Stanowisko / Position ]:[Stanowisko / Position ]],0))="n/a","n/a",AN141-INDEX(tab_MinKomp[KAMIENIE MILOWE MSL/PIFF],MATCH($B141,tab_MinKomp[[Stanowisko / Position ]:[Stanowisko / Position ]],0)))</f>
        <v>n/a</v>
      </c>
      <c r="AO142" s="315" t="str">
        <f>IF(INDEX(tab_MinKomp[CP],MATCH($B141,tab_MinKomp[[Stanowisko / Position ]:[Stanowisko / Position ]],0))="n/a","n/a",AO141-INDEX(tab_MinKomp[CP],MATCH($B141,tab_MinKomp[[Stanowisko / Position ]:[Stanowisko / Position ]],0)))</f>
        <v>n/a</v>
      </c>
      <c r="AP142" s="315" t="str">
        <f>IF(INDEX(tab_MinKomp[FMEA],MATCH($B141,tab_MinKomp[[Stanowisko / Position ]:[Stanowisko / Position ]],0))="n/a","n/a",AP141-INDEX(tab_MinKomp[FMEA],MATCH($B141,tab_MinKomp[[Stanowisko / Position ]:[Stanowisko / Position ]],0)))</f>
        <v>n/a</v>
      </c>
      <c r="AQ142" s="315" t="str">
        <f>IF(INDEX(tab_MinKomp[FLOW CHART],MATCH($B141,tab_MinKomp[[Stanowisko / Position ]:[Stanowisko / Position ]],0))="n/a","n/a",AQ141-INDEX(tab_MinKomp[FLOW CHART],MATCH($B141,tab_MinKomp[[Stanowisko / Position ]:[Stanowisko / Position ]],0)))</f>
        <v>n/a</v>
      </c>
      <c r="AR142" s="315" t="str">
        <f>IF(INDEX(tab_MinKomp[APQP],MATCH($B141,tab_MinKomp[[Stanowisko / Position ]:[Stanowisko / Position ]],0))="n/a","n/a",AR141-INDEX(tab_MinKomp[APQP],MATCH($B141,tab_MinKomp[[Stanowisko / Position ]:[Stanowisko / Position ]],0)))</f>
        <v>n/a</v>
      </c>
      <c r="AS142" s="315" t="str">
        <f>IF(INDEX(tab_MinKomp[MSA],MATCH($B141,tab_MinKomp[[Stanowisko / Position ]:[Stanowisko / Position ]],0))="n/a","n/a",AS141-INDEX(tab_MinKomp[MSA],MATCH($B141,tab_MinKomp[[Stanowisko / Position ]:[Stanowisko / Position ]],0)))</f>
        <v>n/a</v>
      </c>
      <c r="AT142" s="315" t="str">
        <f>IF(INDEX(tab_MinKomp[SPC],MATCH($B141,tab_MinKomp[[Stanowisko / Position ]:[Stanowisko / Position ]],0))="n/a","n/a",AT141-INDEX(tab_MinKomp[SPC],MATCH($B141,tab_MinKomp[[Stanowisko / Position ]:[Stanowisko / Position ]],0)))</f>
        <v>n/a</v>
      </c>
      <c r="AU142" s="315" t="str">
        <f>IF(INDEX(tab_MinKomp[CSR (SPECYFICZNE WYMAGANIA KLIENTA)],MATCH($B141,tab_MinKomp[[Stanowisko / Position ]:[Stanowisko / Position ]],0))="n/a","n/a",AU141-INDEX(tab_MinKomp[CSR (SPECYFICZNE WYMAGANIA KLIENTA)],MATCH($B141,tab_MinKomp[[Stanowisko / Position ]:[Stanowisko / Position ]],0)))</f>
        <v>n/a</v>
      </c>
      <c r="AV142" s="315">
        <f>IF(INDEX(tab_MinKomp[5S],MATCH($B141,tab_MinKomp[[Stanowisko / Position ]:[Stanowisko / Position ]],0))="n/a","n/a",AV141-INDEX(tab_MinKomp[5S],MATCH($B141,tab_MinKomp[[Stanowisko / Position ]:[Stanowisko / Position ]],0)))</f>
        <v>-1</v>
      </c>
      <c r="AW142" s="315">
        <f>IF(INDEX(tab_MinKomp[LEAN MANAGEMENT],MATCH($B141,tab_MinKomp[[Stanowisko / Position ]:[Stanowisko / Position ]],0))="n/a","n/a",AW141-INDEX(tab_MinKomp[LEAN MANAGEMENT],MATCH($B141,tab_MinKomp[[Stanowisko / Position ]:[Stanowisko / Position ]],0)))</f>
        <v>0</v>
      </c>
      <c r="AX142" s="315">
        <f>IF(INDEX(tab_MinKomp[5R],MATCH($B141,tab_MinKomp[[Stanowisko / Position ]:[Stanowisko / Position ]],0))="n/a","n/a",AX141-INDEX(tab_MinKomp[5R],MATCH($B141,tab_MinKomp[[Stanowisko / Position ]:[Stanowisko / Position ]],0)))</f>
        <v>0</v>
      </c>
      <c r="AY142" s="315" t="str">
        <f>IF(INDEX(tab_MinKomp[Six Sigma],MATCH($B141,tab_MinKomp[[Stanowisko / Position ]:[Stanowisko / Position ]],0))="n/a","n/a",AY141-INDEX(tab_MinKomp[Six Sigma],MATCH($B141,tab_MinKomp[[Stanowisko / Position ]:[Stanowisko / Position ]],0)))</f>
        <v>n/a</v>
      </c>
      <c r="AZ142" s="315" t="str">
        <f>IF(INDEX(tab_MinKomp[System BAAN / Distribution &amp; Supply Chain],MATCH($B141,tab_MinKomp[[Stanowisko / Position ]:[Stanowisko / Position ]],0))="n/a","n/a",AZ141-INDEX(tab_MinKomp[System BAAN / Distribution &amp; Supply Chain],MATCH($B141,tab_MinKomp[[Stanowisko / Position ]:[Stanowisko / Position ]],0)))</f>
        <v>n/a</v>
      </c>
      <c r="BA142" s="315" t="str">
        <f>IF(INDEX(tab_MinKomp[Gospodarka magazynowa / Lagerverwaltung],MATCH($B141,tab_MinKomp[[Stanowisko / Position ]:[Stanowisko / Position ]],0))="n/a","n/a",BA141-INDEX(tab_MinKomp[Gospodarka magazynowa / Lagerverwaltung],MATCH($B141,tab_MinKomp[[Stanowisko / Position ]:[Stanowisko / Position ]],0)))</f>
        <v>n/a</v>
      </c>
      <c r="BB142" s="315" t="str">
        <f>IF(INDEX(tab_MinKomp[Inwentaryzacja - organizacja i przebieg / Inventurprozess],MATCH($B141,tab_MinKomp[[Stanowisko / Position ]:[Stanowisko / Position ]],0))="n/a","n/a",BB141-INDEX(tab_MinKomp[Inwentaryzacja - organizacja i przebieg / Inventurprozess],MATCH($B141,tab_MinKomp[[Stanowisko / Position ]:[Stanowisko / Position ]],0)))</f>
        <v>n/a</v>
      </c>
      <c r="BC142" s="315" t="str">
        <f>IF(INDEX(tab_MinKomp[Organizacja dostaw / Versorgungsorganisation],MATCH($B141,tab_MinKomp[[Stanowisko / Position ]:[Stanowisko / Position ]],0))="n/a","n/a",BC141-INDEX(tab_MinKomp[Organizacja dostaw / Versorgungsorganisation],MATCH($B141,tab_MinKomp[[Stanowisko / Position ]:[Stanowisko / Position ]],0)))</f>
        <v>n/a</v>
      </c>
      <c r="BD142" s="315" t="str">
        <f>IF(INDEX(tab_MinKomp[Organizacja wysyłek / Organisation von Lieferungen],MATCH($B141,tab_MinKomp[[Stanowisko / Position ]:[Stanowisko / Position ]],0))="n/a","n/a",BD141-INDEX(tab_MinKomp[Organizacja wysyłek / Organisation von Lieferungen],MATCH($B141,tab_MinKomp[[Stanowisko / Position ]:[Stanowisko / Position ]],0)))</f>
        <v>n/a</v>
      </c>
      <c r="BE142" s="315" t="str">
        <f>IF(INDEX(tab_MinKomp[Analiza magazynowa - Program Polen.mdb / Inventuranalyse],MATCH($B141,tab_MinKomp[[Stanowisko / Position ]:[Stanowisko / Position ]],0))="n/a","n/a",BE141-INDEX(tab_MinKomp[Analiza magazynowa - Program Polen.mdb / Inventuranalyse],MATCH($B141,tab_MinKomp[[Stanowisko / Position ]:[Stanowisko / Position ]],0)))</f>
        <v>n/a</v>
      </c>
      <c r="BF142" s="315" t="str">
        <f>IF(INDEX(tab_MinKomp[MMOG (Materials Management Operations Guidelines)],MATCH($B141,tab_MinKomp[[Stanowisko / Position ]:[Stanowisko / Position ]],0))="n/a","n/a",BF141-INDEX(tab_MinKomp[MMOG (Materials Management Operations Guidelines)],MATCH($B141,tab_MinKomp[[Stanowisko / Position ]:[Stanowisko / Position ]],0)))</f>
        <v>n/a</v>
      </c>
      <c r="BG142" s="315" t="str">
        <f>IF(INDEX(tab_MinKomp[DETC],MATCH($B141,tab_MinKomp[[Stanowisko / Position ]:[Stanowisko / Position ]],0))="n/a","n/a",BG141-INDEX(tab_MinKomp[DETC],MATCH($B141,tab_MinKomp[[Stanowisko / Position ]:[Stanowisko / Position ]],0)))</f>
        <v>n/a</v>
      </c>
      <c r="BH142" s="315" t="str">
        <f>IF(INDEX(tab_MinKomp[GPP],MATCH($B141,tab_MinKomp[[Stanowisko / Position ]:[Stanowisko / Position ]],0))="n/a","n/a",BH141-INDEX(tab_MinKomp[GPP],MATCH($B141,tab_MinKomp[[Stanowisko / Position ]:[Stanowisko / Position ]],0)))</f>
        <v>n/a</v>
      </c>
      <c r="BI142" s="315" t="str">
        <f>IF(INDEX(tab_MinKomp[AIAG (Automotive Industry Action Group)],MATCH($B141,tab_MinKomp[[Stanowisko / Position ]:[Stanowisko / Position ]],0))="n/a","n/a",BI141-INDEX(tab_MinKomp[AIAG (Automotive Industry Action Group)],MATCH($B141,tab_MinKomp[[Stanowisko / Position ]:[Stanowisko / Position ]],0)))</f>
        <v>n/a</v>
      </c>
      <c r="BJ142" s="315" t="str">
        <f>IF(INDEX(tab_MinKomp[Super-G disputes],MATCH($B141,tab_MinKomp[[Stanowisko / Position ]:[Stanowisko / Position ]],0))="n/a","n/a",BJ141-INDEX(tab_MinKomp[Super-G disputes],MATCH($B141,tab_MinKomp[[Stanowisko / Position ]:[Stanowisko / Position ]],0)))</f>
        <v>n/a</v>
      </c>
      <c r="BK142" s="315" t="str">
        <f>IF(INDEX(tab_MinKomp[CMMS3/eDDL (Direct Data Link)],MATCH($B141,tab_MinKomp[[Stanowisko / Position ]:[Stanowisko / Position ]],0))="n/a","n/a",BK141-INDEX(tab_MinKomp[CMMS3/eDDL (Direct Data Link)],MATCH($B141,tab_MinKomp[[Stanowisko / Position ]:[Stanowisko / Position ]],0)))</f>
        <v>n/a</v>
      </c>
      <c r="BL142" s="315" t="str">
        <f>IF(INDEX(tab_MinKomp[MP&amp;L (Material Planning and Logistics)],MATCH($B141,tab_MinKomp[[Stanowisko / Position ]:[Stanowisko / Position ]],0))="n/a","n/a",BL141-INDEX(tab_MinKomp[MP&amp;L (Material Planning and Logistics)],MATCH($B141,tab_MinKomp[[Stanowisko / Position ]:[Stanowisko / Position ]],0)))</f>
        <v>n/a</v>
      </c>
      <c r="BM142" s="315" t="str">
        <f>IF(INDEX(tab_MinKomp[Planowanie produkcji / Produktionsplanung],MATCH($B141,tab_MinKomp[[Stanowisko / Position ]:[Stanowisko / Position ]],0))="n/a","n/a",BM141-INDEX(tab_MinKomp[Planowanie produkcji / Produktionsplanung],MATCH($B141,tab_MinKomp[[Stanowisko / Position ]:[Stanowisko / Position ]],0)))</f>
        <v>n/a</v>
      </c>
      <c r="BN142" s="315">
        <f>IF(INDEX(tab_MinKomp[Obsługa maszyn Engel / Engel Maschinenbedienung],MATCH($B141,tab_MinKomp[[Stanowisko / Position ]:[Stanowisko / Position ]],0))="n/a","n/a",BN141-INDEX(tab_MinKomp[Obsługa maszyn Engel / Engel Maschinenbedienung],MATCH($B141,tab_MinKomp[[Stanowisko / Position ]:[Stanowisko / Position ]],0)))</f>
        <v>-1</v>
      </c>
      <c r="BO142" s="315">
        <f>IF(INDEX(tab_MinKomp[Obsługa maszyn Novapax / Novapax Maschinenbedienung],MATCH($B141,tab_MinKomp[[Stanowisko / Position ]:[Stanowisko / Position ]],0))="n/a","n/a",BO141-INDEX(tab_MinKomp[Obsługa maszyn Novapax / Novapax Maschinenbedienung],MATCH($B141,tab_MinKomp[[Stanowisko / Position ]:[Stanowisko / Position ]],0)))</f>
        <v>-1</v>
      </c>
      <c r="BP142" s="315" t="str">
        <f>IF(INDEX(tab_MinKomp[Obsługa maszyn KVT / KVT Maschinenbedienung],MATCH($B141,tab_MinKomp[[Stanowisko / Position ]:[Stanowisko / Position ]],0))="n/a","n/a",BP141-INDEX(tab_MinKomp[Obsługa maszyn KVT / KVT Maschinenbedienung],MATCH($B141,tab_MinKomp[[Stanowisko / Position ]:[Stanowisko / Position ]],0)))</f>
        <v>n/a</v>
      </c>
      <c r="BQ142" s="315" t="str">
        <f>IF(INDEX(tab_MinKomp[Obsługa maszyn ASL / ASL Maschinenbedienung],MATCH($B141,tab_MinKomp[[Stanowisko / Position ]:[Stanowisko / Position ]],0))="n/a","n/a",BQ141-INDEX(tab_MinKomp[Obsługa maszyn ASL / ASL Maschinenbedienung],MATCH($B141,tab_MinKomp[[Stanowisko / Position ]:[Stanowisko / Position ]],0)))</f>
        <v>n/a</v>
      </c>
      <c r="BR142" s="315" t="str">
        <f>IF(INDEX(tab_MinKomp[Obsługa maszyn Branson / Branson Maschinenbedienung],MATCH($B141,tab_MinKomp[[Stanowisko / Position ]:[Stanowisko / Position ]],0))="n/a","n/a",BR141-INDEX(tab_MinKomp[Obsługa maszyn Branson / Branson Maschinenbedienung],MATCH($B141,tab_MinKomp[[Stanowisko / Position ]:[Stanowisko / Position ]],0)))</f>
        <v>n/a</v>
      </c>
      <c r="BS142" s="315" t="str">
        <f>IF(INDEX(tab_MinKomp[Obsługa maszyn Kamtec / Kamtec Maschinenbedienung],MATCH($B141,tab_MinKomp[[Stanowisko / Position ]:[Stanowisko / Position ]],0))="n/a","n/a",BS141-INDEX(tab_MinKomp[Obsługa maszyn Kamtec / Kamtec Maschinenbedienung],MATCH($B141,tab_MinKomp[[Stanowisko / Position ]:[Stanowisko / Position ]],0)))</f>
        <v>n/a</v>
      </c>
      <c r="BT142" s="315">
        <f>IF(INDEX(tab_MinKomp[Obsługa maszyn Piovan / Piovan Maschinenbedienung],MATCH($B141,tab_MinKomp[[Stanowisko / Position ]:[Stanowisko / Position ]],0))="n/a","n/a",BT141-INDEX(tab_MinKomp[Obsługa maszyn Piovan / Piovan Maschinenbedienung],MATCH($B141,tab_MinKomp[[Stanowisko / Position ]:[Stanowisko / Position ]],0)))</f>
        <v>0</v>
      </c>
      <c r="BU142" s="315">
        <f>IF(INDEX(tab_MinKomp[Obsługa maszyn REP / REP Maschinenbedienung],MATCH($B141,tab_MinKomp[[Stanowisko / Position ]:[Stanowisko / Position ]],0))="n/a","n/a",BU141-INDEX(tab_MinKomp[Obsługa maszyn REP / REP Maschinenbedienung],MATCH($B141,tab_MinKomp[[Stanowisko / Position ]:[Stanowisko / Position ]],0)))</f>
        <v>-1</v>
      </c>
      <c r="BV142" s="315">
        <f>IF(INDEX(tab_MinKomp[Eliminacja awarii / Beseitigung von Ausfällen],MATCH($B141,tab_MinKomp[[Stanowisko / Position ]:[Stanowisko / Position ]],0))="n/a","n/a",BV141-INDEX(tab_MinKomp[Eliminacja awarii / Beseitigung von Ausfällen],MATCH($B141,tab_MinKomp[[Stanowisko / Position ]:[Stanowisko / Position ]],0)))</f>
        <v>-1</v>
      </c>
      <c r="BW142" s="315" t="str">
        <f>IF(INDEX(tab_MinKomp[Informatyka ogólna (techniczne i systemowe) / Allgemeine IT (Technik und System)],MATCH($B141,tab_MinKomp[[Stanowisko / Position ]:[Stanowisko / Position ]],0))="n/a","n/a",BW141-INDEX(tab_MinKomp[Informatyka ogólna (techniczne i systemowe) / Allgemeine IT (Technik und System)],MATCH($B141,tab_MinKomp[[Stanowisko / Position ]:[Stanowisko / Position ]],0)))</f>
        <v>n/a</v>
      </c>
      <c r="BX142" s="315" t="str">
        <f>IF(INDEX(tab_MinKomp[Sieci komputerowe / Computernetzwerke],MATCH($B141,tab_MinKomp[[Stanowisko / Position ]:[Stanowisko / Position ]],0))="n/a","n/a",BX141-INDEX(tab_MinKomp[Sieci komputerowe / Computernetzwerke],MATCH($B141,tab_MinKomp[[Stanowisko / Position ]:[Stanowisko / Position ]],0)))</f>
        <v>n/a</v>
      </c>
      <c r="BY142" s="315" t="str">
        <f>IF(INDEX(tab_MinKomp[Hardware (komputery PC, drukarki biurowe i etykietowe, telefonia stacjonarna i mobilna) (PC, Drucker, Telefpne, Handys)],MATCH($B141,tab_MinKomp[[Stanowisko / Position ]:[Stanowisko / Position ]],0))="n/a","n/a",BY141-INDEX(tab_MinKomp[Hardware (komputery PC, drukarki biurowe i etykietowe, telefonia stacjonarna i mobilna) (PC, Drucker, Telefpne, Handys)],MATCH($B141,tab_MinKomp[[Stanowisko / Position ]:[Stanowisko / Position ]],0)))</f>
        <v>n/a</v>
      </c>
      <c r="BZ142" s="315" t="str">
        <f>IF(INDEX(tab_MinKomp[Software &amp; Systems (MS Office, MS Remote Desktop)],MATCH($B141,tab_MinKomp[[Stanowisko / Position ]:[Stanowisko / Position ]],0))="n/a","n/a",BZ141-INDEX(tab_MinKomp[Software &amp; Systems (MS Office, MS Remote Desktop)],MATCH($B141,tab_MinKomp[[Stanowisko / Position ]:[Stanowisko / Position ]],0)))</f>
        <v>n/a</v>
      </c>
      <c r="CA142" s="315" t="str">
        <f>IF(INDEX(tab_MinKomp[Programowanie obiektowe (PHP) / Objektprogrammierung],MATCH($B141,tab_MinKomp[[Stanowisko / Position ]:[Stanowisko / Position ]],0))="n/a","n/a",CA141-INDEX(tab_MinKomp[Programowanie obiektowe (PHP) / Objektprogrammierung],MATCH($B141,tab_MinKomp[[Stanowisko / Position ]:[Stanowisko / Position ]],0)))</f>
        <v>n/a</v>
      </c>
      <c r="CB142" s="315" t="str">
        <f>IF(INDEX(tab_MinKomp[Scrum],MATCH($B141,tab_MinKomp[[Stanowisko / Position ]:[Stanowisko / Position ]],0))="n/a","n/a",CB141-INDEX(tab_MinKomp[Scrum],MATCH($B141,tab_MinKomp[[Stanowisko / Position ]:[Stanowisko / Position ]],0)))</f>
        <v>n/a</v>
      </c>
      <c r="CC142" s="315" t="str">
        <f>IF(INDEX(tab_MinKomp[SQL (MySQL)],MATCH($B141,tab_MinKomp[[Stanowisko / Position ]:[Stanowisko / Position ]],0))="n/a","n/a",CC141-INDEX(tab_MinKomp[SQL (MySQL)],MATCH($B141,tab_MinKomp[[Stanowisko / Position ]:[Stanowisko / Position ]],0)))</f>
        <v>n/a</v>
      </c>
      <c r="CD142" s="315" t="str">
        <f>IF(INDEX(tab_MinKomp[Javascript],MATCH($B141,tab_MinKomp[[Stanowisko / Position ]:[Stanowisko / Position ]],0))="n/a","n/a",CD141-INDEX(tab_MinKomp[Javascript],MATCH($B141,tab_MinKomp[[Stanowisko / Position ]:[Stanowisko / Position ]],0)))</f>
        <v>n/a</v>
      </c>
      <c r="CE142" s="315" t="str">
        <f>IF(INDEX(tab_MinKomp[Joomla],MATCH($B141,tab_MinKomp[[Stanowisko / Position ]:[Stanowisko / Position ]],0))="n/a","n/a",CE141-INDEX(tab_MinKomp[Joomla],MATCH($B141,tab_MinKomp[[Stanowisko / Position ]:[Stanowisko / Position ]],0)))</f>
        <v>n/a</v>
      </c>
      <c r="CF142" s="315" t="str">
        <f>IF(INDEX(tab_MinKomp[Bash],MATCH($B141,tab_MinKomp[[Stanowisko / Position ]:[Stanowisko / Position ]],0))="n/a","n/a",CF141-INDEX(tab_MinKomp[Bash],MATCH($B141,tab_MinKomp[[Stanowisko / Position ]:[Stanowisko / Position ]],0)))</f>
        <v>n/a</v>
      </c>
      <c r="CG142" s="315" t="str">
        <f>IF(INDEX(tab_MinKomp[Systemy MES (HYDRA / SFMS)],MATCH($B141,tab_MinKomp[[Stanowisko / Position ]:[Stanowisko / Position ]],0))="n/a","n/a",CG141-INDEX(tab_MinKomp[Systemy MES (HYDRA / SFMS)],MATCH($B141,tab_MinKomp[[Stanowisko / Position ]:[Stanowisko / Position ]],0)))</f>
        <v>n/a</v>
      </c>
      <c r="CH142" s="315" t="str">
        <f>IF(INDEX(tab_MinKomp[HTML / CSS],MATCH($B141,tab_MinKomp[[Stanowisko / Position ]:[Stanowisko / Position ]],0))="n/a","n/a",CH141-INDEX(tab_MinKomp[HTML / CSS],MATCH($B141,tab_MinKomp[[Stanowisko / Position ]:[Stanowisko / Position ]],0)))</f>
        <v>n/a</v>
      </c>
      <c r="CI142" s="315" t="str">
        <f>IF(INDEX(tab_MinKomp[SYSTEM PR],MATCH($B141,tab_MinKomp[[Stanowisko / Position ]:[Stanowisko / Position ]],0))="n/a","n/a",CI141-INDEX(tab_MinKomp[SYSTEM PR],MATCH($B141,tab_MinKomp[[Stanowisko / Position ]:[Stanowisko / Position ]],0)))</f>
        <v>n/a</v>
      </c>
      <c r="CJ142" s="315" t="str">
        <f>IF(INDEX(tab_MinKomp[System Einkauf XP / EBA],MATCH($B141,tab_MinKomp[[Stanowisko / Position ]:[Stanowisko / Position ]],0))="n/a","n/a",CJ141-INDEX(tab_MinKomp[System Einkauf XP / EBA],MATCH($B141,tab_MinKomp[[Stanowisko / Position ]:[Stanowisko / Position ]],0)))</f>
        <v>n/a</v>
      </c>
      <c r="CK142" s="315" t="str">
        <f>IF(INDEX(tab_MinKomp[Techniki negocjacyjne / Verhandlungstechniken],MATCH($B141,tab_MinKomp[[Stanowisko / Position ]:[Stanowisko / Position ]],0))="n/a","n/a",CK141-INDEX(tab_MinKomp[Techniki negocjacyjne / Verhandlungstechniken],MATCH($B141,tab_MinKomp[[Stanowisko / Position ]:[Stanowisko / Position ]],0)))</f>
        <v>n/a</v>
      </c>
      <c r="CL142" s="315" t="str">
        <f>IF(INDEX(tab_MinKomp[Znajomość rynku branżowego / Kenntnis des Industrie Marktes],MATCH($B141,tab_MinKomp[[Stanowisko / Position ]:[Stanowisko / Position ]],0))="n/a","n/a",CL141-INDEX(tab_MinKomp[Znajomość rynku branżowego / Kenntnis des Industrie Marktes],MATCH($B141,tab_MinKomp[[Stanowisko / Position ]:[Stanowisko / Position ]],0)))</f>
        <v>n/a</v>
      </c>
      <c r="CM142" s="315" t="str">
        <f>IF(INDEX(tab_MinKomp[RAPORTY 8D / 8D Berichten],MATCH($B141,tab_MinKomp[[Stanowisko / Position ]:[Stanowisko / Position ]],0))="n/a","n/a",CM141-INDEX(tab_MinKomp[RAPORTY 8D / 8D Berichten],MATCH($B141,tab_MinKomp[[Stanowisko / Position ]:[Stanowisko / Position ]],0)))</f>
        <v>n/a</v>
      </c>
      <c r="CN142" s="315">
        <f>IF(INDEX(tab_MinKomp[NARZĘDZIA JAKOŚCIOWE (5WHY, Ishikawa, etc) / QS-Werkzeuge],MATCH($B141,tab_MinKomp[[Stanowisko / Position ]:[Stanowisko / Position ]],0))="n/a","n/a",CN141-INDEX(tab_MinKomp[NARZĘDZIA JAKOŚCIOWE (5WHY, Ishikawa, etc) / QS-Werkzeuge],MATCH($B141,tab_MinKomp[[Stanowisko / Position ]:[Stanowisko / Position ]],0)))</f>
        <v>0</v>
      </c>
      <c r="CO142" s="315">
        <f>IF(INDEX(tab_MinKomp[PDCA],MATCH($B141,tab_MinKomp[[Stanowisko / Position ]:[Stanowisko / Position ]],0))="n/a","n/a",CO141-INDEX(tab_MinKomp[PDCA],MATCH($B141,tab_MinKomp[[Stanowisko / Position ]:[Stanowisko / Position ]],0)))</f>
        <v>0</v>
      </c>
      <c r="CP142" s="315">
        <f>IF(INDEX(tab_MinKomp[Pareto],MATCH($B141,tab_MinKomp[[Stanowisko / Position ]:[Stanowisko / Position ]],0))="n/a","n/a",CP141-INDEX(tab_MinKomp[Pareto],MATCH($B141,tab_MinKomp[[Stanowisko / Position ]:[Stanowisko / Position ]],0)))</f>
        <v>0</v>
      </c>
      <c r="CQ142" s="315" t="str">
        <f>IF(INDEX(tab_MinKomp[PPAP/PSW],MATCH($B141,tab_MinKomp[[Stanowisko / Position ]:[Stanowisko / Position ]],0))="n/a","n/a",CQ141-INDEX(tab_MinKomp[PPAP/PSW],MATCH($B141,tab_MinKomp[[Stanowisko / Position ]:[Stanowisko / Position ]],0)))</f>
        <v>n/a</v>
      </c>
      <c r="CR142" s="315" t="str">
        <f>IF(INDEX(tab_MinKomp[SUPPLIER MANAGEMENT],MATCH($B141,tab_MinKomp[[Stanowisko / Position ]:[Stanowisko / Position ]],0))="n/a","n/a",CR141-INDEX(tab_MinKomp[SUPPLIER MANAGEMENT],MATCH($B141,tab_MinKomp[[Stanowisko / Position ]:[Stanowisko / Position ]],0)))</f>
        <v>n/a</v>
      </c>
      <c r="CS142" s="315" t="str">
        <f>IF(INDEX(tab_MinKomp[OBSŁUGA PORTALI KLIENTA / Kundenportale],MATCH($B141,tab_MinKomp[[Stanowisko / Position ]:[Stanowisko / Position ]],0))="n/a","n/a",CS141-INDEX(tab_MinKomp[OBSŁUGA PORTALI KLIENTA / Kundenportale],MATCH($B141,tab_MinKomp[[Stanowisko / Position ]:[Stanowisko / Position ]],0)))</f>
        <v>n/a</v>
      </c>
      <c r="CT142" s="315" t="str">
        <f>IF(INDEX(tab_MinKomp[Obsługa systemu BABTECQ / BABTECQ System],MATCH($B141,tab_MinKomp[[Stanowisko / Position ]:[Stanowisko / Position ]],0))="n/a","n/a",CT141-INDEX(tab_MinKomp[Obsługa systemu BABTECQ / BABTECQ System],MATCH($B141,tab_MinKomp[[Stanowisko / Position ]:[Stanowisko / Position ]],0)))</f>
        <v>n/a</v>
      </c>
      <c r="CU142" s="315">
        <f>IF(INDEX(tab_MinKomp[Rysunek techniczny / technische Zeichnung],MATCH($B141,tab_MinKomp[[Stanowisko / Position ]:[Stanowisko / Position ]],0))="n/a","n/a",CU141-INDEX(tab_MinKomp[Rysunek techniczny / technische Zeichnung],MATCH($B141,tab_MinKomp[[Stanowisko / Position ]:[Stanowisko / Position ]],0)))</f>
        <v>0</v>
      </c>
      <c r="CV142" s="315" t="str">
        <f>IF(INDEX(tab_MinKomp[Kalibracja / Kalibrierung],MATCH($B141,tab_MinKomp[[Stanowisko / Position ]:[Stanowisko / Position ]],0))="n/a","n/a",CV141-INDEX(tab_MinKomp[Kalibracja / Kalibrierung],MATCH($B141,tab_MinKomp[[Stanowisko / Position ]:[Stanowisko / Position ]],0)))</f>
        <v>n/a</v>
      </c>
      <c r="CW142" s="315" t="str">
        <f>IF(INDEX(tab_MinKomp[Rekwalifikacja / Requalifizierung],MATCH($B141,tab_MinKomp[[Stanowisko / Position ]:[Stanowisko / Position ]],0))="n/a","n/a",CW141-INDEX(tab_MinKomp[Rekwalifikacja / Requalifizierung],MATCH($B141,tab_MinKomp[[Stanowisko / Position ]:[Stanowisko / Position ]],0)))</f>
        <v>n/a</v>
      </c>
      <c r="CX142" s="315" t="str">
        <f>IF(INDEX(tab_MinKomp[Obsługa mikroskopu optycznego / Bedienung eines optischen Mikroskops],MATCH($B141,tab_MinKomp[[Stanowisko / Position ]:[Stanowisko / Position ]],0))="n/a","n/a",CX141-INDEX(tab_MinKomp[Obsługa mikroskopu optycznego / Bedienung eines optischen Mikroskops],MATCH($B141,tab_MinKomp[[Stanowisko / Position ]:[Stanowisko / Position ]],0)))</f>
        <v>n/a</v>
      </c>
      <c r="CY142" s="315" t="str">
        <f>IF(INDEX(tab_MinKomp[Wykonywanie pomiarów optycznych - ocena wizualna / Optische Messungen durchführen – visuelle Beurteilung],MATCH($B141,tab_MinKomp[[Stanowisko / Position ]:[Stanowisko / Position ]],0))="n/a","n/a",CY141-INDEX(tab_MinKomp[Wykonywanie pomiarów optycznych - ocena wizualna / Optische Messungen durchführen – visuelle Beurteilung],MATCH($B141,tab_MinKomp[[Stanowisko / Position ]:[Stanowisko / Position ]],0)))</f>
        <v>n/a</v>
      </c>
      <c r="CZ142" s="315" t="str">
        <f>IF(INDEX(tab_MinKomp[Obsługa Rheometra / Rheometra-Unterstützung],MATCH($B141,tab_MinKomp[[Stanowisko / Position ]:[Stanowisko / Position ]],0))="n/a","n/a",CZ141-INDEX(tab_MinKomp[Obsługa Rheometra / Rheometra-Unterstützung],MATCH($B141,tab_MinKomp[[Stanowisko / Position ]:[Stanowisko / Position ]],0)))</f>
        <v>n/a</v>
      </c>
      <c r="DA142" s="315" t="str">
        <f>IF(INDEX(tab_MinKomp[Testy właściwości Rheometra mieszanki gumy],MATCH($B141,tab_MinKomp[[Stanowisko / Position ]:[Stanowisko / Position ]],0))="n/a","n/a",DA141-INDEX(tab_MinKomp[Testy właściwości Rheometra mieszanki gumy],MATCH($B141,tab_MinKomp[[Stanowisko / Position ]:[Stanowisko / Position ]],0)))</f>
        <v>n/a</v>
      </c>
      <c r="DB142" s="315" t="str">
        <f>IF(INDEX(tab_MinKomp[CMM - Contura Zeiss],MATCH($B141,tab_MinKomp[[Stanowisko / Position ]:[Stanowisko / Position ]],0))="n/a","n/a",DB141-INDEX(tab_MinKomp[CMM - Contura Zeiss],MATCH($B141,tab_MinKomp[[Stanowisko / Position ]:[Stanowisko / Position ]],0)))</f>
        <v>n/a</v>
      </c>
      <c r="DC142" s="315" t="str">
        <f>IF(INDEX(tab_MinKomp[Wykonywanie precyzyjnych pomiarów metrycznych, pomiary 3D],MATCH($B141,tab_MinKomp[[Stanowisko / Position ]:[Stanowisko / Position ]],0))="n/a","n/a",DC141-INDEX(tab_MinKomp[Wykonywanie precyzyjnych pomiarów metrycznych, pomiary 3D],MATCH($B141,tab_MinKomp[[Stanowisko / Position ]:[Stanowisko / Position ]],0)))</f>
        <v>n/a</v>
      </c>
      <c r="DD142" s="315" t="str">
        <f>IF(INDEX(tab_MinKomp[Pisanie programów / Programme schreiben],MATCH($B141,tab_MinKomp[[Stanowisko / Position ]:[Stanowisko / Position ]],0))="n/a","n/a",DD141-INDEX(tab_MinKomp[Pisanie programów / Programme schreiben],MATCH($B141,tab_MinKomp[[Stanowisko / Position ]:[Stanowisko / Position ]],0)))</f>
        <v>n/a</v>
      </c>
      <c r="DE142" s="315" t="str">
        <f>IF(INDEX(tab_MinKomp[Obsługa wyposażenia do testów czystości (myjka + analizator) / Betrieb von Sauberkeitsprüfgeräten (Waschmaschine + Analysegerät)],MATCH($B141,tab_MinKomp[[Stanowisko / Position ]:[Stanowisko / Position ]],0))="n/a","n/a",DE141-INDEX(tab_MinKomp[Obsługa wyposażenia do testów czystości (myjka + analizator) / Betrieb von Sauberkeitsprüfgeräten (Waschmaschine + Analysegerät)],MATCH($B141,tab_MinKomp[[Stanowisko / Position ]:[Stanowisko / Position ]],0)))</f>
        <v>n/a</v>
      </c>
      <c r="DF142" s="315" t="str">
        <f>IF(INDEX(tab_MinKomp[Testy czystości / Reinheitstests],MATCH($B141,tab_MinKomp[[Stanowisko / Position ]:[Stanowisko / Position ]],0))="n/a","n/a",DF141-INDEX(tab_MinKomp[Testy czystości / Reinheitstests],MATCH($B141,tab_MinKomp[[Stanowisko / Position ]:[Stanowisko / Position ]],0)))</f>
        <v>n/a</v>
      </c>
      <c r="DG142" s="315" t="str">
        <f>IF(INDEX(tab_MinKomp[Obsługa wysokościomierza / Unterstützung für Höhenmesser],MATCH($B141,tab_MinKomp[[Stanowisko / Position ]:[Stanowisko / Position ]],0))="n/a","n/a",DG141-INDEX(tab_MinKomp[Obsługa wysokościomierza / Unterstützung für Höhenmesser],MATCH($B141,tab_MinKomp[[Stanowisko / Position ]:[Stanowisko / Position ]],0)))</f>
        <v>n/a</v>
      </c>
      <c r="DH142" s="315" t="str">
        <f>IF(INDEX(tab_MinKomp[Pomiary wysokości materiału / Materialhöhenmessungen],MATCH($B141,tab_MinKomp[[Stanowisko / Position ]:[Stanowisko / Position ]],0))="n/a","n/a",DH141-INDEX(tab_MinKomp[Pomiary wysokości materiału / Materialhöhenmessungen],MATCH($B141,tab_MinKomp[[Stanowisko / Position ]:[Stanowisko / Position ]],0)))</f>
        <v>n/a</v>
      </c>
      <c r="DI142" s="315" t="str">
        <f>IF(INDEX(tab_MinKomp[Obsługa okrągłościomierza / Unterstützung für Rundheitsmessgeräte],MATCH($B141,tab_MinKomp[[Stanowisko / Position ]:[Stanowisko / Position ]],0))="n/a","n/a",DI141-INDEX(tab_MinKomp[Obsługa okrągłościomierza / Unterstützung für Rundheitsmessgeräte],MATCH($B141,tab_MinKomp[[Stanowisko / Position ]:[Stanowisko / Position ]],0)))</f>
        <v>n/a</v>
      </c>
      <c r="DJ142" s="315" t="str">
        <f>IF(INDEX(tab_MinKomp[Wykonywania pomiarów owalności, srednicy materiału / Messung der Ovalität und des Durchmessers des Materials],MATCH($B141,tab_MinKomp[[Stanowisko / Position ]:[Stanowisko / Position ]],0))="n/a","n/a",DJ141-INDEX(tab_MinKomp[Wykonywania pomiarów owalności, srednicy materiału / Messung der Ovalität und des Durchmessers des Materials],MATCH($B141,tab_MinKomp[[Stanowisko / Position ]:[Stanowisko / Position ]],0)))</f>
        <v>n/a</v>
      </c>
      <c r="DK142" s="315" t="str">
        <f>IF(INDEX(tab_MinKomp[Obsługa urządzenia do pomiarów chropowoatości powierzchni materiału],MATCH($B141,tab_MinKomp[[Stanowisko / Position ]:[Stanowisko / Position ]],0))="n/a","n/a",DK141-INDEX(tab_MinKomp[Obsługa urządzenia do pomiarów chropowoatości powierzchni materiału],MATCH($B141,tab_MinKomp[[Stanowisko / Position ]:[Stanowisko / Position ]],0)))</f>
        <v>n/a</v>
      </c>
      <c r="DL142" s="315" t="str">
        <f>IF(INDEX(tab_MinKomp[Wykonywanie pomiarów chropowatości powierzchni materiału / Durchführung von Messungen der Materialoberflächenrauheit],MATCH($B141,tab_MinKomp[[Stanowisko / Position ]:[Stanowisko / Position ]],0))="n/a","n/a",DL141-INDEX(tab_MinKomp[Wykonywanie pomiarów chropowatości powierzchni materiału / Durchführung von Messungen der Materialoberflächenrauheit],MATCH($B141,tab_MinKomp[[Stanowisko / Position ]:[Stanowisko / Position ]],0)))</f>
        <v>n/a</v>
      </c>
      <c r="DM142" s="315" t="str">
        <f>IF(INDEX(tab_MinKomp[Obsługa urządzenia do pomiaru siły radialnej części - postępowanie z trzpieniami. / Funktionsweise des Geräts zur Messung der Radialkraft von Teilen – Handhabungsstifte.],MATCH($B141,tab_MinKomp[[Stanowisko / Position ]:[Stanowisko / Position ]],0))="n/a","n/a",DM141-INDEX(tab_MinKomp[Obsługa urządzenia do pomiaru siły radialnej części - postępowanie z trzpieniami. / Funktionsweise des Geräts zur Messung der Radialkraft von Teilen – Handhabungsstifte.],MATCH($B141,tab_MinKomp[[Stanowisko / Position ]:[Stanowisko / Position ]],0)))</f>
        <v>n/a</v>
      </c>
      <c r="DN142" s="315" t="str">
        <f>IF(INDEX(tab_MinKomp[Wykonywanie pomiarów siły radialnej części / Führen Sie Radialkraftmessungen an Teilen durch],MATCH($B141,tab_MinKomp[[Stanowisko / Position ]:[Stanowisko / Position ]],0))="n/a","n/a",DN141-INDEX(tab_MinKomp[Wykonywanie pomiarów siły radialnej części / Führen Sie Radialkraftmessungen an Teilen durch],MATCH($B141,tab_MinKomp[[Stanowisko / Position ]:[Stanowisko / Position ]],0)))</f>
        <v>n/a</v>
      </c>
      <c r="DO142" s="315" t="str">
        <f>IF(INDEX(tab_MinKomp[Obsługa komory do testów wybuchwych / Betrieb einer Explosionsprüfkammer],MATCH($B141,tab_MinKomp[[Stanowisko / Position ]:[Stanowisko / Position ]],0))="n/a","n/a",DO141-INDEX(tab_MinKomp[Obsługa komory do testów wybuchwych / Betrieb einer Explosionsprüfkammer],MATCH($B141,tab_MinKomp[[Stanowisko / Position ]:[Stanowisko / Position ]],0)))</f>
        <v>n/a</v>
      </c>
      <c r="DP142" s="315" t="str">
        <f>IF(INDEX(tab_MinKomp[Wykonywanie testów wybuchowych części / Durchführung von Explosionstests an Teilen],MATCH($B141,tab_MinKomp[[Stanowisko / Position ]:[Stanowisko / Position ]],0))="n/a","n/a",DP141-INDEX(tab_MinKomp[Wykonywanie testów wybuchowych części / Durchführung von Explosionstests an Teilen],MATCH($B141,tab_MinKomp[[Stanowisko / Position ]:[Stanowisko / Position ]],0)))</f>
        <v>n/a</v>
      </c>
      <c r="DQ142" s="315" t="str">
        <f>IF(INDEX(tab_MinKomp[Obsługa urządzeń do mierzenia siły trzymania i/lub rozciągania / Betrieb von Geräten zur Messung der Halte- und/oder Dehnkraft],MATCH($B141,tab_MinKomp[[Stanowisko / Position ]:[Stanowisko / Position ]],0))="n/a","n/a",DQ141-INDEX(tab_MinKomp[Obsługa urządzeń do mierzenia siły trzymania i/lub rozciągania / Betrieb von Geräten zur Messung der Halte- und/oder Dehnkraft],MATCH($B141,tab_MinKomp[[Stanowisko / Position ]:[Stanowisko / Position ]],0)))</f>
        <v>n/a</v>
      </c>
      <c r="DR142" s="315" t="str">
        <f>IF(INDEX(tab_MinKomp[Wykonywanie testów mierzenia siły trzymania i/lub rozciągania / Durchführung von Tests zur Messung der Halte- und/oder Streckkraft],MATCH($B141,tab_MinKomp[[Stanowisko / Position ]:[Stanowisko / Position ]],0))="n/a","n/a",DR141-INDEX(tab_MinKomp[Wykonywanie testów mierzenia siły trzymania i/lub rozciągania / Durchführung von Tests zur Messung der Halte- und/oder Streckkraft],MATCH($B141,tab_MinKomp[[Stanowisko / Position ]:[Stanowisko / Position ]],0)))</f>
        <v>n/a</v>
      </c>
      <c r="DS142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Luftstrom)],MATCH($B141,tab_MinKomp[[Stanowisko / Position ]:[Stanowisko / Position ]],0))="n/a","n/a",DS141-INDEX(tab_MinKomp[Obsługa multimetru do pomiarów środowiskowych (temperatura, wilgotność, hałas, oświetlenie, przepływ powietrza) / Betrieb eines Multimeters für Umweltmessungen (Temperatur, Luftfeuchtigkeit, Lärm, Beleuchtung, Luftstrom)],MATCH($B141,tab_MinKomp[[Stanowisko / Position ]:[Stanowisko / Position ]],0)))</f>
        <v>n/a</v>
      </c>
      <c r="DT142" s="315" t="str">
        <f>IF(INDEX(tab_MinKomp[Kontrola warunków środowiskowych pracy (temperatura, wilgotność, hałas, oświetlenie, przepływ powietrza) / Kontrolle der Arbeitsumgebungsbedingungen (Temperatur, Luftfeuchtigkeit, Lärm, Beleuchtung, Luftstrom)],MATCH($B141,tab_MinKomp[[Stanowisko / Position ]:[Stanowisko / Position ]],0))="n/a","n/a",DT141-INDEX(tab_MinKomp[Kontrola warunków środowiskowych pracy (temperatura, wilgotność, hałas, oświetlenie, przepływ powietrza) / Kontrolle der Arbeitsumgebungsbedingungen (Temperatur, Luftfeuchtigkeit, Lärm, Beleuchtung, Luftstrom)],MATCH($B141,tab_MinKomp[[Stanowisko / Position ]:[Stanowisko / Position ]],0)))</f>
        <v>n/a</v>
      </c>
      <c r="DU142" s="315" t="str">
        <f>IF(INDEX(tab_MinKomp[MSA i SPC],MATCH($B141,tab_MinKomp[[Stanowisko / Position ]:[Stanowisko / Position ]],0))="n/a","n/a",DU141-INDEX(tab_MinKomp[MSA i SPC],MATCH($B141,tab_MinKomp[[Stanowisko / Position ]:[Stanowisko / Position ]],0)))</f>
        <v>n/a</v>
      </c>
      <c r="DV142" s="315" t="str">
        <f>IF(INDEX(tab_MinKomp[Kontrola wejściowa komponentów/ Eingangskontrolle],MATCH($B141,tab_MinKomp[[Stanowisko / Position ]:[Stanowisko / Position ]],0))="n/a","n/a",DV141-INDEX(tab_MinKomp[Kontrola wejściowa komponentów/ Eingangskontrolle],MATCH($B141,tab_MinKomp[[Stanowisko / Position ]:[Stanowisko / Position ]],0)))</f>
        <v>n/a</v>
      </c>
      <c r="DW142" s="315" t="str">
        <f>IF(INDEX(tab_MinKomp[Kontrola wyjściowa produktu / Ausgangskontrolle],MATCH($B141,tab_MinKomp[[Stanowisko / Position ]:[Stanowisko / Position ]],0))="n/a","n/a",DW141-INDEX(tab_MinKomp[Kontrola wyjściowa produktu / Ausgangskontrolle],MATCH($B141,tab_MinKomp[[Stanowisko / Position ]:[Stanowisko / Position ]],0)))</f>
        <v>n/a</v>
      </c>
      <c r="DX142" s="315" t="str">
        <f>IF(INDEX(tab_MinKomp[Kontrola codzienna produkcji / Tägliche Produktionskontrolle],MATCH($B141,tab_MinKomp[[Stanowisko / Position ]:[Stanowisko / Position ]],0))="n/a","n/a",DX141-INDEX(tab_MinKomp[Kontrola codzienna produkcji / Tägliche Produktionskontrolle],MATCH($B141,tab_MinKomp[[Stanowisko / Position ]:[Stanowisko / Position ]],0)))</f>
        <v>n/a</v>
      </c>
      <c r="DY142" s="315" t="str">
        <f>IF(INDEX(tab_MinKomp[Konserwacja Rep],MATCH($B141,tab_MinKomp[[Stanowisko / Position ]:[Stanowisko / Position ]],0))="n/a","n/a",DY141-INDEX(tab_MinKomp[Konserwacja Rep],MATCH($B141,tab_MinKomp[[Stanowisko / Position ]:[Stanowisko / Position ]],0)))</f>
        <v>n/a</v>
      </c>
      <c r="DZ142" s="315" t="str">
        <f>IF(INDEX(tab_MinKomp[[Konserwacja Engel ]],MATCH($B141,tab_MinKomp[[Stanowisko / Position ]:[Stanowisko / Position ]],0))="n/a","n/a",DZ141-INDEX(tab_MinKomp[[Konserwacja Engel ]],MATCH($B141,tab_MinKomp[[Stanowisko / Position ]:[Stanowisko / Position ]],0)))</f>
        <v>n/a</v>
      </c>
      <c r="EA142" s="315" t="str">
        <f>IF(INDEX(tab_MinKomp[Konserwacja B 50],MATCH($B141,tab_MinKomp[[Stanowisko / Position ]:[Stanowisko / Position ]],0))="n/a","n/a",EA141-INDEX(tab_MinKomp[Konserwacja B 50],MATCH($B141,tab_MinKomp[[Stanowisko / Position ]:[Stanowisko / Position ]],0)))</f>
        <v>n/a</v>
      </c>
      <c r="EB142" s="315" t="str">
        <f>IF(INDEX(tab_MinKomp[[Konserwacja EOL ]],MATCH($B141,tab_MinKomp[[Stanowisko / Position ]:[Stanowisko / Position ]],0))="n/a","n/a",EB141-INDEX(tab_MinKomp[[Konserwacja EOL ]],MATCH($B141,tab_MinKomp[[Stanowisko / Position ]:[Stanowisko / Position ]],0)))</f>
        <v>n/a</v>
      </c>
      <c r="EC142" s="315" t="str">
        <f>IF(INDEX(tab_MinKomp[Konserwacja Branson],MATCH($B141,tab_MinKomp[[Stanowisko / Position ]:[Stanowisko / Position ]],0))="n/a","n/a",EC141-INDEX(tab_MinKomp[Konserwacja Branson],MATCH($B141,tab_MinKomp[[Stanowisko / Position ]:[Stanowisko / Position ]],0)))</f>
        <v>n/a</v>
      </c>
      <c r="ED142" s="315" t="str">
        <f>IF(INDEX(tab_MinKomp[Konserwacja coolery],MATCH($B141,tab_MinKomp[[Stanowisko / Position ]:[Stanowisko / Position ]],0))="n/a","n/a",ED141-INDEX(tab_MinKomp[Konserwacja coolery],MATCH($B141,tab_MinKomp[[Stanowisko / Position ]:[Stanowisko / Position ]],0)))</f>
        <v>n/a</v>
      </c>
      <c r="EE142" s="315" t="str">
        <f>IF(INDEX(tab_MinKomp[Konserwacja piecy],MATCH($B141,tab_MinKomp[[Stanowisko / Position ]:[Stanowisko / Position ]],0))="n/a","n/a",EE141-INDEX(tab_MinKomp[Konserwacja piecy],MATCH($B141,tab_MinKomp[[Stanowisko / Position ]:[Stanowisko / Position ]],0)))</f>
        <v>n/a</v>
      </c>
      <c r="EF142" s="315">
        <f>IF(INDEX(tab_MinKomp[Rysunek techniczny- czytanie],MATCH($B141,tab_MinKomp[[Stanowisko / Position ]:[Stanowisko / Position ]],0))="n/a","n/a",EF141-INDEX(tab_MinKomp[Rysunek techniczny- czytanie],MATCH($B141,tab_MinKomp[[Stanowisko / Position ]:[Stanowisko / Position ]],0)))</f>
        <v>0</v>
      </c>
      <c r="EG142" s="315">
        <f>IF(INDEX(tab_MinKomp[Elektryka],MATCH($B141,tab_MinKomp[[Stanowisko / Position ]:[Stanowisko / Position ]],0))="n/a","n/a",EG141-INDEX(tab_MinKomp[Elektryka],MATCH($B141,tab_MinKomp[[Stanowisko / Position ]:[Stanowisko / Position ]],0)))</f>
        <v>0</v>
      </c>
      <c r="EH142" s="315">
        <f>IF(INDEX(tab_MinKomp[Pneumatyka],MATCH($B141,tab_MinKomp[[Stanowisko / Position ]:[Stanowisko / Position ]],0))="n/a","n/a",EH141-INDEX(tab_MinKomp[Pneumatyka],MATCH($B141,tab_MinKomp[[Stanowisko / Position ]:[Stanowisko / Position ]],0)))</f>
        <v>-1</v>
      </c>
      <c r="EI142" s="315">
        <f>IF(INDEX(tab_MinKomp[[Hydraulika ]],MATCH($B141,tab_MinKomp[[Stanowisko / Position ]:[Stanowisko / Position ]],0))="n/a","n/a",EI141-INDEX(tab_MinKomp[[Hydraulika ]],MATCH($B141,tab_MinKomp[[Stanowisko / Position ]:[Stanowisko / Position ]],0)))</f>
        <v>-1</v>
      </c>
      <c r="EJ142" s="315">
        <f>IF(INDEX(tab_MinKomp[Podciśnienie],MATCH($B141,tab_MinKomp[[Stanowisko / Position ]:[Stanowisko / Position ]],0))="n/a","n/a",EJ141-INDEX(tab_MinKomp[Podciśnienie],MATCH($B141,tab_MinKomp[[Stanowisko / Position ]:[Stanowisko / Position ]],0)))</f>
        <v>-1</v>
      </c>
      <c r="EK142" s="315">
        <f>IF(INDEX(tab_MinKomp[Usuwanie awarii],MATCH($B141,tab_MinKomp[[Stanowisko / Position ]:[Stanowisko / Position ]],0))="n/a","n/a",EK141-INDEX(tab_MinKomp[Usuwanie awarii],MATCH($B141,tab_MinKomp[[Stanowisko / Position ]:[Stanowisko / Position ]],0)))</f>
        <v>-2</v>
      </c>
      <c r="EL142" s="315">
        <f>IF(INDEX(tab_MinKomp[Obsługa robotów],MATCH($B141,tab_MinKomp[[Stanowisko / Position ]:[Stanowisko / Position ]],0))="n/a","n/a",EL141-INDEX(tab_MinKomp[Obsługa robotów],MATCH($B141,tab_MinKomp[[Stanowisko / Position ]:[Stanowisko / Position ]],0)))</f>
        <v>-1</v>
      </c>
      <c r="EM142" s="315">
        <f>IF(INDEX(tab_MinKomp[Obsługa sterowania maszyny],MATCH($B141,tab_MinKomp[[Stanowisko / Position ]:[Stanowisko / Position ]],0))="n/a","n/a",EM141-INDEX(tab_MinKomp[Obsługa sterowania maszyny],MATCH($B141,tab_MinKomp[[Stanowisko / Position ]:[Stanowisko / Position ]],0)))</f>
        <v>-1</v>
      </c>
      <c r="EN142" s="315">
        <f>IF(INDEX(tab_MinKomp[Usuwanie przyczyn żródłowych],MATCH($B141,tab_MinKomp[[Stanowisko / Position ]:[Stanowisko / Position ]],0))="n/a","n/a",EN141-INDEX(tab_MinKomp[Usuwanie przyczyn żródłowych],MATCH($B141,tab_MinKomp[[Stanowisko / Position ]:[Stanowisko / Position ]],0)))</f>
        <v>-1</v>
      </c>
      <c r="EO142" s="315">
        <f>IF(INDEX(tab_MinKomp[Cmms stosowanie],MATCH($B141,tab_MinKomp[[Stanowisko / Position ]:[Stanowisko / Position ]],0))="n/a","n/a",EO141-INDEX(tab_MinKomp[Cmms stosowanie],MATCH($B141,tab_MinKomp[[Stanowisko / Position ]:[Stanowisko / Position ]],0)))</f>
        <v>0</v>
      </c>
      <c r="EP142" s="315">
        <f>IF(INDEX(tab_MinKomp[[Czyszczenie form gumowych ]],MATCH($B141,tab_MinKomp[[Stanowisko / Position ]:[Stanowisko / Position ]],0))="n/a","n/a",EP141-INDEX(tab_MinKomp[[Czyszczenie form gumowych ]],MATCH($B141,tab_MinKomp[[Stanowisko / Position ]:[Stanowisko / Position ]],0)))</f>
        <v>-1</v>
      </c>
      <c r="EQ142" s="315">
        <f>IF(INDEX(tab_MinKomp[Czyszczenie form plastikowych],MATCH($B141,tab_MinKomp[[Stanowisko / Position ]:[Stanowisko / Position ]],0))="n/a","n/a",EQ141-INDEX(tab_MinKomp[Czyszczenie form plastikowych],MATCH($B141,tab_MinKomp[[Stanowisko / Position ]:[Stanowisko / Position ]],0)))</f>
        <v>-2</v>
      </c>
      <c r="ER142" s="315">
        <f>IF(INDEX(tab_MinKomp[Wymiana form plastik],MATCH($B141,tab_MinKomp[[Stanowisko / Position ]:[Stanowisko / Position ]],0))="n/a","n/a",ER141-INDEX(tab_MinKomp[Wymiana form plastik],MATCH($B141,tab_MinKomp[[Stanowisko / Position ]:[Stanowisko / Position ]],0)))</f>
        <v>-2</v>
      </c>
      <c r="ES142" s="315">
        <f>IF(INDEX(tab_MinKomp[Wymiana form guma],MATCH($B141,tab_MinKomp[[Stanowisko / Position ]:[Stanowisko / Position ]],0))="n/a","n/a",ES141-INDEX(tab_MinKomp[Wymiana form guma],MATCH($B141,tab_MinKomp[[Stanowisko / Position ]:[Stanowisko / Position ]],0)))</f>
        <v>-2</v>
      </c>
      <c r="ET142" s="315">
        <f>IF(INDEX(tab_MinKomp[Konserwacja KK],MATCH($B141,tab_MinKomp[[Stanowisko / Position ]:[Stanowisko / Position ]],0))="n/a","n/a",ET141-INDEX(tab_MinKomp[Konserwacja KK],MATCH($B141,tab_MinKomp[[Stanowisko / Position ]:[Stanowisko / Position ]],0)))</f>
        <v>-2</v>
      </c>
      <c r="EU142" s="315">
        <f>IF(INDEX(tab_MinKomp[Konserwacja form guma],MATCH($B141,tab_MinKomp[[Stanowisko / Position ]:[Stanowisko / Position ]],0))="n/a","n/a",EU141-INDEX(tab_MinKomp[Konserwacja form guma],MATCH($B141,tab_MinKomp[[Stanowisko / Position ]:[Stanowisko / Position ]],0)))</f>
        <v>-2</v>
      </c>
      <c r="EV142" s="315">
        <f>IF(INDEX(tab_MinKomp[Konserwacja form plastiki],MATCH($B141,tab_MinKomp[[Stanowisko / Position ]:[Stanowisko / Position ]],0))="n/a","n/a",EV141-INDEX(tab_MinKomp[Konserwacja form plastiki],MATCH($B141,tab_MinKomp[[Stanowisko / Position ]:[Stanowisko / Position ]],0)))</f>
        <v>-2</v>
      </c>
      <c r="EW142" s="330">
        <f>IF(INDEX(tab_MinKomp[Konserwacja form plastiki],MATCH($B141,tab_MinKomp[[Stanowisko / Position ]:[Stanowisko / Position ]],0))="n/a","n/a",EW141-INDEX(tab_MinKomp[Konserwacja form plastiki],MATCH($B141,tab_MinKomp[[Stanowisko / Position ]:[Stanowisko / Position ]],0)))</f>
        <v>1</v>
      </c>
      <c r="EX142" s="315">
        <f>IF(INDEX(tab_MinKomp[Konserwacja Gorącego Kanału],MATCH($B141,tab_MinKomp[[Stanowisko / Position ]:[Stanowisko / Position ]],0))="n/a","n/a",EX141-INDEX(tab_MinKomp[Konserwacja Gorącego Kanału],MATCH($B141,tab_MinKomp[[Stanowisko / Position ]:[Stanowisko / Position ]],0)))</f>
        <v>-2</v>
      </c>
      <c r="EY142" s="315">
        <f>IF(INDEX(tab_MinKomp[MS Office (Excel)],MATCH($B141,tab_MinKomp[[Stanowisko / Position ]:[Stanowisko / Position ]],0))="n/a","n/a",EY141-INDEX(tab_MinKomp[MS Office (Excel)],MATCH($B141,tab_MinKomp[[Stanowisko / Position ]:[Stanowisko / Position ]],0)))</f>
        <v>1</v>
      </c>
      <c r="EZ142" s="315">
        <f>IF(INDEX(tab_MinKomp[MS Office (Word)],MATCH($B141,tab_MinKomp[[Stanowisko / Position ]:[Stanowisko / Position ]],0))="n/a","n/a",EZ141-INDEX(tab_MinKomp[MS Office (Word)],MATCH($B141,tab_MinKomp[[Stanowisko / Position ]:[Stanowisko / Position ]],0)))</f>
        <v>1</v>
      </c>
      <c r="FA142" s="315">
        <f>IF(INDEX(tab_MinKomp[MS Office (Power Point)],MATCH($B141,tab_MinKomp[[Stanowisko / Position ]:[Stanowisko / Position ]],0))="n/a","n/a",FA141-INDEX(tab_MinKomp[MS Office (Power Point)],MATCH($B141,tab_MinKomp[[Stanowisko / Position ]:[Stanowisko / Position ]],0)))</f>
        <v>1</v>
      </c>
      <c r="FB142" s="315" t="str">
        <f>IF(INDEX(tab_MinKomp[Język angielski / Englisch],MATCH($B141,tab_MinKomp[[Stanowisko / Position ]:[Stanowisko / Position ]],0))="n/a","n/a",FB141-INDEX(tab_MinKomp[Język angielski / Englisch],MATCH($B141,tab_MinKomp[[Stanowisko / Position ]:[Stanowisko / Position ]],0)))</f>
        <v>n/a</v>
      </c>
      <c r="FC142" s="315" t="str">
        <f>IF(INDEX(tab_MinKomp[Język niemiecki / Deutsch],MATCH($B141,tab_MinKomp[[Stanowisko / Position ]:[Stanowisko / Position ]],0))="n/a","n/a",FC141-INDEX(tab_MinKomp[Język niemiecki / Deutsch],MATCH($B141,tab_MinKomp[[Stanowisko / Position ]:[Stanowisko / Position ]],0)))</f>
        <v>n/a</v>
      </c>
      <c r="FD142" s="315">
        <f>IF(INDEX(tab_MinKomp[Zarządzanie dokumentacją procesową / Process dokumentation management],MATCH($B141,tab_MinKomp[[Stanowisko / Position ]:[Stanowisko / Position ]],0))="n/a","n/a",FD141-INDEX(tab_MinKomp[Zarządzanie dokumentacją procesową / Process dokumentation management],MATCH($B141,tab_MinKomp[[Stanowisko / Position ]:[Stanowisko / Position ]],0)))</f>
        <v>1</v>
      </c>
      <c r="FE142" s="315">
        <f>IF(INDEX(tab_MinKomp[Znajomość procesów z obszaru / Kenntiss der prozesse in dem Bereich],MATCH($B141,tab_MinKomp[[Stanowisko / Position ]:[Stanowisko / Position ]],0))="n/a","n/a",FE141-INDEX(tab_MinKomp[Znajomość procesów z obszaru / Kenntiss der prozesse in dem Bereich],MATCH($B141,tab_MinKomp[[Stanowisko / Position ]:[Stanowisko / Position ]],0)))</f>
        <v>-1</v>
      </c>
      <c r="FF142" s="315">
        <f>IF(INDEX(tab_MinKomp[optymalizacja procesów / Prozessoptymalisierung],MATCH($B141,tab_MinKomp[[Stanowisko / Position ]:[Stanowisko / Position ]],0))="n/a","n/a",FF141-INDEX(tab_MinKomp[optymalizacja procesów / Prozessoptymalisierung],MATCH($B141,tab_MinKomp[[Stanowisko / Position ]:[Stanowisko / Position ]],0)))</f>
        <v>0</v>
      </c>
      <c r="FG142" s="315">
        <f>IF(INDEX(tab_MinKomp[Umiejętności szkoleniowe / Trainingsfähigkeiten],MATCH($B141,tab_MinKomp[[Stanowisko / Position ]:[Stanowisko / Position ]],0))="n/a","n/a",FG141-INDEX(tab_MinKomp[Umiejętności szkoleniowe / Trainingsfähigkeiten],MATCH($B141,tab_MinKomp[[Stanowisko / Position ]:[Stanowisko / Position ]],0)))</f>
        <v>-1</v>
      </c>
      <c r="FH142" s="315">
        <f>IF(INDEX(tab_MinKomp[Analityczne myślenie, podejście / Analitysches Denken, Einstellung],MATCH($B141,tab_MinKomp[[Stanowisko / Position ]:[Stanowisko / Position ]],0))="n/a","n/a",FH141-INDEX(tab_MinKomp[Analityczne myślenie, podejście / Analitysches Denken, Einstellung],MATCH($B141,tab_MinKomp[[Stanowisko / Position ]:[Stanowisko / Position ]],0)))</f>
        <v>0</v>
      </c>
      <c r="FI142" s="315">
        <f>IF(INDEX(tab_MinKomp[Dokładność, precyzja w dzialaniu / Genauigkeit, Präzision in die Arbeit],MATCH($B141,tab_MinKomp[[Stanowisko / Position ]:[Stanowisko / Position ]],0))="n/a","n/a",FI141-INDEX(tab_MinKomp[Dokładność, precyzja w dzialaniu / Genauigkeit, Präzision in die Arbeit],MATCH($B141,tab_MinKomp[[Stanowisko / Position ]:[Stanowisko / Position ]],0)))</f>
        <v>0</v>
      </c>
      <c r="FJ142" s="315">
        <f>IF(INDEX(tab_MinKomp[Dyspozycyjność / Verfügbarkeit],MATCH($B141,tab_MinKomp[[Stanowisko / Position ]:[Stanowisko / Position ]],0))="n/a","n/a",FJ141-INDEX(tab_MinKomp[Dyspozycyjność / Verfügbarkeit],MATCH($B141,tab_MinKomp[[Stanowisko / Position ]:[Stanowisko / Position ]],0)))</f>
        <v>0</v>
      </c>
      <c r="FK142" s="315">
        <f>IF(INDEX(tab_MinKomp[Zaangażowanie / 
Engagement],MATCH($B141,tab_MinKomp[[Stanowisko / Position ]:[Stanowisko / Position ]],0))="n/a","n/a",FK141-INDEX(tab_MinKomp[Zaangażowanie / 
Engagement],MATCH($B141,tab_MinKomp[[Stanowisko / Position ]:[Stanowisko / Position ]],0)))</f>
        <v>0</v>
      </c>
      <c r="FL142" s="315" t="str">
        <f>IF(INDEX(tab_MinKomp[Planowanie strategiczne / Strategische Planung],MATCH($B141,tab_MinKomp[[Stanowisko / Position ]:[Stanowisko / Position ]],0))="n/a","n/a",FL141-INDEX(tab_MinKomp[Planowanie strategiczne / Strategische Planung],MATCH($B141,tab_MinKomp[[Stanowisko / Position ]:[Stanowisko / Position ]],0)))</f>
        <v>n/a</v>
      </c>
      <c r="FM142" s="315">
        <f>IF(INDEX(tab_MinKomp[Konsekwentne i dynamiczne działanie],MATCH($B141,tab_MinKomp[[Stanowisko / Position ]:[Stanowisko / Position ]],0))="n/a","n/a",FM141-INDEX(tab_MinKomp[Konsekwentne i dynamiczne działanie],MATCH($B141,tab_MinKomp[[Stanowisko / Position ]:[Stanowisko / Position ]],0)))</f>
        <v>0</v>
      </c>
      <c r="FN142" s="315">
        <f>IF(INDEX(tab_MinKomp[Elastyczność w działaniu],MATCH($B141,tab_MinKomp[[Stanowisko / Position ]:[Stanowisko / Position ]],0))="n/a","n/a",FN141-INDEX(tab_MinKomp[Elastyczność w działaniu],MATCH($B141,tab_MinKomp[[Stanowisko / Position ]:[Stanowisko / Position ]],0)))</f>
        <v>0</v>
      </c>
      <c r="FO142" s="315">
        <f>IF(INDEX(tab_MinKomp[Komunikatywność],MATCH($B141,tab_MinKomp[[Stanowisko / Position ]:[Stanowisko / Position ]],0))="n/a","n/a",FO141-INDEX(tab_MinKomp[Komunikatywność],MATCH($B141,tab_MinKomp[[Stanowisko / Position ]:[Stanowisko / Position ]],0)))</f>
        <v>0</v>
      </c>
      <c r="FP142" s="315" t="str">
        <f>IF(INDEX(tab_MinKomp[Motywowanie i budowanie zaangażowania zespołu],MATCH($B141,tab_MinKomp[[Stanowisko / Position ]:[Stanowisko / Position ]],0))="n/a","n/a",FP141-INDEX(tab_MinKomp[Motywowanie i budowanie zaangażowania zespołu],MATCH($B141,tab_MinKomp[[Stanowisko / Position ]:[Stanowisko / Position ]],0)))</f>
        <v>n/a</v>
      </c>
      <c r="FQ142" s="318" t="str">
        <f>IFERROR(IF(INDEX(tab_MinKomp[BRAK / Keine],MATCH($B141,tab_MinKomp[[Stanowisko / Position ]:[Stanowisko / Position ]],0))="n/a","n/a",INDEX(tab_MinKomp[BRAK / Keine],MATCH($B141,tab_MinKomp[[Stanowisko / Position ]:[Stanowisko / Position ]],0))-FQ141),"")</f>
        <v>n/a</v>
      </c>
      <c r="FR142" s="315" t="str">
        <f>IF(INDEX(tab_MinKomp[MINIMUM 1 ROK / min. 1 Jahr],MATCH($B141,tab_MinKomp[[Stanowisko / Position ]:[Stanowisko / Position ]],0))="n/a","n/a",INDEX(tab_MinKomp[MINIMUM 1 ROK / min. 1 Jahr],MATCH($B141,tab_MinKomp[[Stanowisko / Position ]:[Stanowisko / Position ]],0)))</f>
        <v>n/a</v>
      </c>
      <c r="FS142" s="315" t="str">
        <f>IF(INDEX(tab_MinKomp[MINIMUM 2 LATA / min. 2 Jahre],MATCH($B141,tab_MinKomp[[Stanowisko / Position ]:[Stanowisko / Position ]],0))="n/a","n/a",INDEX(tab_MinKomp[MINIMUM 2 LATA / min. 2 Jahre],MATCH($B141,tab_MinKomp[[Stanowisko / Position ]:[Stanowisko / Position ]],0)))</f>
        <v>n/a</v>
      </c>
      <c r="FT142" s="315" t="str">
        <f>IF(INDEX(tab_MinKomp[MINIMUM 3 LATA / min. 3 Jahre],MATCH($B141,tab_MinKomp[[Stanowisko / Position ]:[Stanowisko / Position ]],0))="n/a","n/a",INDEX(tab_MinKomp[MINIMUM 3 LATA / min. 3 Jahre],MATCH($B141,tab_MinKomp[[Stanowisko / Position ]:[Stanowisko / Position ]],0)))</f>
        <v>n/a</v>
      </c>
      <c r="FU142" s="315" t="str">
        <f>IF(INDEX(tab_MinKomp[MINIMUM 4 LATA / min. 4 Jahre],MATCH($B141,tab_MinKomp[[Stanowisko / Position ]:[Stanowisko / Position ]],0))="n/a","n/a",INDEX(tab_MinKomp[MINIMUM 4 LATA / min. 4 Jahre],MATCH($B141,tab_MinKomp[[Stanowisko / Position ]:[Stanowisko / Position ]],0)))</f>
        <v>n/a</v>
      </c>
      <c r="FV142" s="319" t="str">
        <f>IF(INDEX(tab_MinKomp[MINIMUM 5 LAT / min. 5 Jahre],MATCH($B141,tab_MinKomp[[Stanowisko / Position ]:[Stanowisko / Position ]],0))="n/a","n/a",INDEX(tab_MinKomp[MINIMUM 5 LAT / min. 5 Jahre],MATCH($B141,tab_MinKomp[[Stanowisko / Position ]:[Stanowisko / Position ]],0)))</f>
        <v>n/a</v>
      </c>
      <c r="FW142" s="318" t="str">
        <f>IF(INDEX(tab_MinKomp[BRAK / Keine9],MATCH($B141,tab_MinKomp[[Stanowisko / Position ]:[Stanowisko / Position ]],0))="n/a","n/a",INDEX(tab_MinKomp[BRAK / Keine9],MATCH($B141,tab_MinKomp[[Stanowisko / Position ]:[Stanowisko / Position ]],0)))</f>
        <v>n/a</v>
      </c>
      <c r="FX142" s="315" t="str">
        <f>IF(INDEX(tab_MinKomp[ZAWODOWE / Berufsausbildung],MATCH($B141,tab_MinKomp[[Stanowisko / Position ]:[Stanowisko / Position ]],0))="n/a","n/a",INDEX(tab_MinKomp[ZAWODOWE / Berufsausbildung],MATCH($B141,tab_MinKomp[[Stanowisko / Position ]:[Stanowisko / Position ]],0)))</f>
        <v>n/a</v>
      </c>
      <c r="FY142" s="315" t="str">
        <f>IF(INDEX(tab_MinKomp[ŚREDNIE OGÓLNE / Abitur allgemeine],MATCH($B141,tab_MinKomp[[Stanowisko / Position ]:[Stanowisko / Position ]],0))="n/a","n/a",INDEX(tab_MinKomp[ŚREDNIE OGÓLNE / Abitur allgemeine],MATCH($B141,tab_MinKomp[[Stanowisko / Position ]:[Stanowisko / Position ]],0)))</f>
        <v>n/a</v>
      </c>
      <c r="FZ142" s="315" t="str">
        <f>IF(INDEX(tab_MinKomp[ŚREDNIE KIERUNKOWE / berufliches Gymnasium],MATCH($B141,tab_MinKomp[[Stanowisko / Position ]:[Stanowisko / Position ]],0))="n/a","n/a",INDEX(tab_MinKomp[ŚREDNIE KIERUNKOWE / berufliches Gymnasium],MATCH($B141,tab_MinKomp[[Stanowisko / Position ]:[Stanowisko / Position ]],0)))</f>
        <v>n/a</v>
      </c>
      <c r="GA142" s="315" t="str">
        <f>IF(INDEX(tab_MinKomp[WYŻSZE OGÓLNE / Hochschule allgemeine],MATCH($B141,tab_MinKomp[[Stanowisko / Position ]:[Stanowisko / Position ]],0))="n/a","n/a",INDEX(tab_MinKomp[WYŻSZE OGÓLNE / Hochschule allgemeine],MATCH($B141,tab_MinKomp[[Stanowisko / Position ]:[Stanowisko / Position ]],0)))</f>
        <v>n/a</v>
      </c>
      <c r="GB142" s="319" t="str">
        <f>IF(INDEX(tab_MinKomp[WYŻSZE KIERUNKOWE / Hochschule berufliche],MATCH($B141,tab_MinKomp[[Stanowisko / Position ]:[Stanowisko / Position ]],0))="n/a","n/a",INDEX(tab_MinKomp[WYŻSZE KIERUNKOWE / Hochschule berufliche],MATCH($B141,tab_MinKomp[[Stanowisko / Position ]:[Stanowisko / Position ]],0)))</f>
        <v>n/a</v>
      </c>
      <c r="GC142" s="318" t="str">
        <f>IF(INDEX(tab_MinKomp[PIERWSZA POMOC / Erste Hilfe],MATCH($B141,tab_MinKomp[[Stanowisko / Position ]:[Stanowisko / Position ]],0))="n/a","n/a",INDEX(tab_MinKomp[PIERWSZA POMOC / Erste Hilfe],MATCH($B141,tab_MinKomp[[Stanowisko / Position ]:[Stanowisko / Position ]],0)))</f>
        <v>n/a</v>
      </c>
      <c r="GD142" s="315" t="str">
        <f>IF(INDEX(tab_MinKomp[Specjalista BHP / BHP Spezialist],MATCH($B141,tab_MinKomp[[Stanowisko / Position ]:[Stanowisko / Position ]],0))="n/a","n/a",INDEX(tab_MinKomp[Specjalista BHP / BHP Spezialist],MATCH($B141,tab_MinKomp[[Stanowisko / Position ]:[Stanowisko / Position ]],0)))</f>
        <v>n/a</v>
      </c>
      <c r="GE142" s="315" t="str">
        <f>IF(INDEX(tab_MinKomp[Inspektor ochrony PPOŻ / Brandschutzinspektor],MATCH($B141,tab_MinKomp[[Stanowisko / Position ]:[Stanowisko / Position ]],0))="n/a","n/a",INDEX(tab_MinKomp[Inspektor ochrony PPOŻ / Brandschutzinspektor],MATCH($B141,tab_MinKomp[[Stanowisko / Position ]:[Stanowisko / Position ]],0)))</f>
        <v>n/a</v>
      </c>
      <c r="GF142" s="315" t="str">
        <f>IF(INDEX(tab_MinKomp[WÓZKI JEZDNIOWE / Gebelstapler],MATCH($B141,tab_MinKomp[[Stanowisko / Position ]:[Stanowisko / Position ]],0))="n/a","n/a",INDEX(tab_MinKomp[WÓZKI JEZDNIOWE / Gebelstapler],MATCH($B141,tab_MinKomp[[Stanowisko / Position ]:[Stanowisko / Position ]],0)))</f>
        <v>x</v>
      </c>
      <c r="GG142" s="315" t="str">
        <f>IF(INDEX(tab_MinKomp[SEP],MATCH($B141,tab_MinKomp[[Stanowisko / Position ]:[Stanowisko / Position ]],0))="n/a","n/a",INDEX(tab_MinKomp[SEP],MATCH($B141,tab_MinKomp[[Stanowisko / Position ]:[Stanowisko / Position ]],0)))</f>
        <v>x</v>
      </c>
      <c r="GH142" s="315" t="str">
        <f>IF(INDEX(tab_MinKomp[SEP  DOZÓR / SEP Aufsicht],MATCH($B141,tab_MinKomp[[Stanowisko / Position ]:[Stanowisko / Position ]],0))="n/a","n/a",INDEX(tab_MinKomp[SEP  DOZÓR / SEP Aufsicht],MATCH($B141,tab_MinKomp[[Stanowisko / Position ]:[Stanowisko / Position ]],0)))</f>
        <v>n/a</v>
      </c>
      <c r="GI142" s="315" t="str">
        <f>IF(INDEX(tab_MinKomp[PODNOŚNIKI / Hebevorrichtung],MATCH($B141,tab_MinKomp[[Stanowisko / Position ]:[Stanowisko / Position ]],0))="n/a","n/a",INDEX(tab_MinKomp[PODNOŚNIKI / Hebevorrichtung],MATCH($B141,tab_MinKomp[[Stanowisko / Position ]:[Stanowisko / Position ]],0)))</f>
        <v>n/a</v>
      </c>
      <c r="GJ142" s="315" t="str">
        <f>IF(INDEX(tab_MinKomp[SUWNICE / Laufkran],MATCH($B141,tab_MinKomp[[Stanowisko / Position ]:[Stanowisko / Position ]],0))="n/a","n/a",INDEX(tab_MinKomp[SUWNICE / Laufkran],MATCH($B141,tab_MinKomp[[Stanowisko / Position ]:[Stanowisko / Position ]],0)))</f>
        <v>x</v>
      </c>
      <c r="GK142" s="319" t="str">
        <f>IF(INDEX(tab_MinKomp[WYSOKOŚCIOWE / Höhenberechtigungen],MATCH($B141,tab_MinKomp[[Stanowisko / Position ]:[Stanowisko / Position ]],0))="n/a","n/a",INDEX(tab_MinKomp[WYSOKOŚCIOWE / Höhenberechtigungen],MATCH($B141,tab_MinKomp[[Stanowisko / Position ]:[Stanowisko / Position ]],0)))</f>
        <v>n/a</v>
      </c>
      <c r="GL142" s="320">
        <f>SUM(G142:FP142)/(GL141-(SUM(G142:FP142)))</f>
        <v>-0.29213483146067415</v>
      </c>
      <c r="GM142" s="132"/>
    </row>
    <row r="143" spans="1:195" s="133" customFormat="1" ht="28.35" customHeight="1" x14ac:dyDescent="0.25">
      <c r="A143" s="138" t="s">
        <v>188</v>
      </c>
      <c r="B143" s="135" t="s">
        <v>207</v>
      </c>
      <c r="C143" s="138" t="str">
        <f t="shared" si="4"/>
        <v>KC</v>
      </c>
      <c r="D143" s="138">
        <v>1591</v>
      </c>
      <c r="E143" s="563" t="s">
        <v>712</v>
      </c>
      <c r="F143" s="307" t="s">
        <v>165</v>
      </c>
      <c r="G143" s="308">
        <v>1</v>
      </c>
      <c r="H143" s="308">
        <v>2</v>
      </c>
      <c r="I143" s="308">
        <v>1</v>
      </c>
      <c r="J143" s="308">
        <v>1</v>
      </c>
      <c r="K143" s="308">
        <v>1</v>
      </c>
      <c r="L143" s="308">
        <v>1</v>
      </c>
      <c r="M143" s="308" t="s">
        <v>176</v>
      </c>
      <c r="N143" s="308" t="s">
        <v>176</v>
      </c>
      <c r="O143" s="308">
        <v>1</v>
      </c>
      <c r="P143" s="308">
        <v>1</v>
      </c>
      <c r="Q143" s="308" t="s">
        <v>176</v>
      </c>
      <c r="R143" s="308" t="s">
        <v>176</v>
      </c>
      <c r="S143" s="308" t="s">
        <v>176</v>
      </c>
      <c r="T143" s="308" t="s">
        <v>176</v>
      </c>
      <c r="U143" s="308" t="s">
        <v>176</v>
      </c>
      <c r="V143" s="308" t="s">
        <v>176</v>
      </c>
      <c r="W143" s="308" t="s">
        <v>176</v>
      </c>
      <c r="X143" s="308" t="s">
        <v>176</v>
      </c>
      <c r="Y143" s="308" t="s">
        <v>176</v>
      </c>
      <c r="Z143" s="308" t="s">
        <v>176</v>
      </c>
      <c r="AA143" s="308" t="s">
        <v>176</v>
      </c>
      <c r="AB143" s="308" t="s">
        <v>176</v>
      </c>
      <c r="AC143" s="308" t="s">
        <v>176</v>
      </c>
      <c r="AD143" s="308" t="s">
        <v>176</v>
      </c>
      <c r="AE143" s="308" t="s">
        <v>176</v>
      </c>
      <c r="AF143" s="308" t="s">
        <v>176</v>
      </c>
      <c r="AG143" s="308" t="s">
        <v>176</v>
      </c>
      <c r="AH143" s="308" t="s">
        <v>176</v>
      </c>
      <c r="AI143" s="308" t="s">
        <v>176</v>
      </c>
      <c r="AJ143" s="308" t="s">
        <v>176</v>
      </c>
      <c r="AK143" s="308" t="s">
        <v>176</v>
      </c>
      <c r="AL143" s="308" t="s">
        <v>176</v>
      </c>
      <c r="AM143" s="308" t="s">
        <v>176</v>
      </c>
      <c r="AN143" s="308" t="s">
        <v>176</v>
      </c>
      <c r="AO143" s="308" t="s">
        <v>176</v>
      </c>
      <c r="AP143" s="308" t="s">
        <v>176</v>
      </c>
      <c r="AQ143" s="308" t="s">
        <v>176</v>
      </c>
      <c r="AR143" s="308" t="s">
        <v>176</v>
      </c>
      <c r="AS143" s="308" t="s">
        <v>176</v>
      </c>
      <c r="AT143" s="308" t="s">
        <v>176</v>
      </c>
      <c r="AU143" s="308" t="s">
        <v>176</v>
      </c>
      <c r="AV143" s="308">
        <v>1</v>
      </c>
      <c r="AW143" s="308">
        <v>1</v>
      </c>
      <c r="AX143" s="308"/>
      <c r="AY143" s="308" t="s">
        <v>176</v>
      </c>
      <c r="AZ143" s="308" t="s">
        <v>176</v>
      </c>
      <c r="BA143" s="308" t="s">
        <v>176</v>
      </c>
      <c r="BB143" s="308" t="s">
        <v>176</v>
      </c>
      <c r="BC143" s="308" t="s">
        <v>176</v>
      </c>
      <c r="BD143" s="308" t="s">
        <v>176</v>
      </c>
      <c r="BE143" s="308" t="s">
        <v>176</v>
      </c>
      <c r="BF143" s="308" t="s">
        <v>176</v>
      </c>
      <c r="BG143" s="308" t="s">
        <v>176</v>
      </c>
      <c r="BH143" s="308" t="s">
        <v>176</v>
      </c>
      <c r="BI143" s="308" t="s">
        <v>176</v>
      </c>
      <c r="BJ143" s="308" t="s">
        <v>176</v>
      </c>
      <c r="BK143" s="308" t="s">
        <v>176</v>
      </c>
      <c r="BL143" s="308" t="s">
        <v>176</v>
      </c>
      <c r="BM143" s="308" t="s">
        <v>176</v>
      </c>
      <c r="BN143" s="308"/>
      <c r="BO143" s="308">
        <v>2</v>
      </c>
      <c r="BP143" s="308" t="s">
        <v>176</v>
      </c>
      <c r="BQ143" s="308" t="s">
        <v>176</v>
      </c>
      <c r="BR143" s="308" t="s">
        <v>176</v>
      </c>
      <c r="BS143" s="308" t="s">
        <v>176</v>
      </c>
      <c r="BT143" s="308"/>
      <c r="BU143" s="308">
        <v>1</v>
      </c>
      <c r="BV143" s="308">
        <v>1</v>
      </c>
      <c r="BW143" s="308" t="s">
        <v>176</v>
      </c>
      <c r="BX143" s="308" t="s">
        <v>176</v>
      </c>
      <c r="BY143" s="308" t="s">
        <v>176</v>
      </c>
      <c r="BZ143" s="308" t="s">
        <v>176</v>
      </c>
      <c r="CA143" s="308" t="s">
        <v>176</v>
      </c>
      <c r="CB143" s="308" t="s">
        <v>176</v>
      </c>
      <c r="CC143" s="308" t="s">
        <v>176</v>
      </c>
      <c r="CD143" s="308" t="s">
        <v>176</v>
      </c>
      <c r="CE143" s="308" t="s">
        <v>176</v>
      </c>
      <c r="CF143" s="308" t="s">
        <v>176</v>
      </c>
      <c r="CG143" s="308" t="s">
        <v>176</v>
      </c>
      <c r="CH143" s="308" t="s">
        <v>176</v>
      </c>
      <c r="CI143" s="308" t="s">
        <v>176</v>
      </c>
      <c r="CJ143" s="308" t="s">
        <v>176</v>
      </c>
      <c r="CK143" s="308" t="s">
        <v>176</v>
      </c>
      <c r="CL143" s="308" t="s">
        <v>176</v>
      </c>
      <c r="CM143" s="308" t="s">
        <v>176</v>
      </c>
      <c r="CN143" s="308"/>
      <c r="CO143" s="308"/>
      <c r="CP143" s="308"/>
      <c r="CQ143" s="308" t="s">
        <v>176</v>
      </c>
      <c r="CR143" s="308" t="s">
        <v>176</v>
      </c>
      <c r="CS143" s="308" t="s">
        <v>176</v>
      </c>
      <c r="CT143" s="308" t="s">
        <v>176</v>
      </c>
      <c r="CU143" s="308">
        <v>1</v>
      </c>
      <c r="CV143" s="308" t="s">
        <v>176</v>
      </c>
      <c r="CW143" s="308" t="s">
        <v>176</v>
      </c>
      <c r="CX143" s="308" t="s">
        <v>176</v>
      </c>
      <c r="CY143" s="308" t="s">
        <v>176</v>
      </c>
      <c r="CZ143" s="308" t="s">
        <v>176</v>
      </c>
      <c r="DA143" s="308" t="s">
        <v>176</v>
      </c>
      <c r="DB143" s="308" t="s">
        <v>176</v>
      </c>
      <c r="DC143" s="308" t="s">
        <v>176</v>
      </c>
      <c r="DD143" s="308" t="s">
        <v>176</v>
      </c>
      <c r="DE143" s="308" t="s">
        <v>176</v>
      </c>
      <c r="DF143" s="308" t="s">
        <v>176</v>
      </c>
      <c r="DG143" s="308" t="s">
        <v>176</v>
      </c>
      <c r="DH143" s="308" t="s">
        <v>176</v>
      </c>
      <c r="DI143" s="308" t="s">
        <v>176</v>
      </c>
      <c r="DJ143" s="308" t="s">
        <v>176</v>
      </c>
      <c r="DK143" s="308" t="s">
        <v>176</v>
      </c>
      <c r="DL143" s="308" t="s">
        <v>176</v>
      </c>
      <c r="DM143" s="308" t="s">
        <v>176</v>
      </c>
      <c r="DN143" s="308" t="s">
        <v>176</v>
      </c>
      <c r="DO143" s="308" t="s">
        <v>176</v>
      </c>
      <c r="DP143" s="308" t="s">
        <v>176</v>
      </c>
      <c r="DQ143" s="308" t="s">
        <v>176</v>
      </c>
      <c r="DR143" s="308" t="s">
        <v>176</v>
      </c>
      <c r="DS143" s="308" t="s">
        <v>176</v>
      </c>
      <c r="DT143" s="308" t="s">
        <v>176</v>
      </c>
      <c r="DU143" s="308" t="s">
        <v>176</v>
      </c>
      <c r="DV143" s="306" t="s">
        <v>176</v>
      </c>
      <c r="DW143" s="306" t="s">
        <v>176</v>
      </c>
      <c r="DX143" s="306" t="s">
        <v>176</v>
      </c>
      <c r="DY143" s="308" t="s">
        <v>176</v>
      </c>
      <c r="DZ143" s="308" t="s">
        <v>176</v>
      </c>
      <c r="EA143" s="308" t="s">
        <v>176</v>
      </c>
      <c r="EB143" s="308" t="s">
        <v>176</v>
      </c>
      <c r="EC143" s="308" t="s">
        <v>176</v>
      </c>
      <c r="ED143" s="308" t="s">
        <v>176</v>
      </c>
      <c r="EE143" s="308" t="s">
        <v>176</v>
      </c>
      <c r="EF143" s="308">
        <v>1</v>
      </c>
      <c r="EG143" s="308">
        <v>1</v>
      </c>
      <c r="EH143" s="308">
        <v>1</v>
      </c>
      <c r="EI143" s="308">
        <v>1</v>
      </c>
      <c r="EJ143" s="308">
        <v>1</v>
      </c>
      <c r="EK143" s="308">
        <v>1</v>
      </c>
      <c r="EL143" s="308"/>
      <c r="EM143" s="308"/>
      <c r="EN143" s="308"/>
      <c r="EO143" s="308">
        <v>2</v>
      </c>
      <c r="EP143" s="308">
        <v>2</v>
      </c>
      <c r="EQ143" s="308"/>
      <c r="ER143" s="308"/>
      <c r="ES143" s="308">
        <v>1</v>
      </c>
      <c r="ET143" s="308">
        <v>1</v>
      </c>
      <c r="EU143" s="308">
        <v>1</v>
      </c>
      <c r="EV143" s="308"/>
      <c r="EW143" s="306">
        <v>2</v>
      </c>
      <c r="EX143" s="308"/>
      <c r="EY143" s="308"/>
      <c r="EZ143" s="308"/>
      <c r="FA143" s="308"/>
      <c r="FB143" s="308" t="s">
        <v>176</v>
      </c>
      <c r="FC143" s="308" t="s">
        <v>176</v>
      </c>
      <c r="FD143" s="308">
        <v>1</v>
      </c>
      <c r="FE143" s="308">
        <v>1</v>
      </c>
      <c r="FF143" s="308"/>
      <c r="FG143" s="308"/>
      <c r="FH143" s="308">
        <v>1</v>
      </c>
      <c r="FI143" s="308">
        <v>1</v>
      </c>
      <c r="FJ143" s="308">
        <v>2</v>
      </c>
      <c r="FK143" s="308">
        <v>1</v>
      </c>
      <c r="FL143" s="308" t="s">
        <v>176</v>
      </c>
      <c r="FM143" s="308">
        <v>1</v>
      </c>
      <c r="FN143" s="308"/>
      <c r="FO143" s="308">
        <v>1</v>
      </c>
      <c r="FP143" s="308" t="s">
        <v>176</v>
      </c>
      <c r="FQ143" s="308" t="s">
        <v>176</v>
      </c>
      <c r="FR143" s="308" t="s">
        <v>176</v>
      </c>
      <c r="FS143" s="308" t="s">
        <v>176</v>
      </c>
      <c r="FT143" s="308" t="s">
        <v>176</v>
      </c>
      <c r="FU143" s="308" t="s">
        <v>176</v>
      </c>
      <c r="FV143" s="308" t="s">
        <v>176</v>
      </c>
      <c r="FW143" s="308" t="s">
        <v>176</v>
      </c>
      <c r="FX143" s="308" t="s">
        <v>176</v>
      </c>
      <c r="FY143" s="308" t="s">
        <v>176</v>
      </c>
      <c r="FZ143" s="308" t="s">
        <v>176</v>
      </c>
      <c r="GA143" s="308" t="s">
        <v>176</v>
      </c>
      <c r="GB143" s="308" t="s">
        <v>176</v>
      </c>
      <c r="GC143" s="308" t="s">
        <v>176</v>
      </c>
      <c r="GD143" s="308" t="s">
        <v>176</v>
      </c>
      <c r="GE143" s="308" t="s">
        <v>176</v>
      </c>
      <c r="GF143" s="333"/>
      <c r="GG143" s="333"/>
      <c r="GH143" s="308" t="s">
        <v>176</v>
      </c>
      <c r="GI143" s="308" t="s">
        <v>176</v>
      </c>
      <c r="GJ143" s="308" t="s">
        <v>387</v>
      </c>
      <c r="GK143" s="308" t="s">
        <v>176</v>
      </c>
      <c r="GL143" s="329">
        <f>SUM(G143:FP143)</f>
        <v>40</v>
      </c>
      <c r="GM143" s="132"/>
    </row>
    <row r="144" spans="1:195" s="133" customFormat="1" ht="28.35" customHeight="1" thickBot="1" x14ac:dyDescent="0.3">
      <c r="A144" s="138" t="s">
        <v>188</v>
      </c>
      <c r="B144" s="135" t="s">
        <v>207</v>
      </c>
      <c r="C144" s="138" t="str">
        <f t="shared" si="4"/>
        <v>KC</v>
      </c>
      <c r="D144" s="138">
        <v>1591</v>
      </c>
      <c r="E144" s="571"/>
      <c r="F144" s="331" t="s">
        <v>166</v>
      </c>
      <c r="G144" s="330">
        <f>IF(INDEX(tab_MinKomp[Przepisy BHP / BHP Vorschriften],MATCH($B143,tab_MinKomp[[Stanowisko / Position ]:[Stanowisko / Position ]],0))="n/a","n/a",G143-INDEX(tab_MinKomp[Przepisy BHP / BHP Vorschriften],MATCH($B143,tab_MinKomp[[Stanowisko / Position ]:[Stanowisko / Position ]],0)))</f>
        <v>-1</v>
      </c>
      <c r="H144" s="330">
        <f>IF(INDEX(tab_MinKomp[Przepisy PPOŻ / Brandschutzbestimmungen],MATCH($B143,tab_MinKomp[[Stanowisko / Position ]:[Stanowisko / Position ]],0))="n/a","n/a",H143-INDEX(tab_MinKomp[Przepisy PPOŻ / Brandschutzbestimmungen],MATCH($B143,tab_MinKomp[[Stanowisko / Position ]:[Stanowisko / Position ]],0)))</f>
        <v>0</v>
      </c>
      <c r="I144" s="330">
        <f>IF(INDEX(tab_MinKomp[Ryzyko zawodowe na stanowiskach pracyv/ Berufliche Risiken an Arbeitsstellen],MATCH($B143,tab_MinKomp[[Stanowisko / Position ]:[Stanowisko / Position ]],0))="n/a","n/a",I143-INDEX(tab_MinKomp[Ryzyko zawodowe na stanowiskach pracyv/ Berufliche Risiken an Arbeitsstellen],MATCH($B143,tab_MinKomp[[Stanowisko / Position ]:[Stanowisko / Position ]],0)))</f>
        <v>-1</v>
      </c>
      <c r="J144" s="314">
        <f>IF(INDEX(tab_MinKomp[Gospodarka substancjami niebezpiecznymi / Gefahrstoffmanagement],MATCH($B143,tab_MinKomp[[Stanowisko / Position ]:[Stanowisko / Position ]],0))="n/a","n/a",J143-INDEX(tab_MinKomp[Gospodarka substancjami niebezpiecznymi / Gefahrstoffmanagement],MATCH($B143,tab_MinKomp[[Stanowisko / Position ]:[Stanowisko / Position ]],0)))</f>
        <v>-1</v>
      </c>
      <c r="K144" s="314">
        <f>IF(INDEX(tab_MinKomp[Gospodarka odpadami / Abfallwirtschaft],MATCH($B143,tab_MinKomp[[Stanowisko / Position ]:[Stanowisko / Position ]],0))="n/a","n/a",K143-INDEX(tab_MinKomp[Gospodarka odpadami / Abfallwirtschaft],MATCH($B143,tab_MinKomp[[Stanowisko / Position ]:[Stanowisko / Position ]],0)))</f>
        <v>-1</v>
      </c>
      <c r="L144" s="315">
        <f>IF(INDEX(tab_MinKomp[Przepisy kodeksu pracy / Bestimmungen des Arbeitsgesetzes],MATCH($B143,tab_MinKomp[[Stanowisko / Position ]:[Stanowisko / Position ]],0))="n/a","n/a",L143-INDEX(tab_MinKomp[Przepisy kodeksu pracy / Bestimmungen des Arbeitsgesetzes],MATCH($B143,tab_MinKomp[[Stanowisko / Position ]:[Stanowisko / Position ]],0)))</f>
        <v>0</v>
      </c>
      <c r="M144" s="316" t="str">
        <f>IF(INDEX(tab_MinKomp[Przepisy o ub.społ. ZUS  / Sozialversicherungsvorschriften],MATCH($B143,tab_MinKomp[[Stanowisko / Position ]:[Stanowisko / Position ]],0))="n/a","n/a",M143-INDEX(tab_MinKomp[Przepisy o ub.społ. ZUS  / Sozialversicherungsvorschriften],MATCH($B143,tab_MinKomp[[Stanowisko / Position ]:[Stanowisko / Position ]],0)))</f>
        <v>n/a</v>
      </c>
      <c r="N144" s="315" t="str">
        <f>IF(INDEX(tab_MinKomp[PRZEPISY O PDOF /persönlich Einkommensteuergesetz ],MATCH($B143,tab_MinKomp[[Stanowisko / Position ]:[Stanowisko / Position ]],0))="n/a","n/a",N143-INDEX(tab_MinKomp[PRZEPISY O PDOF /persönlich Einkommensteuergesetz ],MATCH($B143,tab_MinKomp[[Stanowisko / Position ]:[Stanowisko / Position ]],0)))</f>
        <v>n/a</v>
      </c>
      <c r="O144" s="315">
        <f>IF(INDEX(tab_MinKomp[Regulamin pracy / Arbeitsordnung],MATCH($B143,tab_MinKomp[[Stanowisko / Position ]:[Stanowisko / Position ]],0))="n/a","n/a",O143-INDEX(tab_MinKomp[Regulamin pracy / Arbeitsordnung],MATCH($B143,tab_MinKomp[[Stanowisko / Position ]:[Stanowisko / Position ]],0)))</f>
        <v>0</v>
      </c>
      <c r="P144" s="315">
        <f>IF(INDEX(tab_MinKomp[Regulamin wynagradzania / Vergütungsordnung],MATCH($B143,tab_MinKomp[[Stanowisko / Position ]:[Stanowisko / Position ]],0))="n/a","n/a",P143-INDEX(tab_MinKomp[Regulamin wynagradzania / Vergütungsordnung],MATCH($B143,tab_MinKomp[[Stanowisko / Position ]:[Stanowisko / Position ]],0)))</f>
        <v>0</v>
      </c>
      <c r="Q144" s="315" t="str">
        <f>IF(INDEX(tab_MinKomp[System R2PŁATNIK PRO: Płace / Lohnabrechnung],MATCH($B143,tab_MinKomp[[Stanowisko / Position ]:[Stanowisko / Position ]],0))="n/a","n/a",Q143-INDEX(tab_MinKomp[System R2PŁATNIK PRO: Płace / Lohnabrechnung],MATCH($B143,tab_MinKomp[[Stanowisko / Position ]:[Stanowisko / Position ]],0)))</f>
        <v>n/a</v>
      </c>
      <c r="R144" s="315" t="str">
        <f>IF(INDEX(tab_MinKomp[SystemR2PŁATNIK PRO: KADRY / Personaldaten],MATCH($B143,tab_MinKomp[[Stanowisko / Position ]:[Stanowisko / Position ]],0))="n/a","n/a",R143-INDEX(tab_MinKomp[SystemR2PŁATNIK PRO: KADRY / Personaldaten],MATCH($B143,tab_MinKomp[[Stanowisko / Position ]:[Stanowisko / Position ]],0)))</f>
        <v>n/a</v>
      </c>
      <c r="S144" s="315" t="str">
        <f>IF(INDEX(tab_MinKomp[SYSTEM R2PŁATNIK PRO: zarządzanie pracownikami / Arbeitsverwaltung],MATCH($B143,tab_MinKomp[[Stanowisko / Position ]:[Stanowisko / Position ]],0))="n/a","n/a",S143-INDEX(tab_MinKomp[SYSTEM R2PŁATNIK PRO: zarządzanie pracownikami / Arbeitsverwaltung],MATCH($B143,tab_MinKomp[[Stanowisko / Position ]:[Stanowisko / Position ]],0)))</f>
        <v>n/a</v>
      </c>
      <c r="T144" s="315" t="str">
        <f>IF(INDEX(tab_MinKomp[Doradztwo, wsparcie personalne / Personalberatung und Unterstützung],MATCH($B143,tab_MinKomp[[Stanowisko / Position ]:[Stanowisko / Position ]],0))="n/a","n/a",T143-INDEX(tab_MinKomp[Doradztwo, wsparcie personalne / Personalberatung und Unterstützung],MATCH($B143,tab_MinKomp[[Stanowisko / Position ]:[Stanowisko / Position ]],0)))</f>
        <v>n/a</v>
      </c>
      <c r="U144" s="315" t="str">
        <f>IF(INDEX(tab_MinKomp[Przepisy o podatku VAT / MwSt.- Gesetz],MATCH($B143,tab_MinKomp[[Stanowisko / Position ]:[Stanowisko / Position ]],0))="n/a","n/a",U143-INDEX(tab_MinKomp[Przepisy o podatku VAT / MwSt.- Gesetz],MATCH($B143,tab_MinKomp[[Stanowisko / Position ]:[Stanowisko / Position ]],0)))</f>
        <v>n/a</v>
      </c>
      <c r="V144" s="315" t="str">
        <f>IF(INDEX(tab_MinKomp[PrzepisyPDOP / geschäftlich Einkommensteuergesetz],MATCH($B143,tab_MinKomp[[Stanowisko / Position ]:[Stanowisko / Position ]],0))="n/a","n/a",V143-INDEX(tab_MinKomp[PrzepisyPDOP / geschäftlich Einkommensteuergesetz],MATCH($B143,tab_MinKomp[[Stanowisko / Position ]:[Stanowisko / Position ]],0)))</f>
        <v>n/a</v>
      </c>
      <c r="W144" s="315" t="str">
        <f>IF(INDEX(tab_MinKomp[System BAAN / FINANSE (FIBU)],MATCH($B143,tab_MinKomp[[Stanowisko / Position ]:[Stanowisko / Position ]],0))="n/a","n/a",W143-INDEX(tab_MinKomp[System BAAN / FINANSE (FIBU)],MATCH($B143,tab_MinKomp[[Stanowisko / Position ]:[Stanowisko / Position ]],0)))</f>
        <v>n/a</v>
      </c>
      <c r="X144" s="315" t="str">
        <f>IF(INDEX(tab_MinKomp[Systemy pomocnicze / Hilfssysteme(STOCKPROGRAM, KALK2000 etc.)],MATCH($B143,tab_MinKomp[[Stanowisko / Position ]:[Stanowisko / Position ]],0))="n/a","n/a",X143-INDEX(tab_MinKomp[Systemy pomocnicze / Hilfssysteme(STOCKPROGRAM, KALK2000 etc.)],MATCH($B143,tab_MinKomp[[Stanowisko / Position ]:[Stanowisko / Position ]],0)))</f>
        <v>n/a</v>
      </c>
      <c r="Y144" s="315" t="str">
        <f>IF(INDEX(tab_MinKomp[Polityka rachunkowości / Buchführungspolitik],MATCH($B143,tab_MinKomp[[Stanowisko / Position ]:[Stanowisko / Position ]],0))="n/a","n/a",Y143-INDEX(tab_MinKomp[Polityka rachunkowości / Buchführungspolitik],MATCH($B143,tab_MinKomp[[Stanowisko / Position ]:[Stanowisko / Position ]],0)))</f>
        <v>n/a</v>
      </c>
      <c r="Z144" s="315" t="str">
        <f>IF(INDEX(tab_MinKomp[Ustawa o rachunkowości / Rechnungslegungsgesetz],MATCH($B143,tab_MinKomp[[Stanowisko / Position ]:[Stanowisko / Position ]],0))="n/a","n/a",Z143-INDEX(tab_MinKomp[Ustawa o rachunkowości / Rechnungslegungsgesetz],MATCH($B143,tab_MinKomp[[Stanowisko / Position ]:[Stanowisko / Position ]],0)))</f>
        <v>n/a</v>
      </c>
      <c r="AA144" s="315" t="str">
        <f>IF(INDEX(tab_MinKomp[WORKFLOW - TS-100],MATCH($B143,tab_MinKomp[[Stanowisko / Position ]:[Stanowisko / Position ]],0))="n/a","n/a",AA143-INDEX(tab_MinKomp[WORKFLOW - TS-100],MATCH($B143,tab_MinKomp[[Stanowisko / Position ]:[Stanowisko / Position ]],0)))</f>
        <v>n/a</v>
      </c>
      <c r="AB144" s="315" t="str">
        <f>IF(INDEX(tab_MinKomp[WORKFLOW - SFMS],MATCH($B143,tab_MinKomp[[Stanowisko / Position ]:[Stanowisko / Position ]],0))="n/a","n/a",AB143-INDEX(tab_MinKomp[WORKFLOW - SFMS],MATCH($B143,tab_MinKomp[[Stanowisko / Position ]:[Stanowisko / Position ]],0)))</f>
        <v>n/a</v>
      </c>
      <c r="AC144" s="315" t="str">
        <f>IF(INDEX(tab_MinKomp[System ISO 9001:2015],MATCH($B143,tab_MinKomp[[Stanowisko / Position ]:[Stanowisko / Position ]],0))="n/a","n/a",AC143-INDEX(tab_MinKomp[System ISO 9001:2015],MATCH($B143,tab_MinKomp[[Stanowisko / Position ]:[Stanowisko / Position ]],0)))</f>
        <v>n/a</v>
      </c>
      <c r="AD144" s="315" t="str">
        <f>IF(INDEX(tab_MinKomp[System IATF 16949:2016],MATCH($B143,tab_MinKomp[[Stanowisko / Position ]:[Stanowisko / Position ]],0))="n/a","n/a",AD143-INDEX(tab_MinKomp[System IATF 16949:2016],MATCH($B143,tab_MinKomp[[Stanowisko / Position ]:[Stanowisko / Position ]],0)))</f>
        <v>n/a</v>
      </c>
      <c r="AE144" s="315" t="str">
        <f>IF(INDEX(tab_MinKomp[System ISO 14001:2015],MATCH($B143,tab_MinKomp[[Stanowisko / Position ]:[Stanowisko / Position ]],0))="n/a","n/a",AE143-INDEX(tab_MinKomp[System ISO 14001:2015],MATCH($B143,tab_MinKomp[[Stanowisko / Position ]:[Stanowisko / Position ]],0)))</f>
        <v>n/a</v>
      </c>
      <c r="AF144" s="315" t="str">
        <f>IF(INDEX(tab_MinKomp[System PN-N 18001:2004 / ISO 45001:2018],MATCH($B143,tab_MinKomp[[Stanowisko / Position ]:[Stanowisko / Position ]],0))="n/a","n/a",AF143-INDEX(tab_MinKomp[System PN-N 18001:2004 / ISO 45001:2018],MATCH($B143,tab_MinKomp[[Stanowisko / Position ]:[Stanowisko / Position ]],0)))</f>
        <v>n/a</v>
      </c>
      <c r="AG144" s="315" t="str">
        <f>IF(INDEX(tab_MinKomp[Wymagania VDA 6.3 Process / Forderungen],MATCH($B143,tab_MinKomp[[Stanowisko / Position ]:[Stanowisko / Position ]],0))="n/a","n/a",AG143-INDEX(tab_MinKomp[Wymagania VDA 6.3 Process / Forderungen],MATCH($B143,tab_MinKomp[[Stanowisko / Position ]:[Stanowisko / Position ]],0)))</f>
        <v>n/a</v>
      </c>
      <c r="AH144" s="315" t="str">
        <f>IF(INDEX(tab_MinKomp[Wymagania VDA 6.5 Product / Forderungen],MATCH($B143,tab_MinKomp[[Stanowisko / Position ]:[Stanowisko / Position ]],0))="n/a","n/a",AH143-INDEX(tab_MinKomp[Wymagania VDA 6.5 Product / Forderungen],MATCH($B143,tab_MinKomp[[Stanowisko / Position ]:[Stanowisko / Position ]],0)))</f>
        <v>n/a</v>
      </c>
      <c r="AI144" s="315" t="str">
        <f>IF(INDEX(tab_MinKomp[PSCR (VW Product Safety &amp; Conformity Representative)],MATCH($B143,tab_MinKomp[[Stanowisko / Position ]:[Stanowisko / Position ]],0))="n/a","n/a",AI143-INDEX(tab_MinKomp[PSCR (VW Product Safety &amp; Conformity Representative)],MATCH($B143,tab_MinKomp[[Stanowisko / Position ]:[Stanowisko / Position ]],0)))</f>
        <v>n/a</v>
      </c>
      <c r="AJ144" s="315" t="str">
        <f>IF(INDEX(tab_MinKomp[Auditor systemu ISO 17025:2018],MATCH($B143,tab_MinKomp[[Stanowisko / Position ]:[Stanowisko / Position ]],0))="n/a","n/a",AJ143-INDEX(tab_MinKomp[Auditor systemu ISO 17025:2018],MATCH($B143,tab_MinKomp[[Stanowisko / Position ]:[Stanowisko / Position ]],0)))</f>
        <v>n/a</v>
      </c>
      <c r="AK144" s="315" t="str">
        <f>IF(INDEX(tab_MinKomp[Pełnomocnik systemu / Systemvertreter],MATCH($B143,tab_MinKomp[[Stanowisko / Position ]:[Stanowisko / Position ]],0))="n/a","n/a",AK143-INDEX(tab_MinKomp[Pełnomocnik systemu / Systemvertreter],MATCH($B143,tab_MinKomp[[Stanowisko / Position ]:[Stanowisko / Position ]],0)))</f>
        <v>n/a</v>
      </c>
      <c r="AL144" s="315" t="str">
        <f>IF(INDEX(tab_MinKomp[Polityka Etyczna - Compliance],MATCH($B143,tab_MinKomp[[Stanowisko / Position ]:[Stanowisko / Position ]],0))="n/a","n/a",AL143-INDEX(tab_MinKomp[Polityka Etyczna - Compliance],MATCH($B143,tab_MinKomp[[Stanowisko / Position ]:[Stanowisko / Position ]],0)))</f>
        <v>n/a</v>
      </c>
      <c r="AM144" s="315" t="str">
        <f>IF(INDEX(tab_MinKomp[WDRAŻANIE NOWYCH PROJEKTÓW/ PROCEDURA CTM],MATCH($B143,tab_MinKomp[[Stanowisko / Position ]:[Stanowisko / Position ]],0))="n/a","n/a",AM143-INDEX(tab_MinKomp[WDRAŻANIE NOWYCH PROJEKTÓW/ PROCEDURA CTM],MATCH($B143,tab_MinKomp[[Stanowisko / Position ]:[Stanowisko / Position ]],0)))</f>
        <v>n/a</v>
      </c>
      <c r="AN144" s="315" t="str">
        <f>IF(INDEX(tab_MinKomp[KAMIENIE MILOWE MSL/PIFF],MATCH($B143,tab_MinKomp[[Stanowisko / Position ]:[Stanowisko / Position ]],0))="n/a","n/a",AN143-INDEX(tab_MinKomp[KAMIENIE MILOWE MSL/PIFF],MATCH($B143,tab_MinKomp[[Stanowisko / Position ]:[Stanowisko / Position ]],0)))</f>
        <v>n/a</v>
      </c>
      <c r="AO144" s="315" t="str">
        <f>IF(INDEX(tab_MinKomp[CP],MATCH($B143,tab_MinKomp[[Stanowisko / Position ]:[Stanowisko / Position ]],0))="n/a","n/a",AO143-INDEX(tab_MinKomp[CP],MATCH($B143,tab_MinKomp[[Stanowisko / Position ]:[Stanowisko / Position ]],0)))</f>
        <v>n/a</v>
      </c>
      <c r="AP144" s="315" t="str">
        <f>IF(INDEX(tab_MinKomp[FMEA],MATCH($B143,tab_MinKomp[[Stanowisko / Position ]:[Stanowisko / Position ]],0))="n/a","n/a",AP143-INDEX(tab_MinKomp[FMEA],MATCH($B143,tab_MinKomp[[Stanowisko / Position ]:[Stanowisko / Position ]],0)))</f>
        <v>n/a</v>
      </c>
      <c r="AQ144" s="315" t="str">
        <f>IF(INDEX(tab_MinKomp[FLOW CHART],MATCH($B143,tab_MinKomp[[Stanowisko / Position ]:[Stanowisko / Position ]],0))="n/a","n/a",AQ143-INDEX(tab_MinKomp[FLOW CHART],MATCH($B143,tab_MinKomp[[Stanowisko / Position ]:[Stanowisko / Position ]],0)))</f>
        <v>n/a</v>
      </c>
      <c r="AR144" s="315" t="str">
        <f>IF(INDEX(tab_MinKomp[APQP],MATCH($B143,tab_MinKomp[[Stanowisko / Position ]:[Stanowisko / Position ]],0))="n/a","n/a",AR143-INDEX(tab_MinKomp[APQP],MATCH($B143,tab_MinKomp[[Stanowisko / Position ]:[Stanowisko / Position ]],0)))</f>
        <v>n/a</v>
      </c>
      <c r="AS144" s="315" t="str">
        <f>IF(INDEX(tab_MinKomp[MSA],MATCH($B143,tab_MinKomp[[Stanowisko / Position ]:[Stanowisko / Position ]],0))="n/a","n/a",AS143-INDEX(tab_MinKomp[MSA],MATCH($B143,tab_MinKomp[[Stanowisko / Position ]:[Stanowisko / Position ]],0)))</f>
        <v>n/a</v>
      </c>
      <c r="AT144" s="315" t="str">
        <f>IF(INDEX(tab_MinKomp[SPC],MATCH($B143,tab_MinKomp[[Stanowisko / Position ]:[Stanowisko / Position ]],0))="n/a","n/a",AT143-INDEX(tab_MinKomp[SPC],MATCH($B143,tab_MinKomp[[Stanowisko / Position ]:[Stanowisko / Position ]],0)))</f>
        <v>n/a</v>
      </c>
      <c r="AU144" s="315" t="str">
        <f>IF(INDEX(tab_MinKomp[CSR (SPECYFICZNE WYMAGANIA KLIENTA)],MATCH($B143,tab_MinKomp[[Stanowisko / Position ]:[Stanowisko / Position ]],0))="n/a","n/a",AU143-INDEX(tab_MinKomp[CSR (SPECYFICZNE WYMAGANIA KLIENTA)],MATCH($B143,tab_MinKomp[[Stanowisko / Position ]:[Stanowisko / Position ]],0)))</f>
        <v>n/a</v>
      </c>
      <c r="AV144" s="315">
        <f>IF(INDEX(tab_MinKomp[5S],MATCH($B143,tab_MinKomp[[Stanowisko / Position ]:[Stanowisko / Position ]],0))="n/a","n/a",AV143-INDEX(tab_MinKomp[5S],MATCH($B143,tab_MinKomp[[Stanowisko / Position ]:[Stanowisko / Position ]],0)))</f>
        <v>-1</v>
      </c>
      <c r="AW144" s="315">
        <f>IF(INDEX(tab_MinKomp[LEAN MANAGEMENT],MATCH($B143,tab_MinKomp[[Stanowisko / Position ]:[Stanowisko / Position ]],0))="n/a","n/a",AW143-INDEX(tab_MinKomp[LEAN MANAGEMENT],MATCH($B143,tab_MinKomp[[Stanowisko / Position ]:[Stanowisko / Position ]],0)))</f>
        <v>0</v>
      </c>
      <c r="AX144" s="315">
        <f>IF(INDEX(tab_MinKomp[5R],MATCH($B143,tab_MinKomp[[Stanowisko / Position ]:[Stanowisko / Position ]],0))="n/a","n/a",AX143-INDEX(tab_MinKomp[5R],MATCH($B143,tab_MinKomp[[Stanowisko / Position ]:[Stanowisko / Position ]],0)))</f>
        <v>-1</v>
      </c>
      <c r="AY144" s="315" t="str">
        <f>IF(INDEX(tab_MinKomp[Six Sigma],MATCH($B143,tab_MinKomp[[Stanowisko / Position ]:[Stanowisko / Position ]],0))="n/a","n/a",AY143-INDEX(tab_MinKomp[Six Sigma],MATCH($B143,tab_MinKomp[[Stanowisko / Position ]:[Stanowisko / Position ]],0)))</f>
        <v>n/a</v>
      </c>
      <c r="AZ144" s="315" t="str">
        <f>IF(INDEX(tab_MinKomp[System BAAN / Distribution &amp; Supply Chain],MATCH($B143,tab_MinKomp[[Stanowisko / Position ]:[Stanowisko / Position ]],0))="n/a","n/a",AZ143-INDEX(tab_MinKomp[System BAAN / Distribution &amp; Supply Chain],MATCH($B143,tab_MinKomp[[Stanowisko / Position ]:[Stanowisko / Position ]],0)))</f>
        <v>n/a</v>
      </c>
      <c r="BA144" s="315" t="str">
        <f>IF(INDEX(tab_MinKomp[Gospodarka magazynowa / Lagerverwaltung],MATCH($B143,tab_MinKomp[[Stanowisko / Position ]:[Stanowisko / Position ]],0))="n/a","n/a",BA143-INDEX(tab_MinKomp[Gospodarka magazynowa / Lagerverwaltung],MATCH($B143,tab_MinKomp[[Stanowisko / Position ]:[Stanowisko / Position ]],0)))</f>
        <v>n/a</v>
      </c>
      <c r="BB144" s="315" t="str">
        <f>IF(INDEX(tab_MinKomp[Inwentaryzacja - organizacja i przebieg / Inventurprozess],MATCH($B143,tab_MinKomp[[Stanowisko / Position ]:[Stanowisko / Position ]],0))="n/a","n/a",BB143-INDEX(tab_MinKomp[Inwentaryzacja - organizacja i przebieg / Inventurprozess],MATCH($B143,tab_MinKomp[[Stanowisko / Position ]:[Stanowisko / Position ]],0)))</f>
        <v>n/a</v>
      </c>
      <c r="BC144" s="315" t="str">
        <f>IF(INDEX(tab_MinKomp[Organizacja dostaw / Versorgungsorganisation],MATCH($B143,tab_MinKomp[[Stanowisko / Position ]:[Stanowisko / Position ]],0))="n/a","n/a",BC143-INDEX(tab_MinKomp[Organizacja dostaw / Versorgungsorganisation],MATCH($B143,tab_MinKomp[[Stanowisko / Position ]:[Stanowisko / Position ]],0)))</f>
        <v>n/a</v>
      </c>
      <c r="BD144" s="315" t="str">
        <f>IF(INDEX(tab_MinKomp[Organizacja wysyłek / Organisation von Lieferungen],MATCH($B143,tab_MinKomp[[Stanowisko / Position ]:[Stanowisko / Position ]],0))="n/a","n/a",BD143-INDEX(tab_MinKomp[Organizacja wysyłek / Organisation von Lieferungen],MATCH($B143,tab_MinKomp[[Stanowisko / Position ]:[Stanowisko / Position ]],0)))</f>
        <v>n/a</v>
      </c>
      <c r="BE144" s="315" t="str">
        <f>IF(INDEX(tab_MinKomp[Analiza magazynowa - Program Polen.mdb / Inventuranalyse],MATCH($B143,tab_MinKomp[[Stanowisko / Position ]:[Stanowisko / Position ]],0))="n/a","n/a",BE143-INDEX(tab_MinKomp[Analiza magazynowa - Program Polen.mdb / Inventuranalyse],MATCH($B143,tab_MinKomp[[Stanowisko / Position ]:[Stanowisko / Position ]],0)))</f>
        <v>n/a</v>
      </c>
      <c r="BF144" s="315" t="str">
        <f>IF(INDEX(tab_MinKomp[MMOG (Materials Management Operations Guidelines)],MATCH($B143,tab_MinKomp[[Stanowisko / Position ]:[Stanowisko / Position ]],0))="n/a","n/a",BF143-INDEX(tab_MinKomp[MMOG (Materials Management Operations Guidelines)],MATCH($B143,tab_MinKomp[[Stanowisko / Position ]:[Stanowisko / Position ]],0)))</f>
        <v>n/a</v>
      </c>
      <c r="BG144" s="315" t="str">
        <f>IF(INDEX(tab_MinKomp[DETC],MATCH($B143,tab_MinKomp[[Stanowisko / Position ]:[Stanowisko / Position ]],0))="n/a","n/a",BG143-INDEX(tab_MinKomp[DETC],MATCH($B143,tab_MinKomp[[Stanowisko / Position ]:[Stanowisko / Position ]],0)))</f>
        <v>n/a</v>
      </c>
      <c r="BH144" s="315" t="str">
        <f>IF(INDEX(tab_MinKomp[GPP],MATCH($B143,tab_MinKomp[[Stanowisko / Position ]:[Stanowisko / Position ]],0))="n/a","n/a",BH143-INDEX(tab_MinKomp[GPP],MATCH($B143,tab_MinKomp[[Stanowisko / Position ]:[Stanowisko / Position ]],0)))</f>
        <v>n/a</v>
      </c>
      <c r="BI144" s="315" t="str">
        <f>IF(INDEX(tab_MinKomp[AIAG (Automotive Industry Action Group)],MATCH($B143,tab_MinKomp[[Stanowisko / Position ]:[Stanowisko / Position ]],0))="n/a","n/a",BI143-INDEX(tab_MinKomp[AIAG (Automotive Industry Action Group)],MATCH($B143,tab_MinKomp[[Stanowisko / Position ]:[Stanowisko / Position ]],0)))</f>
        <v>n/a</v>
      </c>
      <c r="BJ144" s="315" t="str">
        <f>IF(INDEX(tab_MinKomp[Super-G disputes],MATCH($B143,tab_MinKomp[[Stanowisko / Position ]:[Stanowisko / Position ]],0))="n/a","n/a",BJ143-INDEX(tab_MinKomp[Super-G disputes],MATCH($B143,tab_MinKomp[[Stanowisko / Position ]:[Stanowisko / Position ]],0)))</f>
        <v>n/a</v>
      </c>
      <c r="BK144" s="315" t="str">
        <f>IF(INDEX(tab_MinKomp[CMMS3/eDDL (Direct Data Link)],MATCH($B143,tab_MinKomp[[Stanowisko / Position ]:[Stanowisko / Position ]],0))="n/a","n/a",BK143-INDEX(tab_MinKomp[CMMS3/eDDL (Direct Data Link)],MATCH($B143,tab_MinKomp[[Stanowisko / Position ]:[Stanowisko / Position ]],0)))</f>
        <v>n/a</v>
      </c>
      <c r="BL144" s="315" t="str">
        <f>IF(INDEX(tab_MinKomp[MP&amp;L (Material Planning and Logistics)],MATCH($B143,tab_MinKomp[[Stanowisko / Position ]:[Stanowisko / Position ]],0))="n/a","n/a",BL143-INDEX(tab_MinKomp[MP&amp;L (Material Planning and Logistics)],MATCH($B143,tab_MinKomp[[Stanowisko / Position ]:[Stanowisko / Position ]],0)))</f>
        <v>n/a</v>
      </c>
      <c r="BM144" s="315" t="str">
        <f>IF(INDEX(tab_MinKomp[Planowanie produkcji / Produktionsplanung],MATCH($B143,tab_MinKomp[[Stanowisko / Position ]:[Stanowisko / Position ]],0))="n/a","n/a",BM143-INDEX(tab_MinKomp[Planowanie produkcji / Produktionsplanung],MATCH($B143,tab_MinKomp[[Stanowisko / Position ]:[Stanowisko / Position ]],0)))</f>
        <v>n/a</v>
      </c>
      <c r="BN144" s="315">
        <f>IF(INDEX(tab_MinKomp[Obsługa maszyn Engel / Engel Maschinenbedienung],MATCH($B143,tab_MinKomp[[Stanowisko / Position ]:[Stanowisko / Position ]],0))="n/a","n/a",BN143-INDEX(tab_MinKomp[Obsługa maszyn Engel / Engel Maschinenbedienung],MATCH($B143,tab_MinKomp[[Stanowisko / Position ]:[Stanowisko / Position ]],0)))</f>
        <v>-2</v>
      </c>
      <c r="BO144" s="315">
        <f>IF(INDEX(tab_MinKomp[Obsługa maszyn Novapax / Novapax Maschinenbedienung],MATCH($B143,tab_MinKomp[[Stanowisko / Position ]:[Stanowisko / Position ]],0))="n/a","n/a",BO143-INDEX(tab_MinKomp[Obsługa maszyn Novapax / Novapax Maschinenbedienung],MATCH($B143,tab_MinKomp[[Stanowisko / Position ]:[Stanowisko / Position ]],0)))</f>
        <v>0</v>
      </c>
      <c r="BP144" s="315" t="str">
        <f>IF(INDEX(tab_MinKomp[Obsługa maszyn KVT / KVT Maschinenbedienung],MATCH($B143,tab_MinKomp[[Stanowisko / Position ]:[Stanowisko / Position ]],0))="n/a","n/a",BP143-INDEX(tab_MinKomp[Obsługa maszyn KVT / KVT Maschinenbedienung],MATCH($B143,tab_MinKomp[[Stanowisko / Position ]:[Stanowisko / Position ]],0)))</f>
        <v>n/a</v>
      </c>
      <c r="BQ144" s="315" t="str">
        <f>IF(INDEX(tab_MinKomp[Obsługa maszyn ASL / ASL Maschinenbedienung],MATCH($B143,tab_MinKomp[[Stanowisko / Position ]:[Stanowisko / Position ]],0))="n/a","n/a",BQ143-INDEX(tab_MinKomp[Obsługa maszyn ASL / ASL Maschinenbedienung],MATCH($B143,tab_MinKomp[[Stanowisko / Position ]:[Stanowisko / Position ]],0)))</f>
        <v>n/a</v>
      </c>
      <c r="BR144" s="315" t="str">
        <f>IF(INDEX(tab_MinKomp[Obsługa maszyn Branson / Branson Maschinenbedienung],MATCH($B143,tab_MinKomp[[Stanowisko / Position ]:[Stanowisko / Position ]],0))="n/a","n/a",BR143-INDEX(tab_MinKomp[Obsługa maszyn Branson / Branson Maschinenbedienung],MATCH($B143,tab_MinKomp[[Stanowisko / Position ]:[Stanowisko / Position ]],0)))</f>
        <v>n/a</v>
      </c>
      <c r="BS144" s="315" t="str">
        <f>IF(INDEX(tab_MinKomp[Obsługa maszyn Kamtec / Kamtec Maschinenbedienung],MATCH($B143,tab_MinKomp[[Stanowisko / Position ]:[Stanowisko / Position ]],0))="n/a","n/a",BS143-INDEX(tab_MinKomp[Obsługa maszyn Kamtec / Kamtec Maschinenbedienung],MATCH($B143,tab_MinKomp[[Stanowisko / Position ]:[Stanowisko / Position ]],0)))</f>
        <v>n/a</v>
      </c>
      <c r="BT144" s="315">
        <f>IF(INDEX(tab_MinKomp[Obsługa maszyn Piovan / Piovan Maschinenbedienung],MATCH($B143,tab_MinKomp[[Stanowisko / Position ]:[Stanowisko / Position ]],0))="n/a","n/a",BT143-INDEX(tab_MinKomp[Obsługa maszyn Piovan / Piovan Maschinenbedienung],MATCH($B143,tab_MinKomp[[Stanowisko / Position ]:[Stanowisko / Position ]],0)))</f>
        <v>-1</v>
      </c>
      <c r="BU144" s="315">
        <f>IF(INDEX(tab_MinKomp[Obsługa maszyn REP / REP Maschinenbedienung],MATCH($B143,tab_MinKomp[[Stanowisko / Position ]:[Stanowisko / Position ]],0))="n/a","n/a",BU143-INDEX(tab_MinKomp[Obsługa maszyn REP / REP Maschinenbedienung],MATCH($B143,tab_MinKomp[[Stanowisko / Position ]:[Stanowisko / Position ]],0)))</f>
        <v>-1</v>
      </c>
      <c r="BV144" s="315">
        <f>IF(INDEX(tab_MinKomp[Eliminacja awarii / Beseitigung von Ausfällen],MATCH($B143,tab_MinKomp[[Stanowisko / Position ]:[Stanowisko / Position ]],0))="n/a","n/a",BV143-INDEX(tab_MinKomp[Eliminacja awarii / Beseitigung von Ausfällen],MATCH($B143,tab_MinKomp[[Stanowisko / Position ]:[Stanowisko / Position ]],0)))</f>
        <v>-1</v>
      </c>
      <c r="BW144" s="315" t="str">
        <f>IF(INDEX(tab_MinKomp[Informatyka ogólna (techniczne i systemowe) / Allgemeine IT (Technik und System)],MATCH($B143,tab_MinKomp[[Stanowisko / Position ]:[Stanowisko / Position ]],0))="n/a","n/a",BW143-INDEX(tab_MinKomp[Informatyka ogólna (techniczne i systemowe) / Allgemeine IT (Technik und System)],MATCH($B143,tab_MinKomp[[Stanowisko / Position ]:[Stanowisko / Position ]],0)))</f>
        <v>n/a</v>
      </c>
      <c r="BX144" s="315" t="str">
        <f>IF(INDEX(tab_MinKomp[Sieci komputerowe / Computernetzwerke],MATCH($B143,tab_MinKomp[[Stanowisko / Position ]:[Stanowisko / Position ]],0))="n/a","n/a",BX143-INDEX(tab_MinKomp[Sieci komputerowe / Computernetzwerke],MATCH($B143,tab_MinKomp[[Stanowisko / Position ]:[Stanowisko / Position ]],0)))</f>
        <v>n/a</v>
      </c>
      <c r="BY144" s="315" t="str">
        <f>IF(INDEX(tab_MinKomp[Hardware (komputery PC, drukarki biurowe i etykietowe, telefonia stacjonarna i mobilna) (PC, Drucker, Telefpne, Handys)],MATCH($B143,tab_MinKomp[[Stanowisko / Position ]:[Stanowisko / Position ]],0))="n/a","n/a",BY143-INDEX(tab_MinKomp[Hardware (komputery PC, drukarki biurowe i etykietowe, telefonia stacjonarna i mobilna) (PC, Drucker, Telefpne, Handys)],MATCH($B143,tab_MinKomp[[Stanowisko / Position ]:[Stanowisko / Position ]],0)))</f>
        <v>n/a</v>
      </c>
      <c r="BZ144" s="315" t="str">
        <f>IF(INDEX(tab_MinKomp[Software &amp; Systems (MS Office, MS Remote Desktop)],MATCH($B143,tab_MinKomp[[Stanowisko / Position ]:[Stanowisko / Position ]],0))="n/a","n/a",BZ143-INDEX(tab_MinKomp[Software &amp; Systems (MS Office, MS Remote Desktop)],MATCH($B143,tab_MinKomp[[Stanowisko / Position ]:[Stanowisko / Position ]],0)))</f>
        <v>n/a</v>
      </c>
      <c r="CA144" s="315" t="str">
        <f>IF(INDEX(tab_MinKomp[Programowanie obiektowe (PHP) / Objektprogrammierung],MATCH($B143,tab_MinKomp[[Stanowisko / Position ]:[Stanowisko / Position ]],0))="n/a","n/a",CA143-INDEX(tab_MinKomp[Programowanie obiektowe (PHP) / Objektprogrammierung],MATCH($B143,tab_MinKomp[[Stanowisko / Position ]:[Stanowisko / Position ]],0)))</f>
        <v>n/a</v>
      </c>
      <c r="CB144" s="315" t="str">
        <f>IF(INDEX(tab_MinKomp[Scrum],MATCH($B143,tab_MinKomp[[Stanowisko / Position ]:[Stanowisko / Position ]],0))="n/a","n/a",CB143-INDEX(tab_MinKomp[Scrum],MATCH($B143,tab_MinKomp[[Stanowisko / Position ]:[Stanowisko / Position ]],0)))</f>
        <v>n/a</v>
      </c>
      <c r="CC144" s="315" t="str">
        <f>IF(INDEX(tab_MinKomp[SQL (MySQL)],MATCH($B143,tab_MinKomp[[Stanowisko / Position ]:[Stanowisko / Position ]],0))="n/a","n/a",CC143-INDEX(tab_MinKomp[SQL (MySQL)],MATCH($B143,tab_MinKomp[[Stanowisko / Position ]:[Stanowisko / Position ]],0)))</f>
        <v>n/a</v>
      </c>
      <c r="CD144" s="315" t="str">
        <f>IF(INDEX(tab_MinKomp[Javascript],MATCH($B143,tab_MinKomp[[Stanowisko / Position ]:[Stanowisko / Position ]],0))="n/a","n/a",CD143-INDEX(tab_MinKomp[Javascript],MATCH($B143,tab_MinKomp[[Stanowisko / Position ]:[Stanowisko / Position ]],0)))</f>
        <v>n/a</v>
      </c>
      <c r="CE144" s="315" t="str">
        <f>IF(INDEX(tab_MinKomp[Joomla],MATCH($B143,tab_MinKomp[[Stanowisko / Position ]:[Stanowisko / Position ]],0))="n/a","n/a",CE143-INDEX(tab_MinKomp[Joomla],MATCH($B143,tab_MinKomp[[Stanowisko / Position ]:[Stanowisko / Position ]],0)))</f>
        <v>n/a</v>
      </c>
      <c r="CF144" s="315" t="str">
        <f>IF(INDEX(tab_MinKomp[Bash],MATCH($B143,tab_MinKomp[[Stanowisko / Position ]:[Stanowisko / Position ]],0))="n/a","n/a",CF143-INDEX(tab_MinKomp[Bash],MATCH($B143,tab_MinKomp[[Stanowisko / Position ]:[Stanowisko / Position ]],0)))</f>
        <v>n/a</v>
      </c>
      <c r="CG144" s="315" t="str">
        <f>IF(INDEX(tab_MinKomp[Systemy MES (HYDRA / SFMS)],MATCH($B143,tab_MinKomp[[Stanowisko / Position ]:[Stanowisko / Position ]],0))="n/a","n/a",CG143-INDEX(tab_MinKomp[Systemy MES (HYDRA / SFMS)],MATCH($B143,tab_MinKomp[[Stanowisko / Position ]:[Stanowisko / Position ]],0)))</f>
        <v>n/a</v>
      </c>
      <c r="CH144" s="315" t="str">
        <f>IF(INDEX(tab_MinKomp[HTML / CSS],MATCH($B143,tab_MinKomp[[Stanowisko / Position ]:[Stanowisko / Position ]],0))="n/a","n/a",CH143-INDEX(tab_MinKomp[HTML / CSS],MATCH($B143,tab_MinKomp[[Stanowisko / Position ]:[Stanowisko / Position ]],0)))</f>
        <v>n/a</v>
      </c>
      <c r="CI144" s="315" t="str">
        <f>IF(INDEX(tab_MinKomp[SYSTEM PR],MATCH($B143,tab_MinKomp[[Stanowisko / Position ]:[Stanowisko / Position ]],0))="n/a","n/a",CI143-INDEX(tab_MinKomp[SYSTEM PR],MATCH($B143,tab_MinKomp[[Stanowisko / Position ]:[Stanowisko / Position ]],0)))</f>
        <v>n/a</v>
      </c>
      <c r="CJ144" s="315" t="str">
        <f>IF(INDEX(tab_MinKomp[System Einkauf XP / EBA],MATCH($B143,tab_MinKomp[[Stanowisko / Position ]:[Stanowisko / Position ]],0))="n/a","n/a",CJ143-INDEX(tab_MinKomp[System Einkauf XP / EBA],MATCH($B143,tab_MinKomp[[Stanowisko / Position ]:[Stanowisko / Position ]],0)))</f>
        <v>n/a</v>
      </c>
      <c r="CK144" s="315" t="str">
        <f>IF(INDEX(tab_MinKomp[Techniki negocjacyjne / Verhandlungstechniken],MATCH($B143,tab_MinKomp[[Stanowisko / Position ]:[Stanowisko / Position ]],0))="n/a","n/a",CK143-INDEX(tab_MinKomp[Techniki negocjacyjne / Verhandlungstechniken],MATCH($B143,tab_MinKomp[[Stanowisko / Position ]:[Stanowisko / Position ]],0)))</f>
        <v>n/a</v>
      </c>
      <c r="CL144" s="315" t="str">
        <f>IF(INDEX(tab_MinKomp[Znajomość rynku branżowego / Kenntnis des Industrie Marktes],MATCH($B143,tab_MinKomp[[Stanowisko / Position ]:[Stanowisko / Position ]],0))="n/a","n/a",CL143-INDEX(tab_MinKomp[Znajomość rynku branżowego / Kenntnis des Industrie Marktes],MATCH($B143,tab_MinKomp[[Stanowisko / Position ]:[Stanowisko / Position ]],0)))</f>
        <v>n/a</v>
      </c>
      <c r="CM144" s="315" t="str">
        <f>IF(INDEX(tab_MinKomp[RAPORTY 8D / 8D Berichten],MATCH($B143,tab_MinKomp[[Stanowisko / Position ]:[Stanowisko / Position ]],0))="n/a","n/a",CM143-INDEX(tab_MinKomp[RAPORTY 8D / 8D Berichten],MATCH($B143,tab_MinKomp[[Stanowisko / Position ]:[Stanowisko / Position ]],0)))</f>
        <v>n/a</v>
      </c>
      <c r="CN144" s="315">
        <f>IF(INDEX(tab_MinKomp[NARZĘDZIA JAKOŚCIOWE (5WHY, Ishikawa, etc) / QS-Werkzeuge],MATCH($B143,tab_MinKomp[[Stanowisko / Position ]:[Stanowisko / Position ]],0))="n/a","n/a",CN143-INDEX(tab_MinKomp[NARZĘDZIA JAKOŚCIOWE (5WHY, Ishikawa, etc) / QS-Werkzeuge],MATCH($B143,tab_MinKomp[[Stanowisko / Position ]:[Stanowisko / Position ]],0)))</f>
        <v>-1</v>
      </c>
      <c r="CO144" s="315">
        <f>IF(INDEX(tab_MinKomp[PDCA],MATCH($B143,tab_MinKomp[[Stanowisko / Position ]:[Stanowisko / Position ]],0))="n/a","n/a",CO143-INDEX(tab_MinKomp[PDCA],MATCH($B143,tab_MinKomp[[Stanowisko / Position ]:[Stanowisko / Position ]],0)))</f>
        <v>-1</v>
      </c>
      <c r="CP144" s="315">
        <f>IF(INDEX(tab_MinKomp[Pareto],MATCH($B143,tab_MinKomp[[Stanowisko / Position ]:[Stanowisko / Position ]],0))="n/a","n/a",CP143-INDEX(tab_MinKomp[Pareto],MATCH($B143,tab_MinKomp[[Stanowisko / Position ]:[Stanowisko / Position ]],0)))</f>
        <v>-1</v>
      </c>
      <c r="CQ144" s="315" t="str">
        <f>IF(INDEX(tab_MinKomp[PPAP/PSW],MATCH($B143,tab_MinKomp[[Stanowisko / Position ]:[Stanowisko / Position ]],0))="n/a","n/a",CQ143-INDEX(tab_MinKomp[PPAP/PSW],MATCH($B143,tab_MinKomp[[Stanowisko / Position ]:[Stanowisko / Position ]],0)))</f>
        <v>n/a</v>
      </c>
      <c r="CR144" s="315" t="str">
        <f>IF(INDEX(tab_MinKomp[SUPPLIER MANAGEMENT],MATCH($B143,tab_MinKomp[[Stanowisko / Position ]:[Stanowisko / Position ]],0))="n/a","n/a",CR143-INDEX(tab_MinKomp[SUPPLIER MANAGEMENT],MATCH($B143,tab_MinKomp[[Stanowisko / Position ]:[Stanowisko / Position ]],0)))</f>
        <v>n/a</v>
      </c>
      <c r="CS144" s="315" t="str">
        <f>IF(INDEX(tab_MinKomp[OBSŁUGA PORTALI KLIENTA / Kundenportale],MATCH($B143,tab_MinKomp[[Stanowisko / Position ]:[Stanowisko / Position ]],0))="n/a","n/a",CS143-INDEX(tab_MinKomp[OBSŁUGA PORTALI KLIENTA / Kundenportale],MATCH($B143,tab_MinKomp[[Stanowisko / Position ]:[Stanowisko / Position ]],0)))</f>
        <v>n/a</v>
      </c>
      <c r="CT144" s="315" t="str">
        <f>IF(INDEX(tab_MinKomp[Obsługa systemu BABTECQ / BABTECQ System],MATCH($B143,tab_MinKomp[[Stanowisko / Position ]:[Stanowisko / Position ]],0))="n/a","n/a",CT143-INDEX(tab_MinKomp[Obsługa systemu BABTECQ / BABTECQ System],MATCH($B143,tab_MinKomp[[Stanowisko / Position ]:[Stanowisko / Position ]],0)))</f>
        <v>n/a</v>
      </c>
      <c r="CU144" s="315">
        <f>IF(INDEX(tab_MinKomp[Rysunek techniczny / technische Zeichnung],MATCH($B143,tab_MinKomp[[Stanowisko / Position ]:[Stanowisko / Position ]],0))="n/a","n/a",CU143-INDEX(tab_MinKomp[Rysunek techniczny / technische Zeichnung],MATCH($B143,tab_MinKomp[[Stanowisko / Position ]:[Stanowisko / Position ]],0)))</f>
        <v>-1</v>
      </c>
      <c r="CV144" s="315" t="str">
        <f>IF(INDEX(tab_MinKomp[Kalibracja / Kalibrierung],MATCH($B143,tab_MinKomp[[Stanowisko / Position ]:[Stanowisko / Position ]],0))="n/a","n/a",CV143-INDEX(tab_MinKomp[Kalibracja / Kalibrierung],MATCH($B143,tab_MinKomp[[Stanowisko / Position ]:[Stanowisko / Position ]],0)))</f>
        <v>n/a</v>
      </c>
      <c r="CW144" s="315" t="str">
        <f>IF(INDEX(tab_MinKomp[Rekwalifikacja / Requalifizierung],MATCH($B143,tab_MinKomp[[Stanowisko / Position ]:[Stanowisko / Position ]],0))="n/a","n/a",CW143-INDEX(tab_MinKomp[Rekwalifikacja / Requalifizierung],MATCH($B143,tab_MinKomp[[Stanowisko / Position ]:[Stanowisko / Position ]],0)))</f>
        <v>n/a</v>
      </c>
      <c r="CX144" s="315" t="str">
        <f>IF(INDEX(tab_MinKomp[Obsługa mikroskopu optycznego / Bedienung eines optischen Mikroskops],MATCH($B143,tab_MinKomp[[Stanowisko / Position ]:[Stanowisko / Position ]],0))="n/a","n/a",CX143-INDEX(tab_MinKomp[Obsługa mikroskopu optycznego / Bedienung eines optischen Mikroskops],MATCH($B143,tab_MinKomp[[Stanowisko / Position ]:[Stanowisko / Position ]],0)))</f>
        <v>n/a</v>
      </c>
      <c r="CY144" s="315" t="str">
        <f>IF(INDEX(tab_MinKomp[Wykonywanie pomiarów optycznych - ocena wizualna / Optische Messungen durchführen – visuelle Beurteilung],MATCH($B143,tab_MinKomp[[Stanowisko / Position ]:[Stanowisko / Position ]],0))="n/a","n/a",CY143-INDEX(tab_MinKomp[Wykonywanie pomiarów optycznych - ocena wizualna / Optische Messungen durchführen – visuelle Beurteilung],MATCH($B143,tab_MinKomp[[Stanowisko / Position ]:[Stanowisko / Position ]],0)))</f>
        <v>n/a</v>
      </c>
      <c r="CZ144" s="315" t="str">
        <f>IF(INDEX(tab_MinKomp[Obsługa Rheometra / Rheometra-Unterstützung],MATCH($B143,tab_MinKomp[[Stanowisko / Position ]:[Stanowisko / Position ]],0))="n/a","n/a",CZ143-INDEX(tab_MinKomp[Obsługa Rheometra / Rheometra-Unterstützung],MATCH($B143,tab_MinKomp[[Stanowisko / Position ]:[Stanowisko / Position ]],0)))</f>
        <v>n/a</v>
      </c>
      <c r="DA144" s="315" t="str">
        <f>IF(INDEX(tab_MinKomp[Testy właściwości Rheometra mieszanki gumy],MATCH($B143,tab_MinKomp[[Stanowisko / Position ]:[Stanowisko / Position ]],0))="n/a","n/a",DA143-INDEX(tab_MinKomp[Testy właściwości Rheometra mieszanki gumy],MATCH($B143,tab_MinKomp[[Stanowisko / Position ]:[Stanowisko / Position ]],0)))</f>
        <v>n/a</v>
      </c>
      <c r="DB144" s="315" t="str">
        <f>IF(INDEX(tab_MinKomp[CMM - Contura Zeiss],MATCH($B143,tab_MinKomp[[Stanowisko / Position ]:[Stanowisko / Position ]],0))="n/a","n/a",DB143-INDEX(tab_MinKomp[CMM - Contura Zeiss],MATCH($B143,tab_MinKomp[[Stanowisko / Position ]:[Stanowisko / Position ]],0)))</f>
        <v>n/a</v>
      </c>
      <c r="DC144" s="315" t="str">
        <f>IF(INDEX(tab_MinKomp[Wykonywanie precyzyjnych pomiarów metrycznych, pomiary 3D],MATCH($B143,tab_MinKomp[[Stanowisko / Position ]:[Stanowisko / Position ]],0))="n/a","n/a",DC143-INDEX(tab_MinKomp[Wykonywanie precyzyjnych pomiarów metrycznych, pomiary 3D],MATCH($B143,tab_MinKomp[[Stanowisko / Position ]:[Stanowisko / Position ]],0)))</f>
        <v>n/a</v>
      </c>
      <c r="DD144" s="315" t="str">
        <f>IF(INDEX(tab_MinKomp[Pisanie programów / Programme schreiben],MATCH($B143,tab_MinKomp[[Stanowisko / Position ]:[Stanowisko / Position ]],0))="n/a","n/a",DD143-INDEX(tab_MinKomp[Pisanie programów / Programme schreiben],MATCH($B143,tab_MinKomp[[Stanowisko / Position ]:[Stanowisko / Position ]],0)))</f>
        <v>n/a</v>
      </c>
      <c r="DE144" s="315" t="str">
        <f>IF(INDEX(tab_MinKomp[Obsługa wyposażenia do testów czystości (myjka + analizator) / Betrieb von Sauberkeitsprüfgeräten (Waschmaschine + Analysegerät)],MATCH($B143,tab_MinKomp[[Stanowisko / Position ]:[Stanowisko / Position ]],0))="n/a","n/a",DE143-INDEX(tab_MinKomp[Obsługa wyposażenia do testów czystości (myjka + analizator) / Betrieb von Sauberkeitsprüfgeräten (Waschmaschine + Analysegerät)],MATCH($B143,tab_MinKomp[[Stanowisko / Position ]:[Stanowisko / Position ]],0)))</f>
        <v>n/a</v>
      </c>
      <c r="DF144" s="315" t="str">
        <f>IF(INDEX(tab_MinKomp[Testy czystości / Reinheitstests],MATCH($B143,tab_MinKomp[[Stanowisko / Position ]:[Stanowisko / Position ]],0))="n/a","n/a",DF143-INDEX(tab_MinKomp[Testy czystości / Reinheitstests],MATCH($B143,tab_MinKomp[[Stanowisko / Position ]:[Stanowisko / Position ]],0)))</f>
        <v>n/a</v>
      </c>
      <c r="DG144" s="315" t="str">
        <f>IF(INDEX(tab_MinKomp[Obsługa wysokościomierza / Unterstützung für Höhenmesser],MATCH($B143,tab_MinKomp[[Stanowisko / Position ]:[Stanowisko / Position ]],0))="n/a","n/a",DG143-INDEX(tab_MinKomp[Obsługa wysokościomierza / Unterstützung für Höhenmesser],MATCH($B143,tab_MinKomp[[Stanowisko / Position ]:[Stanowisko / Position ]],0)))</f>
        <v>n/a</v>
      </c>
      <c r="DH144" s="315" t="str">
        <f>IF(INDEX(tab_MinKomp[Pomiary wysokości materiału / Materialhöhenmessungen],MATCH($B143,tab_MinKomp[[Stanowisko / Position ]:[Stanowisko / Position ]],0))="n/a","n/a",DH143-INDEX(tab_MinKomp[Pomiary wysokości materiału / Materialhöhenmessungen],MATCH($B143,tab_MinKomp[[Stanowisko / Position ]:[Stanowisko / Position ]],0)))</f>
        <v>n/a</v>
      </c>
      <c r="DI144" s="315" t="str">
        <f>IF(INDEX(tab_MinKomp[Obsługa okrągłościomierza / Unterstützung für Rundheitsmessgeräte],MATCH($B143,tab_MinKomp[[Stanowisko / Position ]:[Stanowisko / Position ]],0))="n/a","n/a",DI143-INDEX(tab_MinKomp[Obsługa okrągłościomierza / Unterstützung für Rundheitsmessgeräte],MATCH($B143,tab_MinKomp[[Stanowisko / Position ]:[Stanowisko / Position ]],0)))</f>
        <v>n/a</v>
      </c>
      <c r="DJ144" s="315" t="str">
        <f>IF(INDEX(tab_MinKomp[Wykonywania pomiarów owalności, srednicy materiału / Messung der Ovalität und des Durchmessers des Materials],MATCH($B143,tab_MinKomp[[Stanowisko / Position ]:[Stanowisko / Position ]],0))="n/a","n/a",DJ143-INDEX(tab_MinKomp[Wykonywania pomiarów owalności, srednicy materiału / Messung der Ovalität und des Durchmessers des Materials],MATCH($B143,tab_MinKomp[[Stanowisko / Position ]:[Stanowisko / Position ]],0)))</f>
        <v>n/a</v>
      </c>
      <c r="DK144" s="315" t="str">
        <f>IF(INDEX(tab_MinKomp[Obsługa urządzenia do pomiarów chropowoatości powierzchni materiału],MATCH($B143,tab_MinKomp[[Stanowisko / Position ]:[Stanowisko / Position ]],0))="n/a","n/a",DK143-INDEX(tab_MinKomp[Obsługa urządzenia do pomiarów chropowoatości powierzchni materiału],MATCH($B143,tab_MinKomp[[Stanowisko / Position ]:[Stanowisko / Position ]],0)))</f>
        <v>n/a</v>
      </c>
      <c r="DL144" s="315" t="str">
        <f>IF(INDEX(tab_MinKomp[Wykonywanie pomiarów chropowatości powierzchni materiału / Durchführung von Messungen der Materialoberflächenrauheit],MATCH($B143,tab_MinKomp[[Stanowisko / Position ]:[Stanowisko / Position ]],0))="n/a","n/a",DL143-INDEX(tab_MinKomp[Wykonywanie pomiarów chropowatości powierzchni materiału / Durchführung von Messungen der Materialoberflächenrauheit],MATCH($B143,tab_MinKomp[[Stanowisko / Position ]:[Stanowisko / Position ]],0)))</f>
        <v>n/a</v>
      </c>
      <c r="DM144" s="315" t="str">
        <f>IF(INDEX(tab_MinKomp[Obsługa urządzenia do pomiaru siły radialnej części - postępowanie z trzpieniami. / Funktionsweise des Geräts zur Messung der Radialkraft von Teilen – Handhabungsstifte.],MATCH($B143,tab_MinKomp[[Stanowisko / Position ]:[Stanowisko / Position ]],0))="n/a","n/a",DM143-INDEX(tab_MinKomp[Obsługa urządzenia do pomiaru siły radialnej części - postępowanie z trzpieniami. / Funktionsweise des Geräts zur Messung der Radialkraft von Teilen – Handhabungsstifte.],MATCH($B143,tab_MinKomp[[Stanowisko / Position ]:[Stanowisko / Position ]],0)))</f>
        <v>n/a</v>
      </c>
      <c r="DN144" s="315" t="str">
        <f>IF(INDEX(tab_MinKomp[Wykonywanie pomiarów siły radialnej części / Führen Sie Radialkraftmessungen an Teilen durch],MATCH($B143,tab_MinKomp[[Stanowisko / Position ]:[Stanowisko / Position ]],0))="n/a","n/a",DN143-INDEX(tab_MinKomp[Wykonywanie pomiarów siły radialnej części / Führen Sie Radialkraftmessungen an Teilen durch],MATCH($B143,tab_MinKomp[[Stanowisko / Position ]:[Stanowisko / Position ]],0)))</f>
        <v>n/a</v>
      </c>
      <c r="DO144" s="315" t="str">
        <f>IF(INDEX(tab_MinKomp[Obsługa komory do testów wybuchwych / Betrieb einer Explosionsprüfkammer],MATCH($B143,tab_MinKomp[[Stanowisko / Position ]:[Stanowisko / Position ]],0))="n/a","n/a",DO143-INDEX(tab_MinKomp[Obsługa komory do testów wybuchwych / Betrieb einer Explosionsprüfkammer],MATCH($B143,tab_MinKomp[[Stanowisko / Position ]:[Stanowisko / Position ]],0)))</f>
        <v>n/a</v>
      </c>
      <c r="DP144" s="315" t="str">
        <f>IF(INDEX(tab_MinKomp[Wykonywanie testów wybuchowych części / Durchführung von Explosionstests an Teilen],MATCH($B143,tab_MinKomp[[Stanowisko / Position ]:[Stanowisko / Position ]],0))="n/a","n/a",DP143-INDEX(tab_MinKomp[Wykonywanie testów wybuchowych części / Durchführung von Explosionstests an Teilen],MATCH($B143,tab_MinKomp[[Stanowisko / Position ]:[Stanowisko / Position ]],0)))</f>
        <v>n/a</v>
      </c>
      <c r="DQ144" s="315" t="str">
        <f>IF(INDEX(tab_MinKomp[Obsługa urządzeń do mierzenia siły trzymania i/lub rozciągania / Betrieb von Geräten zur Messung der Halte- und/oder Dehnkraft],MATCH($B143,tab_MinKomp[[Stanowisko / Position ]:[Stanowisko / Position ]],0))="n/a","n/a",DQ143-INDEX(tab_MinKomp[Obsługa urządzeń do mierzenia siły trzymania i/lub rozciągania / Betrieb von Geräten zur Messung der Halte- und/oder Dehnkraft],MATCH($B143,tab_MinKomp[[Stanowisko / Position ]:[Stanowisko / Position ]],0)))</f>
        <v>n/a</v>
      </c>
      <c r="DR144" s="315" t="str">
        <f>IF(INDEX(tab_MinKomp[Wykonywanie testów mierzenia siły trzymania i/lub rozciągania / Durchführung von Tests zur Messung der Halte- und/oder Streckkraft],MATCH($B143,tab_MinKomp[[Stanowisko / Position ]:[Stanowisko / Position ]],0))="n/a","n/a",DR143-INDEX(tab_MinKomp[Wykonywanie testów mierzenia siły trzymania i/lub rozciągania / Durchführung von Tests zur Messung der Halte- und/oder Streckkraft],MATCH($B143,tab_MinKomp[[Stanowisko / Position ]:[Stanowisko / Position ]],0)))</f>
        <v>n/a</v>
      </c>
      <c r="DS144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Luftstrom)],MATCH($B143,tab_MinKomp[[Stanowisko / Position ]:[Stanowisko / Position ]],0))="n/a","n/a",DS143-INDEX(tab_MinKomp[Obsługa multimetru do pomiarów środowiskowych (temperatura, wilgotność, hałas, oświetlenie, przepływ powietrza) / Betrieb eines Multimeters für Umweltmessungen (Temperatur, Luftfeuchtigkeit, Lärm, Beleuchtung, Luftstrom)],MATCH($B143,tab_MinKomp[[Stanowisko / Position ]:[Stanowisko / Position ]],0)))</f>
        <v>n/a</v>
      </c>
      <c r="DT144" s="315" t="str">
        <f>IF(INDEX(tab_MinKomp[Kontrola warunków środowiskowych pracy (temperatura, wilgotność, hałas, oświetlenie, przepływ powietrza) / Kontrolle der Arbeitsumgebungsbedingungen (Temperatur, Luftfeuchtigkeit, Lärm, Beleuchtung, Luftstrom)],MATCH($B143,tab_MinKomp[[Stanowisko / Position ]:[Stanowisko / Position ]],0))="n/a","n/a",DT143-INDEX(tab_MinKomp[Kontrola warunków środowiskowych pracy (temperatura, wilgotność, hałas, oświetlenie, przepływ powietrza) / Kontrolle der Arbeitsumgebungsbedingungen (Temperatur, Luftfeuchtigkeit, Lärm, Beleuchtung, Luftstrom)],MATCH($B143,tab_MinKomp[[Stanowisko / Position ]:[Stanowisko / Position ]],0)))</f>
        <v>n/a</v>
      </c>
      <c r="DU144" s="315" t="str">
        <f>IF(INDEX(tab_MinKomp[MSA i SPC],MATCH($B143,tab_MinKomp[[Stanowisko / Position ]:[Stanowisko / Position ]],0))="n/a","n/a",DU143-INDEX(tab_MinKomp[MSA i SPC],MATCH($B143,tab_MinKomp[[Stanowisko / Position ]:[Stanowisko / Position ]],0)))</f>
        <v>n/a</v>
      </c>
      <c r="DV144" s="315" t="str">
        <f>IF(INDEX(tab_MinKomp[Kontrola wejściowa komponentów/ Eingangskontrolle],MATCH($B143,tab_MinKomp[[Stanowisko / Position ]:[Stanowisko / Position ]],0))="n/a","n/a",DV143-INDEX(tab_MinKomp[Kontrola wejściowa komponentów/ Eingangskontrolle],MATCH($B143,tab_MinKomp[[Stanowisko / Position ]:[Stanowisko / Position ]],0)))</f>
        <v>n/a</v>
      </c>
      <c r="DW144" s="315" t="str">
        <f>IF(INDEX(tab_MinKomp[Kontrola wyjściowa produktu / Ausgangskontrolle],MATCH($B143,tab_MinKomp[[Stanowisko / Position ]:[Stanowisko / Position ]],0))="n/a","n/a",DW143-INDEX(tab_MinKomp[Kontrola wyjściowa produktu / Ausgangskontrolle],MATCH($B143,tab_MinKomp[[Stanowisko / Position ]:[Stanowisko / Position ]],0)))</f>
        <v>n/a</v>
      </c>
      <c r="DX144" s="315" t="str">
        <f>IF(INDEX(tab_MinKomp[Kontrola codzienna produkcji / Tägliche Produktionskontrolle],MATCH($B143,tab_MinKomp[[Stanowisko / Position ]:[Stanowisko / Position ]],0))="n/a","n/a",DX143-INDEX(tab_MinKomp[Kontrola codzienna produkcji / Tägliche Produktionskontrolle],MATCH($B143,tab_MinKomp[[Stanowisko / Position ]:[Stanowisko / Position ]],0)))</f>
        <v>n/a</v>
      </c>
      <c r="DY144" s="315" t="str">
        <f>IF(INDEX(tab_MinKomp[Konserwacja Rep],MATCH($B143,tab_MinKomp[[Stanowisko / Position ]:[Stanowisko / Position ]],0))="n/a","n/a",DY143-INDEX(tab_MinKomp[Konserwacja Rep],MATCH($B143,tab_MinKomp[[Stanowisko / Position ]:[Stanowisko / Position ]],0)))</f>
        <v>n/a</v>
      </c>
      <c r="DZ144" s="315" t="str">
        <f>IF(INDEX(tab_MinKomp[[Konserwacja Engel ]],MATCH($B143,tab_MinKomp[[Stanowisko / Position ]:[Stanowisko / Position ]],0))="n/a","n/a",DZ143-INDEX(tab_MinKomp[[Konserwacja Engel ]],MATCH($B143,tab_MinKomp[[Stanowisko / Position ]:[Stanowisko / Position ]],0)))</f>
        <v>n/a</v>
      </c>
      <c r="EA144" s="315" t="str">
        <f>IF(INDEX(tab_MinKomp[Konserwacja B 50],MATCH($B143,tab_MinKomp[[Stanowisko / Position ]:[Stanowisko / Position ]],0))="n/a","n/a",EA143-INDEX(tab_MinKomp[Konserwacja B 50],MATCH($B143,tab_MinKomp[[Stanowisko / Position ]:[Stanowisko / Position ]],0)))</f>
        <v>n/a</v>
      </c>
      <c r="EB144" s="315" t="str">
        <f>IF(INDEX(tab_MinKomp[[Konserwacja EOL ]],MATCH($B143,tab_MinKomp[[Stanowisko / Position ]:[Stanowisko / Position ]],0))="n/a","n/a",EB143-INDEX(tab_MinKomp[[Konserwacja EOL ]],MATCH($B143,tab_MinKomp[[Stanowisko / Position ]:[Stanowisko / Position ]],0)))</f>
        <v>n/a</v>
      </c>
      <c r="EC144" s="315" t="str">
        <f>IF(INDEX(tab_MinKomp[Konserwacja Branson],MATCH($B143,tab_MinKomp[[Stanowisko / Position ]:[Stanowisko / Position ]],0))="n/a","n/a",EC143-INDEX(tab_MinKomp[Konserwacja Branson],MATCH($B143,tab_MinKomp[[Stanowisko / Position ]:[Stanowisko / Position ]],0)))</f>
        <v>n/a</v>
      </c>
      <c r="ED144" s="315" t="str">
        <f>IF(INDEX(tab_MinKomp[Konserwacja coolery],MATCH($B143,tab_MinKomp[[Stanowisko / Position ]:[Stanowisko / Position ]],0))="n/a","n/a",ED143-INDEX(tab_MinKomp[Konserwacja coolery],MATCH($B143,tab_MinKomp[[Stanowisko / Position ]:[Stanowisko / Position ]],0)))</f>
        <v>n/a</v>
      </c>
      <c r="EE144" s="315" t="str">
        <f>IF(INDEX(tab_MinKomp[Konserwacja piecy],MATCH($B143,tab_MinKomp[[Stanowisko / Position ]:[Stanowisko / Position ]],0))="n/a","n/a",EE143-INDEX(tab_MinKomp[Konserwacja piecy],MATCH($B143,tab_MinKomp[[Stanowisko / Position ]:[Stanowisko / Position ]],0)))</f>
        <v>n/a</v>
      </c>
      <c r="EF144" s="315">
        <f>IF(INDEX(tab_MinKomp[Rysunek techniczny- czytanie],MATCH($B143,tab_MinKomp[[Stanowisko / Position ]:[Stanowisko / Position ]],0))="n/a","n/a",EF143-INDEX(tab_MinKomp[Rysunek techniczny- czytanie],MATCH($B143,tab_MinKomp[[Stanowisko / Position ]:[Stanowisko / Position ]],0)))</f>
        <v>-1</v>
      </c>
      <c r="EG144" s="315">
        <f>IF(INDEX(tab_MinKomp[Elektryka],MATCH($B143,tab_MinKomp[[Stanowisko / Position ]:[Stanowisko / Position ]],0))="n/a","n/a",EG143-INDEX(tab_MinKomp[Elektryka],MATCH($B143,tab_MinKomp[[Stanowisko / Position ]:[Stanowisko / Position ]],0)))</f>
        <v>-1</v>
      </c>
      <c r="EH144" s="315">
        <f>IF(INDEX(tab_MinKomp[Pneumatyka],MATCH($B143,tab_MinKomp[[Stanowisko / Position ]:[Stanowisko / Position ]],0))="n/a","n/a",EH143-INDEX(tab_MinKomp[Pneumatyka],MATCH($B143,tab_MinKomp[[Stanowisko / Position ]:[Stanowisko / Position ]],0)))</f>
        <v>-1</v>
      </c>
      <c r="EI144" s="315">
        <f>IF(INDEX(tab_MinKomp[[Hydraulika ]],MATCH($B143,tab_MinKomp[[Stanowisko / Position ]:[Stanowisko / Position ]],0))="n/a","n/a",EI143-INDEX(tab_MinKomp[[Hydraulika ]],MATCH($B143,tab_MinKomp[[Stanowisko / Position ]:[Stanowisko / Position ]],0)))</f>
        <v>-1</v>
      </c>
      <c r="EJ144" s="315">
        <f>IF(INDEX(tab_MinKomp[Podciśnienie],MATCH($B143,tab_MinKomp[[Stanowisko / Position ]:[Stanowisko / Position ]],0))="n/a","n/a",EJ143-INDEX(tab_MinKomp[Podciśnienie],MATCH($B143,tab_MinKomp[[Stanowisko / Position ]:[Stanowisko / Position ]],0)))</f>
        <v>-1</v>
      </c>
      <c r="EK144" s="315">
        <f>IF(INDEX(tab_MinKomp[Usuwanie awarii],MATCH($B143,tab_MinKomp[[Stanowisko / Position ]:[Stanowisko / Position ]],0))="n/a","n/a",EK143-INDEX(tab_MinKomp[Usuwanie awarii],MATCH($B143,tab_MinKomp[[Stanowisko / Position ]:[Stanowisko / Position ]],0)))</f>
        <v>-1</v>
      </c>
      <c r="EL144" s="315">
        <f>IF(INDEX(tab_MinKomp[Obsługa robotów],MATCH($B143,tab_MinKomp[[Stanowisko / Position ]:[Stanowisko / Position ]],0))="n/a","n/a",EL143-INDEX(tab_MinKomp[Obsługa robotów],MATCH($B143,tab_MinKomp[[Stanowisko / Position ]:[Stanowisko / Position ]],0)))</f>
        <v>-1</v>
      </c>
      <c r="EM144" s="315">
        <f>IF(INDEX(tab_MinKomp[Obsługa sterowania maszyny],MATCH($B143,tab_MinKomp[[Stanowisko / Position ]:[Stanowisko / Position ]],0))="n/a","n/a",EM143-INDEX(tab_MinKomp[Obsługa sterowania maszyny],MATCH($B143,tab_MinKomp[[Stanowisko / Position ]:[Stanowisko / Position ]],0)))</f>
        <v>-1</v>
      </c>
      <c r="EN144" s="315">
        <f>IF(INDEX(tab_MinKomp[Usuwanie przyczyn żródłowych],MATCH($B143,tab_MinKomp[[Stanowisko / Position ]:[Stanowisko / Position ]],0))="n/a","n/a",EN143-INDEX(tab_MinKomp[Usuwanie przyczyn żródłowych],MATCH($B143,tab_MinKomp[[Stanowisko / Position ]:[Stanowisko / Position ]],0)))</f>
        <v>-2</v>
      </c>
      <c r="EO144" s="315">
        <f>IF(INDEX(tab_MinKomp[Cmms stosowanie],MATCH($B143,tab_MinKomp[[Stanowisko / Position ]:[Stanowisko / Position ]],0))="n/a","n/a",EO143-INDEX(tab_MinKomp[Cmms stosowanie],MATCH($B143,tab_MinKomp[[Stanowisko / Position ]:[Stanowisko / Position ]],0)))</f>
        <v>0</v>
      </c>
      <c r="EP144" s="315">
        <f>IF(INDEX(tab_MinKomp[[Czyszczenie form gumowych ]],MATCH($B143,tab_MinKomp[[Stanowisko / Position ]:[Stanowisko / Position ]],0))="n/a","n/a",EP143-INDEX(tab_MinKomp[[Czyszczenie form gumowych ]],MATCH($B143,tab_MinKomp[[Stanowisko / Position ]:[Stanowisko / Position ]],0)))</f>
        <v>0</v>
      </c>
      <c r="EQ144" s="315">
        <f>IF(INDEX(tab_MinKomp[Czyszczenie form plastikowych],MATCH($B143,tab_MinKomp[[Stanowisko / Position ]:[Stanowisko / Position ]],0))="n/a","n/a",EQ143-INDEX(tab_MinKomp[Czyszczenie form plastikowych],MATCH($B143,tab_MinKomp[[Stanowisko / Position ]:[Stanowisko / Position ]],0)))</f>
        <v>-2</v>
      </c>
      <c r="ER144" s="315">
        <f>IF(INDEX(tab_MinKomp[Wymiana form plastik],MATCH($B143,tab_MinKomp[[Stanowisko / Position ]:[Stanowisko / Position ]],0))="n/a","n/a",ER143-INDEX(tab_MinKomp[Wymiana form plastik],MATCH($B143,tab_MinKomp[[Stanowisko / Position ]:[Stanowisko / Position ]],0)))</f>
        <v>-2</v>
      </c>
      <c r="ES144" s="315">
        <f>IF(INDEX(tab_MinKomp[Wymiana form guma],MATCH($B143,tab_MinKomp[[Stanowisko / Position ]:[Stanowisko / Position ]],0))="n/a","n/a",ES143-INDEX(tab_MinKomp[Wymiana form guma],MATCH($B143,tab_MinKomp[[Stanowisko / Position ]:[Stanowisko / Position ]],0)))</f>
        <v>-1</v>
      </c>
      <c r="ET144" s="315">
        <f>IF(INDEX(tab_MinKomp[Konserwacja KK],MATCH($B143,tab_MinKomp[[Stanowisko / Position ]:[Stanowisko / Position ]],0))="n/a","n/a",ET143-INDEX(tab_MinKomp[Konserwacja KK],MATCH($B143,tab_MinKomp[[Stanowisko / Position ]:[Stanowisko / Position ]],0)))</f>
        <v>-1</v>
      </c>
      <c r="EU144" s="315">
        <f>IF(INDEX(tab_MinKomp[Konserwacja form guma],MATCH($B143,tab_MinKomp[[Stanowisko / Position ]:[Stanowisko / Position ]],0))="n/a","n/a",EU143-INDEX(tab_MinKomp[Konserwacja form guma],MATCH($B143,tab_MinKomp[[Stanowisko / Position ]:[Stanowisko / Position ]],0)))</f>
        <v>-1</v>
      </c>
      <c r="EV144" s="315">
        <f>IF(INDEX(tab_MinKomp[Konserwacja form plastiki],MATCH($B143,tab_MinKomp[[Stanowisko / Position ]:[Stanowisko / Position ]],0))="n/a","n/a",EV143-INDEX(tab_MinKomp[Konserwacja form plastiki],MATCH($B143,tab_MinKomp[[Stanowisko / Position ]:[Stanowisko / Position ]],0)))</f>
        <v>-2</v>
      </c>
      <c r="EW144" s="330">
        <f>IF(INDEX(tab_MinKomp[Konserwacja form plastiki],MATCH($B143,tab_MinKomp[[Stanowisko / Position ]:[Stanowisko / Position ]],0))="n/a","n/a",EW143-INDEX(tab_MinKomp[Konserwacja form plastiki],MATCH($B143,tab_MinKomp[[Stanowisko / Position ]:[Stanowisko / Position ]],0)))</f>
        <v>0</v>
      </c>
      <c r="EX144" s="315">
        <f>IF(INDEX(tab_MinKomp[Konserwacja Gorącego Kanału],MATCH($B143,tab_MinKomp[[Stanowisko / Position ]:[Stanowisko / Position ]],0))="n/a","n/a",EX143-INDEX(tab_MinKomp[Konserwacja Gorącego Kanału],MATCH($B143,tab_MinKomp[[Stanowisko / Position ]:[Stanowisko / Position ]],0)))</f>
        <v>-2</v>
      </c>
      <c r="EY144" s="315">
        <f>IF(INDEX(tab_MinKomp[MS Office (Excel)],MATCH($B143,tab_MinKomp[[Stanowisko / Position ]:[Stanowisko / Position ]],0))="n/a","n/a",EY143-INDEX(tab_MinKomp[MS Office (Excel)],MATCH($B143,tab_MinKomp[[Stanowisko / Position ]:[Stanowisko / Position ]],0)))</f>
        <v>-1</v>
      </c>
      <c r="EZ144" s="315">
        <f>IF(INDEX(tab_MinKomp[MS Office (Word)],MATCH($B143,tab_MinKomp[[Stanowisko / Position ]:[Stanowisko / Position ]],0))="n/a","n/a",EZ143-INDEX(tab_MinKomp[MS Office (Word)],MATCH($B143,tab_MinKomp[[Stanowisko / Position ]:[Stanowisko / Position ]],0)))</f>
        <v>-1</v>
      </c>
      <c r="FA144" s="315">
        <f>IF(INDEX(tab_MinKomp[MS Office (Power Point)],MATCH($B143,tab_MinKomp[[Stanowisko / Position ]:[Stanowisko / Position ]],0))="n/a","n/a",FA143-INDEX(tab_MinKomp[MS Office (Power Point)],MATCH($B143,tab_MinKomp[[Stanowisko / Position ]:[Stanowisko / Position ]],0)))</f>
        <v>-1</v>
      </c>
      <c r="FB144" s="315" t="str">
        <f>IF(INDEX(tab_MinKomp[Język angielski / Englisch],MATCH($B143,tab_MinKomp[[Stanowisko / Position ]:[Stanowisko / Position ]],0))="n/a","n/a",FB143-INDEX(tab_MinKomp[Język angielski / Englisch],MATCH($B143,tab_MinKomp[[Stanowisko / Position ]:[Stanowisko / Position ]],0)))</f>
        <v>n/a</v>
      </c>
      <c r="FC144" s="315" t="str">
        <f>IF(INDEX(tab_MinKomp[Język niemiecki / Deutsch],MATCH($B143,tab_MinKomp[[Stanowisko / Position ]:[Stanowisko / Position ]],0))="n/a","n/a",FC143-INDEX(tab_MinKomp[Język niemiecki / Deutsch],MATCH($B143,tab_MinKomp[[Stanowisko / Position ]:[Stanowisko / Position ]],0)))</f>
        <v>n/a</v>
      </c>
      <c r="FD144" s="315">
        <f>IF(INDEX(tab_MinKomp[Zarządzanie dokumentacją procesową / Process dokumentation management],MATCH($B143,tab_MinKomp[[Stanowisko / Position ]:[Stanowisko / Position ]],0))="n/a","n/a",FD143-INDEX(tab_MinKomp[Zarządzanie dokumentacją procesową / Process dokumentation management],MATCH($B143,tab_MinKomp[[Stanowisko / Position ]:[Stanowisko / Position ]],0)))</f>
        <v>0</v>
      </c>
      <c r="FE144" s="315">
        <f>IF(INDEX(tab_MinKomp[Znajomość procesów z obszaru / Kenntiss der prozesse in dem Bereich],MATCH($B143,tab_MinKomp[[Stanowisko / Position ]:[Stanowisko / Position ]],0))="n/a","n/a",FE143-INDEX(tab_MinKomp[Znajomość procesów z obszaru / Kenntiss der prozesse in dem Bereich],MATCH($B143,tab_MinKomp[[Stanowisko / Position ]:[Stanowisko / Position ]],0)))</f>
        <v>-1</v>
      </c>
      <c r="FF144" s="315">
        <f>IF(INDEX(tab_MinKomp[optymalizacja procesów / Prozessoptymalisierung],MATCH($B143,tab_MinKomp[[Stanowisko / Position ]:[Stanowisko / Position ]],0))="n/a","n/a",FF143-INDEX(tab_MinKomp[optymalizacja procesów / Prozessoptymalisierung],MATCH($B143,tab_MinKomp[[Stanowisko / Position ]:[Stanowisko / Position ]],0)))</f>
        <v>-1</v>
      </c>
      <c r="FG144" s="315">
        <f>IF(INDEX(tab_MinKomp[Umiejętności szkoleniowe / Trainingsfähigkeiten],MATCH($B143,tab_MinKomp[[Stanowisko / Position ]:[Stanowisko / Position ]],0))="n/a","n/a",FG143-INDEX(tab_MinKomp[Umiejętności szkoleniowe / Trainingsfähigkeiten],MATCH($B143,tab_MinKomp[[Stanowisko / Position ]:[Stanowisko / Position ]],0)))</f>
        <v>-1</v>
      </c>
      <c r="FH144" s="315">
        <f>IF(INDEX(tab_MinKomp[Analityczne myślenie, podejście / Analitysches Denken, Einstellung],MATCH($B143,tab_MinKomp[[Stanowisko / Position ]:[Stanowisko / Position ]],0))="n/a","n/a",FH143-INDEX(tab_MinKomp[Analityczne myślenie, podejście / Analitysches Denken, Einstellung],MATCH($B143,tab_MinKomp[[Stanowisko / Position ]:[Stanowisko / Position ]],0)))</f>
        <v>-1</v>
      </c>
      <c r="FI144" s="315">
        <f>IF(INDEX(tab_MinKomp[Dokładność, precyzja w dzialaniu / Genauigkeit, Präzision in die Arbeit],MATCH($B143,tab_MinKomp[[Stanowisko / Position ]:[Stanowisko / Position ]],0))="n/a","n/a",FI143-INDEX(tab_MinKomp[Dokładność, precyzja w dzialaniu / Genauigkeit, Präzision in die Arbeit],MATCH($B143,tab_MinKomp[[Stanowisko / Position ]:[Stanowisko / Position ]],0)))</f>
        <v>-1</v>
      </c>
      <c r="FJ144" s="315">
        <f>IF(INDEX(tab_MinKomp[Dyspozycyjność / Verfügbarkeit],MATCH($B143,tab_MinKomp[[Stanowisko / Position ]:[Stanowisko / Position ]],0))="n/a","n/a",FJ143-INDEX(tab_MinKomp[Dyspozycyjność / Verfügbarkeit],MATCH($B143,tab_MinKomp[[Stanowisko / Position ]:[Stanowisko / Position ]],0)))</f>
        <v>0</v>
      </c>
      <c r="FK144" s="315">
        <f>IF(INDEX(tab_MinKomp[Zaangażowanie / 
Engagement],MATCH($B143,tab_MinKomp[[Stanowisko / Position ]:[Stanowisko / Position ]],0))="n/a","n/a",FK143-INDEX(tab_MinKomp[Zaangażowanie / 
Engagement],MATCH($B143,tab_MinKomp[[Stanowisko / Position ]:[Stanowisko / Position ]],0)))</f>
        <v>-1</v>
      </c>
      <c r="FL144" s="315" t="str">
        <f>IF(INDEX(tab_MinKomp[Planowanie strategiczne / Strategische Planung],MATCH($B143,tab_MinKomp[[Stanowisko / Position ]:[Stanowisko / Position ]],0))="n/a","n/a",FL143-INDEX(tab_MinKomp[Planowanie strategiczne / Strategische Planung],MATCH($B143,tab_MinKomp[[Stanowisko / Position ]:[Stanowisko / Position ]],0)))</f>
        <v>n/a</v>
      </c>
      <c r="FM144" s="315">
        <f>IF(INDEX(tab_MinKomp[Konsekwentne i dynamiczne działanie],MATCH($B143,tab_MinKomp[[Stanowisko / Position ]:[Stanowisko / Position ]],0))="n/a","n/a",FM143-INDEX(tab_MinKomp[Konsekwentne i dynamiczne działanie],MATCH($B143,tab_MinKomp[[Stanowisko / Position ]:[Stanowisko / Position ]],0)))</f>
        <v>-1</v>
      </c>
      <c r="FN144" s="315">
        <f>IF(INDEX(tab_MinKomp[Elastyczność w działaniu],MATCH($B143,tab_MinKomp[[Stanowisko / Position ]:[Stanowisko / Position ]],0))="n/a","n/a",FN143-INDEX(tab_MinKomp[Elastyczność w działaniu],MATCH($B143,tab_MinKomp[[Stanowisko / Position ]:[Stanowisko / Position ]],0)))</f>
        <v>-2</v>
      </c>
      <c r="FO144" s="315">
        <f>IF(INDEX(tab_MinKomp[Komunikatywność],MATCH($B143,tab_MinKomp[[Stanowisko / Position ]:[Stanowisko / Position ]],0))="n/a","n/a",FO143-INDEX(tab_MinKomp[Komunikatywność],MATCH($B143,tab_MinKomp[[Stanowisko / Position ]:[Stanowisko / Position ]],0)))</f>
        <v>-1</v>
      </c>
      <c r="FP144" s="315" t="str">
        <f>IF(INDEX(tab_MinKomp[Motywowanie i budowanie zaangażowania zespołu],MATCH($B143,tab_MinKomp[[Stanowisko / Position ]:[Stanowisko / Position ]],0))="n/a","n/a",FP143-INDEX(tab_MinKomp[Motywowanie i budowanie zaangażowania zespołu],MATCH($B143,tab_MinKomp[[Stanowisko / Position ]:[Stanowisko / Position ]],0)))</f>
        <v>n/a</v>
      </c>
      <c r="FQ144" s="318" t="str">
        <f>IFERROR(IF(INDEX(tab_MinKomp[BRAK / Keine],MATCH($B143,tab_MinKomp[[Stanowisko / Position ]:[Stanowisko / Position ]],0))="n/a","n/a",INDEX(tab_MinKomp[BRAK / Keine],MATCH($B143,tab_MinKomp[[Stanowisko / Position ]:[Stanowisko / Position ]],0))-FQ143),"")</f>
        <v>n/a</v>
      </c>
      <c r="FR144" s="315" t="str">
        <f>IF(INDEX(tab_MinKomp[MINIMUM 1 ROK / min. 1 Jahr],MATCH($B143,tab_MinKomp[[Stanowisko / Position ]:[Stanowisko / Position ]],0))="n/a","n/a",INDEX(tab_MinKomp[MINIMUM 1 ROK / min. 1 Jahr],MATCH($B143,tab_MinKomp[[Stanowisko / Position ]:[Stanowisko / Position ]],0)))</f>
        <v>n/a</v>
      </c>
      <c r="FS144" s="315" t="str">
        <f>IF(INDEX(tab_MinKomp[MINIMUM 2 LATA / min. 2 Jahre],MATCH($B143,tab_MinKomp[[Stanowisko / Position ]:[Stanowisko / Position ]],0))="n/a","n/a",INDEX(tab_MinKomp[MINIMUM 2 LATA / min. 2 Jahre],MATCH($B143,tab_MinKomp[[Stanowisko / Position ]:[Stanowisko / Position ]],0)))</f>
        <v>n/a</v>
      </c>
      <c r="FT144" s="315" t="str">
        <f>IF(INDEX(tab_MinKomp[MINIMUM 3 LATA / min. 3 Jahre],MATCH($B143,tab_MinKomp[[Stanowisko / Position ]:[Stanowisko / Position ]],0))="n/a","n/a",INDEX(tab_MinKomp[MINIMUM 3 LATA / min. 3 Jahre],MATCH($B143,tab_MinKomp[[Stanowisko / Position ]:[Stanowisko / Position ]],0)))</f>
        <v>n/a</v>
      </c>
      <c r="FU144" s="315" t="str">
        <f>IF(INDEX(tab_MinKomp[MINIMUM 4 LATA / min. 4 Jahre],MATCH($B143,tab_MinKomp[[Stanowisko / Position ]:[Stanowisko / Position ]],0))="n/a","n/a",INDEX(tab_MinKomp[MINIMUM 4 LATA / min. 4 Jahre],MATCH($B143,tab_MinKomp[[Stanowisko / Position ]:[Stanowisko / Position ]],0)))</f>
        <v>n/a</v>
      </c>
      <c r="FV144" s="319" t="str">
        <f>IF(INDEX(tab_MinKomp[MINIMUM 5 LAT / min. 5 Jahre],MATCH($B143,tab_MinKomp[[Stanowisko / Position ]:[Stanowisko / Position ]],0))="n/a","n/a",INDEX(tab_MinKomp[MINIMUM 5 LAT / min. 5 Jahre],MATCH($B143,tab_MinKomp[[Stanowisko / Position ]:[Stanowisko / Position ]],0)))</f>
        <v>n/a</v>
      </c>
      <c r="FW144" s="318" t="str">
        <f>IF(INDEX(tab_MinKomp[BRAK / Keine9],MATCH($B143,tab_MinKomp[[Stanowisko / Position ]:[Stanowisko / Position ]],0))="n/a","n/a",INDEX(tab_MinKomp[BRAK / Keine9],MATCH($B143,tab_MinKomp[[Stanowisko / Position ]:[Stanowisko / Position ]],0)))</f>
        <v>n/a</v>
      </c>
      <c r="FX144" s="315" t="str">
        <f>IF(INDEX(tab_MinKomp[ZAWODOWE / Berufsausbildung],MATCH($B143,tab_MinKomp[[Stanowisko / Position ]:[Stanowisko / Position ]],0))="n/a","n/a",INDEX(tab_MinKomp[ZAWODOWE / Berufsausbildung],MATCH($B143,tab_MinKomp[[Stanowisko / Position ]:[Stanowisko / Position ]],0)))</f>
        <v>n/a</v>
      </c>
      <c r="FY144" s="315" t="str">
        <f>IF(INDEX(tab_MinKomp[ŚREDNIE OGÓLNE / Abitur allgemeine],MATCH($B143,tab_MinKomp[[Stanowisko / Position ]:[Stanowisko / Position ]],0))="n/a","n/a",INDEX(tab_MinKomp[ŚREDNIE OGÓLNE / Abitur allgemeine],MATCH($B143,tab_MinKomp[[Stanowisko / Position ]:[Stanowisko / Position ]],0)))</f>
        <v>n/a</v>
      </c>
      <c r="FZ144" s="315" t="str">
        <f>IF(INDEX(tab_MinKomp[ŚREDNIE KIERUNKOWE / berufliches Gymnasium],MATCH($B143,tab_MinKomp[[Stanowisko / Position ]:[Stanowisko / Position ]],0))="n/a","n/a",INDEX(tab_MinKomp[ŚREDNIE KIERUNKOWE / berufliches Gymnasium],MATCH($B143,tab_MinKomp[[Stanowisko / Position ]:[Stanowisko / Position ]],0)))</f>
        <v>n/a</v>
      </c>
      <c r="GA144" s="315" t="str">
        <f>IF(INDEX(tab_MinKomp[WYŻSZE OGÓLNE / Hochschule allgemeine],MATCH($B143,tab_MinKomp[[Stanowisko / Position ]:[Stanowisko / Position ]],0))="n/a","n/a",INDEX(tab_MinKomp[WYŻSZE OGÓLNE / Hochschule allgemeine],MATCH($B143,tab_MinKomp[[Stanowisko / Position ]:[Stanowisko / Position ]],0)))</f>
        <v>n/a</v>
      </c>
      <c r="GB144" s="319" t="str">
        <f>IF(INDEX(tab_MinKomp[WYŻSZE KIERUNKOWE / Hochschule berufliche],MATCH($B143,tab_MinKomp[[Stanowisko / Position ]:[Stanowisko / Position ]],0))="n/a","n/a",INDEX(tab_MinKomp[WYŻSZE KIERUNKOWE / Hochschule berufliche],MATCH($B143,tab_MinKomp[[Stanowisko / Position ]:[Stanowisko / Position ]],0)))</f>
        <v>n/a</v>
      </c>
      <c r="GC144" s="318" t="str">
        <f>IF(INDEX(tab_MinKomp[PIERWSZA POMOC / Erste Hilfe],MATCH($B143,tab_MinKomp[[Stanowisko / Position ]:[Stanowisko / Position ]],0))="n/a","n/a",INDEX(tab_MinKomp[PIERWSZA POMOC / Erste Hilfe],MATCH($B143,tab_MinKomp[[Stanowisko / Position ]:[Stanowisko / Position ]],0)))</f>
        <v>n/a</v>
      </c>
      <c r="GD144" s="315" t="str">
        <f>IF(INDEX(tab_MinKomp[Specjalista BHP / BHP Spezialist],MATCH($B143,tab_MinKomp[[Stanowisko / Position ]:[Stanowisko / Position ]],0))="n/a","n/a",INDEX(tab_MinKomp[Specjalista BHP / BHP Spezialist],MATCH($B143,tab_MinKomp[[Stanowisko / Position ]:[Stanowisko / Position ]],0)))</f>
        <v>n/a</v>
      </c>
      <c r="GE144" s="315" t="str">
        <f>IF(INDEX(tab_MinKomp[Inspektor ochrony PPOŻ / Brandschutzinspektor],MATCH($B143,tab_MinKomp[[Stanowisko / Position ]:[Stanowisko / Position ]],0))="n/a","n/a",INDEX(tab_MinKomp[Inspektor ochrony PPOŻ / Brandschutzinspektor],MATCH($B143,tab_MinKomp[[Stanowisko / Position ]:[Stanowisko / Position ]],0)))</f>
        <v>n/a</v>
      </c>
      <c r="GF144" s="315" t="str">
        <f>IF(INDEX(tab_MinKomp[WÓZKI JEZDNIOWE / Gebelstapler],MATCH($B143,tab_MinKomp[[Stanowisko / Position ]:[Stanowisko / Position ]],0))="n/a","n/a",INDEX(tab_MinKomp[WÓZKI JEZDNIOWE / Gebelstapler],MATCH($B143,tab_MinKomp[[Stanowisko / Position ]:[Stanowisko / Position ]],0)))</f>
        <v>x</v>
      </c>
      <c r="GG144" s="315" t="str">
        <f>IF(INDEX(tab_MinKomp[SEP],MATCH($B143,tab_MinKomp[[Stanowisko / Position ]:[Stanowisko / Position ]],0))="n/a","n/a",INDEX(tab_MinKomp[SEP],MATCH($B143,tab_MinKomp[[Stanowisko / Position ]:[Stanowisko / Position ]],0)))</f>
        <v>x</v>
      </c>
      <c r="GH144" s="315" t="str">
        <f>IF(INDEX(tab_MinKomp[SEP  DOZÓR / SEP Aufsicht],MATCH($B143,tab_MinKomp[[Stanowisko / Position ]:[Stanowisko / Position ]],0))="n/a","n/a",INDEX(tab_MinKomp[SEP  DOZÓR / SEP Aufsicht],MATCH($B143,tab_MinKomp[[Stanowisko / Position ]:[Stanowisko / Position ]],0)))</f>
        <v>n/a</v>
      </c>
      <c r="GI144" s="315" t="str">
        <f>IF(INDEX(tab_MinKomp[PODNOŚNIKI / Hebevorrichtung],MATCH($B143,tab_MinKomp[[Stanowisko / Position ]:[Stanowisko / Position ]],0))="n/a","n/a",INDEX(tab_MinKomp[PODNOŚNIKI / Hebevorrichtung],MATCH($B143,tab_MinKomp[[Stanowisko / Position ]:[Stanowisko / Position ]],0)))</f>
        <v>n/a</v>
      </c>
      <c r="GJ144" s="315" t="str">
        <f>IF(INDEX(tab_MinKomp[SUWNICE / Laufkran],MATCH($B143,tab_MinKomp[[Stanowisko / Position ]:[Stanowisko / Position ]],0))="n/a","n/a",INDEX(tab_MinKomp[SUWNICE / Laufkran],MATCH($B143,tab_MinKomp[[Stanowisko / Position ]:[Stanowisko / Position ]],0)))</f>
        <v>x</v>
      </c>
      <c r="GK144" s="319" t="str">
        <f>IF(INDEX(tab_MinKomp[WYSOKOŚCIOWE / Höhenberechtigungen],MATCH($B143,tab_MinKomp[[Stanowisko / Position ]:[Stanowisko / Position ]],0))="n/a","n/a",INDEX(tab_MinKomp[WYSOKOŚCIOWE / Höhenberechtigungen],MATCH($B143,tab_MinKomp[[Stanowisko / Position ]:[Stanowisko / Position ]],0)))</f>
        <v>n/a</v>
      </c>
      <c r="GL144" s="320">
        <f>SUM(G144:FP144)/(GL143-(SUM(G144:FP144)))</f>
        <v>-0.550561797752809</v>
      </c>
      <c r="GM144" s="132"/>
    </row>
    <row r="145" spans="1:195" s="133" customFormat="1" ht="28.35" customHeight="1" x14ac:dyDescent="0.25">
      <c r="A145" s="138" t="s">
        <v>188</v>
      </c>
      <c r="B145" s="135" t="s">
        <v>207</v>
      </c>
      <c r="C145" s="138" t="str">
        <f t="shared" si="4"/>
        <v>KC</v>
      </c>
      <c r="D145" s="138">
        <v>2083</v>
      </c>
      <c r="E145" s="563" t="s">
        <v>749</v>
      </c>
      <c r="F145" s="307" t="s">
        <v>165</v>
      </c>
      <c r="G145" s="308">
        <v>1</v>
      </c>
      <c r="H145" s="308">
        <v>1</v>
      </c>
      <c r="I145" s="308">
        <v>1</v>
      </c>
      <c r="J145" s="308">
        <v>1</v>
      </c>
      <c r="K145" s="308">
        <v>1</v>
      </c>
      <c r="L145" s="308">
        <v>1</v>
      </c>
      <c r="M145" s="308" t="s">
        <v>176</v>
      </c>
      <c r="N145" s="308" t="s">
        <v>176</v>
      </c>
      <c r="O145" s="308">
        <v>1</v>
      </c>
      <c r="P145" s="308">
        <v>1</v>
      </c>
      <c r="Q145" s="308" t="s">
        <v>176</v>
      </c>
      <c r="R145" s="308" t="s">
        <v>176</v>
      </c>
      <c r="S145" s="308" t="s">
        <v>176</v>
      </c>
      <c r="T145" s="308" t="s">
        <v>176</v>
      </c>
      <c r="U145" s="308" t="s">
        <v>176</v>
      </c>
      <c r="V145" s="308" t="s">
        <v>176</v>
      </c>
      <c r="W145" s="308" t="s">
        <v>176</v>
      </c>
      <c r="X145" s="308" t="s">
        <v>176</v>
      </c>
      <c r="Y145" s="308" t="s">
        <v>176</v>
      </c>
      <c r="Z145" s="308" t="s">
        <v>176</v>
      </c>
      <c r="AA145" s="308" t="s">
        <v>176</v>
      </c>
      <c r="AB145" s="308" t="s">
        <v>176</v>
      </c>
      <c r="AC145" s="308" t="s">
        <v>176</v>
      </c>
      <c r="AD145" s="308" t="s">
        <v>176</v>
      </c>
      <c r="AE145" s="308" t="s">
        <v>176</v>
      </c>
      <c r="AF145" s="308" t="s">
        <v>176</v>
      </c>
      <c r="AG145" s="308" t="s">
        <v>176</v>
      </c>
      <c r="AH145" s="308" t="s">
        <v>176</v>
      </c>
      <c r="AI145" s="308" t="s">
        <v>176</v>
      </c>
      <c r="AJ145" s="308" t="s">
        <v>176</v>
      </c>
      <c r="AK145" s="308" t="s">
        <v>176</v>
      </c>
      <c r="AL145" s="308" t="s">
        <v>176</v>
      </c>
      <c r="AM145" s="308" t="s">
        <v>176</v>
      </c>
      <c r="AN145" s="308" t="s">
        <v>176</v>
      </c>
      <c r="AO145" s="308" t="s">
        <v>176</v>
      </c>
      <c r="AP145" s="308" t="s">
        <v>176</v>
      </c>
      <c r="AQ145" s="308" t="s">
        <v>176</v>
      </c>
      <c r="AR145" s="308" t="s">
        <v>176</v>
      </c>
      <c r="AS145" s="308" t="s">
        <v>176</v>
      </c>
      <c r="AT145" s="308" t="s">
        <v>176</v>
      </c>
      <c r="AU145" s="308" t="s">
        <v>176</v>
      </c>
      <c r="AV145" s="308">
        <v>1</v>
      </c>
      <c r="AW145" s="308">
        <v>1</v>
      </c>
      <c r="AX145" s="308"/>
      <c r="AY145" s="308" t="s">
        <v>176</v>
      </c>
      <c r="AZ145" s="308" t="s">
        <v>176</v>
      </c>
      <c r="BA145" s="308" t="s">
        <v>176</v>
      </c>
      <c r="BB145" s="308" t="s">
        <v>176</v>
      </c>
      <c r="BC145" s="308" t="s">
        <v>176</v>
      </c>
      <c r="BD145" s="308" t="s">
        <v>176</v>
      </c>
      <c r="BE145" s="308" t="s">
        <v>176</v>
      </c>
      <c r="BF145" s="308" t="s">
        <v>176</v>
      </c>
      <c r="BG145" s="308" t="s">
        <v>176</v>
      </c>
      <c r="BH145" s="308" t="s">
        <v>176</v>
      </c>
      <c r="BI145" s="308" t="s">
        <v>176</v>
      </c>
      <c r="BJ145" s="308" t="s">
        <v>176</v>
      </c>
      <c r="BK145" s="308" t="s">
        <v>176</v>
      </c>
      <c r="BL145" s="308" t="s">
        <v>176</v>
      </c>
      <c r="BM145" s="308" t="s">
        <v>176</v>
      </c>
      <c r="BN145" s="308">
        <v>1</v>
      </c>
      <c r="BO145" s="308"/>
      <c r="BP145" s="308" t="s">
        <v>176</v>
      </c>
      <c r="BQ145" s="308" t="s">
        <v>176</v>
      </c>
      <c r="BR145" s="308" t="s">
        <v>176</v>
      </c>
      <c r="BS145" s="308" t="s">
        <v>176</v>
      </c>
      <c r="BT145" s="308"/>
      <c r="BU145" s="308">
        <v>1</v>
      </c>
      <c r="BV145" s="308"/>
      <c r="BW145" s="308" t="s">
        <v>176</v>
      </c>
      <c r="BX145" s="308" t="s">
        <v>176</v>
      </c>
      <c r="BY145" s="308" t="s">
        <v>176</v>
      </c>
      <c r="BZ145" s="308" t="s">
        <v>176</v>
      </c>
      <c r="CA145" s="308" t="s">
        <v>176</v>
      </c>
      <c r="CB145" s="308" t="s">
        <v>176</v>
      </c>
      <c r="CC145" s="308" t="s">
        <v>176</v>
      </c>
      <c r="CD145" s="308" t="s">
        <v>176</v>
      </c>
      <c r="CE145" s="308" t="s">
        <v>176</v>
      </c>
      <c r="CF145" s="308" t="s">
        <v>176</v>
      </c>
      <c r="CG145" s="308" t="s">
        <v>176</v>
      </c>
      <c r="CH145" s="308" t="s">
        <v>176</v>
      </c>
      <c r="CI145" s="308" t="s">
        <v>176</v>
      </c>
      <c r="CJ145" s="308" t="s">
        <v>176</v>
      </c>
      <c r="CK145" s="308" t="s">
        <v>176</v>
      </c>
      <c r="CL145" s="308" t="s">
        <v>176</v>
      </c>
      <c r="CM145" s="308" t="s">
        <v>176</v>
      </c>
      <c r="CN145" s="308">
        <v>1</v>
      </c>
      <c r="CO145" s="308">
        <v>1</v>
      </c>
      <c r="CP145" s="308">
        <v>1</v>
      </c>
      <c r="CQ145" s="308" t="s">
        <v>176</v>
      </c>
      <c r="CR145" s="308" t="s">
        <v>176</v>
      </c>
      <c r="CS145" s="308" t="s">
        <v>176</v>
      </c>
      <c r="CT145" s="308" t="s">
        <v>176</v>
      </c>
      <c r="CU145" s="308">
        <v>1</v>
      </c>
      <c r="CV145" s="308" t="s">
        <v>176</v>
      </c>
      <c r="CW145" s="308" t="s">
        <v>176</v>
      </c>
      <c r="CX145" s="308" t="s">
        <v>176</v>
      </c>
      <c r="CY145" s="308" t="s">
        <v>176</v>
      </c>
      <c r="CZ145" s="308" t="s">
        <v>176</v>
      </c>
      <c r="DA145" s="308" t="s">
        <v>176</v>
      </c>
      <c r="DB145" s="308" t="s">
        <v>176</v>
      </c>
      <c r="DC145" s="308" t="s">
        <v>176</v>
      </c>
      <c r="DD145" s="308" t="s">
        <v>176</v>
      </c>
      <c r="DE145" s="308" t="s">
        <v>176</v>
      </c>
      <c r="DF145" s="308" t="s">
        <v>176</v>
      </c>
      <c r="DG145" s="308" t="s">
        <v>176</v>
      </c>
      <c r="DH145" s="308" t="s">
        <v>176</v>
      </c>
      <c r="DI145" s="308" t="s">
        <v>176</v>
      </c>
      <c r="DJ145" s="308" t="s">
        <v>176</v>
      </c>
      <c r="DK145" s="308" t="s">
        <v>176</v>
      </c>
      <c r="DL145" s="308" t="s">
        <v>176</v>
      </c>
      <c r="DM145" s="308" t="s">
        <v>176</v>
      </c>
      <c r="DN145" s="308" t="s">
        <v>176</v>
      </c>
      <c r="DO145" s="308" t="s">
        <v>176</v>
      </c>
      <c r="DP145" s="308" t="s">
        <v>176</v>
      </c>
      <c r="DQ145" s="308" t="s">
        <v>176</v>
      </c>
      <c r="DR145" s="308" t="s">
        <v>176</v>
      </c>
      <c r="DS145" s="308" t="s">
        <v>176</v>
      </c>
      <c r="DT145" s="308" t="s">
        <v>176</v>
      </c>
      <c r="DU145" s="308" t="s">
        <v>176</v>
      </c>
      <c r="DV145" s="306" t="s">
        <v>176</v>
      </c>
      <c r="DW145" s="306" t="s">
        <v>176</v>
      </c>
      <c r="DX145" s="306" t="s">
        <v>176</v>
      </c>
      <c r="DY145" s="308" t="s">
        <v>176</v>
      </c>
      <c r="DZ145" s="308" t="s">
        <v>176</v>
      </c>
      <c r="EA145" s="308" t="s">
        <v>176</v>
      </c>
      <c r="EB145" s="308" t="s">
        <v>176</v>
      </c>
      <c r="EC145" s="308" t="s">
        <v>176</v>
      </c>
      <c r="ED145" s="308" t="s">
        <v>176</v>
      </c>
      <c r="EE145" s="308" t="s">
        <v>176</v>
      </c>
      <c r="EF145" s="308">
        <v>1</v>
      </c>
      <c r="EG145" s="308">
        <v>1</v>
      </c>
      <c r="EH145" s="308">
        <v>1</v>
      </c>
      <c r="EI145" s="308">
        <v>1</v>
      </c>
      <c r="EJ145" s="308">
        <v>1</v>
      </c>
      <c r="EK145" s="308" t="s">
        <v>176</v>
      </c>
      <c r="EL145" s="308" t="s">
        <v>176</v>
      </c>
      <c r="EM145" s="308">
        <v>1</v>
      </c>
      <c r="EN145" s="308" t="s">
        <v>176</v>
      </c>
      <c r="EO145" s="308">
        <v>1</v>
      </c>
      <c r="EP145" s="308">
        <v>1</v>
      </c>
      <c r="EQ145" s="308">
        <v>1</v>
      </c>
      <c r="ER145" s="308">
        <v>1</v>
      </c>
      <c r="ES145" s="308">
        <v>1</v>
      </c>
      <c r="ET145" s="308" t="s">
        <v>176</v>
      </c>
      <c r="EU145" s="308">
        <v>1</v>
      </c>
      <c r="EV145" s="308" t="s">
        <v>176</v>
      </c>
      <c r="EW145" s="306">
        <v>1</v>
      </c>
      <c r="EX145" s="308" t="s">
        <v>176</v>
      </c>
      <c r="EY145" s="308" t="s">
        <v>176</v>
      </c>
      <c r="EZ145" s="308" t="s">
        <v>176</v>
      </c>
      <c r="FA145" s="308" t="s">
        <v>176</v>
      </c>
      <c r="FB145" s="308" t="s">
        <v>176</v>
      </c>
      <c r="FC145" s="308" t="s">
        <v>176</v>
      </c>
      <c r="FD145" s="308">
        <v>1</v>
      </c>
      <c r="FE145" s="308">
        <v>1</v>
      </c>
      <c r="FF145" s="308">
        <v>1</v>
      </c>
      <c r="FG145" s="308" t="s">
        <v>176</v>
      </c>
      <c r="FH145" s="308">
        <v>1</v>
      </c>
      <c r="FI145" s="308">
        <v>1</v>
      </c>
      <c r="FJ145" s="308">
        <v>1</v>
      </c>
      <c r="FK145" s="308">
        <v>1</v>
      </c>
      <c r="FL145" s="308" t="s">
        <v>176</v>
      </c>
      <c r="FM145" s="308">
        <v>1</v>
      </c>
      <c r="FN145" s="308">
        <v>1</v>
      </c>
      <c r="FO145" s="308">
        <v>1</v>
      </c>
      <c r="FP145" s="308" t="s">
        <v>176</v>
      </c>
      <c r="FQ145" s="308" t="s">
        <v>176</v>
      </c>
      <c r="FR145" s="308" t="s">
        <v>176</v>
      </c>
      <c r="FS145" s="308" t="s">
        <v>176</v>
      </c>
      <c r="FT145" s="308" t="s">
        <v>176</v>
      </c>
      <c r="FU145" s="308" t="s">
        <v>176</v>
      </c>
      <c r="FV145" s="308" t="s">
        <v>176</v>
      </c>
      <c r="FW145" s="308" t="s">
        <v>176</v>
      </c>
      <c r="FX145" s="308" t="s">
        <v>176</v>
      </c>
      <c r="FY145" s="308" t="s">
        <v>176</v>
      </c>
      <c r="FZ145" s="308" t="s">
        <v>176</v>
      </c>
      <c r="GA145" s="308" t="s">
        <v>176</v>
      </c>
      <c r="GB145" s="308" t="s">
        <v>176</v>
      </c>
      <c r="GC145" s="308" t="s">
        <v>176</v>
      </c>
      <c r="GD145" s="308" t="s">
        <v>176</v>
      </c>
      <c r="GE145" s="308" t="s">
        <v>176</v>
      </c>
      <c r="GF145" s="333">
        <v>1</v>
      </c>
      <c r="GG145" s="333" t="s">
        <v>176</v>
      </c>
      <c r="GH145" s="308" t="s">
        <v>176</v>
      </c>
      <c r="GI145" s="308" t="s">
        <v>176</v>
      </c>
      <c r="GJ145" s="308"/>
      <c r="GK145" s="308" t="s">
        <v>176</v>
      </c>
      <c r="GL145" s="329">
        <f>SUM(G145:FP145)</f>
        <v>39</v>
      </c>
      <c r="GM145" s="132"/>
    </row>
    <row r="146" spans="1:195" s="133" customFormat="1" ht="28.35" customHeight="1" thickBot="1" x14ac:dyDescent="0.3">
      <c r="A146" s="138" t="s">
        <v>188</v>
      </c>
      <c r="B146" s="135" t="s">
        <v>207</v>
      </c>
      <c r="C146" s="138" t="str">
        <f t="shared" si="4"/>
        <v>KC</v>
      </c>
      <c r="D146" s="138">
        <v>2083</v>
      </c>
      <c r="E146" s="564"/>
      <c r="F146" s="331" t="s">
        <v>166</v>
      </c>
      <c r="G146" s="330">
        <f>IF(INDEX(tab_MinKomp[Przepisy BHP / BHP Vorschriften],MATCH($B145,tab_MinKomp[[Stanowisko / Position ]:[Stanowisko / Position ]],0))="n/a","n/a",G145-INDEX(tab_MinKomp[Przepisy BHP / BHP Vorschriften],MATCH($B145,tab_MinKomp[[Stanowisko / Position ]:[Stanowisko / Position ]],0)))</f>
        <v>-1</v>
      </c>
      <c r="H146" s="330">
        <f>IF(INDEX(tab_MinKomp[Przepisy PPOŻ / Brandschutzbestimmungen],MATCH($B145,tab_MinKomp[[Stanowisko / Position ]:[Stanowisko / Position ]],0))="n/a","n/a",H145-INDEX(tab_MinKomp[Przepisy PPOŻ / Brandschutzbestimmungen],MATCH($B145,tab_MinKomp[[Stanowisko / Position ]:[Stanowisko / Position ]],0)))</f>
        <v>-1</v>
      </c>
      <c r="I146" s="330">
        <f>IF(INDEX(tab_MinKomp[Ryzyko zawodowe na stanowiskach pracyv/ Berufliche Risiken an Arbeitsstellen],MATCH($B145,tab_MinKomp[[Stanowisko / Position ]:[Stanowisko / Position ]],0))="n/a","n/a",I145-INDEX(tab_MinKomp[Ryzyko zawodowe na stanowiskach pracyv/ Berufliche Risiken an Arbeitsstellen],MATCH($B145,tab_MinKomp[[Stanowisko / Position ]:[Stanowisko / Position ]],0)))</f>
        <v>-1</v>
      </c>
      <c r="J146" s="314">
        <f>IF(INDEX(tab_MinKomp[Gospodarka substancjami niebezpiecznymi / Gefahrstoffmanagement],MATCH($B145,tab_MinKomp[[Stanowisko / Position ]:[Stanowisko / Position ]],0))="n/a","n/a",J145-INDEX(tab_MinKomp[Gospodarka substancjami niebezpiecznymi / Gefahrstoffmanagement],MATCH($B145,tab_MinKomp[[Stanowisko / Position ]:[Stanowisko / Position ]],0)))</f>
        <v>-1</v>
      </c>
      <c r="K146" s="314">
        <f>IF(INDEX(tab_MinKomp[Gospodarka odpadami / Abfallwirtschaft],MATCH($B145,tab_MinKomp[[Stanowisko / Position ]:[Stanowisko / Position ]],0))="n/a","n/a",K145-INDEX(tab_MinKomp[Gospodarka odpadami / Abfallwirtschaft],MATCH($B145,tab_MinKomp[[Stanowisko / Position ]:[Stanowisko / Position ]],0)))</f>
        <v>-1</v>
      </c>
      <c r="L146" s="315">
        <f>IF(INDEX(tab_MinKomp[Przepisy kodeksu pracy / Bestimmungen des Arbeitsgesetzes],MATCH($B145,tab_MinKomp[[Stanowisko / Position ]:[Stanowisko / Position ]],0))="n/a","n/a",L145-INDEX(tab_MinKomp[Przepisy kodeksu pracy / Bestimmungen des Arbeitsgesetzes],MATCH($B145,tab_MinKomp[[Stanowisko / Position ]:[Stanowisko / Position ]],0)))</f>
        <v>0</v>
      </c>
      <c r="M146" s="316" t="str">
        <f>IF(INDEX(tab_MinKomp[Przepisy o ub.społ. ZUS  / Sozialversicherungsvorschriften],MATCH($B145,tab_MinKomp[[Stanowisko / Position ]:[Stanowisko / Position ]],0))="n/a","n/a",M145-INDEX(tab_MinKomp[Przepisy o ub.społ. ZUS  / Sozialversicherungsvorschriften],MATCH($B145,tab_MinKomp[[Stanowisko / Position ]:[Stanowisko / Position ]],0)))</f>
        <v>n/a</v>
      </c>
      <c r="N146" s="315" t="str">
        <f>IF(INDEX(tab_MinKomp[PRZEPISY O PDOF /persönlich Einkommensteuergesetz ],MATCH($B145,tab_MinKomp[[Stanowisko / Position ]:[Stanowisko / Position ]],0))="n/a","n/a",N145-INDEX(tab_MinKomp[PRZEPISY O PDOF /persönlich Einkommensteuergesetz ],MATCH($B145,tab_MinKomp[[Stanowisko / Position ]:[Stanowisko / Position ]],0)))</f>
        <v>n/a</v>
      </c>
      <c r="O146" s="315">
        <f>IF(INDEX(tab_MinKomp[Regulamin pracy / Arbeitsordnung],MATCH($B145,tab_MinKomp[[Stanowisko / Position ]:[Stanowisko / Position ]],0))="n/a","n/a",O145-INDEX(tab_MinKomp[Regulamin pracy / Arbeitsordnung],MATCH($B145,tab_MinKomp[[Stanowisko / Position ]:[Stanowisko / Position ]],0)))</f>
        <v>0</v>
      </c>
      <c r="P146" s="315">
        <f>IF(INDEX(tab_MinKomp[Regulamin wynagradzania / Vergütungsordnung],MATCH($B145,tab_MinKomp[[Stanowisko / Position ]:[Stanowisko / Position ]],0))="n/a","n/a",P145-INDEX(tab_MinKomp[Regulamin wynagradzania / Vergütungsordnung],MATCH($B145,tab_MinKomp[[Stanowisko / Position ]:[Stanowisko / Position ]],0)))</f>
        <v>0</v>
      </c>
      <c r="Q146" s="315" t="str">
        <f>IF(INDEX(tab_MinKomp[System R2PŁATNIK PRO: Płace / Lohnabrechnung],MATCH($B145,tab_MinKomp[[Stanowisko / Position ]:[Stanowisko / Position ]],0))="n/a","n/a",Q145-INDEX(tab_MinKomp[System R2PŁATNIK PRO: Płace / Lohnabrechnung],MATCH($B145,tab_MinKomp[[Stanowisko / Position ]:[Stanowisko / Position ]],0)))</f>
        <v>n/a</v>
      </c>
      <c r="R146" s="315" t="str">
        <f>IF(INDEX(tab_MinKomp[SystemR2PŁATNIK PRO: KADRY / Personaldaten],MATCH($B145,tab_MinKomp[[Stanowisko / Position ]:[Stanowisko / Position ]],0))="n/a","n/a",R145-INDEX(tab_MinKomp[SystemR2PŁATNIK PRO: KADRY / Personaldaten],MATCH($B145,tab_MinKomp[[Stanowisko / Position ]:[Stanowisko / Position ]],0)))</f>
        <v>n/a</v>
      </c>
      <c r="S146" s="315" t="str">
        <f>IF(INDEX(tab_MinKomp[SYSTEM R2PŁATNIK PRO: zarządzanie pracownikami / Arbeitsverwaltung],MATCH($B145,tab_MinKomp[[Stanowisko / Position ]:[Stanowisko / Position ]],0))="n/a","n/a",S145-INDEX(tab_MinKomp[SYSTEM R2PŁATNIK PRO: zarządzanie pracownikami / Arbeitsverwaltung],MATCH($B145,tab_MinKomp[[Stanowisko / Position ]:[Stanowisko / Position ]],0)))</f>
        <v>n/a</v>
      </c>
      <c r="T146" s="315" t="str">
        <f>IF(INDEX(tab_MinKomp[Doradztwo, wsparcie personalne / Personalberatung und Unterstützung],MATCH($B145,tab_MinKomp[[Stanowisko / Position ]:[Stanowisko / Position ]],0))="n/a","n/a",T145-INDEX(tab_MinKomp[Doradztwo, wsparcie personalne / Personalberatung und Unterstützung],MATCH($B145,tab_MinKomp[[Stanowisko / Position ]:[Stanowisko / Position ]],0)))</f>
        <v>n/a</v>
      </c>
      <c r="U146" s="315" t="str">
        <f>IF(INDEX(tab_MinKomp[Przepisy o podatku VAT / MwSt.- Gesetz],MATCH($B145,tab_MinKomp[[Stanowisko / Position ]:[Stanowisko / Position ]],0))="n/a","n/a",U145-INDEX(tab_MinKomp[Przepisy o podatku VAT / MwSt.- Gesetz],MATCH($B145,tab_MinKomp[[Stanowisko / Position ]:[Stanowisko / Position ]],0)))</f>
        <v>n/a</v>
      </c>
      <c r="V146" s="315" t="str">
        <f>IF(INDEX(tab_MinKomp[PrzepisyPDOP / geschäftlich Einkommensteuergesetz],MATCH($B145,tab_MinKomp[[Stanowisko / Position ]:[Stanowisko / Position ]],0))="n/a","n/a",V145-INDEX(tab_MinKomp[PrzepisyPDOP / geschäftlich Einkommensteuergesetz],MATCH($B145,tab_MinKomp[[Stanowisko / Position ]:[Stanowisko / Position ]],0)))</f>
        <v>n/a</v>
      </c>
      <c r="W146" s="315" t="str">
        <f>IF(INDEX(tab_MinKomp[System BAAN / FINANSE (FIBU)],MATCH($B145,tab_MinKomp[[Stanowisko / Position ]:[Stanowisko / Position ]],0))="n/a","n/a",W145-INDEX(tab_MinKomp[System BAAN / FINANSE (FIBU)],MATCH($B145,tab_MinKomp[[Stanowisko / Position ]:[Stanowisko / Position ]],0)))</f>
        <v>n/a</v>
      </c>
      <c r="X146" s="315" t="str">
        <f>IF(INDEX(tab_MinKomp[Systemy pomocnicze / Hilfssysteme(STOCKPROGRAM, KALK2000 etc.)],MATCH($B145,tab_MinKomp[[Stanowisko / Position ]:[Stanowisko / Position ]],0))="n/a","n/a",X145-INDEX(tab_MinKomp[Systemy pomocnicze / Hilfssysteme(STOCKPROGRAM, KALK2000 etc.)],MATCH($B145,tab_MinKomp[[Stanowisko / Position ]:[Stanowisko / Position ]],0)))</f>
        <v>n/a</v>
      </c>
      <c r="Y146" s="315" t="str">
        <f>IF(INDEX(tab_MinKomp[Polityka rachunkowości / Buchführungspolitik],MATCH($B145,tab_MinKomp[[Stanowisko / Position ]:[Stanowisko / Position ]],0))="n/a","n/a",Y145-INDEX(tab_MinKomp[Polityka rachunkowości / Buchführungspolitik],MATCH($B145,tab_MinKomp[[Stanowisko / Position ]:[Stanowisko / Position ]],0)))</f>
        <v>n/a</v>
      </c>
      <c r="Z146" s="315" t="str">
        <f>IF(INDEX(tab_MinKomp[Ustawa o rachunkowości / Rechnungslegungsgesetz],MATCH($B145,tab_MinKomp[[Stanowisko / Position ]:[Stanowisko / Position ]],0))="n/a","n/a",Z145-INDEX(tab_MinKomp[Ustawa o rachunkowości / Rechnungslegungsgesetz],MATCH($B145,tab_MinKomp[[Stanowisko / Position ]:[Stanowisko / Position ]],0)))</f>
        <v>n/a</v>
      </c>
      <c r="AA146" s="315" t="str">
        <f>IF(INDEX(tab_MinKomp[WORKFLOW - TS-100],MATCH($B145,tab_MinKomp[[Stanowisko / Position ]:[Stanowisko / Position ]],0))="n/a","n/a",AA145-INDEX(tab_MinKomp[WORKFLOW - TS-100],MATCH($B145,tab_MinKomp[[Stanowisko / Position ]:[Stanowisko / Position ]],0)))</f>
        <v>n/a</v>
      </c>
      <c r="AB146" s="315" t="str">
        <f>IF(INDEX(tab_MinKomp[WORKFLOW - SFMS],MATCH($B145,tab_MinKomp[[Stanowisko / Position ]:[Stanowisko / Position ]],0))="n/a","n/a",AB145-INDEX(tab_MinKomp[WORKFLOW - SFMS],MATCH($B145,tab_MinKomp[[Stanowisko / Position ]:[Stanowisko / Position ]],0)))</f>
        <v>n/a</v>
      </c>
      <c r="AC146" s="315" t="str">
        <f>IF(INDEX(tab_MinKomp[System ISO 9001:2015],MATCH($B145,tab_MinKomp[[Stanowisko / Position ]:[Stanowisko / Position ]],0))="n/a","n/a",AC145-INDEX(tab_MinKomp[System ISO 9001:2015],MATCH($B145,tab_MinKomp[[Stanowisko / Position ]:[Stanowisko / Position ]],0)))</f>
        <v>n/a</v>
      </c>
      <c r="AD146" s="315" t="str">
        <f>IF(INDEX(tab_MinKomp[System IATF 16949:2016],MATCH($B145,tab_MinKomp[[Stanowisko / Position ]:[Stanowisko / Position ]],0))="n/a","n/a",AD145-INDEX(tab_MinKomp[System IATF 16949:2016],MATCH($B145,tab_MinKomp[[Stanowisko / Position ]:[Stanowisko / Position ]],0)))</f>
        <v>n/a</v>
      </c>
      <c r="AE146" s="315" t="str">
        <f>IF(INDEX(tab_MinKomp[System ISO 14001:2015],MATCH($B145,tab_MinKomp[[Stanowisko / Position ]:[Stanowisko / Position ]],0))="n/a","n/a",AE145-INDEX(tab_MinKomp[System ISO 14001:2015],MATCH($B145,tab_MinKomp[[Stanowisko / Position ]:[Stanowisko / Position ]],0)))</f>
        <v>n/a</v>
      </c>
      <c r="AF146" s="315" t="str">
        <f>IF(INDEX(tab_MinKomp[System PN-N 18001:2004 / ISO 45001:2018],MATCH($B145,tab_MinKomp[[Stanowisko / Position ]:[Stanowisko / Position ]],0))="n/a","n/a",AF145-INDEX(tab_MinKomp[System PN-N 18001:2004 / ISO 45001:2018],MATCH($B145,tab_MinKomp[[Stanowisko / Position ]:[Stanowisko / Position ]],0)))</f>
        <v>n/a</v>
      </c>
      <c r="AG146" s="315" t="str">
        <f>IF(INDEX(tab_MinKomp[Wymagania VDA 6.3 Process / Forderungen],MATCH($B145,tab_MinKomp[[Stanowisko / Position ]:[Stanowisko / Position ]],0))="n/a","n/a",AG145-INDEX(tab_MinKomp[Wymagania VDA 6.3 Process / Forderungen],MATCH($B145,tab_MinKomp[[Stanowisko / Position ]:[Stanowisko / Position ]],0)))</f>
        <v>n/a</v>
      </c>
      <c r="AH146" s="315" t="str">
        <f>IF(INDEX(tab_MinKomp[Wymagania VDA 6.5 Product / Forderungen],MATCH($B145,tab_MinKomp[[Stanowisko / Position ]:[Stanowisko / Position ]],0))="n/a","n/a",AH145-INDEX(tab_MinKomp[Wymagania VDA 6.5 Product / Forderungen],MATCH($B145,tab_MinKomp[[Stanowisko / Position ]:[Stanowisko / Position ]],0)))</f>
        <v>n/a</v>
      </c>
      <c r="AI146" s="315" t="str">
        <f>IF(INDEX(tab_MinKomp[PSCR (VW Product Safety &amp; Conformity Representative)],MATCH($B145,tab_MinKomp[[Stanowisko / Position ]:[Stanowisko / Position ]],0))="n/a","n/a",AI145-INDEX(tab_MinKomp[PSCR (VW Product Safety &amp; Conformity Representative)],MATCH($B145,tab_MinKomp[[Stanowisko / Position ]:[Stanowisko / Position ]],0)))</f>
        <v>n/a</v>
      </c>
      <c r="AJ146" s="315" t="str">
        <f>IF(INDEX(tab_MinKomp[Auditor systemu ISO 17025:2018],MATCH($B145,tab_MinKomp[[Stanowisko / Position ]:[Stanowisko / Position ]],0))="n/a","n/a",AJ145-INDEX(tab_MinKomp[Auditor systemu ISO 17025:2018],MATCH($B145,tab_MinKomp[[Stanowisko / Position ]:[Stanowisko / Position ]],0)))</f>
        <v>n/a</v>
      </c>
      <c r="AK146" s="315" t="str">
        <f>IF(INDEX(tab_MinKomp[Pełnomocnik systemu / Systemvertreter],MATCH($B145,tab_MinKomp[[Stanowisko / Position ]:[Stanowisko / Position ]],0))="n/a","n/a",AK145-INDEX(tab_MinKomp[Pełnomocnik systemu / Systemvertreter],MATCH($B145,tab_MinKomp[[Stanowisko / Position ]:[Stanowisko / Position ]],0)))</f>
        <v>n/a</v>
      </c>
      <c r="AL146" s="315" t="str">
        <f>IF(INDEX(tab_MinKomp[Polityka Etyczna - Compliance],MATCH($B145,tab_MinKomp[[Stanowisko / Position ]:[Stanowisko / Position ]],0))="n/a","n/a",AL145-INDEX(tab_MinKomp[Polityka Etyczna - Compliance],MATCH($B145,tab_MinKomp[[Stanowisko / Position ]:[Stanowisko / Position ]],0)))</f>
        <v>n/a</v>
      </c>
      <c r="AM146" s="315" t="str">
        <f>IF(INDEX(tab_MinKomp[WDRAŻANIE NOWYCH PROJEKTÓW/ PROCEDURA CTM],MATCH($B145,tab_MinKomp[[Stanowisko / Position ]:[Stanowisko / Position ]],0))="n/a","n/a",AM145-INDEX(tab_MinKomp[WDRAŻANIE NOWYCH PROJEKTÓW/ PROCEDURA CTM],MATCH($B145,tab_MinKomp[[Stanowisko / Position ]:[Stanowisko / Position ]],0)))</f>
        <v>n/a</v>
      </c>
      <c r="AN146" s="315" t="str">
        <f>IF(INDEX(tab_MinKomp[KAMIENIE MILOWE MSL/PIFF],MATCH($B145,tab_MinKomp[[Stanowisko / Position ]:[Stanowisko / Position ]],0))="n/a","n/a",AN145-INDEX(tab_MinKomp[KAMIENIE MILOWE MSL/PIFF],MATCH($B145,tab_MinKomp[[Stanowisko / Position ]:[Stanowisko / Position ]],0)))</f>
        <v>n/a</v>
      </c>
      <c r="AO146" s="315" t="str">
        <f>IF(INDEX(tab_MinKomp[CP],MATCH($B145,tab_MinKomp[[Stanowisko / Position ]:[Stanowisko / Position ]],0))="n/a","n/a",AO145-INDEX(tab_MinKomp[CP],MATCH($B145,tab_MinKomp[[Stanowisko / Position ]:[Stanowisko / Position ]],0)))</f>
        <v>n/a</v>
      </c>
      <c r="AP146" s="315" t="str">
        <f>IF(INDEX(tab_MinKomp[FMEA],MATCH($B145,tab_MinKomp[[Stanowisko / Position ]:[Stanowisko / Position ]],0))="n/a","n/a",AP145-INDEX(tab_MinKomp[FMEA],MATCH($B145,tab_MinKomp[[Stanowisko / Position ]:[Stanowisko / Position ]],0)))</f>
        <v>n/a</v>
      </c>
      <c r="AQ146" s="315" t="str">
        <f>IF(INDEX(tab_MinKomp[FLOW CHART],MATCH($B145,tab_MinKomp[[Stanowisko / Position ]:[Stanowisko / Position ]],0))="n/a","n/a",AQ145-INDEX(tab_MinKomp[FLOW CHART],MATCH($B145,tab_MinKomp[[Stanowisko / Position ]:[Stanowisko / Position ]],0)))</f>
        <v>n/a</v>
      </c>
      <c r="AR146" s="315" t="str">
        <f>IF(INDEX(tab_MinKomp[APQP],MATCH($B145,tab_MinKomp[[Stanowisko / Position ]:[Stanowisko / Position ]],0))="n/a","n/a",AR145-INDEX(tab_MinKomp[APQP],MATCH($B145,tab_MinKomp[[Stanowisko / Position ]:[Stanowisko / Position ]],0)))</f>
        <v>n/a</v>
      </c>
      <c r="AS146" s="315" t="str">
        <f>IF(INDEX(tab_MinKomp[MSA],MATCH($B145,tab_MinKomp[[Stanowisko / Position ]:[Stanowisko / Position ]],0))="n/a","n/a",AS145-INDEX(tab_MinKomp[MSA],MATCH($B145,tab_MinKomp[[Stanowisko / Position ]:[Stanowisko / Position ]],0)))</f>
        <v>n/a</v>
      </c>
      <c r="AT146" s="315" t="str">
        <f>IF(INDEX(tab_MinKomp[SPC],MATCH($B145,tab_MinKomp[[Stanowisko / Position ]:[Stanowisko / Position ]],0))="n/a","n/a",AT145-INDEX(tab_MinKomp[SPC],MATCH($B145,tab_MinKomp[[Stanowisko / Position ]:[Stanowisko / Position ]],0)))</f>
        <v>n/a</v>
      </c>
      <c r="AU146" s="315" t="str">
        <f>IF(INDEX(tab_MinKomp[CSR (SPECYFICZNE WYMAGANIA KLIENTA)],MATCH($B145,tab_MinKomp[[Stanowisko / Position ]:[Stanowisko / Position ]],0))="n/a","n/a",AU145-INDEX(tab_MinKomp[CSR (SPECYFICZNE WYMAGANIA KLIENTA)],MATCH($B145,tab_MinKomp[[Stanowisko / Position ]:[Stanowisko / Position ]],0)))</f>
        <v>n/a</v>
      </c>
      <c r="AV146" s="315">
        <f>IF(INDEX(tab_MinKomp[5S],MATCH($B145,tab_MinKomp[[Stanowisko / Position ]:[Stanowisko / Position ]],0))="n/a","n/a",AV145-INDEX(tab_MinKomp[5S],MATCH($B145,tab_MinKomp[[Stanowisko / Position ]:[Stanowisko / Position ]],0)))</f>
        <v>-1</v>
      </c>
      <c r="AW146" s="315">
        <f>IF(INDEX(tab_MinKomp[LEAN MANAGEMENT],MATCH($B145,tab_MinKomp[[Stanowisko / Position ]:[Stanowisko / Position ]],0))="n/a","n/a",AW145-INDEX(tab_MinKomp[LEAN MANAGEMENT],MATCH($B145,tab_MinKomp[[Stanowisko / Position ]:[Stanowisko / Position ]],0)))</f>
        <v>0</v>
      </c>
      <c r="AX146" s="315">
        <f>IF(INDEX(tab_MinKomp[5R],MATCH($B145,tab_MinKomp[[Stanowisko / Position ]:[Stanowisko / Position ]],0))="n/a","n/a",AX145-INDEX(tab_MinKomp[5R],MATCH($B145,tab_MinKomp[[Stanowisko / Position ]:[Stanowisko / Position ]],0)))</f>
        <v>-1</v>
      </c>
      <c r="AY146" s="315" t="str">
        <f>IF(INDEX(tab_MinKomp[Six Sigma],MATCH($B145,tab_MinKomp[[Stanowisko / Position ]:[Stanowisko / Position ]],0))="n/a","n/a",AY145-INDEX(tab_MinKomp[Six Sigma],MATCH($B145,tab_MinKomp[[Stanowisko / Position ]:[Stanowisko / Position ]],0)))</f>
        <v>n/a</v>
      </c>
      <c r="AZ146" s="315" t="str">
        <f>IF(INDEX(tab_MinKomp[System BAAN / Distribution &amp; Supply Chain],MATCH($B145,tab_MinKomp[[Stanowisko / Position ]:[Stanowisko / Position ]],0))="n/a","n/a",AZ145-INDEX(tab_MinKomp[System BAAN / Distribution &amp; Supply Chain],MATCH($B145,tab_MinKomp[[Stanowisko / Position ]:[Stanowisko / Position ]],0)))</f>
        <v>n/a</v>
      </c>
      <c r="BA146" s="315" t="str">
        <f>IF(INDEX(tab_MinKomp[Gospodarka magazynowa / Lagerverwaltung],MATCH($B145,tab_MinKomp[[Stanowisko / Position ]:[Stanowisko / Position ]],0))="n/a","n/a",BA145-INDEX(tab_MinKomp[Gospodarka magazynowa / Lagerverwaltung],MATCH($B145,tab_MinKomp[[Stanowisko / Position ]:[Stanowisko / Position ]],0)))</f>
        <v>n/a</v>
      </c>
      <c r="BB146" s="315" t="str">
        <f>IF(INDEX(tab_MinKomp[Inwentaryzacja - organizacja i przebieg / Inventurprozess],MATCH($B145,tab_MinKomp[[Stanowisko / Position ]:[Stanowisko / Position ]],0))="n/a","n/a",BB145-INDEX(tab_MinKomp[Inwentaryzacja - organizacja i przebieg / Inventurprozess],MATCH($B145,tab_MinKomp[[Stanowisko / Position ]:[Stanowisko / Position ]],0)))</f>
        <v>n/a</v>
      </c>
      <c r="BC146" s="315" t="str">
        <f>IF(INDEX(tab_MinKomp[Organizacja dostaw / Versorgungsorganisation],MATCH($B145,tab_MinKomp[[Stanowisko / Position ]:[Stanowisko / Position ]],0))="n/a","n/a",BC145-INDEX(tab_MinKomp[Organizacja dostaw / Versorgungsorganisation],MATCH($B145,tab_MinKomp[[Stanowisko / Position ]:[Stanowisko / Position ]],0)))</f>
        <v>n/a</v>
      </c>
      <c r="BD146" s="315" t="str">
        <f>IF(INDEX(tab_MinKomp[Organizacja wysyłek / Organisation von Lieferungen],MATCH($B145,tab_MinKomp[[Stanowisko / Position ]:[Stanowisko / Position ]],0))="n/a","n/a",BD145-INDEX(tab_MinKomp[Organizacja wysyłek / Organisation von Lieferungen],MATCH($B145,tab_MinKomp[[Stanowisko / Position ]:[Stanowisko / Position ]],0)))</f>
        <v>n/a</v>
      </c>
      <c r="BE146" s="315" t="str">
        <f>IF(INDEX(tab_MinKomp[Analiza magazynowa - Program Polen.mdb / Inventuranalyse],MATCH($B145,tab_MinKomp[[Stanowisko / Position ]:[Stanowisko / Position ]],0))="n/a","n/a",BE145-INDEX(tab_MinKomp[Analiza magazynowa - Program Polen.mdb / Inventuranalyse],MATCH($B145,tab_MinKomp[[Stanowisko / Position ]:[Stanowisko / Position ]],0)))</f>
        <v>n/a</v>
      </c>
      <c r="BF146" s="315" t="str">
        <f>IF(INDEX(tab_MinKomp[MMOG (Materials Management Operations Guidelines)],MATCH($B145,tab_MinKomp[[Stanowisko / Position ]:[Stanowisko / Position ]],0))="n/a","n/a",BF145-INDEX(tab_MinKomp[MMOG (Materials Management Operations Guidelines)],MATCH($B145,tab_MinKomp[[Stanowisko / Position ]:[Stanowisko / Position ]],0)))</f>
        <v>n/a</v>
      </c>
      <c r="BG146" s="315" t="str">
        <f>IF(INDEX(tab_MinKomp[DETC],MATCH($B145,tab_MinKomp[[Stanowisko / Position ]:[Stanowisko / Position ]],0))="n/a","n/a",BG145-INDEX(tab_MinKomp[DETC],MATCH($B145,tab_MinKomp[[Stanowisko / Position ]:[Stanowisko / Position ]],0)))</f>
        <v>n/a</v>
      </c>
      <c r="BH146" s="315" t="str">
        <f>IF(INDEX(tab_MinKomp[GPP],MATCH($B145,tab_MinKomp[[Stanowisko / Position ]:[Stanowisko / Position ]],0))="n/a","n/a",BH145-INDEX(tab_MinKomp[GPP],MATCH($B145,tab_MinKomp[[Stanowisko / Position ]:[Stanowisko / Position ]],0)))</f>
        <v>n/a</v>
      </c>
      <c r="BI146" s="315" t="str">
        <f>IF(INDEX(tab_MinKomp[AIAG (Automotive Industry Action Group)],MATCH($B145,tab_MinKomp[[Stanowisko / Position ]:[Stanowisko / Position ]],0))="n/a","n/a",BI145-INDEX(tab_MinKomp[AIAG (Automotive Industry Action Group)],MATCH($B145,tab_MinKomp[[Stanowisko / Position ]:[Stanowisko / Position ]],0)))</f>
        <v>n/a</v>
      </c>
      <c r="BJ146" s="315" t="str">
        <f>IF(INDEX(tab_MinKomp[Super-G disputes],MATCH($B145,tab_MinKomp[[Stanowisko / Position ]:[Stanowisko / Position ]],0))="n/a","n/a",BJ145-INDEX(tab_MinKomp[Super-G disputes],MATCH($B145,tab_MinKomp[[Stanowisko / Position ]:[Stanowisko / Position ]],0)))</f>
        <v>n/a</v>
      </c>
      <c r="BK146" s="315" t="str">
        <f>IF(INDEX(tab_MinKomp[CMMS3/eDDL (Direct Data Link)],MATCH($B145,tab_MinKomp[[Stanowisko / Position ]:[Stanowisko / Position ]],0))="n/a","n/a",BK145-INDEX(tab_MinKomp[CMMS3/eDDL (Direct Data Link)],MATCH($B145,tab_MinKomp[[Stanowisko / Position ]:[Stanowisko / Position ]],0)))</f>
        <v>n/a</v>
      </c>
      <c r="BL146" s="315" t="str">
        <f>IF(INDEX(tab_MinKomp[MP&amp;L (Material Planning and Logistics)],MATCH($B145,tab_MinKomp[[Stanowisko / Position ]:[Stanowisko / Position ]],0))="n/a","n/a",BL145-INDEX(tab_MinKomp[MP&amp;L (Material Planning and Logistics)],MATCH($B145,tab_MinKomp[[Stanowisko / Position ]:[Stanowisko / Position ]],0)))</f>
        <v>n/a</v>
      </c>
      <c r="BM146" s="315" t="str">
        <f>IF(INDEX(tab_MinKomp[Planowanie produkcji / Produktionsplanung],MATCH($B145,tab_MinKomp[[Stanowisko / Position ]:[Stanowisko / Position ]],0))="n/a","n/a",BM145-INDEX(tab_MinKomp[Planowanie produkcji / Produktionsplanung],MATCH($B145,tab_MinKomp[[Stanowisko / Position ]:[Stanowisko / Position ]],0)))</f>
        <v>n/a</v>
      </c>
      <c r="BN146" s="315">
        <f>IF(INDEX(tab_MinKomp[Obsługa maszyn Engel / Engel Maschinenbedienung],MATCH($B145,tab_MinKomp[[Stanowisko / Position ]:[Stanowisko / Position ]],0))="n/a","n/a",BN145-INDEX(tab_MinKomp[Obsługa maszyn Engel / Engel Maschinenbedienung],MATCH($B145,tab_MinKomp[[Stanowisko / Position ]:[Stanowisko / Position ]],0)))</f>
        <v>-1</v>
      </c>
      <c r="BO146" s="315">
        <f>IF(INDEX(tab_MinKomp[Obsługa maszyn Novapax / Novapax Maschinenbedienung],MATCH($B145,tab_MinKomp[[Stanowisko / Position ]:[Stanowisko / Position ]],0))="n/a","n/a",BO145-INDEX(tab_MinKomp[Obsługa maszyn Novapax / Novapax Maschinenbedienung],MATCH($B145,tab_MinKomp[[Stanowisko / Position ]:[Stanowisko / Position ]],0)))</f>
        <v>-2</v>
      </c>
      <c r="BP146" s="315" t="str">
        <f>IF(INDEX(tab_MinKomp[Obsługa maszyn KVT / KVT Maschinenbedienung],MATCH($B145,tab_MinKomp[[Stanowisko / Position ]:[Stanowisko / Position ]],0))="n/a","n/a",BP145-INDEX(tab_MinKomp[Obsługa maszyn KVT / KVT Maschinenbedienung],MATCH($B145,tab_MinKomp[[Stanowisko / Position ]:[Stanowisko / Position ]],0)))</f>
        <v>n/a</v>
      </c>
      <c r="BQ146" s="315" t="str">
        <f>IF(INDEX(tab_MinKomp[Obsługa maszyn ASL / ASL Maschinenbedienung],MATCH($B145,tab_MinKomp[[Stanowisko / Position ]:[Stanowisko / Position ]],0))="n/a","n/a",BQ145-INDEX(tab_MinKomp[Obsługa maszyn ASL / ASL Maschinenbedienung],MATCH($B145,tab_MinKomp[[Stanowisko / Position ]:[Stanowisko / Position ]],0)))</f>
        <v>n/a</v>
      </c>
      <c r="BR146" s="315" t="str">
        <f>IF(INDEX(tab_MinKomp[Obsługa maszyn Branson / Branson Maschinenbedienung],MATCH($B145,tab_MinKomp[[Stanowisko / Position ]:[Stanowisko / Position ]],0))="n/a","n/a",BR145-INDEX(tab_MinKomp[Obsługa maszyn Branson / Branson Maschinenbedienung],MATCH($B145,tab_MinKomp[[Stanowisko / Position ]:[Stanowisko / Position ]],0)))</f>
        <v>n/a</v>
      </c>
      <c r="BS146" s="315" t="str">
        <f>IF(INDEX(tab_MinKomp[Obsługa maszyn Kamtec / Kamtec Maschinenbedienung],MATCH($B145,tab_MinKomp[[Stanowisko / Position ]:[Stanowisko / Position ]],0))="n/a","n/a",BS145-INDEX(tab_MinKomp[Obsługa maszyn Kamtec / Kamtec Maschinenbedienung],MATCH($B145,tab_MinKomp[[Stanowisko / Position ]:[Stanowisko / Position ]],0)))</f>
        <v>n/a</v>
      </c>
      <c r="BT146" s="315">
        <f>IF(INDEX(tab_MinKomp[Obsługa maszyn Piovan / Piovan Maschinenbedienung],MATCH($B145,tab_MinKomp[[Stanowisko / Position ]:[Stanowisko / Position ]],0))="n/a","n/a",BT145-INDEX(tab_MinKomp[Obsługa maszyn Piovan / Piovan Maschinenbedienung],MATCH($B145,tab_MinKomp[[Stanowisko / Position ]:[Stanowisko / Position ]],0)))</f>
        <v>-1</v>
      </c>
      <c r="BU146" s="315">
        <f>IF(INDEX(tab_MinKomp[Obsługa maszyn REP / REP Maschinenbedienung],MATCH($B145,tab_MinKomp[[Stanowisko / Position ]:[Stanowisko / Position ]],0))="n/a","n/a",BU145-INDEX(tab_MinKomp[Obsługa maszyn REP / REP Maschinenbedienung],MATCH($B145,tab_MinKomp[[Stanowisko / Position ]:[Stanowisko / Position ]],0)))</f>
        <v>-1</v>
      </c>
      <c r="BV146" s="315">
        <f>IF(INDEX(tab_MinKomp[Eliminacja awarii / Beseitigung von Ausfällen],MATCH($B145,tab_MinKomp[[Stanowisko / Position ]:[Stanowisko / Position ]],0))="n/a","n/a",BV145-INDEX(tab_MinKomp[Eliminacja awarii / Beseitigung von Ausfällen],MATCH($B145,tab_MinKomp[[Stanowisko / Position ]:[Stanowisko / Position ]],0)))</f>
        <v>-2</v>
      </c>
      <c r="BW146" s="315" t="str">
        <f>IF(INDEX(tab_MinKomp[Informatyka ogólna (techniczne i systemowe) / Allgemeine IT (Technik und System)],MATCH($B145,tab_MinKomp[[Stanowisko / Position ]:[Stanowisko / Position ]],0))="n/a","n/a",BW145-INDEX(tab_MinKomp[Informatyka ogólna (techniczne i systemowe) / Allgemeine IT (Technik und System)],MATCH($B145,tab_MinKomp[[Stanowisko / Position ]:[Stanowisko / Position ]],0)))</f>
        <v>n/a</v>
      </c>
      <c r="BX146" s="315" t="str">
        <f>IF(INDEX(tab_MinKomp[Sieci komputerowe / Computernetzwerke],MATCH($B145,tab_MinKomp[[Stanowisko / Position ]:[Stanowisko / Position ]],0))="n/a","n/a",BX145-INDEX(tab_MinKomp[Sieci komputerowe / Computernetzwerke],MATCH($B145,tab_MinKomp[[Stanowisko / Position ]:[Stanowisko / Position ]],0)))</f>
        <v>n/a</v>
      </c>
      <c r="BY146" s="315" t="str">
        <f>IF(INDEX(tab_MinKomp[Hardware (komputery PC, drukarki biurowe i etykietowe, telefonia stacjonarna i mobilna) (PC, Drucker, Telefpne, Handys)],MATCH($B145,tab_MinKomp[[Stanowisko / Position ]:[Stanowisko / Position ]],0))="n/a","n/a",BY145-INDEX(tab_MinKomp[Hardware (komputery PC, drukarki biurowe i etykietowe, telefonia stacjonarna i mobilna) (PC, Drucker, Telefpne, Handys)],MATCH($B145,tab_MinKomp[[Stanowisko / Position ]:[Stanowisko / Position ]],0)))</f>
        <v>n/a</v>
      </c>
      <c r="BZ146" s="315" t="str">
        <f>IF(INDEX(tab_MinKomp[Software &amp; Systems (MS Office, MS Remote Desktop)],MATCH($B145,tab_MinKomp[[Stanowisko / Position ]:[Stanowisko / Position ]],0))="n/a","n/a",BZ145-INDEX(tab_MinKomp[Software &amp; Systems (MS Office, MS Remote Desktop)],MATCH($B145,tab_MinKomp[[Stanowisko / Position ]:[Stanowisko / Position ]],0)))</f>
        <v>n/a</v>
      </c>
      <c r="CA146" s="315" t="str">
        <f>IF(INDEX(tab_MinKomp[Programowanie obiektowe (PHP) / Objektprogrammierung],MATCH($B145,tab_MinKomp[[Stanowisko / Position ]:[Stanowisko / Position ]],0))="n/a","n/a",CA145-INDEX(tab_MinKomp[Programowanie obiektowe (PHP) / Objektprogrammierung],MATCH($B145,tab_MinKomp[[Stanowisko / Position ]:[Stanowisko / Position ]],0)))</f>
        <v>n/a</v>
      </c>
      <c r="CB146" s="315" t="str">
        <f>IF(INDEX(tab_MinKomp[Scrum],MATCH($B145,tab_MinKomp[[Stanowisko / Position ]:[Stanowisko / Position ]],0))="n/a","n/a",CB145-INDEX(tab_MinKomp[Scrum],MATCH($B145,tab_MinKomp[[Stanowisko / Position ]:[Stanowisko / Position ]],0)))</f>
        <v>n/a</v>
      </c>
      <c r="CC146" s="315" t="str">
        <f>IF(INDEX(tab_MinKomp[SQL (MySQL)],MATCH($B145,tab_MinKomp[[Stanowisko / Position ]:[Stanowisko / Position ]],0))="n/a","n/a",CC145-INDEX(tab_MinKomp[SQL (MySQL)],MATCH($B145,tab_MinKomp[[Stanowisko / Position ]:[Stanowisko / Position ]],0)))</f>
        <v>n/a</v>
      </c>
      <c r="CD146" s="315" t="str">
        <f>IF(INDEX(tab_MinKomp[Javascript],MATCH($B145,tab_MinKomp[[Stanowisko / Position ]:[Stanowisko / Position ]],0))="n/a","n/a",CD145-INDEX(tab_MinKomp[Javascript],MATCH($B145,tab_MinKomp[[Stanowisko / Position ]:[Stanowisko / Position ]],0)))</f>
        <v>n/a</v>
      </c>
      <c r="CE146" s="315" t="str">
        <f>IF(INDEX(tab_MinKomp[Joomla],MATCH($B145,tab_MinKomp[[Stanowisko / Position ]:[Stanowisko / Position ]],0))="n/a","n/a",CE145-INDEX(tab_MinKomp[Joomla],MATCH($B145,tab_MinKomp[[Stanowisko / Position ]:[Stanowisko / Position ]],0)))</f>
        <v>n/a</v>
      </c>
      <c r="CF146" s="315" t="str">
        <f>IF(INDEX(tab_MinKomp[Bash],MATCH($B145,tab_MinKomp[[Stanowisko / Position ]:[Stanowisko / Position ]],0))="n/a","n/a",CF145-INDEX(tab_MinKomp[Bash],MATCH($B145,tab_MinKomp[[Stanowisko / Position ]:[Stanowisko / Position ]],0)))</f>
        <v>n/a</v>
      </c>
      <c r="CG146" s="315" t="str">
        <f>IF(INDEX(tab_MinKomp[Systemy MES (HYDRA / SFMS)],MATCH($B145,tab_MinKomp[[Stanowisko / Position ]:[Stanowisko / Position ]],0))="n/a","n/a",CG145-INDEX(tab_MinKomp[Systemy MES (HYDRA / SFMS)],MATCH($B145,tab_MinKomp[[Stanowisko / Position ]:[Stanowisko / Position ]],0)))</f>
        <v>n/a</v>
      </c>
      <c r="CH146" s="315" t="str">
        <f>IF(INDEX(tab_MinKomp[HTML / CSS],MATCH($B145,tab_MinKomp[[Stanowisko / Position ]:[Stanowisko / Position ]],0))="n/a","n/a",CH145-INDEX(tab_MinKomp[HTML / CSS],MATCH($B145,tab_MinKomp[[Stanowisko / Position ]:[Stanowisko / Position ]],0)))</f>
        <v>n/a</v>
      </c>
      <c r="CI146" s="315" t="str">
        <f>IF(INDEX(tab_MinKomp[SYSTEM PR],MATCH($B145,tab_MinKomp[[Stanowisko / Position ]:[Stanowisko / Position ]],0))="n/a","n/a",CI145-INDEX(tab_MinKomp[SYSTEM PR],MATCH($B145,tab_MinKomp[[Stanowisko / Position ]:[Stanowisko / Position ]],0)))</f>
        <v>n/a</v>
      </c>
      <c r="CJ146" s="315" t="str">
        <f>IF(INDEX(tab_MinKomp[System Einkauf XP / EBA],MATCH($B145,tab_MinKomp[[Stanowisko / Position ]:[Stanowisko / Position ]],0))="n/a","n/a",CJ145-INDEX(tab_MinKomp[System Einkauf XP / EBA],MATCH($B145,tab_MinKomp[[Stanowisko / Position ]:[Stanowisko / Position ]],0)))</f>
        <v>n/a</v>
      </c>
      <c r="CK146" s="315" t="str">
        <f>IF(INDEX(tab_MinKomp[Techniki negocjacyjne / Verhandlungstechniken],MATCH($B145,tab_MinKomp[[Stanowisko / Position ]:[Stanowisko / Position ]],0))="n/a","n/a",CK145-INDEX(tab_MinKomp[Techniki negocjacyjne / Verhandlungstechniken],MATCH($B145,tab_MinKomp[[Stanowisko / Position ]:[Stanowisko / Position ]],0)))</f>
        <v>n/a</v>
      </c>
      <c r="CL146" s="315" t="str">
        <f>IF(INDEX(tab_MinKomp[Znajomość rynku branżowego / Kenntnis des Industrie Marktes],MATCH($B145,tab_MinKomp[[Stanowisko / Position ]:[Stanowisko / Position ]],0))="n/a","n/a",CL145-INDEX(tab_MinKomp[Znajomość rynku branżowego / Kenntnis des Industrie Marktes],MATCH($B145,tab_MinKomp[[Stanowisko / Position ]:[Stanowisko / Position ]],0)))</f>
        <v>n/a</v>
      </c>
      <c r="CM146" s="315" t="str">
        <f>IF(INDEX(tab_MinKomp[RAPORTY 8D / 8D Berichten],MATCH($B145,tab_MinKomp[[Stanowisko / Position ]:[Stanowisko / Position ]],0))="n/a","n/a",CM145-INDEX(tab_MinKomp[RAPORTY 8D / 8D Berichten],MATCH($B145,tab_MinKomp[[Stanowisko / Position ]:[Stanowisko / Position ]],0)))</f>
        <v>n/a</v>
      </c>
      <c r="CN146" s="315">
        <f>IF(INDEX(tab_MinKomp[NARZĘDZIA JAKOŚCIOWE (5WHY, Ishikawa, etc) / QS-Werkzeuge],MATCH($B145,tab_MinKomp[[Stanowisko / Position ]:[Stanowisko / Position ]],0))="n/a","n/a",CN145-INDEX(tab_MinKomp[NARZĘDZIA JAKOŚCIOWE (5WHY, Ishikawa, etc) / QS-Werkzeuge],MATCH($B145,tab_MinKomp[[Stanowisko / Position ]:[Stanowisko / Position ]],0)))</f>
        <v>0</v>
      </c>
      <c r="CO146" s="315">
        <f>IF(INDEX(tab_MinKomp[PDCA],MATCH($B145,tab_MinKomp[[Stanowisko / Position ]:[Stanowisko / Position ]],0))="n/a","n/a",CO145-INDEX(tab_MinKomp[PDCA],MATCH($B145,tab_MinKomp[[Stanowisko / Position ]:[Stanowisko / Position ]],0)))</f>
        <v>0</v>
      </c>
      <c r="CP146" s="315">
        <f>IF(INDEX(tab_MinKomp[Pareto],MATCH($B145,tab_MinKomp[[Stanowisko / Position ]:[Stanowisko / Position ]],0))="n/a","n/a",CP145-INDEX(tab_MinKomp[Pareto],MATCH($B145,tab_MinKomp[[Stanowisko / Position ]:[Stanowisko / Position ]],0)))</f>
        <v>0</v>
      </c>
      <c r="CQ146" s="315" t="str">
        <f>IF(INDEX(tab_MinKomp[PPAP/PSW],MATCH($B145,tab_MinKomp[[Stanowisko / Position ]:[Stanowisko / Position ]],0))="n/a","n/a",CQ145-INDEX(tab_MinKomp[PPAP/PSW],MATCH($B145,tab_MinKomp[[Stanowisko / Position ]:[Stanowisko / Position ]],0)))</f>
        <v>n/a</v>
      </c>
      <c r="CR146" s="315" t="str">
        <f>IF(INDEX(tab_MinKomp[SUPPLIER MANAGEMENT],MATCH($B145,tab_MinKomp[[Stanowisko / Position ]:[Stanowisko / Position ]],0))="n/a","n/a",CR145-INDEX(tab_MinKomp[SUPPLIER MANAGEMENT],MATCH($B145,tab_MinKomp[[Stanowisko / Position ]:[Stanowisko / Position ]],0)))</f>
        <v>n/a</v>
      </c>
      <c r="CS146" s="315" t="str">
        <f>IF(INDEX(tab_MinKomp[OBSŁUGA PORTALI KLIENTA / Kundenportale],MATCH($B145,tab_MinKomp[[Stanowisko / Position ]:[Stanowisko / Position ]],0))="n/a","n/a",CS145-INDEX(tab_MinKomp[OBSŁUGA PORTALI KLIENTA / Kundenportale],MATCH($B145,tab_MinKomp[[Stanowisko / Position ]:[Stanowisko / Position ]],0)))</f>
        <v>n/a</v>
      </c>
      <c r="CT146" s="315" t="str">
        <f>IF(INDEX(tab_MinKomp[Obsługa systemu BABTECQ / BABTECQ System],MATCH($B145,tab_MinKomp[[Stanowisko / Position ]:[Stanowisko / Position ]],0))="n/a","n/a",CT145-INDEX(tab_MinKomp[Obsługa systemu BABTECQ / BABTECQ System],MATCH($B145,tab_MinKomp[[Stanowisko / Position ]:[Stanowisko / Position ]],0)))</f>
        <v>n/a</v>
      </c>
      <c r="CU146" s="315">
        <f>IF(INDEX(tab_MinKomp[Rysunek techniczny / technische Zeichnung],MATCH($B145,tab_MinKomp[[Stanowisko / Position ]:[Stanowisko / Position ]],0))="n/a","n/a",CU145-INDEX(tab_MinKomp[Rysunek techniczny / technische Zeichnung],MATCH($B145,tab_MinKomp[[Stanowisko / Position ]:[Stanowisko / Position ]],0)))</f>
        <v>-1</v>
      </c>
      <c r="CV146" s="315" t="str">
        <f>IF(INDEX(tab_MinKomp[Kalibracja / Kalibrierung],MATCH($B145,tab_MinKomp[[Stanowisko / Position ]:[Stanowisko / Position ]],0))="n/a","n/a",CV145-INDEX(tab_MinKomp[Kalibracja / Kalibrierung],MATCH($B145,tab_MinKomp[[Stanowisko / Position ]:[Stanowisko / Position ]],0)))</f>
        <v>n/a</v>
      </c>
      <c r="CW146" s="315" t="str">
        <f>IF(INDEX(tab_MinKomp[Rekwalifikacja / Requalifizierung],MATCH($B145,tab_MinKomp[[Stanowisko / Position ]:[Stanowisko / Position ]],0))="n/a","n/a",CW145-INDEX(tab_MinKomp[Rekwalifikacja / Requalifizierung],MATCH($B145,tab_MinKomp[[Stanowisko / Position ]:[Stanowisko / Position ]],0)))</f>
        <v>n/a</v>
      </c>
      <c r="CX146" s="315" t="str">
        <f>IF(INDEX(tab_MinKomp[Obsługa mikroskopu optycznego / Bedienung eines optischen Mikroskops],MATCH($B145,tab_MinKomp[[Stanowisko / Position ]:[Stanowisko / Position ]],0))="n/a","n/a",CX145-INDEX(tab_MinKomp[Obsługa mikroskopu optycznego / Bedienung eines optischen Mikroskops],MATCH($B145,tab_MinKomp[[Stanowisko / Position ]:[Stanowisko / Position ]],0)))</f>
        <v>n/a</v>
      </c>
      <c r="CY146" s="315" t="str">
        <f>IF(INDEX(tab_MinKomp[Wykonywanie pomiarów optycznych - ocena wizualna / Optische Messungen durchführen – visuelle Beurteilung],MATCH($B145,tab_MinKomp[[Stanowisko / Position ]:[Stanowisko / Position ]],0))="n/a","n/a",CY145-INDEX(tab_MinKomp[Wykonywanie pomiarów optycznych - ocena wizualna / Optische Messungen durchführen – visuelle Beurteilung],MATCH($B145,tab_MinKomp[[Stanowisko / Position ]:[Stanowisko / Position ]],0)))</f>
        <v>n/a</v>
      </c>
      <c r="CZ146" s="315" t="str">
        <f>IF(INDEX(tab_MinKomp[Obsługa Rheometra / Rheometra-Unterstützung],MATCH($B145,tab_MinKomp[[Stanowisko / Position ]:[Stanowisko / Position ]],0))="n/a","n/a",CZ145-INDEX(tab_MinKomp[Obsługa Rheometra / Rheometra-Unterstützung],MATCH($B145,tab_MinKomp[[Stanowisko / Position ]:[Stanowisko / Position ]],0)))</f>
        <v>n/a</v>
      </c>
      <c r="DA146" s="315" t="str">
        <f>IF(INDEX(tab_MinKomp[Testy właściwości Rheometra mieszanki gumy],MATCH($B145,tab_MinKomp[[Stanowisko / Position ]:[Stanowisko / Position ]],0))="n/a","n/a",DA145-INDEX(tab_MinKomp[Testy właściwości Rheometra mieszanki gumy],MATCH($B145,tab_MinKomp[[Stanowisko / Position ]:[Stanowisko / Position ]],0)))</f>
        <v>n/a</v>
      </c>
      <c r="DB146" s="315" t="str">
        <f>IF(INDEX(tab_MinKomp[CMM - Contura Zeiss],MATCH($B145,tab_MinKomp[[Stanowisko / Position ]:[Stanowisko / Position ]],0))="n/a","n/a",DB145-INDEX(tab_MinKomp[CMM - Contura Zeiss],MATCH($B145,tab_MinKomp[[Stanowisko / Position ]:[Stanowisko / Position ]],0)))</f>
        <v>n/a</v>
      </c>
      <c r="DC146" s="315" t="str">
        <f>IF(INDEX(tab_MinKomp[Wykonywanie precyzyjnych pomiarów metrycznych, pomiary 3D],MATCH($B145,tab_MinKomp[[Stanowisko / Position ]:[Stanowisko / Position ]],0))="n/a","n/a",DC145-INDEX(tab_MinKomp[Wykonywanie precyzyjnych pomiarów metrycznych, pomiary 3D],MATCH($B145,tab_MinKomp[[Stanowisko / Position ]:[Stanowisko / Position ]],0)))</f>
        <v>n/a</v>
      </c>
      <c r="DD146" s="315" t="str">
        <f>IF(INDEX(tab_MinKomp[Pisanie programów / Programme schreiben],MATCH($B145,tab_MinKomp[[Stanowisko / Position ]:[Stanowisko / Position ]],0))="n/a","n/a",DD145-INDEX(tab_MinKomp[Pisanie programów / Programme schreiben],MATCH($B145,tab_MinKomp[[Stanowisko / Position ]:[Stanowisko / Position ]],0)))</f>
        <v>n/a</v>
      </c>
      <c r="DE146" s="315" t="str">
        <f>IF(INDEX(tab_MinKomp[Obsługa wyposażenia do testów czystości (myjka + analizator) / Betrieb von Sauberkeitsprüfgeräten (Waschmaschine + Analysegerät)],MATCH($B145,tab_MinKomp[[Stanowisko / Position ]:[Stanowisko / Position ]],0))="n/a","n/a",DE145-INDEX(tab_MinKomp[Obsługa wyposażenia do testów czystości (myjka + analizator) / Betrieb von Sauberkeitsprüfgeräten (Waschmaschine + Analysegerät)],MATCH($B145,tab_MinKomp[[Stanowisko / Position ]:[Stanowisko / Position ]],0)))</f>
        <v>n/a</v>
      </c>
      <c r="DF146" s="315" t="str">
        <f>IF(INDEX(tab_MinKomp[Testy czystości / Reinheitstests],MATCH($B145,tab_MinKomp[[Stanowisko / Position ]:[Stanowisko / Position ]],0))="n/a","n/a",DF145-INDEX(tab_MinKomp[Testy czystości / Reinheitstests],MATCH($B145,tab_MinKomp[[Stanowisko / Position ]:[Stanowisko / Position ]],0)))</f>
        <v>n/a</v>
      </c>
      <c r="DG146" s="315" t="str">
        <f>IF(INDEX(tab_MinKomp[Obsługa wysokościomierza / Unterstützung für Höhenmesser],MATCH($B145,tab_MinKomp[[Stanowisko / Position ]:[Stanowisko / Position ]],0))="n/a","n/a",DG145-INDEX(tab_MinKomp[Obsługa wysokościomierza / Unterstützung für Höhenmesser],MATCH($B145,tab_MinKomp[[Stanowisko / Position ]:[Stanowisko / Position ]],0)))</f>
        <v>n/a</v>
      </c>
      <c r="DH146" s="315" t="str">
        <f>IF(INDEX(tab_MinKomp[Pomiary wysokości materiału / Materialhöhenmessungen],MATCH($B145,tab_MinKomp[[Stanowisko / Position ]:[Stanowisko / Position ]],0))="n/a","n/a",DH145-INDEX(tab_MinKomp[Pomiary wysokości materiału / Materialhöhenmessungen],MATCH($B145,tab_MinKomp[[Stanowisko / Position ]:[Stanowisko / Position ]],0)))</f>
        <v>n/a</v>
      </c>
      <c r="DI146" s="315" t="str">
        <f>IF(INDEX(tab_MinKomp[Obsługa okrągłościomierza / Unterstützung für Rundheitsmessgeräte],MATCH($B145,tab_MinKomp[[Stanowisko / Position ]:[Stanowisko / Position ]],0))="n/a","n/a",DI145-INDEX(tab_MinKomp[Obsługa okrągłościomierza / Unterstützung für Rundheitsmessgeräte],MATCH($B145,tab_MinKomp[[Stanowisko / Position ]:[Stanowisko / Position ]],0)))</f>
        <v>n/a</v>
      </c>
      <c r="DJ146" s="315" t="str">
        <f>IF(INDEX(tab_MinKomp[Wykonywania pomiarów owalności, srednicy materiału / Messung der Ovalität und des Durchmessers des Materials],MATCH($B145,tab_MinKomp[[Stanowisko / Position ]:[Stanowisko / Position ]],0))="n/a","n/a",DJ145-INDEX(tab_MinKomp[Wykonywania pomiarów owalności, srednicy materiału / Messung der Ovalität und des Durchmessers des Materials],MATCH($B145,tab_MinKomp[[Stanowisko / Position ]:[Stanowisko / Position ]],0)))</f>
        <v>n/a</v>
      </c>
      <c r="DK146" s="315" t="str">
        <f>IF(INDEX(tab_MinKomp[Obsługa urządzenia do pomiarów chropowoatości powierzchni materiału],MATCH($B145,tab_MinKomp[[Stanowisko / Position ]:[Stanowisko / Position ]],0))="n/a","n/a",DK145-INDEX(tab_MinKomp[Obsługa urządzenia do pomiarów chropowoatości powierzchni materiału],MATCH($B145,tab_MinKomp[[Stanowisko / Position ]:[Stanowisko / Position ]],0)))</f>
        <v>n/a</v>
      </c>
      <c r="DL146" s="315" t="str">
        <f>IF(INDEX(tab_MinKomp[Wykonywanie pomiarów chropowatości powierzchni materiału / Durchführung von Messungen der Materialoberflächenrauheit],MATCH($B145,tab_MinKomp[[Stanowisko / Position ]:[Stanowisko / Position ]],0))="n/a","n/a",DL145-INDEX(tab_MinKomp[Wykonywanie pomiarów chropowatości powierzchni materiału / Durchführung von Messungen der Materialoberflächenrauheit],MATCH($B145,tab_MinKomp[[Stanowisko / Position ]:[Stanowisko / Position ]],0)))</f>
        <v>n/a</v>
      </c>
      <c r="DM146" s="315" t="str">
        <f>IF(INDEX(tab_MinKomp[Obsługa urządzenia do pomiaru siły radialnej części - postępowanie z trzpieniami. / Funktionsweise des Geräts zur Messung der Radialkraft von Teilen – Handhabungsstifte.],MATCH($B145,tab_MinKomp[[Stanowisko / Position ]:[Stanowisko / Position ]],0))="n/a","n/a",DM145-INDEX(tab_MinKomp[Obsługa urządzenia do pomiaru siły radialnej części - postępowanie z trzpieniami. / Funktionsweise des Geräts zur Messung der Radialkraft von Teilen – Handhabungsstifte.],MATCH($B145,tab_MinKomp[[Stanowisko / Position ]:[Stanowisko / Position ]],0)))</f>
        <v>n/a</v>
      </c>
      <c r="DN146" s="315" t="str">
        <f>IF(INDEX(tab_MinKomp[Wykonywanie pomiarów siły radialnej części / Führen Sie Radialkraftmessungen an Teilen durch],MATCH($B145,tab_MinKomp[[Stanowisko / Position ]:[Stanowisko / Position ]],0))="n/a","n/a",DN145-INDEX(tab_MinKomp[Wykonywanie pomiarów siły radialnej części / Führen Sie Radialkraftmessungen an Teilen durch],MATCH($B145,tab_MinKomp[[Stanowisko / Position ]:[Stanowisko / Position ]],0)))</f>
        <v>n/a</v>
      </c>
      <c r="DO146" s="315" t="str">
        <f>IF(INDEX(tab_MinKomp[Obsługa komory do testów wybuchwych / Betrieb einer Explosionsprüfkammer],MATCH($B145,tab_MinKomp[[Stanowisko / Position ]:[Stanowisko / Position ]],0))="n/a","n/a",DO145-INDEX(tab_MinKomp[Obsługa komory do testów wybuchwych / Betrieb einer Explosionsprüfkammer],MATCH($B145,tab_MinKomp[[Stanowisko / Position ]:[Stanowisko / Position ]],0)))</f>
        <v>n/a</v>
      </c>
      <c r="DP146" s="315" t="str">
        <f>IF(INDEX(tab_MinKomp[Wykonywanie testów wybuchowych części / Durchführung von Explosionstests an Teilen],MATCH($B145,tab_MinKomp[[Stanowisko / Position ]:[Stanowisko / Position ]],0))="n/a","n/a",DP145-INDEX(tab_MinKomp[Wykonywanie testów wybuchowych części / Durchführung von Explosionstests an Teilen],MATCH($B145,tab_MinKomp[[Stanowisko / Position ]:[Stanowisko / Position ]],0)))</f>
        <v>n/a</v>
      </c>
      <c r="DQ146" s="315" t="str">
        <f>IF(INDEX(tab_MinKomp[Obsługa urządzeń do mierzenia siły trzymania i/lub rozciągania / Betrieb von Geräten zur Messung der Halte- und/oder Dehnkraft],MATCH($B145,tab_MinKomp[[Stanowisko / Position ]:[Stanowisko / Position ]],0))="n/a","n/a",DQ145-INDEX(tab_MinKomp[Obsługa urządzeń do mierzenia siły trzymania i/lub rozciągania / Betrieb von Geräten zur Messung der Halte- und/oder Dehnkraft],MATCH($B145,tab_MinKomp[[Stanowisko / Position ]:[Stanowisko / Position ]],0)))</f>
        <v>n/a</v>
      </c>
      <c r="DR146" s="315" t="str">
        <f>IF(INDEX(tab_MinKomp[Wykonywanie testów mierzenia siły trzymania i/lub rozciągania / Durchführung von Tests zur Messung der Halte- und/oder Streckkraft],MATCH($B145,tab_MinKomp[[Stanowisko / Position ]:[Stanowisko / Position ]],0))="n/a","n/a",DR145-INDEX(tab_MinKomp[Wykonywanie testów mierzenia siły trzymania i/lub rozciągania / Durchführung von Tests zur Messung der Halte- und/oder Streckkraft],MATCH($B145,tab_MinKomp[[Stanowisko / Position ]:[Stanowisko / Position ]],0)))</f>
        <v>n/a</v>
      </c>
      <c r="DS146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Luftstrom)],MATCH($B145,tab_MinKomp[[Stanowisko / Position ]:[Stanowisko / Position ]],0))="n/a","n/a",DS145-INDEX(tab_MinKomp[Obsługa multimetru do pomiarów środowiskowych (temperatura, wilgotność, hałas, oświetlenie, przepływ powietrza) / Betrieb eines Multimeters für Umweltmessungen (Temperatur, Luftfeuchtigkeit, Lärm, Beleuchtung, Luftstrom)],MATCH($B145,tab_MinKomp[[Stanowisko / Position ]:[Stanowisko / Position ]],0)))</f>
        <v>n/a</v>
      </c>
      <c r="DT146" s="315" t="str">
        <f>IF(INDEX(tab_MinKomp[Kontrola warunków środowiskowych pracy (temperatura, wilgotność, hałas, oświetlenie, przepływ powietrza) / Kontrolle der Arbeitsumgebungsbedingungen (Temperatur, Luftfeuchtigkeit, Lärm, Beleuchtung, Luftstrom)],MATCH($B145,tab_MinKomp[[Stanowisko / Position ]:[Stanowisko / Position ]],0))="n/a","n/a",DT145-INDEX(tab_MinKomp[Kontrola warunków środowiskowych pracy (temperatura, wilgotność, hałas, oświetlenie, przepływ powietrza) / Kontrolle der Arbeitsumgebungsbedingungen (Temperatur, Luftfeuchtigkeit, Lärm, Beleuchtung, Luftstrom)],MATCH($B145,tab_MinKomp[[Stanowisko / Position ]:[Stanowisko / Position ]],0)))</f>
        <v>n/a</v>
      </c>
      <c r="DU146" s="315" t="str">
        <f>IF(INDEX(tab_MinKomp[MSA i SPC],MATCH($B145,tab_MinKomp[[Stanowisko / Position ]:[Stanowisko / Position ]],0))="n/a","n/a",DU145-INDEX(tab_MinKomp[MSA i SPC],MATCH($B145,tab_MinKomp[[Stanowisko / Position ]:[Stanowisko / Position ]],0)))</f>
        <v>n/a</v>
      </c>
      <c r="DV146" s="315" t="str">
        <f>IF(INDEX(tab_MinKomp[Kontrola wejściowa komponentów/ Eingangskontrolle],MATCH($B145,tab_MinKomp[[Stanowisko / Position ]:[Stanowisko / Position ]],0))="n/a","n/a",DV145-INDEX(tab_MinKomp[Kontrola wejściowa komponentów/ Eingangskontrolle],MATCH($B145,tab_MinKomp[[Stanowisko / Position ]:[Stanowisko / Position ]],0)))</f>
        <v>n/a</v>
      </c>
      <c r="DW146" s="315" t="str">
        <f>IF(INDEX(tab_MinKomp[Kontrola wyjściowa produktu / Ausgangskontrolle],MATCH($B145,tab_MinKomp[[Stanowisko / Position ]:[Stanowisko / Position ]],0))="n/a","n/a",DW145-INDEX(tab_MinKomp[Kontrola wyjściowa produktu / Ausgangskontrolle],MATCH($B145,tab_MinKomp[[Stanowisko / Position ]:[Stanowisko / Position ]],0)))</f>
        <v>n/a</v>
      </c>
      <c r="DX146" s="315" t="str">
        <f>IF(INDEX(tab_MinKomp[Kontrola codzienna produkcji / Tägliche Produktionskontrolle],MATCH($B145,tab_MinKomp[[Stanowisko / Position ]:[Stanowisko / Position ]],0))="n/a","n/a",DX145-INDEX(tab_MinKomp[Kontrola codzienna produkcji / Tägliche Produktionskontrolle],MATCH($B145,tab_MinKomp[[Stanowisko / Position ]:[Stanowisko / Position ]],0)))</f>
        <v>n/a</v>
      </c>
      <c r="DY146" s="315" t="str">
        <f>IF(INDEX(tab_MinKomp[Konserwacja Rep],MATCH($B145,tab_MinKomp[[Stanowisko / Position ]:[Stanowisko / Position ]],0))="n/a","n/a",DY145-INDEX(tab_MinKomp[Konserwacja Rep],MATCH($B145,tab_MinKomp[[Stanowisko / Position ]:[Stanowisko / Position ]],0)))</f>
        <v>n/a</v>
      </c>
      <c r="DZ146" s="315" t="str">
        <f>IF(INDEX(tab_MinKomp[[Konserwacja Engel ]],MATCH($B145,tab_MinKomp[[Stanowisko / Position ]:[Stanowisko / Position ]],0))="n/a","n/a",DZ145-INDEX(tab_MinKomp[[Konserwacja Engel ]],MATCH($B145,tab_MinKomp[[Stanowisko / Position ]:[Stanowisko / Position ]],0)))</f>
        <v>n/a</v>
      </c>
      <c r="EA146" s="315" t="str">
        <f>IF(INDEX(tab_MinKomp[Konserwacja B 50],MATCH($B145,tab_MinKomp[[Stanowisko / Position ]:[Stanowisko / Position ]],0))="n/a","n/a",EA145-INDEX(tab_MinKomp[Konserwacja B 50],MATCH($B145,tab_MinKomp[[Stanowisko / Position ]:[Stanowisko / Position ]],0)))</f>
        <v>n/a</v>
      </c>
      <c r="EB146" s="315" t="str">
        <f>IF(INDEX(tab_MinKomp[[Konserwacja EOL ]],MATCH($B145,tab_MinKomp[[Stanowisko / Position ]:[Stanowisko / Position ]],0))="n/a","n/a",EB145-INDEX(tab_MinKomp[[Konserwacja EOL ]],MATCH($B145,tab_MinKomp[[Stanowisko / Position ]:[Stanowisko / Position ]],0)))</f>
        <v>n/a</v>
      </c>
      <c r="EC146" s="315" t="str">
        <f>IF(INDEX(tab_MinKomp[Konserwacja Branson],MATCH($B145,tab_MinKomp[[Stanowisko / Position ]:[Stanowisko / Position ]],0))="n/a","n/a",EC145-INDEX(tab_MinKomp[Konserwacja Branson],MATCH($B145,tab_MinKomp[[Stanowisko / Position ]:[Stanowisko / Position ]],0)))</f>
        <v>n/a</v>
      </c>
      <c r="ED146" s="315" t="str">
        <f>IF(INDEX(tab_MinKomp[Konserwacja coolery],MATCH($B145,tab_MinKomp[[Stanowisko / Position ]:[Stanowisko / Position ]],0))="n/a","n/a",ED145-INDEX(tab_MinKomp[Konserwacja coolery],MATCH($B145,tab_MinKomp[[Stanowisko / Position ]:[Stanowisko / Position ]],0)))</f>
        <v>n/a</v>
      </c>
      <c r="EE146" s="315" t="str">
        <f>IF(INDEX(tab_MinKomp[Konserwacja piecy],MATCH($B145,tab_MinKomp[[Stanowisko / Position ]:[Stanowisko / Position ]],0))="n/a","n/a",EE145-INDEX(tab_MinKomp[Konserwacja piecy],MATCH($B145,tab_MinKomp[[Stanowisko / Position ]:[Stanowisko / Position ]],0)))</f>
        <v>n/a</v>
      </c>
      <c r="EF146" s="315">
        <f>IF(INDEX(tab_MinKomp[Rysunek techniczny- czytanie],MATCH($B145,tab_MinKomp[[Stanowisko / Position ]:[Stanowisko / Position ]],0))="n/a","n/a",EF145-INDEX(tab_MinKomp[Rysunek techniczny- czytanie],MATCH($B145,tab_MinKomp[[Stanowisko / Position ]:[Stanowisko / Position ]],0)))</f>
        <v>-1</v>
      </c>
      <c r="EG146" s="315">
        <f>IF(INDEX(tab_MinKomp[Elektryka],MATCH($B145,tab_MinKomp[[Stanowisko / Position ]:[Stanowisko / Position ]],0))="n/a","n/a",EG145-INDEX(tab_MinKomp[Elektryka],MATCH($B145,tab_MinKomp[[Stanowisko / Position ]:[Stanowisko / Position ]],0)))</f>
        <v>-1</v>
      </c>
      <c r="EH146" s="315">
        <f>IF(INDEX(tab_MinKomp[Pneumatyka],MATCH($B145,tab_MinKomp[[Stanowisko / Position ]:[Stanowisko / Position ]],0))="n/a","n/a",EH145-INDEX(tab_MinKomp[Pneumatyka],MATCH($B145,tab_MinKomp[[Stanowisko / Position ]:[Stanowisko / Position ]],0)))</f>
        <v>-1</v>
      </c>
      <c r="EI146" s="315">
        <f>IF(INDEX(tab_MinKomp[[Hydraulika ]],MATCH($B145,tab_MinKomp[[Stanowisko / Position ]:[Stanowisko / Position ]],0))="n/a","n/a",EI145-INDEX(tab_MinKomp[[Hydraulika ]],MATCH($B145,tab_MinKomp[[Stanowisko / Position ]:[Stanowisko / Position ]],0)))</f>
        <v>-1</v>
      </c>
      <c r="EJ146" s="315">
        <f>IF(INDEX(tab_MinKomp[Podciśnienie],MATCH($B145,tab_MinKomp[[Stanowisko / Position ]:[Stanowisko / Position ]],0))="n/a","n/a",EJ145-INDEX(tab_MinKomp[Podciśnienie],MATCH($B145,tab_MinKomp[[Stanowisko / Position ]:[Stanowisko / Position ]],0)))</f>
        <v>-1</v>
      </c>
      <c r="EK146" s="315" t="str">
        <f>IF(INDEX(tab_MinKomp[Planowanie strategiczne / Strategische Planung],MATCH($B145,tab_MinKomp[[Stanowisko / Position ]:[Stanowisko / Position ]],0))="n/a","n/a",EK145-INDEX(tab_MinKomp[Planowanie strategiczne / Strategische Planung],MATCH($B145,tab_MinKomp[[Stanowisko / Position ]:[Stanowisko / Position ]],0)))</f>
        <v>n/a</v>
      </c>
      <c r="EL146" s="315" t="str">
        <f>IF(INDEX(tab_MinKomp[Planowanie strategiczne / Strategische Planung],MATCH($B145,tab_MinKomp[[Stanowisko / Position ]:[Stanowisko / Position ]],0))="n/a","n/a",EL145-INDEX(tab_MinKomp[Planowanie strategiczne / Strategische Planung],MATCH($B145,tab_MinKomp[[Stanowisko / Position ]:[Stanowisko / Position ]],0)))</f>
        <v>n/a</v>
      </c>
      <c r="EM146" s="315">
        <f>IF(INDEX(tab_MinKomp[Obsługa sterowania maszyny],MATCH($B145,tab_MinKomp[[Stanowisko / Position ]:[Stanowisko / Position ]],0))="n/a","n/a",EM145-INDEX(tab_MinKomp[Obsługa sterowania maszyny],MATCH($B145,tab_MinKomp[[Stanowisko / Position ]:[Stanowisko / Position ]],0)))</f>
        <v>0</v>
      </c>
      <c r="EN146" s="315" t="str">
        <f>IF(INDEX(tab_MinKomp[Planowanie strategiczne / Strategische Planung],MATCH($B145,tab_MinKomp[[Stanowisko / Position ]:[Stanowisko / Position ]],0))="n/a","n/a",EN145-INDEX(tab_MinKomp[Planowanie strategiczne / Strategische Planung],MATCH($B145,tab_MinKomp[[Stanowisko / Position ]:[Stanowisko / Position ]],0)))</f>
        <v>n/a</v>
      </c>
      <c r="EO146" s="315">
        <f>IF(INDEX(tab_MinKomp[Cmms stosowanie],MATCH($B145,tab_MinKomp[[Stanowisko / Position ]:[Stanowisko / Position ]],0))="n/a","n/a",EO145-INDEX(tab_MinKomp[Cmms stosowanie],MATCH($B145,tab_MinKomp[[Stanowisko / Position ]:[Stanowisko / Position ]],0)))</f>
        <v>-1</v>
      </c>
      <c r="EP146" s="315">
        <f>IF(INDEX(tab_MinKomp[[Czyszczenie form gumowych ]],MATCH($B145,tab_MinKomp[[Stanowisko / Position ]:[Stanowisko / Position ]],0))="n/a","n/a",EP145-INDEX(tab_MinKomp[[Czyszczenie form gumowych ]],MATCH($B145,tab_MinKomp[[Stanowisko / Position ]:[Stanowisko / Position ]],0)))</f>
        <v>-1</v>
      </c>
      <c r="EQ146" s="315">
        <f>IF(INDEX(tab_MinKomp[Czyszczenie form plastikowych],MATCH($B145,tab_MinKomp[[Stanowisko / Position ]:[Stanowisko / Position ]],0))="n/a","n/a",EQ145-INDEX(tab_MinKomp[Czyszczenie form plastikowych],MATCH($B145,tab_MinKomp[[Stanowisko / Position ]:[Stanowisko / Position ]],0)))</f>
        <v>-1</v>
      </c>
      <c r="ER146" s="315">
        <f>IF(INDEX(tab_MinKomp[Wymiana form plastik],MATCH($B145,tab_MinKomp[[Stanowisko / Position ]:[Stanowisko / Position ]],0))="n/a","n/a",ER145-INDEX(tab_MinKomp[Wymiana form plastik],MATCH($B145,tab_MinKomp[[Stanowisko / Position ]:[Stanowisko / Position ]],0)))</f>
        <v>-1</v>
      </c>
      <c r="ES146" s="315">
        <f>IF(INDEX(tab_MinKomp[Wymiana form guma],MATCH($B145,tab_MinKomp[[Stanowisko / Position ]:[Stanowisko / Position ]],0))="n/a","n/a",ES145-INDEX(tab_MinKomp[Wymiana form guma],MATCH($B145,tab_MinKomp[[Stanowisko / Position ]:[Stanowisko / Position ]],0)))</f>
        <v>-1</v>
      </c>
      <c r="ET146" s="315" t="str">
        <f>IF(INDEX(tab_MinKomp[Planowanie strategiczne / Strategische Planung],MATCH($B145,tab_MinKomp[[Stanowisko / Position ]:[Stanowisko / Position ]],0))="n/a","n/a",ET145-INDEX(tab_MinKomp[Planowanie strategiczne / Strategische Planung],MATCH($B145,tab_MinKomp[[Stanowisko / Position ]:[Stanowisko / Position ]],0)))</f>
        <v>n/a</v>
      </c>
      <c r="EU146" s="315">
        <f>IF(INDEX(tab_MinKomp[Konserwacja form guma],MATCH($B145,tab_MinKomp[[Stanowisko / Position ]:[Stanowisko / Position ]],0))="n/a","n/a",EU145-INDEX(tab_MinKomp[Konserwacja form guma],MATCH($B145,tab_MinKomp[[Stanowisko / Position ]:[Stanowisko / Position ]],0)))</f>
        <v>-1</v>
      </c>
      <c r="EV146" s="315" t="str">
        <f>IF(INDEX(tab_MinKomp[Planowanie strategiczne / Strategische Planung],MATCH($B145,tab_MinKomp[[Stanowisko / Position ]:[Stanowisko / Position ]],0))="n/a","n/a",EV145-INDEX(tab_MinKomp[Planowanie strategiczne / Strategische Planung],MATCH($B145,tab_MinKomp[[Stanowisko / Position ]:[Stanowisko / Position ]],0)))</f>
        <v>n/a</v>
      </c>
      <c r="EW146" s="330">
        <f>IF(INDEX(tab_MinKomp[Konserwacja form plastiki],MATCH($B145,tab_MinKomp[[Stanowisko / Position ]:[Stanowisko / Position ]],0))="n/a","n/a",EW145-INDEX(tab_MinKomp[Konserwacja form plastiki],MATCH($B145,tab_MinKomp[[Stanowisko / Position ]:[Stanowisko / Position ]],0)))</f>
        <v>-1</v>
      </c>
      <c r="EX146" s="315" t="str">
        <f>IF(INDEX(tab_MinKomp[Planowanie strategiczne / Strategische Planung],MATCH($B145,tab_MinKomp[[Stanowisko / Position ]:[Stanowisko / Position ]],0))="n/a","n/a",EX145-INDEX(tab_MinKomp[Planowanie strategiczne / Strategische Planung],MATCH($B145,tab_MinKomp[[Stanowisko / Position ]:[Stanowisko / Position ]],0)))</f>
        <v>n/a</v>
      </c>
      <c r="EY146" s="315" t="str">
        <f>IF(INDEX(tab_MinKomp[Planowanie strategiczne / Strategische Planung],MATCH($B145,tab_MinKomp[[Stanowisko / Position ]:[Stanowisko / Position ]],0))="n/a","n/a",EY145-INDEX(tab_MinKomp[Planowanie strategiczne / Strategische Planung],MATCH($B145,tab_MinKomp[[Stanowisko / Position ]:[Stanowisko / Position ]],0)))</f>
        <v>n/a</v>
      </c>
      <c r="EZ146" s="315" t="str">
        <f>IF(INDEX(tab_MinKomp[Planowanie strategiczne / Strategische Planung],MATCH($B145,tab_MinKomp[[Stanowisko / Position ]:[Stanowisko / Position ]],0))="n/a","n/a",EZ145-INDEX(tab_MinKomp[Planowanie strategiczne / Strategische Planung],MATCH($B145,tab_MinKomp[[Stanowisko / Position ]:[Stanowisko / Position ]],0)))</f>
        <v>n/a</v>
      </c>
      <c r="FA146" s="315" t="str">
        <f>IF(INDEX(tab_MinKomp[Planowanie strategiczne / Strategische Planung],MATCH($B145,tab_MinKomp[[Stanowisko / Position ]:[Stanowisko / Position ]],0))="n/a","n/a",FA145-INDEX(tab_MinKomp[Planowanie strategiczne / Strategische Planung],MATCH($B145,tab_MinKomp[[Stanowisko / Position ]:[Stanowisko / Position ]],0)))</f>
        <v>n/a</v>
      </c>
      <c r="FB146" s="315" t="str">
        <f>IF(INDEX(tab_MinKomp[Język angielski / Englisch],MATCH($B145,tab_MinKomp[[Stanowisko / Position ]:[Stanowisko / Position ]],0))="n/a","n/a",FB145-INDEX(tab_MinKomp[Język angielski / Englisch],MATCH($B145,tab_MinKomp[[Stanowisko / Position ]:[Stanowisko / Position ]],0)))</f>
        <v>n/a</v>
      </c>
      <c r="FC146" s="315" t="str">
        <f>IF(INDEX(tab_MinKomp[Język niemiecki / Deutsch],MATCH($B145,tab_MinKomp[[Stanowisko / Position ]:[Stanowisko / Position ]],0))="n/a","n/a",FC145-INDEX(tab_MinKomp[Język niemiecki / Deutsch],MATCH($B145,tab_MinKomp[[Stanowisko / Position ]:[Stanowisko / Position ]],0)))</f>
        <v>n/a</v>
      </c>
      <c r="FD146" s="315">
        <f>IF(INDEX(tab_MinKomp[Zarządzanie dokumentacją procesową / Process dokumentation management],MATCH($B145,tab_MinKomp[[Stanowisko / Position ]:[Stanowisko / Position ]],0))="n/a","n/a",FD145-INDEX(tab_MinKomp[Zarządzanie dokumentacją procesową / Process dokumentation management],MATCH($B145,tab_MinKomp[[Stanowisko / Position ]:[Stanowisko / Position ]],0)))</f>
        <v>0</v>
      </c>
      <c r="FE146" s="315">
        <f>IF(INDEX(tab_MinKomp[Znajomość procesów z obszaru / Kenntiss der prozesse in dem Bereich],MATCH($B145,tab_MinKomp[[Stanowisko / Position ]:[Stanowisko / Position ]],0))="n/a","n/a",FE145-INDEX(tab_MinKomp[Znajomość procesów z obszaru / Kenntiss der prozesse in dem Bereich],MATCH($B145,tab_MinKomp[[Stanowisko / Position ]:[Stanowisko / Position ]],0)))</f>
        <v>-1</v>
      </c>
      <c r="FF146" s="315">
        <f>IF(INDEX(tab_MinKomp[optymalizacja procesów / Prozessoptymalisierung],MATCH($B145,tab_MinKomp[[Stanowisko / Position ]:[Stanowisko / Position ]],0))="n/a","n/a",FF145-INDEX(tab_MinKomp[optymalizacja procesów / Prozessoptymalisierung],MATCH($B145,tab_MinKomp[[Stanowisko / Position ]:[Stanowisko / Position ]],0)))</f>
        <v>0</v>
      </c>
      <c r="FG146" s="315" t="str">
        <f>IF(INDEX(tab_MinKomp[Planowanie strategiczne / Strategische Planung],MATCH($B145,tab_MinKomp[[Stanowisko / Position ]:[Stanowisko / Position ]],0))="n/a","n/a",FG145-INDEX(tab_MinKomp[Planowanie strategiczne / Strategische Planung],MATCH($B145,tab_MinKomp[[Stanowisko / Position ]:[Stanowisko / Position ]],0)))</f>
        <v>n/a</v>
      </c>
      <c r="FH146" s="315">
        <f>IF(INDEX(tab_MinKomp[Analityczne myślenie, podejście / Analitysches Denken, Einstellung],MATCH($B145,tab_MinKomp[[Stanowisko / Position ]:[Stanowisko / Position ]],0))="n/a","n/a",FH145-INDEX(tab_MinKomp[Analityczne myślenie, podejście / Analitysches Denken, Einstellung],MATCH($B145,tab_MinKomp[[Stanowisko / Position ]:[Stanowisko / Position ]],0)))</f>
        <v>-1</v>
      </c>
      <c r="FI146" s="315">
        <f>IF(INDEX(tab_MinKomp[Dokładność, precyzja w dzialaniu / Genauigkeit, Präzision in die Arbeit],MATCH($B145,tab_MinKomp[[Stanowisko / Position ]:[Stanowisko / Position ]],0))="n/a","n/a",FI145-INDEX(tab_MinKomp[Dokładność, precyzja w dzialaniu / Genauigkeit, Präzision in die Arbeit],MATCH($B145,tab_MinKomp[[Stanowisko / Position ]:[Stanowisko / Position ]],0)))</f>
        <v>-1</v>
      </c>
      <c r="FJ146" s="315">
        <f>IF(INDEX(tab_MinKomp[Dyspozycyjność / Verfügbarkeit],MATCH($B145,tab_MinKomp[[Stanowisko / Position ]:[Stanowisko / Position ]],0))="n/a","n/a",FJ145-INDEX(tab_MinKomp[Dyspozycyjność / Verfügbarkeit],MATCH($B145,tab_MinKomp[[Stanowisko / Position ]:[Stanowisko / Position ]],0)))</f>
        <v>-1</v>
      </c>
      <c r="FK146" s="315">
        <f>IF(INDEX(tab_MinKomp[Zaangażowanie / 
Engagement],MATCH($B145,tab_MinKomp[[Stanowisko / Position ]:[Stanowisko / Position ]],0))="n/a","n/a",FK145-INDEX(tab_MinKomp[Zaangażowanie / 
Engagement],MATCH($B145,tab_MinKomp[[Stanowisko / Position ]:[Stanowisko / Position ]],0)))</f>
        <v>-1</v>
      </c>
      <c r="FL146" s="315" t="str">
        <f>IF(INDEX(tab_MinKomp[Planowanie strategiczne / Strategische Planung],MATCH($B145,tab_MinKomp[[Stanowisko / Position ]:[Stanowisko / Position ]],0))="n/a","n/a",FL145-INDEX(tab_MinKomp[Planowanie strategiczne / Strategische Planung],MATCH($B145,tab_MinKomp[[Stanowisko / Position ]:[Stanowisko / Position ]],0)))</f>
        <v>n/a</v>
      </c>
      <c r="FM146" s="315">
        <f>IF(INDEX(tab_MinKomp[Konsekwentne i dynamiczne działanie],MATCH($B145,tab_MinKomp[[Stanowisko / Position ]:[Stanowisko / Position ]],0))="n/a","n/a",FM145-INDEX(tab_MinKomp[Konsekwentne i dynamiczne działanie],MATCH($B145,tab_MinKomp[[Stanowisko / Position ]:[Stanowisko / Position ]],0)))</f>
        <v>-1</v>
      </c>
      <c r="FN146" s="315">
        <f>IF(INDEX(tab_MinKomp[Elastyczność w działaniu],MATCH($B145,tab_MinKomp[[Stanowisko / Position ]:[Stanowisko / Position ]],0))="n/a","n/a",FN145-INDEX(tab_MinKomp[Elastyczność w działaniu],MATCH($B145,tab_MinKomp[[Stanowisko / Position ]:[Stanowisko / Position ]],0)))</f>
        <v>-1</v>
      </c>
      <c r="FO146" s="315">
        <f>IF(INDEX(tab_MinKomp[Komunikatywność],MATCH($B145,tab_MinKomp[[Stanowisko / Position ]:[Stanowisko / Position ]],0))="n/a","n/a",FO145-INDEX(tab_MinKomp[Komunikatywność],MATCH($B145,tab_MinKomp[[Stanowisko / Position ]:[Stanowisko / Position ]],0)))</f>
        <v>-1</v>
      </c>
      <c r="FP146" s="315" t="str">
        <f>IF(INDEX(tab_MinKomp[Motywowanie i budowanie zaangażowania zespołu],MATCH($B145,tab_MinKomp[[Stanowisko / Position ]:[Stanowisko / Position ]],0))="n/a","n/a",FP145-INDEX(tab_MinKomp[Motywowanie i budowanie zaangażowania zespołu],MATCH($B145,tab_MinKomp[[Stanowisko / Position ]:[Stanowisko / Position ]],0)))</f>
        <v>n/a</v>
      </c>
      <c r="FQ146" s="318" t="str">
        <f>IFERROR(IF(INDEX(tab_MinKomp[BRAK / Keine],MATCH($B145,tab_MinKomp[[Stanowisko / Position ]:[Stanowisko / Position ]],0))="n/a","n/a",INDEX(tab_MinKomp[BRAK / Keine],MATCH($B145,tab_MinKomp[[Stanowisko / Position ]:[Stanowisko / Position ]],0))-FQ145),"")</f>
        <v>n/a</v>
      </c>
      <c r="FR146" s="315" t="str">
        <f>IF(INDEX(tab_MinKomp[MINIMUM 1 ROK / min. 1 Jahr],MATCH($B145,tab_MinKomp[[Stanowisko / Position ]:[Stanowisko / Position ]],0))="n/a","n/a",INDEX(tab_MinKomp[MINIMUM 1 ROK / min. 1 Jahr],MATCH($B145,tab_MinKomp[[Stanowisko / Position ]:[Stanowisko / Position ]],0)))</f>
        <v>n/a</v>
      </c>
      <c r="FS146" s="315" t="str">
        <f>IF(INDEX(tab_MinKomp[MINIMUM 2 LATA / min. 2 Jahre],MATCH($B145,tab_MinKomp[[Stanowisko / Position ]:[Stanowisko / Position ]],0))="n/a","n/a",INDEX(tab_MinKomp[MINIMUM 2 LATA / min. 2 Jahre],MATCH($B145,tab_MinKomp[[Stanowisko / Position ]:[Stanowisko / Position ]],0)))</f>
        <v>n/a</v>
      </c>
      <c r="FT146" s="315" t="str">
        <f>IF(INDEX(tab_MinKomp[MINIMUM 3 LATA / min. 3 Jahre],MATCH($B145,tab_MinKomp[[Stanowisko / Position ]:[Stanowisko / Position ]],0))="n/a","n/a",INDEX(tab_MinKomp[MINIMUM 3 LATA / min. 3 Jahre],MATCH($B145,tab_MinKomp[[Stanowisko / Position ]:[Stanowisko / Position ]],0)))</f>
        <v>n/a</v>
      </c>
      <c r="FU146" s="315" t="str">
        <f>IF(INDEX(tab_MinKomp[MINIMUM 4 LATA / min. 4 Jahre],MATCH($B145,tab_MinKomp[[Stanowisko / Position ]:[Stanowisko / Position ]],0))="n/a","n/a",INDEX(tab_MinKomp[MINIMUM 4 LATA / min. 4 Jahre],MATCH($B145,tab_MinKomp[[Stanowisko / Position ]:[Stanowisko / Position ]],0)))</f>
        <v>n/a</v>
      </c>
      <c r="FV146" s="319" t="str">
        <f>IF(INDEX(tab_MinKomp[MINIMUM 5 LAT / min. 5 Jahre],MATCH($B145,tab_MinKomp[[Stanowisko / Position ]:[Stanowisko / Position ]],0))="n/a","n/a",INDEX(tab_MinKomp[MINIMUM 5 LAT / min. 5 Jahre],MATCH($B145,tab_MinKomp[[Stanowisko / Position ]:[Stanowisko / Position ]],0)))</f>
        <v>n/a</v>
      </c>
      <c r="FW146" s="318" t="str">
        <f>IF(INDEX(tab_MinKomp[BRAK / Keine9],MATCH($B145,tab_MinKomp[[Stanowisko / Position ]:[Stanowisko / Position ]],0))="n/a","n/a",INDEX(tab_MinKomp[BRAK / Keine9],MATCH($B145,tab_MinKomp[[Stanowisko / Position ]:[Stanowisko / Position ]],0)))</f>
        <v>n/a</v>
      </c>
      <c r="FX146" s="315" t="str">
        <f>IF(INDEX(tab_MinKomp[ZAWODOWE / Berufsausbildung],MATCH($B145,tab_MinKomp[[Stanowisko / Position ]:[Stanowisko / Position ]],0))="n/a","n/a",INDEX(tab_MinKomp[ZAWODOWE / Berufsausbildung],MATCH($B145,tab_MinKomp[[Stanowisko / Position ]:[Stanowisko / Position ]],0)))</f>
        <v>n/a</v>
      </c>
      <c r="FY146" s="315" t="str">
        <f>IF(INDEX(tab_MinKomp[ŚREDNIE OGÓLNE / Abitur allgemeine],MATCH($B145,tab_MinKomp[[Stanowisko / Position ]:[Stanowisko / Position ]],0))="n/a","n/a",INDEX(tab_MinKomp[ŚREDNIE OGÓLNE / Abitur allgemeine],MATCH($B145,tab_MinKomp[[Stanowisko / Position ]:[Stanowisko / Position ]],0)))</f>
        <v>n/a</v>
      </c>
      <c r="FZ146" s="315" t="str">
        <f>IF(INDEX(tab_MinKomp[ŚREDNIE KIERUNKOWE / berufliches Gymnasium],MATCH($B145,tab_MinKomp[[Stanowisko / Position ]:[Stanowisko / Position ]],0))="n/a","n/a",INDEX(tab_MinKomp[ŚREDNIE KIERUNKOWE / berufliches Gymnasium],MATCH($B145,tab_MinKomp[[Stanowisko / Position ]:[Stanowisko / Position ]],0)))</f>
        <v>n/a</v>
      </c>
      <c r="GA146" s="315" t="str">
        <f>IF(INDEX(tab_MinKomp[WYŻSZE OGÓLNE / Hochschule allgemeine],MATCH($B145,tab_MinKomp[[Stanowisko / Position ]:[Stanowisko / Position ]],0))="n/a","n/a",INDEX(tab_MinKomp[WYŻSZE OGÓLNE / Hochschule allgemeine],MATCH($B145,tab_MinKomp[[Stanowisko / Position ]:[Stanowisko / Position ]],0)))</f>
        <v>n/a</v>
      </c>
      <c r="GB146" s="319" t="str">
        <f>IF(INDEX(tab_MinKomp[WYŻSZE KIERUNKOWE / Hochschule berufliche],MATCH($B145,tab_MinKomp[[Stanowisko / Position ]:[Stanowisko / Position ]],0))="n/a","n/a",INDEX(tab_MinKomp[WYŻSZE KIERUNKOWE / Hochschule berufliche],MATCH($B145,tab_MinKomp[[Stanowisko / Position ]:[Stanowisko / Position ]],0)))</f>
        <v>n/a</v>
      </c>
      <c r="GC146" s="318" t="str">
        <f>IF(INDEX(tab_MinKomp[PIERWSZA POMOC / Erste Hilfe],MATCH($B145,tab_MinKomp[[Stanowisko / Position ]:[Stanowisko / Position ]],0))="n/a","n/a",INDEX(tab_MinKomp[PIERWSZA POMOC / Erste Hilfe],MATCH($B145,tab_MinKomp[[Stanowisko / Position ]:[Stanowisko / Position ]],0)))</f>
        <v>n/a</v>
      </c>
      <c r="GD146" s="315" t="str">
        <f>IF(INDEX(tab_MinKomp[Specjalista BHP / BHP Spezialist],MATCH($B145,tab_MinKomp[[Stanowisko / Position ]:[Stanowisko / Position ]],0))="n/a","n/a",INDEX(tab_MinKomp[Specjalista BHP / BHP Spezialist],MATCH($B145,tab_MinKomp[[Stanowisko / Position ]:[Stanowisko / Position ]],0)))</f>
        <v>n/a</v>
      </c>
      <c r="GE146" s="315" t="str">
        <f>IF(INDEX(tab_MinKomp[Inspektor ochrony PPOŻ / Brandschutzinspektor],MATCH($B145,tab_MinKomp[[Stanowisko / Position ]:[Stanowisko / Position ]],0))="n/a","n/a",INDEX(tab_MinKomp[Inspektor ochrony PPOŻ / Brandschutzinspektor],MATCH($B145,tab_MinKomp[[Stanowisko / Position ]:[Stanowisko / Position ]],0)))</f>
        <v>n/a</v>
      </c>
      <c r="GF146" s="315" t="str">
        <f>IF(INDEX(tab_MinKomp[WÓZKI JEZDNIOWE / Gebelstapler],MATCH($B145,tab_MinKomp[[Stanowisko / Position ]:[Stanowisko / Position ]],0))="n/a","n/a",INDEX(tab_MinKomp[WÓZKI JEZDNIOWE / Gebelstapler],MATCH($B145,tab_MinKomp[[Stanowisko / Position ]:[Stanowisko / Position ]],0)))</f>
        <v>x</v>
      </c>
      <c r="GG146" s="315" t="str">
        <f>IF(INDEX(tab_MinKomp[SEP],MATCH($B145,tab_MinKomp[[Stanowisko / Position ]:[Stanowisko / Position ]],0))="n/a","n/a",INDEX(tab_MinKomp[SEP],MATCH($B145,tab_MinKomp[[Stanowisko / Position ]:[Stanowisko / Position ]],0)))</f>
        <v>x</v>
      </c>
      <c r="GH146" s="315" t="str">
        <f>IF(INDEX(tab_MinKomp[SEP  DOZÓR / SEP Aufsicht],MATCH($B145,tab_MinKomp[[Stanowisko / Position ]:[Stanowisko / Position ]],0))="n/a","n/a",INDEX(tab_MinKomp[SEP  DOZÓR / SEP Aufsicht],MATCH($B145,tab_MinKomp[[Stanowisko / Position ]:[Stanowisko / Position ]],0)))</f>
        <v>n/a</v>
      </c>
      <c r="GI146" s="315" t="str">
        <f>IF(INDEX(tab_MinKomp[PODNOŚNIKI / Hebevorrichtung],MATCH($B145,tab_MinKomp[[Stanowisko / Position ]:[Stanowisko / Position ]],0))="n/a","n/a",INDEX(tab_MinKomp[PODNOŚNIKI / Hebevorrichtung],MATCH($B145,tab_MinKomp[[Stanowisko / Position ]:[Stanowisko / Position ]],0)))</f>
        <v>n/a</v>
      </c>
      <c r="GJ146" s="315" t="str">
        <f>IF(INDEX(tab_MinKomp[SUWNICE / Laufkran],MATCH($B145,tab_MinKomp[[Stanowisko / Position ]:[Stanowisko / Position ]],0))="n/a","n/a",INDEX(tab_MinKomp[SUWNICE / Laufkran],MATCH($B145,tab_MinKomp[[Stanowisko / Position ]:[Stanowisko / Position ]],0)))</f>
        <v>x</v>
      </c>
      <c r="GK146" s="319" t="str">
        <f>IF(INDEX(tab_MinKomp[WYSOKOŚCIOWE / Höhenberechtigungen],MATCH($B145,tab_MinKomp[[Stanowisko / Position ]:[Stanowisko / Position ]],0))="n/a","n/a",INDEX(tab_MinKomp[WYSOKOŚCIOWE / Höhenberechtigungen],MATCH($B145,tab_MinKomp[[Stanowisko / Position ]:[Stanowisko / Position ]],0)))</f>
        <v>n/a</v>
      </c>
      <c r="GL146" s="320">
        <f>SUM(G146:FP146)/(GL145-(SUM(G146:FP146)))</f>
        <v>-0.47297297297297297</v>
      </c>
      <c r="GM146" s="132"/>
    </row>
    <row r="147" spans="1:195" s="133" customFormat="1" ht="28.35" customHeight="1" x14ac:dyDescent="0.25">
      <c r="A147" s="138" t="s">
        <v>188</v>
      </c>
      <c r="B147" s="135" t="s">
        <v>207</v>
      </c>
      <c r="C147" s="138" t="str">
        <f>C142</f>
        <v>KC</v>
      </c>
      <c r="D147" s="138">
        <v>2082</v>
      </c>
      <c r="E147" s="563" t="s">
        <v>748</v>
      </c>
      <c r="F147" s="307" t="s">
        <v>165</v>
      </c>
      <c r="G147" s="308">
        <v>1</v>
      </c>
      <c r="H147" s="308">
        <v>1</v>
      </c>
      <c r="I147" s="308">
        <v>1</v>
      </c>
      <c r="J147" s="308">
        <v>1</v>
      </c>
      <c r="K147" s="308">
        <v>2</v>
      </c>
      <c r="L147" s="308">
        <v>1</v>
      </c>
      <c r="M147" s="308" t="s">
        <v>176</v>
      </c>
      <c r="N147" s="308" t="s">
        <v>176</v>
      </c>
      <c r="O147" s="308">
        <v>1</v>
      </c>
      <c r="P147" s="308">
        <v>1</v>
      </c>
      <c r="Q147" s="308" t="s">
        <v>176</v>
      </c>
      <c r="R147" s="308" t="s">
        <v>176</v>
      </c>
      <c r="S147" s="308" t="s">
        <v>176</v>
      </c>
      <c r="T147" s="308" t="s">
        <v>176</v>
      </c>
      <c r="U147" s="308" t="s">
        <v>176</v>
      </c>
      <c r="V147" s="308" t="s">
        <v>176</v>
      </c>
      <c r="W147" s="308" t="s">
        <v>176</v>
      </c>
      <c r="X147" s="308" t="s">
        <v>176</v>
      </c>
      <c r="Y147" s="308" t="s">
        <v>176</v>
      </c>
      <c r="Z147" s="308" t="s">
        <v>176</v>
      </c>
      <c r="AA147" s="308" t="s">
        <v>176</v>
      </c>
      <c r="AB147" s="308" t="s">
        <v>176</v>
      </c>
      <c r="AC147" s="308" t="s">
        <v>176</v>
      </c>
      <c r="AD147" s="308" t="s">
        <v>176</v>
      </c>
      <c r="AE147" s="308" t="s">
        <v>176</v>
      </c>
      <c r="AF147" s="308" t="s">
        <v>176</v>
      </c>
      <c r="AG147" s="308" t="s">
        <v>176</v>
      </c>
      <c r="AH147" s="308" t="s">
        <v>176</v>
      </c>
      <c r="AI147" s="308" t="s">
        <v>176</v>
      </c>
      <c r="AJ147" s="308" t="s">
        <v>176</v>
      </c>
      <c r="AK147" s="308" t="s">
        <v>176</v>
      </c>
      <c r="AL147" s="308" t="s">
        <v>176</v>
      </c>
      <c r="AM147" s="308" t="s">
        <v>176</v>
      </c>
      <c r="AN147" s="308" t="s">
        <v>176</v>
      </c>
      <c r="AO147" s="308" t="s">
        <v>176</v>
      </c>
      <c r="AP147" s="308" t="s">
        <v>176</v>
      </c>
      <c r="AQ147" s="308" t="s">
        <v>176</v>
      </c>
      <c r="AR147" s="308" t="s">
        <v>176</v>
      </c>
      <c r="AS147" s="308" t="s">
        <v>176</v>
      </c>
      <c r="AT147" s="308" t="s">
        <v>176</v>
      </c>
      <c r="AU147" s="308" t="s">
        <v>176</v>
      </c>
      <c r="AV147" s="308">
        <v>1</v>
      </c>
      <c r="AW147" s="308">
        <v>1</v>
      </c>
      <c r="AX147" s="308"/>
      <c r="AY147" s="308" t="s">
        <v>176</v>
      </c>
      <c r="AZ147" s="308" t="s">
        <v>176</v>
      </c>
      <c r="BA147" s="308" t="s">
        <v>176</v>
      </c>
      <c r="BB147" s="308" t="s">
        <v>176</v>
      </c>
      <c r="BC147" s="308" t="s">
        <v>176</v>
      </c>
      <c r="BD147" s="308" t="s">
        <v>176</v>
      </c>
      <c r="BE147" s="308" t="s">
        <v>176</v>
      </c>
      <c r="BF147" s="308" t="s">
        <v>176</v>
      </c>
      <c r="BG147" s="308" t="s">
        <v>176</v>
      </c>
      <c r="BH147" s="308" t="s">
        <v>176</v>
      </c>
      <c r="BI147" s="308" t="s">
        <v>176</v>
      </c>
      <c r="BJ147" s="308" t="s">
        <v>176</v>
      </c>
      <c r="BK147" s="308" t="s">
        <v>176</v>
      </c>
      <c r="BL147" s="308" t="s">
        <v>176</v>
      </c>
      <c r="BM147" s="308" t="s">
        <v>176</v>
      </c>
      <c r="BN147" s="308">
        <v>1</v>
      </c>
      <c r="BO147" s="308"/>
      <c r="BP147" s="308" t="s">
        <v>176</v>
      </c>
      <c r="BQ147" s="308" t="s">
        <v>176</v>
      </c>
      <c r="BR147" s="308" t="s">
        <v>176</v>
      </c>
      <c r="BS147" s="308" t="s">
        <v>176</v>
      </c>
      <c r="BT147" s="308"/>
      <c r="BU147" s="308">
        <v>1</v>
      </c>
      <c r="BV147" s="308"/>
      <c r="BW147" s="308" t="s">
        <v>176</v>
      </c>
      <c r="BX147" s="308" t="s">
        <v>176</v>
      </c>
      <c r="BY147" s="308" t="s">
        <v>176</v>
      </c>
      <c r="BZ147" s="308" t="s">
        <v>176</v>
      </c>
      <c r="CA147" s="308" t="s">
        <v>176</v>
      </c>
      <c r="CB147" s="308" t="s">
        <v>176</v>
      </c>
      <c r="CC147" s="308" t="s">
        <v>176</v>
      </c>
      <c r="CD147" s="308" t="s">
        <v>176</v>
      </c>
      <c r="CE147" s="308" t="s">
        <v>176</v>
      </c>
      <c r="CF147" s="308" t="s">
        <v>176</v>
      </c>
      <c r="CG147" s="308" t="s">
        <v>176</v>
      </c>
      <c r="CH147" s="308" t="s">
        <v>176</v>
      </c>
      <c r="CI147" s="308" t="s">
        <v>176</v>
      </c>
      <c r="CJ147" s="308" t="s">
        <v>176</v>
      </c>
      <c r="CK147" s="308" t="s">
        <v>176</v>
      </c>
      <c r="CL147" s="308" t="s">
        <v>176</v>
      </c>
      <c r="CM147" s="308" t="s">
        <v>176</v>
      </c>
      <c r="CN147" s="308">
        <v>1</v>
      </c>
      <c r="CO147" s="308">
        <v>1</v>
      </c>
      <c r="CP147" s="308">
        <v>1</v>
      </c>
      <c r="CQ147" s="308" t="s">
        <v>176</v>
      </c>
      <c r="CR147" s="308" t="s">
        <v>176</v>
      </c>
      <c r="CS147" s="308" t="s">
        <v>176</v>
      </c>
      <c r="CT147" s="308" t="s">
        <v>176</v>
      </c>
      <c r="CU147" s="308">
        <v>1</v>
      </c>
      <c r="CV147" s="308" t="s">
        <v>176</v>
      </c>
      <c r="CW147" s="308" t="s">
        <v>176</v>
      </c>
      <c r="CX147" s="308" t="s">
        <v>176</v>
      </c>
      <c r="CY147" s="308" t="s">
        <v>176</v>
      </c>
      <c r="CZ147" s="308" t="s">
        <v>176</v>
      </c>
      <c r="DA147" s="308" t="s">
        <v>176</v>
      </c>
      <c r="DB147" s="308" t="s">
        <v>176</v>
      </c>
      <c r="DC147" s="308" t="s">
        <v>176</v>
      </c>
      <c r="DD147" s="308" t="s">
        <v>176</v>
      </c>
      <c r="DE147" s="308" t="s">
        <v>176</v>
      </c>
      <c r="DF147" s="308" t="s">
        <v>176</v>
      </c>
      <c r="DG147" s="308" t="s">
        <v>176</v>
      </c>
      <c r="DH147" s="308" t="s">
        <v>176</v>
      </c>
      <c r="DI147" s="308" t="s">
        <v>176</v>
      </c>
      <c r="DJ147" s="308" t="s">
        <v>176</v>
      </c>
      <c r="DK147" s="308" t="s">
        <v>176</v>
      </c>
      <c r="DL147" s="308" t="s">
        <v>176</v>
      </c>
      <c r="DM147" s="308" t="s">
        <v>176</v>
      </c>
      <c r="DN147" s="308" t="s">
        <v>176</v>
      </c>
      <c r="DO147" s="308" t="s">
        <v>176</v>
      </c>
      <c r="DP147" s="308" t="s">
        <v>176</v>
      </c>
      <c r="DQ147" s="308" t="s">
        <v>176</v>
      </c>
      <c r="DR147" s="308" t="s">
        <v>176</v>
      </c>
      <c r="DS147" s="308" t="s">
        <v>176</v>
      </c>
      <c r="DT147" s="308" t="s">
        <v>176</v>
      </c>
      <c r="DU147" s="308" t="s">
        <v>176</v>
      </c>
      <c r="DV147" s="306" t="s">
        <v>176</v>
      </c>
      <c r="DW147" s="306" t="s">
        <v>176</v>
      </c>
      <c r="DX147" s="306" t="s">
        <v>176</v>
      </c>
      <c r="DY147" s="308" t="s">
        <v>176</v>
      </c>
      <c r="DZ147" s="308" t="s">
        <v>176</v>
      </c>
      <c r="EA147" s="308" t="s">
        <v>176</v>
      </c>
      <c r="EB147" s="308" t="s">
        <v>176</v>
      </c>
      <c r="EC147" s="308" t="s">
        <v>176</v>
      </c>
      <c r="ED147" s="308" t="s">
        <v>176</v>
      </c>
      <c r="EE147" s="308" t="s">
        <v>176</v>
      </c>
      <c r="EF147" s="308">
        <v>1</v>
      </c>
      <c r="EG147" s="308">
        <v>1</v>
      </c>
      <c r="EH147" s="308">
        <v>1</v>
      </c>
      <c r="EI147" s="308">
        <v>1</v>
      </c>
      <c r="EJ147" s="308">
        <v>1</v>
      </c>
      <c r="EK147" s="308">
        <v>1</v>
      </c>
      <c r="EL147" s="308" t="s">
        <v>176</v>
      </c>
      <c r="EM147" s="308">
        <v>1</v>
      </c>
      <c r="EN147" s="308" t="s">
        <v>176</v>
      </c>
      <c r="EO147" s="308">
        <v>2</v>
      </c>
      <c r="EP147" s="308">
        <v>1</v>
      </c>
      <c r="EQ147" s="308">
        <v>1</v>
      </c>
      <c r="ER147" s="308">
        <v>1</v>
      </c>
      <c r="ES147" s="308">
        <v>1</v>
      </c>
      <c r="ET147" s="308" t="s">
        <v>176</v>
      </c>
      <c r="EU147" s="308">
        <v>1</v>
      </c>
      <c r="EV147" s="308" t="s">
        <v>176</v>
      </c>
      <c r="EW147" s="306">
        <v>1</v>
      </c>
      <c r="EX147" s="308" t="s">
        <v>176</v>
      </c>
      <c r="EY147" s="308" t="s">
        <v>176</v>
      </c>
      <c r="EZ147" s="308" t="s">
        <v>176</v>
      </c>
      <c r="FA147" s="308" t="s">
        <v>176</v>
      </c>
      <c r="FB147" s="308" t="s">
        <v>176</v>
      </c>
      <c r="FC147" s="308" t="s">
        <v>176</v>
      </c>
      <c r="FD147" s="308">
        <v>1</v>
      </c>
      <c r="FE147" s="308">
        <v>1</v>
      </c>
      <c r="FF147" s="308">
        <v>1</v>
      </c>
      <c r="FG147" s="308" t="s">
        <v>176</v>
      </c>
      <c r="FH147" s="308">
        <v>1</v>
      </c>
      <c r="FI147" s="308">
        <v>1</v>
      </c>
      <c r="FJ147" s="308">
        <v>1</v>
      </c>
      <c r="FK147" s="308">
        <v>1</v>
      </c>
      <c r="FL147" s="308" t="s">
        <v>176</v>
      </c>
      <c r="FM147" s="308">
        <v>1</v>
      </c>
      <c r="FN147" s="308">
        <v>1</v>
      </c>
      <c r="FO147" s="308">
        <v>1</v>
      </c>
      <c r="FP147" s="308" t="s">
        <v>176</v>
      </c>
      <c r="FQ147" s="308" t="s">
        <v>176</v>
      </c>
      <c r="FR147" s="308" t="s">
        <v>176</v>
      </c>
      <c r="FS147" s="308" t="s">
        <v>176</v>
      </c>
      <c r="FT147" s="308" t="s">
        <v>176</v>
      </c>
      <c r="FU147" s="308" t="s">
        <v>176</v>
      </c>
      <c r="FV147" s="308" t="s">
        <v>176</v>
      </c>
      <c r="FW147" s="308" t="s">
        <v>176</v>
      </c>
      <c r="FX147" s="308" t="s">
        <v>176</v>
      </c>
      <c r="FY147" s="308" t="s">
        <v>176</v>
      </c>
      <c r="FZ147" s="308" t="s">
        <v>176</v>
      </c>
      <c r="GA147" s="308" t="s">
        <v>176</v>
      </c>
      <c r="GB147" s="308" t="s">
        <v>176</v>
      </c>
      <c r="GC147" s="308" t="s">
        <v>176</v>
      </c>
      <c r="GD147" s="308" t="s">
        <v>176</v>
      </c>
      <c r="GE147" s="308" t="s">
        <v>176</v>
      </c>
      <c r="GF147" s="333">
        <v>1</v>
      </c>
      <c r="GG147" s="333" t="s">
        <v>176</v>
      </c>
      <c r="GH147" s="308" t="s">
        <v>176</v>
      </c>
      <c r="GI147" s="308" t="s">
        <v>176</v>
      </c>
      <c r="GJ147" s="308"/>
      <c r="GK147" s="308" t="s">
        <v>176</v>
      </c>
      <c r="GL147" s="329">
        <f>SUM(G147:FP147)</f>
        <v>42</v>
      </c>
      <c r="GM147" s="132"/>
    </row>
    <row r="148" spans="1:195" s="133" customFormat="1" ht="28.35" customHeight="1" thickBot="1" x14ac:dyDescent="0.3">
      <c r="A148" s="138" t="s">
        <v>188</v>
      </c>
      <c r="B148" s="135" t="s">
        <v>207</v>
      </c>
      <c r="C148" s="138" t="str">
        <f t="shared" si="4"/>
        <v>KC</v>
      </c>
      <c r="D148" s="138">
        <v>2082</v>
      </c>
      <c r="E148" s="564"/>
      <c r="F148" s="331" t="s">
        <v>166</v>
      </c>
      <c r="G148" s="330">
        <f>IF(INDEX(tab_MinKomp[Przepisy BHP / BHP Vorschriften],MATCH($B147,tab_MinKomp[[Stanowisko / Position ]:[Stanowisko / Position ]],0))="n/a","n/a",G147-INDEX(tab_MinKomp[Przepisy BHP / BHP Vorschriften],MATCH($B147,tab_MinKomp[[Stanowisko / Position ]:[Stanowisko / Position ]],0)))</f>
        <v>-1</v>
      </c>
      <c r="H148" s="330">
        <f>IF(INDEX(tab_MinKomp[Przepisy PPOŻ / Brandschutzbestimmungen],MATCH($B147,tab_MinKomp[[Stanowisko / Position ]:[Stanowisko / Position ]],0))="n/a","n/a",H147-INDEX(tab_MinKomp[Przepisy PPOŻ / Brandschutzbestimmungen],MATCH($B147,tab_MinKomp[[Stanowisko / Position ]:[Stanowisko / Position ]],0)))</f>
        <v>-1</v>
      </c>
      <c r="I148" s="330">
        <f>IF(INDEX(tab_MinKomp[Ryzyko zawodowe na stanowiskach pracyv/ Berufliche Risiken an Arbeitsstellen],MATCH($B147,tab_MinKomp[[Stanowisko / Position ]:[Stanowisko / Position ]],0))="n/a","n/a",I147-INDEX(tab_MinKomp[Ryzyko zawodowe na stanowiskach pracyv/ Berufliche Risiken an Arbeitsstellen],MATCH($B147,tab_MinKomp[[Stanowisko / Position ]:[Stanowisko / Position ]],0)))</f>
        <v>-1</v>
      </c>
      <c r="J148" s="314">
        <f>IF(INDEX(tab_MinKomp[Gospodarka substancjami niebezpiecznymi / Gefahrstoffmanagement],MATCH($B147,tab_MinKomp[[Stanowisko / Position ]:[Stanowisko / Position ]],0))="n/a","n/a",J147-INDEX(tab_MinKomp[Gospodarka substancjami niebezpiecznymi / Gefahrstoffmanagement],MATCH($B147,tab_MinKomp[[Stanowisko / Position ]:[Stanowisko / Position ]],0)))</f>
        <v>-1</v>
      </c>
      <c r="K148" s="314">
        <f>IF(INDEX(tab_MinKomp[Gospodarka odpadami / Abfallwirtschaft],MATCH($B147,tab_MinKomp[[Stanowisko / Position ]:[Stanowisko / Position ]],0))="n/a","n/a",K147-INDEX(tab_MinKomp[Gospodarka odpadami / Abfallwirtschaft],MATCH($B147,tab_MinKomp[[Stanowisko / Position ]:[Stanowisko / Position ]],0)))</f>
        <v>0</v>
      </c>
      <c r="L148" s="315">
        <f>IF(INDEX(tab_MinKomp[Przepisy kodeksu pracy / Bestimmungen des Arbeitsgesetzes],MATCH($B147,tab_MinKomp[[Stanowisko / Position ]:[Stanowisko / Position ]],0))="n/a","n/a",L147-INDEX(tab_MinKomp[Przepisy kodeksu pracy / Bestimmungen des Arbeitsgesetzes],MATCH($B147,tab_MinKomp[[Stanowisko / Position ]:[Stanowisko / Position ]],0)))</f>
        <v>0</v>
      </c>
      <c r="M148" s="316" t="str">
        <f>IF(INDEX(tab_MinKomp[Przepisy o ub.społ. ZUS  / Sozialversicherungsvorschriften],MATCH($B147,tab_MinKomp[[Stanowisko / Position ]:[Stanowisko / Position ]],0))="n/a","n/a",M147-INDEX(tab_MinKomp[Przepisy o ub.społ. ZUS  / Sozialversicherungsvorschriften],MATCH($B147,tab_MinKomp[[Stanowisko / Position ]:[Stanowisko / Position ]],0)))</f>
        <v>n/a</v>
      </c>
      <c r="N148" s="315" t="str">
        <f>IF(INDEX(tab_MinKomp[PRZEPISY O PDOF /persönlich Einkommensteuergesetz ],MATCH($B147,tab_MinKomp[[Stanowisko / Position ]:[Stanowisko / Position ]],0))="n/a","n/a",N147-INDEX(tab_MinKomp[PRZEPISY O PDOF /persönlich Einkommensteuergesetz ],MATCH($B147,tab_MinKomp[[Stanowisko / Position ]:[Stanowisko / Position ]],0)))</f>
        <v>n/a</v>
      </c>
      <c r="O148" s="315">
        <f>IF(INDEX(tab_MinKomp[Regulamin pracy / Arbeitsordnung],MATCH($B147,tab_MinKomp[[Stanowisko / Position ]:[Stanowisko / Position ]],0))="n/a","n/a",O147-INDEX(tab_MinKomp[Regulamin pracy / Arbeitsordnung],MATCH($B147,tab_MinKomp[[Stanowisko / Position ]:[Stanowisko / Position ]],0)))</f>
        <v>0</v>
      </c>
      <c r="P148" s="315">
        <f>IF(INDEX(tab_MinKomp[Regulamin wynagradzania / Vergütungsordnung],MATCH($B147,tab_MinKomp[[Stanowisko / Position ]:[Stanowisko / Position ]],0))="n/a","n/a",P147-INDEX(tab_MinKomp[Regulamin wynagradzania / Vergütungsordnung],MATCH($B147,tab_MinKomp[[Stanowisko / Position ]:[Stanowisko / Position ]],0)))</f>
        <v>0</v>
      </c>
      <c r="Q148" s="315" t="str">
        <f>IF(INDEX(tab_MinKomp[System R2PŁATNIK PRO: Płace / Lohnabrechnung],MATCH($B147,tab_MinKomp[[Stanowisko / Position ]:[Stanowisko / Position ]],0))="n/a","n/a",Q147-INDEX(tab_MinKomp[System R2PŁATNIK PRO: Płace / Lohnabrechnung],MATCH($B147,tab_MinKomp[[Stanowisko / Position ]:[Stanowisko / Position ]],0)))</f>
        <v>n/a</v>
      </c>
      <c r="R148" s="315" t="str">
        <f>IF(INDEX(tab_MinKomp[SystemR2PŁATNIK PRO: KADRY / Personaldaten],MATCH($B147,tab_MinKomp[[Stanowisko / Position ]:[Stanowisko / Position ]],0))="n/a","n/a",R147-INDEX(tab_MinKomp[SystemR2PŁATNIK PRO: KADRY / Personaldaten],MATCH($B147,tab_MinKomp[[Stanowisko / Position ]:[Stanowisko / Position ]],0)))</f>
        <v>n/a</v>
      </c>
      <c r="S148" s="315" t="str">
        <f>IF(INDEX(tab_MinKomp[SYSTEM R2PŁATNIK PRO: zarządzanie pracownikami / Arbeitsverwaltung],MATCH($B147,tab_MinKomp[[Stanowisko / Position ]:[Stanowisko / Position ]],0))="n/a","n/a",S147-INDEX(tab_MinKomp[SYSTEM R2PŁATNIK PRO: zarządzanie pracownikami / Arbeitsverwaltung],MATCH($B147,tab_MinKomp[[Stanowisko / Position ]:[Stanowisko / Position ]],0)))</f>
        <v>n/a</v>
      </c>
      <c r="T148" s="315" t="str">
        <f>IF(INDEX(tab_MinKomp[Doradztwo, wsparcie personalne / Personalberatung und Unterstützung],MATCH($B147,tab_MinKomp[[Stanowisko / Position ]:[Stanowisko / Position ]],0))="n/a","n/a",T147-INDEX(tab_MinKomp[Doradztwo, wsparcie personalne / Personalberatung und Unterstützung],MATCH($B147,tab_MinKomp[[Stanowisko / Position ]:[Stanowisko / Position ]],0)))</f>
        <v>n/a</v>
      </c>
      <c r="U148" s="315" t="str">
        <f>IF(INDEX(tab_MinKomp[Przepisy o podatku VAT / MwSt.- Gesetz],MATCH($B147,tab_MinKomp[[Stanowisko / Position ]:[Stanowisko / Position ]],0))="n/a","n/a",U147-INDEX(tab_MinKomp[Przepisy o podatku VAT / MwSt.- Gesetz],MATCH($B147,tab_MinKomp[[Stanowisko / Position ]:[Stanowisko / Position ]],0)))</f>
        <v>n/a</v>
      </c>
      <c r="V148" s="315" t="str">
        <f>IF(INDEX(tab_MinKomp[PrzepisyPDOP / geschäftlich Einkommensteuergesetz],MATCH($B147,tab_MinKomp[[Stanowisko / Position ]:[Stanowisko / Position ]],0))="n/a","n/a",V147-INDEX(tab_MinKomp[PrzepisyPDOP / geschäftlich Einkommensteuergesetz],MATCH($B147,tab_MinKomp[[Stanowisko / Position ]:[Stanowisko / Position ]],0)))</f>
        <v>n/a</v>
      </c>
      <c r="W148" s="315" t="str">
        <f>IF(INDEX(tab_MinKomp[System BAAN / FINANSE (FIBU)],MATCH($B147,tab_MinKomp[[Stanowisko / Position ]:[Stanowisko / Position ]],0))="n/a","n/a",W147-INDEX(tab_MinKomp[System BAAN / FINANSE (FIBU)],MATCH($B147,tab_MinKomp[[Stanowisko / Position ]:[Stanowisko / Position ]],0)))</f>
        <v>n/a</v>
      </c>
      <c r="X148" s="315" t="str">
        <f>IF(INDEX(tab_MinKomp[Systemy pomocnicze / Hilfssysteme(STOCKPROGRAM, KALK2000 etc.)],MATCH($B147,tab_MinKomp[[Stanowisko / Position ]:[Stanowisko / Position ]],0))="n/a","n/a",X147-INDEX(tab_MinKomp[Systemy pomocnicze / Hilfssysteme(STOCKPROGRAM, KALK2000 etc.)],MATCH($B147,tab_MinKomp[[Stanowisko / Position ]:[Stanowisko / Position ]],0)))</f>
        <v>n/a</v>
      </c>
      <c r="Y148" s="315" t="str">
        <f>IF(INDEX(tab_MinKomp[Polityka rachunkowości / Buchführungspolitik],MATCH($B147,tab_MinKomp[[Stanowisko / Position ]:[Stanowisko / Position ]],0))="n/a","n/a",Y147-INDEX(tab_MinKomp[Polityka rachunkowości / Buchführungspolitik],MATCH($B147,tab_MinKomp[[Stanowisko / Position ]:[Stanowisko / Position ]],0)))</f>
        <v>n/a</v>
      </c>
      <c r="Z148" s="315" t="str">
        <f>IF(INDEX(tab_MinKomp[Ustawa o rachunkowości / Rechnungslegungsgesetz],MATCH($B147,tab_MinKomp[[Stanowisko / Position ]:[Stanowisko / Position ]],0))="n/a","n/a",Z147-INDEX(tab_MinKomp[Ustawa o rachunkowości / Rechnungslegungsgesetz],MATCH($B147,tab_MinKomp[[Stanowisko / Position ]:[Stanowisko / Position ]],0)))</f>
        <v>n/a</v>
      </c>
      <c r="AA148" s="315" t="str">
        <f>IF(INDEX(tab_MinKomp[WORKFLOW - TS-100],MATCH($B147,tab_MinKomp[[Stanowisko / Position ]:[Stanowisko / Position ]],0))="n/a","n/a",AA147-INDEX(tab_MinKomp[WORKFLOW - TS-100],MATCH($B147,tab_MinKomp[[Stanowisko / Position ]:[Stanowisko / Position ]],0)))</f>
        <v>n/a</v>
      </c>
      <c r="AB148" s="315" t="str">
        <f>IF(INDEX(tab_MinKomp[WORKFLOW - SFMS],MATCH($B147,tab_MinKomp[[Stanowisko / Position ]:[Stanowisko / Position ]],0))="n/a","n/a",AB147-INDEX(tab_MinKomp[WORKFLOW - SFMS],MATCH($B147,tab_MinKomp[[Stanowisko / Position ]:[Stanowisko / Position ]],0)))</f>
        <v>n/a</v>
      </c>
      <c r="AC148" s="315" t="str">
        <f>IF(INDEX(tab_MinKomp[System ISO 9001:2015],MATCH($B147,tab_MinKomp[[Stanowisko / Position ]:[Stanowisko / Position ]],0))="n/a","n/a",AC147-INDEX(tab_MinKomp[System ISO 9001:2015],MATCH($B147,tab_MinKomp[[Stanowisko / Position ]:[Stanowisko / Position ]],0)))</f>
        <v>n/a</v>
      </c>
      <c r="AD148" s="315" t="str">
        <f>IF(INDEX(tab_MinKomp[System IATF 16949:2016],MATCH($B147,tab_MinKomp[[Stanowisko / Position ]:[Stanowisko / Position ]],0))="n/a","n/a",AD147-INDEX(tab_MinKomp[System IATF 16949:2016],MATCH($B147,tab_MinKomp[[Stanowisko / Position ]:[Stanowisko / Position ]],0)))</f>
        <v>n/a</v>
      </c>
      <c r="AE148" s="315" t="str">
        <f>IF(INDEX(tab_MinKomp[System ISO 14001:2015],MATCH($B147,tab_MinKomp[[Stanowisko / Position ]:[Stanowisko / Position ]],0))="n/a","n/a",AE147-INDEX(tab_MinKomp[System ISO 14001:2015],MATCH($B147,tab_MinKomp[[Stanowisko / Position ]:[Stanowisko / Position ]],0)))</f>
        <v>n/a</v>
      </c>
      <c r="AF148" s="315" t="str">
        <f>IF(INDEX(tab_MinKomp[System PN-N 18001:2004 / ISO 45001:2018],MATCH($B147,tab_MinKomp[[Stanowisko / Position ]:[Stanowisko / Position ]],0))="n/a","n/a",AF147-INDEX(tab_MinKomp[System PN-N 18001:2004 / ISO 45001:2018],MATCH($B147,tab_MinKomp[[Stanowisko / Position ]:[Stanowisko / Position ]],0)))</f>
        <v>n/a</v>
      </c>
      <c r="AG148" s="315" t="str">
        <f>IF(INDEX(tab_MinKomp[Wymagania VDA 6.3 Process / Forderungen],MATCH($B147,tab_MinKomp[[Stanowisko / Position ]:[Stanowisko / Position ]],0))="n/a","n/a",AG147-INDEX(tab_MinKomp[Wymagania VDA 6.3 Process / Forderungen],MATCH($B147,tab_MinKomp[[Stanowisko / Position ]:[Stanowisko / Position ]],0)))</f>
        <v>n/a</v>
      </c>
      <c r="AH148" s="315" t="str">
        <f>IF(INDEX(tab_MinKomp[Wymagania VDA 6.5 Product / Forderungen],MATCH($B147,tab_MinKomp[[Stanowisko / Position ]:[Stanowisko / Position ]],0))="n/a","n/a",AH147-INDEX(tab_MinKomp[Wymagania VDA 6.5 Product / Forderungen],MATCH($B147,tab_MinKomp[[Stanowisko / Position ]:[Stanowisko / Position ]],0)))</f>
        <v>n/a</v>
      </c>
      <c r="AI148" s="315" t="str">
        <f>IF(INDEX(tab_MinKomp[PSCR (VW Product Safety &amp; Conformity Representative)],MATCH($B147,tab_MinKomp[[Stanowisko / Position ]:[Stanowisko / Position ]],0))="n/a","n/a",AI147-INDEX(tab_MinKomp[PSCR (VW Product Safety &amp; Conformity Representative)],MATCH($B147,tab_MinKomp[[Stanowisko / Position ]:[Stanowisko / Position ]],0)))</f>
        <v>n/a</v>
      </c>
      <c r="AJ148" s="315" t="str">
        <f>IF(INDEX(tab_MinKomp[Auditor systemu ISO 17025:2018],MATCH($B147,tab_MinKomp[[Stanowisko / Position ]:[Stanowisko / Position ]],0))="n/a","n/a",AJ147-INDEX(tab_MinKomp[Auditor systemu ISO 17025:2018],MATCH($B147,tab_MinKomp[[Stanowisko / Position ]:[Stanowisko / Position ]],0)))</f>
        <v>n/a</v>
      </c>
      <c r="AK148" s="315" t="str">
        <f>IF(INDEX(tab_MinKomp[Pełnomocnik systemu / Systemvertreter],MATCH($B147,tab_MinKomp[[Stanowisko / Position ]:[Stanowisko / Position ]],0))="n/a","n/a",AK147-INDEX(tab_MinKomp[Pełnomocnik systemu / Systemvertreter],MATCH($B147,tab_MinKomp[[Stanowisko / Position ]:[Stanowisko / Position ]],0)))</f>
        <v>n/a</v>
      </c>
      <c r="AL148" s="315" t="str">
        <f>IF(INDEX(tab_MinKomp[Polityka Etyczna - Compliance],MATCH($B147,tab_MinKomp[[Stanowisko / Position ]:[Stanowisko / Position ]],0))="n/a","n/a",AL147-INDEX(tab_MinKomp[Polityka Etyczna - Compliance],MATCH($B147,tab_MinKomp[[Stanowisko / Position ]:[Stanowisko / Position ]],0)))</f>
        <v>n/a</v>
      </c>
      <c r="AM148" s="315" t="str">
        <f>IF(INDEX(tab_MinKomp[WDRAŻANIE NOWYCH PROJEKTÓW/ PROCEDURA CTM],MATCH($B147,tab_MinKomp[[Stanowisko / Position ]:[Stanowisko / Position ]],0))="n/a","n/a",AM147-INDEX(tab_MinKomp[WDRAŻANIE NOWYCH PROJEKTÓW/ PROCEDURA CTM],MATCH($B147,tab_MinKomp[[Stanowisko / Position ]:[Stanowisko / Position ]],0)))</f>
        <v>n/a</v>
      </c>
      <c r="AN148" s="315" t="str">
        <f>IF(INDEX(tab_MinKomp[KAMIENIE MILOWE MSL/PIFF],MATCH($B147,tab_MinKomp[[Stanowisko / Position ]:[Stanowisko / Position ]],0))="n/a","n/a",AN147-INDEX(tab_MinKomp[KAMIENIE MILOWE MSL/PIFF],MATCH($B147,tab_MinKomp[[Stanowisko / Position ]:[Stanowisko / Position ]],0)))</f>
        <v>n/a</v>
      </c>
      <c r="AO148" s="315" t="str">
        <f>IF(INDEX(tab_MinKomp[CP],MATCH($B147,tab_MinKomp[[Stanowisko / Position ]:[Stanowisko / Position ]],0))="n/a","n/a",AO147-INDEX(tab_MinKomp[CP],MATCH($B147,tab_MinKomp[[Stanowisko / Position ]:[Stanowisko / Position ]],0)))</f>
        <v>n/a</v>
      </c>
      <c r="AP148" s="315" t="str">
        <f>IF(INDEX(tab_MinKomp[FMEA],MATCH($B147,tab_MinKomp[[Stanowisko / Position ]:[Stanowisko / Position ]],0))="n/a","n/a",AP147-INDEX(tab_MinKomp[FMEA],MATCH($B147,tab_MinKomp[[Stanowisko / Position ]:[Stanowisko / Position ]],0)))</f>
        <v>n/a</v>
      </c>
      <c r="AQ148" s="315" t="str">
        <f>IF(INDEX(tab_MinKomp[FLOW CHART],MATCH($B147,tab_MinKomp[[Stanowisko / Position ]:[Stanowisko / Position ]],0))="n/a","n/a",AQ147-INDEX(tab_MinKomp[FLOW CHART],MATCH($B147,tab_MinKomp[[Stanowisko / Position ]:[Stanowisko / Position ]],0)))</f>
        <v>n/a</v>
      </c>
      <c r="AR148" s="315" t="str">
        <f>IF(INDEX(tab_MinKomp[APQP],MATCH($B147,tab_MinKomp[[Stanowisko / Position ]:[Stanowisko / Position ]],0))="n/a","n/a",AR147-INDEX(tab_MinKomp[APQP],MATCH($B147,tab_MinKomp[[Stanowisko / Position ]:[Stanowisko / Position ]],0)))</f>
        <v>n/a</v>
      </c>
      <c r="AS148" s="315" t="str">
        <f>IF(INDEX(tab_MinKomp[MSA],MATCH($B147,tab_MinKomp[[Stanowisko / Position ]:[Stanowisko / Position ]],0))="n/a","n/a",AS147-INDEX(tab_MinKomp[MSA],MATCH($B147,tab_MinKomp[[Stanowisko / Position ]:[Stanowisko / Position ]],0)))</f>
        <v>n/a</v>
      </c>
      <c r="AT148" s="315" t="str">
        <f>IF(INDEX(tab_MinKomp[SPC],MATCH($B147,tab_MinKomp[[Stanowisko / Position ]:[Stanowisko / Position ]],0))="n/a","n/a",AT147-INDEX(tab_MinKomp[SPC],MATCH($B147,tab_MinKomp[[Stanowisko / Position ]:[Stanowisko / Position ]],0)))</f>
        <v>n/a</v>
      </c>
      <c r="AU148" s="315" t="str">
        <f>IF(INDEX(tab_MinKomp[CSR (SPECYFICZNE WYMAGANIA KLIENTA)],MATCH($B147,tab_MinKomp[[Stanowisko / Position ]:[Stanowisko / Position ]],0))="n/a","n/a",AU147-INDEX(tab_MinKomp[CSR (SPECYFICZNE WYMAGANIA KLIENTA)],MATCH($B147,tab_MinKomp[[Stanowisko / Position ]:[Stanowisko / Position ]],0)))</f>
        <v>n/a</v>
      </c>
      <c r="AV148" s="315">
        <f>IF(INDEX(tab_MinKomp[5S],MATCH($B147,tab_MinKomp[[Stanowisko / Position ]:[Stanowisko / Position ]],0))="n/a","n/a",AV147-INDEX(tab_MinKomp[5S],MATCH($B147,tab_MinKomp[[Stanowisko / Position ]:[Stanowisko / Position ]],0)))</f>
        <v>-1</v>
      </c>
      <c r="AW148" s="315">
        <f>IF(INDEX(tab_MinKomp[LEAN MANAGEMENT],MATCH($B147,tab_MinKomp[[Stanowisko / Position ]:[Stanowisko / Position ]],0))="n/a","n/a",AW147-INDEX(tab_MinKomp[LEAN MANAGEMENT],MATCH($B147,tab_MinKomp[[Stanowisko / Position ]:[Stanowisko / Position ]],0)))</f>
        <v>0</v>
      </c>
      <c r="AX148" s="315">
        <f>IF(INDEX(tab_MinKomp[5R],MATCH($B147,tab_MinKomp[[Stanowisko / Position ]:[Stanowisko / Position ]],0))="n/a","n/a",AX147-INDEX(tab_MinKomp[5R],MATCH($B147,tab_MinKomp[[Stanowisko / Position ]:[Stanowisko / Position ]],0)))</f>
        <v>-1</v>
      </c>
      <c r="AY148" s="315" t="str">
        <f>IF(INDEX(tab_MinKomp[Six Sigma],MATCH($B147,tab_MinKomp[[Stanowisko / Position ]:[Stanowisko / Position ]],0))="n/a","n/a",AY147-INDEX(tab_MinKomp[Six Sigma],MATCH($B147,tab_MinKomp[[Stanowisko / Position ]:[Stanowisko / Position ]],0)))</f>
        <v>n/a</v>
      </c>
      <c r="AZ148" s="315" t="str">
        <f>IF(INDEX(tab_MinKomp[System BAAN / Distribution &amp; Supply Chain],MATCH($B147,tab_MinKomp[[Stanowisko / Position ]:[Stanowisko / Position ]],0))="n/a","n/a",AZ147-INDEX(tab_MinKomp[System BAAN / Distribution &amp; Supply Chain],MATCH($B147,tab_MinKomp[[Stanowisko / Position ]:[Stanowisko / Position ]],0)))</f>
        <v>n/a</v>
      </c>
      <c r="BA148" s="315" t="str">
        <f>IF(INDEX(tab_MinKomp[Gospodarka magazynowa / Lagerverwaltung],MATCH($B147,tab_MinKomp[[Stanowisko / Position ]:[Stanowisko / Position ]],0))="n/a","n/a",BA147-INDEX(tab_MinKomp[Gospodarka magazynowa / Lagerverwaltung],MATCH($B147,tab_MinKomp[[Stanowisko / Position ]:[Stanowisko / Position ]],0)))</f>
        <v>n/a</v>
      </c>
      <c r="BB148" s="315" t="str">
        <f>IF(INDEX(tab_MinKomp[Inwentaryzacja - organizacja i przebieg / Inventurprozess],MATCH($B147,tab_MinKomp[[Stanowisko / Position ]:[Stanowisko / Position ]],0))="n/a","n/a",BB147-INDEX(tab_MinKomp[Inwentaryzacja - organizacja i przebieg / Inventurprozess],MATCH($B147,tab_MinKomp[[Stanowisko / Position ]:[Stanowisko / Position ]],0)))</f>
        <v>n/a</v>
      </c>
      <c r="BC148" s="315" t="str">
        <f>IF(INDEX(tab_MinKomp[Organizacja dostaw / Versorgungsorganisation],MATCH($B147,tab_MinKomp[[Stanowisko / Position ]:[Stanowisko / Position ]],0))="n/a","n/a",BC147-INDEX(tab_MinKomp[Organizacja dostaw / Versorgungsorganisation],MATCH($B147,tab_MinKomp[[Stanowisko / Position ]:[Stanowisko / Position ]],0)))</f>
        <v>n/a</v>
      </c>
      <c r="BD148" s="315" t="str">
        <f>IF(INDEX(tab_MinKomp[Organizacja wysyłek / Organisation von Lieferungen],MATCH($B147,tab_MinKomp[[Stanowisko / Position ]:[Stanowisko / Position ]],0))="n/a","n/a",BD147-INDEX(tab_MinKomp[Organizacja wysyłek / Organisation von Lieferungen],MATCH($B147,tab_MinKomp[[Stanowisko / Position ]:[Stanowisko / Position ]],0)))</f>
        <v>n/a</v>
      </c>
      <c r="BE148" s="315" t="str">
        <f>IF(INDEX(tab_MinKomp[Analiza magazynowa - Program Polen.mdb / Inventuranalyse],MATCH($B147,tab_MinKomp[[Stanowisko / Position ]:[Stanowisko / Position ]],0))="n/a","n/a",BE147-INDEX(tab_MinKomp[Analiza magazynowa - Program Polen.mdb / Inventuranalyse],MATCH($B147,tab_MinKomp[[Stanowisko / Position ]:[Stanowisko / Position ]],0)))</f>
        <v>n/a</v>
      </c>
      <c r="BF148" s="315" t="str">
        <f>IF(INDEX(tab_MinKomp[MMOG (Materials Management Operations Guidelines)],MATCH($B147,tab_MinKomp[[Stanowisko / Position ]:[Stanowisko / Position ]],0))="n/a","n/a",BF147-INDEX(tab_MinKomp[MMOG (Materials Management Operations Guidelines)],MATCH($B147,tab_MinKomp[[Stanowisko / Position ]:[Stanowisko / Position ]],0)))</f>
        <v>n/a</v>
      </c>
      <c r="BG148" s="315" t="str">
        <f>IF(INDEX(tab_MinKomp[DETC],MATCH($B147,tab_MinKomp[[Stanowisko / Position ]:[Stanowisko / Position ]],0))="n/a","n/a",BG147-INDEX(tab_MinKomp[DETC],MATCH($B147,tab_MinKomp[[Stanowisko / Position ]:[Stanowisko / Position ]],0)))</f>
        <v>n/a</v>
      </c>
      <c r="BH148" s="315" t="str">
        <f>IF(INDEX(tab_MinKomp[GPP],MATCH($B147,tab_MinKomp[[Stanowisko / Position ]:[Stanowisko / Position ]],0))="n/a","n/a",BH147-INDEX(tab_MinKomp[GPP],MATCH($B147,tab_MinKomp[[Stanowisko / Position ]:[Stanowisko / Position ]],0)))</f>
        <v>n/a</v>
      </c>
      <c r="BI148" s="315" t="str">
        <f>IF(INDEX(tab_MinKomp[AIAG (Automotive Industry Action Group)],MATCH($B147,tab_MinKomp[[Stanowisko / Position ]:[Stanowisko / Position ]],0))="n/a","n/a",BI147-INDEX(tab_MinKomp[AIAG (Automotive Industry Action Group)],MATCH($B147,tab_MinKomp[[Stanowisko / Position ]:[Stanowisko / Position ]],0)))</f>
        <v>n/a</v>
      </c>
      <c r="BJ148" s="315" t="str">
        <f>IF(INDEX(tab_MinKomp[Super-G disputes],MATCH($B147,tab_MinKomp[[Stanowisko / Position ]:[Stanowisko / Position ]],0))="n/a","n/a",BJ147-INDEX(tab_MinKomp[Super-G disputes],MATCH($B147,tab_MinKomp[[Stanowisko / Position ]:[Stanowisko / Position ]],0)))</f>
        <v>n/a</v>
      </c>
      <c r="BK148" s="315" t="str">
        <f>IF(INDEX(tab_MinKomp[CMMS3/eDDL (Direct Data Link)],MATCH($B147,tab_MinKomp[[Stanowisko / Position ]:[Stanowisko / Position ]],0))="n/a","n/a",BK147-INDEX(tab_MinKomp[CMMS3/eDDL (Direct Data Link)],MATCH($B147,tab_MinKomp[[Stanowisko / Position ]:[Stanowisko / Position ]],0)))</f>
        <v>n/a</v>
      </c>
      <c r="BL148" s="315" t="str">
        <f>IF(INDEX(tab_MinKomp[MP&amp;L (Material Planning and Logistics)],MATCH($B147,tab_MinKomp[[Stanowisko / Position ]:[Stanowisko / Position ]],0))="n/a","n/a",BL147-INDEX(tab_MinKomp[MP&amp;L (Material Planning and Logistics)],MATCH($B147,tab_MinKomp[[Stanowisko / Position ]:[Stanowisko / Position ]],0)))</f>
        <v>n/a</v>
      </c>
      <c r="BM148" s="315" t="str">
        <f>IF(INDEX(tab_MinKomp[Planowanie produkcji / Produktionsplanung],MATCH($B147,tab_MinKomp[[Stanowisko / Position ]:[Stanowisko / Position ]],0))="n/a","n/a",BM147-INDEX(tab_MinKomp[Planowanie produkcji / Produktionsplanung],MATCH($B147,tab_MinKomp[[Stanowisko / Position ]:[Stanowisko / Position ]],0)))</f>
        <v>n/a</v>
      </c>
      <c r="BN148" s="315">
        <f>IF(INDEX(tab_MinKomp[Obsługa maszyn Engel / Engel Maschinenbedienung],MATCH($B147,tab_MinKomp[[Stanowisko / Position ]:[Stanowisko / Position ]],0))="n/a","n/a",BN147-INDEX(tab_MinKomp[Obsługa maszyn Engel / Engel Maschinenbedienung],MATCH($B147,tab_MinKomp[[Stanowisko / Position ]:[Stanowisko / Position ]],0)))</f>
        <v>-1</v>
      </c>
      <c r="BO148" s="315">
        <f>IF(INDEX(tab_MinKomp[Obsługa maszyn Novapax / Novapax Maschinenbedienung],MATCH($B147,tab_MinKomp[[Stanowisko / Position ]:[Stanowisko / Position ]],0))="n/a","n/a",BO147-INDEX(tab_MinKomp[Obsługa maszyn Novapax / Novapax Maschinenbedienung],MATCH($B147,tab_MinKomp[[Stanowisko / Position ]:[Stanowisko / Position ]],0)))</f>
        <v>-2</v>
      </c>
      <c r="BP148" s="315" t="str">
        <f>IF(INDEX(tab_MinKomp[Obsługa maszyn KVT / KVT Maschinenbedienung],MATCH($B147,tab_MinKomp[[Stanowisko / Position ]:[Stanowisko / Position ]],0))="n/a","n/a",BP147-INDEX(tab_MinKomp[Obsługa maszyn KVT / KVT Maschinenbedienung],MATCH($B147,tab_MinKomp[[Stanowisko / Position ]:[Stanowisko / Position ]],0)))</f>
        <v>n/a</v>
      </c>
      <c r="BQ148" s="315" t="str">
        <f>IF(INDEX(tab_MinKomp[Obsługa maszyn ASL / ASL Maschinenbedienung],MATCH($B147,tab_MinKomp[[Stanowisko / Position ]:[Stanowisko / Position ]],0))="n/a","n/a",BQ147-INDEX(tab_MinKomp[Obsługa maszyn ASL / ASL Maschinenbedienung],MATCH($B147,tab_MinKomp[[Stanowisko / Position ]:[Stanowisko / Position ]],0)))</f>
        <v>n/a</v>
      </c>
      <c r="BR148" s="315" t="str">
        <f>IF(INDEX(tab_MinKomp[Obsługa maszyn Branson / Branson Maschinenbedienung],MATCH($B147,tab_MinKomp[[Stanowisko / Position ]:[Stanowisko / Position ]],0))="n/a","n/a",BR147-INDEX(tab_MinKomp[Obsługa maszyn Branson / Branson Maschinenbedienung],MATCH($B147,tab_MinKomp[[Stanowisko / Position ]:[Stanowisko / Position ]],0)))</f>
        <v>n/a</v>
      </c>
      <c r="BS148" s="315" t="str">
        <f>IF(INDEX(tab_MinKomp[Obsługa maszyn Kamtec / Kamtec Maschinenbedienung],MATCH($B147,tab_MinKomp[[Stanowisko / Position ]:[Stanowisko / Position ]],0))="n/a","n/a",BS147-INDEX(tab_MinKomp[Obsługa maszyn Kamtec / Kamtec Maschinenbedienung],MATCH($B147,tab_MinKomp[[Stanowisko / Position ]:[Stanowisko / Position ]],0)))</f>
        <v>n/a</v>
      </c>
      <c r="BT148" s="315">
        <f>IF(INDEX(tab_MinKomp[Obsługa maszyn Piovan / Piovan Maschinenbedienung],MATCH($B147,tab_MinKomp[[Stanowisko / Position ]:[Stanowisko / Position ]],0))="n/a","n/a",BT147-INDEX(tab_MinKomp[Obsługa maszyn Piovan / Piovan Maschinenbedienung],MATCH($B147,tab_MinKomp[[Stanowisko / Position ]:[Stanowisko / Position ]],0)))</f>
        <v>-1</v>
      </c>
      <c r="BU148" s="315">
        <f>IF(INDEX(tab_MinKomp[Obsługa maszyn REP / REP Maschinenbedienung],MATCH($B147,tab_MinKomp[[Stanowisko / Position ]:[Stanowisko / Position ]],0))="n/a","n/a",BU147-INDEX(tab_MinKomp[Obsługa maszyn REP / REP Maschinenbedienung],MATCH($B147,tab_MinKomp[[Stanowisko / Position ]:[Stanowisko / Position ]],0)))</f>
        <v>-1</v>
      </c>
      <c r="BV148" s="315">
        <f>IF(INDEX(tab_MinKomp[Eliminacja awarii / Beseitigung von Ausfällen],MATCH($B147,tab_MinKomp[[Stanowisko / Position ]:[Stanowisko / Position ]],0))="n/a","n/a",BV147-INDEX(tab_MinKomp[Eliminacja awarii / Beseitigung von Ausfällen],MATCH($B147,tab_MinKomp[[Stanowisko / Position ]:[Stanowisko / Position ]],0)))</f>
        <v>-2</v>
      </c>
      <c r="BW148" s="315" t="str">
        <f>IF(INDEX(tab_MinKomp[Informatyka ogólna (techniczne i systemowe) / Allgemeine IT (Technik und System)],MATCH($B147,tab_MinKomp[[Stanowisko / Position ]:[Stanowisko / Position ]],0))="n/a","n/a",BW147-INDEX(tab_MinKomp[Informatyka ogólna (techniczne i systemowe) / Allgemeine IT (Technik und System)],MATCH($B147,tab_MinKomp[[Stanowisko / Position ]:[Stanowisko / Position ]],0)))</f>
        <v>n/a</v>
      </c>
      <c r="BX148" s="315" t="str">
        <f>IF(INDEX(tab_MinKomp[Sieci komputerowe / Computernetzwerke],MATCH($B147,tab_MinKomp[[Stanowisko / Position ]:[Stanowisko / Position ]],0))="n/a","n/a",BX147-INDEX(tab_MinKomp[Sieci komputerowe / Computernetzwerke],MATCH($B147,tab_MinKomp[[Stanowisko / Position ]:[Stanowisko / Position ]],0)))</f>
        <v>n/a</v>
      </c>
      <c r="BY148" s="315" t="str">
        <f>IF(INDEX(tab_MinKomp[Hardware (komputery PC, drukarki biurowe i etykietowe, telefonia stacjonarna i mobilna) (PC, Drucker, Telefpne, Handys)],MATCH($B147,tab_MinKomp[[Stanowisko / Position ]:[Stanowisko / Position ]],0))="n/a","n/a",BY147-INDEX(tab_MinKomp[Hardware (komputery PC, drukarki biurowe i etykietowe, telefonia stacjonarna i mobilna) (PC, Drucker, Telefpne, Handys)],MATCH($B147,tab_MinKomp[[Stanowisko / Position ]:[Stanowisko / Position ]],0)))</f>
        <v>n/a</v>
      </c>
      <c r="BZ148" s="315" t="str">
        <f>IF(INDEX(tab_MinKomp[Software &amp; Systems (MS Office, MS Remote Desktop)],MATCH($B147,tab_MinKomp[[Stanowisko / Position ]:[Stanowisko / Position ]],0))="n/a","n/a",BZ147-INDEX(tab_MinKomp[Software &amp; Systems (MS Office, MS Remote Desktop)],MATCH($B147,tab_MinKomp[[Stanowisko / Position ]:[Stanowisko / Position ]],0)))</f>
        <v>n/a</v>
      </c>
      <c r="CA148" s="315" t="str">
        <f>IF(INDEX(tab_MinKomp[Programowanie obiektowe (PHP) / Objektprogrammierung],MATCH($B147,tab_MinKomp[[Stanowisko / Position ]:[Stanowisko / Position ]],0))="n/a","n/a",CA147-INDEX(tab_MinKomp[Programowanie obiektowe (PHP) / Objektprogrammierung],MATCH($B147,tab_MinKomp[[Stanowisko / Position ]:[Stanowisko / Position ]],0)))</f>
        <v>n/a</v>
      </c>
      <c r="CB148" s="315" t="str">
        <f>IF(INDEX(tab_MinKomp[Scrum],MATCH($B147,tab_MinKomp[[Stanowisko / Position ]:[Stanowisko / Position ]],0))="n/a","n/a",CB147-INDEX(tab_MinKomp[Scrum],MATCH($B147,tab_MinKomp[[Stanowisko / Position ]:[Stanowisko / Position ]],0)))</f>
        <v>n/a</v>
      </c>
      <c r="CC148" s="315" t="str">
        <f>IF(INDEX(tab_MinKomp[SQL (MySQL)],MATCH($B147,tab_MinKomp[[Stanowisko / Position ]:[Stanowisko / Position ]],0))="n/a","n/a",CC147-INDEX(tab_MinKomp[SQL (MySQL)],MATCH($B147,tab_MinKomp[[Stanowisko / Position ]:[Stanowisko / Position ]],0)))</f>
        <v>n/a</v>
      </c>
      <c r="CD148" s="315" t="str">
        <f>IF(INDEX(tab_MinKomp[Javascript],MATCH($B147,tab_MinKomp[[Stanowisko / Position ]:[Stanowisko / Position ]],0))="n/a","n/a",CD147-INDEX(tab_MinKomp[Javascript],MATCH($B147,tab_MinKomp[[Stanowisko / Position ]:[Stanowisko / Position ]],0)))</f>
        <v>n/a</v>
      </c>
      <c r="CE148" s="315" t="str">
        <f>IF(INDEX(tab_MinKomp[Joomla],MATCH($B147,tab_MinKomp[[Stanowisko / Position ]:[Stanowisko / Position ]],0))="n/a","n/a",CE147-INDEX(tab_MinKomp[Joomla],MATCH($B147,tab_MinKomp[[Stanowisko / Position ]:[Stanowisko / Position ]],0)))</f>
        <v>n/a</v>
      </c>
      <c r="CF148" s="315" t="str">
        <f>IF(INDEX(tab_MinKomp[Bash],MATCH($B147,tab_MinKomp[[Stanowisko / Position ]:[Stanowisko / Position ]],0))="n/a","n/a",CF147-INDEX(tab_MinKomp[Bash],MATCH($B147,tab_MinKomp[[Stanowisko / Position ]:[Stanowisko / Position ]],0)))</f>
        <v>n/a</v>
      </c>
      <c r="CG148" s="315" t="str">
        <f>IF(INDEX(tab_MinKomp[Systemy MES (HYDRA / SFMS)],MATCH($B147,tab_MinKomp[[Stanowisko / Position ]:[Stanowisko / Position ]],0))="n/a","n/a",CG147-INDEX(tab_MinKomp[Systemy MES (HYDRA / SFMS)],MATCH($B147,tab_MinKomp[[Stanowisko / Position ]:[Stanowisko / Position ]],0)))</f>
        <v>n/a</v>
      </c>
      <c r="CH148" s="315" t="str">
        <f>IF(INDEX(tab_MinKomp[HTML / CSS],MATCH($B147,tab_MinKomp[[Stanowisko / Position ]:[Stanowisko / Position ]],0))="n/a","n/a",CH147-INDEX(tab_MinKomp[HTML / CSS],MATCH($B147,tab_MinKomp[[Stanowisko / Position ]:[Stanowisko / Position ]],0)))</f>
        <v>n/a</v>
      </c>
      <c r="CI148" s="315" t="str">
        <f>IF(INDEX(tab_MinKomp[SYSTEM PR],MATCH($B147,tab_MinKomp[[Stanowisko / Position ]:[Stanowisko / Position ]],0))="n/a","n/a",CI147-INDEX(tab_MinKomp[SYSTEM PR],MATCH($B147,tab_MinKomp[[Stanowisko / Position ]:[Stanowisko / Position ]],0)))</f>
        <v>n/a</v>
      </c>
      <c r="CJ148" s="315" t="str">
        <f>IF(INDEX(tab_MinKomp[System Einkauf XP / EBA],MATCH($B147,tab_MinKomp[[Stanowisko / Position ]:[Stanowisko / Position ]],0))="n/a","n/a",CJ147-INDEX(tab_MinKomp[System Einkauf XP / EBA],MATCH($B147,tab_MinKomp[[Stanowisko / Position ]:[Stanowisko / Position ]],0)))</f>
        <v>n/a</v>
      </c>
      <c r="CK148" s="315" t="str">
        <f>IF(INDEX(tab_MinKomp[Techniki negocjacyjne / Verhandlungstechniken],MATCH($B147,tab_MinKomp[[Stanowisko / Position ]:[Stanowisko / Position ]],0))="n/a","n/a",CK147-INDEX(tab_MinKomp[Techniki negocjacyjne / Verhandlungstechniken],MATCH($B147,tab_MinKomp[[Stanowisko / Position ]:[Stanowisko / Position ]],0)))</f>
        <v>n/a</v>
      </c>
      <c r="CL148" s="315" t="str">
        <f>IF(INDEX(tab_MinKomp[Znajomość rynku branżowego / Kenntnis des Industrie Marktes],MATCH($B147,tab_MinKomp[[Stanowisko / Position ]:[Stanowisko / Position ]],0))="n/a","n/a",CL147-INDEX(tab_MinKomp[Znajomość rynku branżowego / Kenntnis des Industrie Marktes],MATCH($B147,tab_MinKomp[[Stanowisko / Position ]:[Stanowisko / Position ]],0)))</f>
        <v>n/a</v>
      </c>
      <c r="CM148" s="315" t="str">
        <f>IF(INDEX(tab_MinKomp[RAPORTY 8D / 8D Berichten],MATCH($B147,tab_MinKomp[[Stanowisko / Position ]:[Stanowisko / Position ]],0))="n/a","n/a",CM147-INDEX(tab_MinKomp[RAPORTY 8D / 8D Berichten],MATCH($B147,tab_MinKomp[[Stanowisko / Position ]:[Stanowisko / Position ]],0)))</f>
        <v>n/a</v>
      </c>
      <c r="CN148" s="315">
        <f>IF(INDEX(tab_MinKomp[NARZĘDZIA JAKOŚCIOWE (5WHY, Ishikawa, etc) / QS-Werkzeuge],MATCH($B147,tab_MinKomp[[Stanowisko / Position ]:[Stanowisko / Position ]],0))="n/a","n/a",CN147-INDEX(tab_MinKomp[NARZĘDZIA JAKOŚCIOWE (5WHY, Ishikawa, etc) / QS-Werkzeuge],MATCH($B147,tab_MinKomp[[Stanowisko / Position ]:[Stanowisko / Position ]],0)))</f>
        <v>0</v>
      </c>
      <c r="CO148" s="315">
        <f>IF(INDEX(tab_MinKomp[PDCA],MATCH($B147,tab_MinKomp[[Stanowisko / Position ]:[Stanowisko / Position ]],0))="n/a","n/a",CO147-INDEX(tab_MinKomp[PDCA],MATCH($B147,tab_MinKomp[[Stanowisko / Position ]:[Stanowisko / Position ]],0)))</f>
        <v>0</v>
      </c>
      <c r="CP148" s="315">
        <f>IF(INDEX(tab_MinKomp[Pareto],MATCH($B147,tab_MinKomp[[Stanowisko / Position ]:[Stanowisko / Position ]],0))="n/a","n/a",CP147-INDEX(tab_MinKomp[Pareto],MATCH($B147,tab_MinKomp[[Stanowisko / Position ]:[Stanowisko / Position ]],0)))</f>
        <v>0</v>
      </c>
      <c r="CQ148" s="315" t="str">
        <f>IF(INDEX(tab_MinKomp[PPAP/PSW],MATCH($B147,tab_MinKomp[[Stanowisko / Position ]:[Stanowisko / Position ]],0))="n/a","n/a",CQ147-INDEX(tab_MinKomp[PPAP/PSW],MATCH($B147,tab_MinKomp[[Stanowisko / Position ]:[Stanowisko / Position ]],0)))</f>
        <v>n/a</v>
      </c>
      <c r="CR148" s="315" t="str">
        <f>IF(INDEX(tab_MinKomp[SUPPLIER MANAGEMENT],MATCH($B147,tab_MinKomp[[Stanowisko / Position ]:[Stanowisko / Position ]],0))="n/a","n/a",CR147-INDEX(tab_MinKomp[SUPPLIER MANAGEMENT],MATCH($B147,tab_MinKomp[[Stanowisko / Position ]:[Stanowisko / Position ]],0)))</f>
        <v>n/a</v>
      </c>
      <c r="CS148" s="315" t="str">
        <f>IF(INDEX(tab_MinKomp[OBSŁUGA PORTALI KLIENTA / Kundenportale],MATCH($B147,tab_MinKomp[[Stanowisko / Position ]:[Stanowisko / Position ]],0))="n/a","n/a",CS147-INDEX(tab_MinKomp[OBSŁUGA PORTALI KLIENTA / Kundenportale],MATCH($B147,tab_MinKomp[[Stanowisko / Position ]:[Stanowisko / Position ]],0)))</f>
        <v>n/a</v>
      </c>
      <c r="CT148" s="315" t="str">
        <f>IF(INDEX(tab_MinKomp[Obsługa systemu BABTECQ / BABTECQ System],MATCH($B147,tab_MinKomp[[Stanowisko / Position ]:[Stanowisko / Position ]],0))="n/a","n/a",CT147-INDEX(tab_MinKomp[Obsługa systemu BABTECQ / BABTECQ System],MATCH($B147,tab_MinKomp[[Stanowisko / Position ]:[Stanowisko / Position ]],0)))</f>
        <v>n/a</v>
      </c>
      <c r="CU148" s="315">
        <f>IF(INDEX(tab_MinKomp[Rysunek techniczny / technische Zeichnung],MATCH($B147,tab_MinKomp[[Stanowisko / Position ]:[Stanowisko / Position ]],0))="n/a","n/a",CU147-INDEX(tab_MinKomp[Rysunek techniczny / technische Zeichnung],MATCH($B147,tab_MinKomp[[Stanowisko / Position ]:[Stanowisko / Position ]],0)))</f>
        <v>-1</v>
      </c>
      <c r="CV148" s="315" t="str">
        <f>IF(INDEX(tab_MinKomp[Kalibracja / Kalibrierung],MATCH($B147,tab_MinKomp[[Stanowisko / Position ]:[Stanowisko / Position ]],0))="n/a","n/a",CV147-INDEX(tab_MinKomp[Kalibracja / Kalibrierung],MATCH($B147,tab_MinKomp[[Stanowisko / Position ]:[Stanowisko / Position ]],0)))</f>
        <v>n/a</v>
      </c>
      <c r="CW148" s="315" t="str">
        <f>IF(INDEX(tab_MinKomp[Rekwalifikacja / Requalifizierung],MATCH($B147,tab_MinKomp[[Stanowisko / Position ]:[Stanowisko / Position ]],0))="n/a","n/a",CW147-INDEX(tab_MinKomp[Rekwalifikacja / Requalifizierung],MATCH($B147,tab_MinKomp[[Stanowisko / Position ]:[Stanowisko / Position ]],0)))</f>
        <v>n/a</v>
      </c>
      <c r="CX148" s="315" t="str">
        <f>IF(INDEX(tab_MinKomp[Obsługa mikroskopu optycznego / Bedienung eines optischen Mikroskops],MATCH($B147,tab_MinKomp[[Stanowisko / Position ]:[Stanowisko / Position ]],0))="n/a","n/a",CX147-INDEX(tab_MinKomp[Obsługa mikroskopu optycznego / Bedienung eines optischen Mikroskops],MATCH($B147,tab_MinKomp[[Stanowisko / Position ]:[Stanowisko / Position ]],0)))</f>
        <v>n/a</v>
      </c>
      <c r="CY148" s="315" t="str">
        <f>IF(INDEX(tab_MinKomp[Wykonywanie pomiarów optycznych - ocena wizualna / Optische Messungen durchführen – visuelle Beurteilung],MATCH($B147,tab_MinKomp[[Stanowisko / Position ]:[Stanowisko / Position ]],0))="n/a","n/a",CY147-INDEX(tab_MinKomp[Wykonywanie pomiarów optycznych - ocena wizualna / Optische Messungen durchführen – visuelle Beurteilung],MATCH($B147,tab_MinKomp[[Stanowisko / Position ]:[Stanowisko / Position ]],0)))</f>
        <v>n/a</v>
      </c>
      <c r="CZ148" s="315" t="str">
        <f>IF(INDEX(tab_MinKomp[Obsługa Rheometra / Rheometra-Unterstützung],MATCH($B147,tab_MinKomp[[Stanowisko / Position ]:[Stanowisko / Position ]],0))="n/a","n/a",CZ147-INDEX(tab_MinKomp[Obsługa Rheometra / Rheometra-Unterstützung],MATCH($B147,tab_MinKomp[[Stanowisko / Position ]:[Stanowisko / Position ]],0)))</f>
        <v>n/a</v>
      </c>
      <c r="DA148" s="315" t="str">
        <f>IF(INDEX(tab_MinKomp[Testy właściwości Rheometra mieszanki gumy],MATCH($B147,tab_MinKomp[[Stanowisko / Position ]:[Stanowisko / Position ]],0))="n/a","n/a",DA147-INDEX(tab_MinKomp[Testy właściwości Rheometra mieszanki gumy],MATCH($B147,tab_MinKomp[[Stanowisko / Position ]:[Stanowisko / Position ]],0)))</f>
        <v>n/a</v>
      </c>
      <c r="DB148" s="315" t="str">
        <f>IF(INDEX(tab_MinKomp[CMM - Contura Zeiss],MATCH($B147,tab_MinKomp[[Stanowisko / Position ]:[Stanowisko / Position ]],0))="n/a","n/a",DB147-INDEX(tab_MinKomp[CMM - Contura Zeiss],MATCH($B147,tab_MinKomp[[Stanowisko / Position ]:[Stanowisko / Position ]],0)))</f>
        <v>n/a</v>
      </c>
      <c r="DC148" s="315" t="str">
        <f>IF(INDEX(tab_MinKomp[Wykonywanie precyzyjnych pomiarów metrycznych, pomiary 3D],MATCH($B147,tab_MinKomp[[Stanowisko / Position ]:[Stanowisko / Position ]],0))="n/a","n/a",DC147-INDEX(tab_MinKomp[Wykonywanie precyzyjnych pomiarów metrycznych, pomiary 3D],MATCH($B147,tab_MinKomp[[Stanowisko / Position ]:[Stanowisko / Position ]],0)))</f>
        <v>n/a</v>
      </c>
      <c r="DD148" s="315" t="str">
        <f>IF(INDEX(tab_MinKomp[Pisanie programów / Programme schreiben],MATCH($B147,tab_MinKomp[[Stanowisko / Position ]:[Stanowisko / Position ]],0))="n/a","n/a",DD147-INDEX(tab_MinKomp[Pisanie programów / Programme schreiben],MATCH($B147,tab_MinKomp[[Stanowisko / Position ]:[Stanowisko / Position ]],0)))</f>
        <v>n/a</v>
      </c>
      <c r="DE148" s="315" t="str">
        <f>IF(INDEX(tab_MinKomp[Obsługa wyposażenia do testów czystości (myjka + analizator) / Betrieb von Sauberkeitsprüfgeräten (Waschmaschine + Analysegerät)],MATCH($B147,tab_MinKomp[[Stanowisko / Position ]:[Stanowisko / Position ]],0))="n/a","n/a",DE147-INDEX(tab_MinKomp[Obsługa wyposażenia do testów czystości (myjka + analizator) / Betrieb von Sauberkeitsprüfgeräten (Waschmaschine + Analysegerät)],MATCH($B147,tab_MinKomp[[Stanowisko / Position ]:[Stanowisko / Position ]],0)))</f>
        <v>n/a</v>
      </c>
      <c r="DF148" s="315" t="str">
        <f>IF(INDEX(tab_MinKomp[Testy czystości / Reinheitstests],MATCH($B147,tab_MinKomp[[Stanowisko / Position ]:[Stanowisko / Position ]],0))="n/a","n/a",DF147-INDEX(tab_MinKomp[Testy czystości / Reinheitstests],MATCH($B147,tab_MinKomp[[Stanowisko / Position ]:[Stanowisko / Position ]],0)))</f>
        <v>n/a</v>
      </c>
      <c r="DG148" s="315" t="str">
        <f>IF(INDEX(tab_MinKomp[Obsługa wysokościomierza / Unterstützung für Höhenmesser],MATCH($B147,tab_MinKomp[[Stanowisko / Position ]:[Stanowisko / Position ]],0))="n/a","n/a",DG147-INDEX(tab_MinKomp[Obsługa wysokościomierza / Unterstützung für Höhenmesser],MATCH($B147,tab_MinKomp[[Stanowisko / Position ]:[Stanowisko / Position ]],0)))</f>
        <v>n/a</v>
      </c>
      <c r="DH148" s="315" t="str">
        <f>IF(INDEX(tab_MinKomp[Pomiary wysokości materiału / Materialhöhenmessungen],MATCH($B147,tab_MinKomp[[Stanowisko / Position ]:[Stanowisko / Position ]],0))="n/a","n/a",DH147-INDEX(tab_MinKomp[Pomiary wysokości materiału / Materialhöhenmessungen],MATCH($B147,tab_MinKomp[[Stanowisko / Position ]:[Stanowisko / Position ]],0)))</f>
        <v>n/a</v>
      </c>
      <c r="DI148" s="315" t="str">
        <f>IF(INDEX(tab_MinKomp[Obsługa okrągłościomierza / Unterstützung für Rundheitsmessgeräte],MATCH($B147,tab_MinKomp[[Stanowisko / Position ]:[Stanowisko / Position ]],0))="n/a","n/a",DI147-INDEX(tab_MinKomp[Obsługa okrągłościomierza / Unterstützung für Rundheitsmessgeräte],MATCH($B147,tab_MinKomp[[Stanowisko / Position ]:[Stanowisko / Position ]],0)))</f>
        <v>n/a</v>
      </c>
      <c r="DJ148" s="315" t="str">
        <f>IF(INDEX(tab_MinKomp[Wykonywania pomiarów owalności, srednicy materiału / Messung der Ovalität und des Durchmessers des Materials],MATCH($B147,tab_MinKomp[[Stanowisko / Position ]:[Stanowisko / Position ]],0))="n/a","n/a",DJ147-INDEX(tab_MinKomp[Wykonywania pomiarów owalności, srednicy materiału / Messung der Ovalität und des Durchmessers des Materials],MATCH($B147,tab_MinKomp[[Stanowisko / Position ]:[Stanowisko / Position ]],0)))</f>
        <v>n/a</v>
      </c>
      <c r="DK148" s="315" t="str">
        <f>IF(INDEX(tab_MinKomp[Obsługa urządzenia do pomiarów chropowoatości powierzchni materiału],MATCH($B147,tab_MinKomp[[Stanowisko / Position ]:[Stanowisko / Position ]],0))="n/a","n/a",DK147-INDEX(tab_MinKomp[Obsługa urządzenia do pomiarów chropowoatości powierzchni materiału],MATCH($B147,tab_MinKomp[[Stanowisko / Position ]:[Stanowisko / Position ]],0)))</f>
        <v>n/a</v>
      </c>
      <c r="DL148" s="315" t="str">
        <f>IF(INDEX(tab_MinKomp[Wykonywanie pomiarów chropowatości powierzchni materiału / Durchführung von Messungen der Materialoberflächenrauheit],MATCH($B147,tab_MinKomp[[Stanowisko / Position ]:[Stanowisko / Position ]],0))="n/a","n/a",DL147-INDEX(tab_MinKomp[Wykonywanie pomiarów chropowatości powierzchni materiału / Durchführung von Messungen der Materialoberflächenrauheit],MATCH($B147,tab_MinKomp[[Stanowisko / Position ]:[Stanowisko / Position ]],0)))</f>
        <v>n/a</v>
      </c>
      <c r="DM148" s="315" t="str">
        <f>IF(INDEX(tab_MinKomp[Obsługa urządzenia do pomiaru siły radialnej części - postępowanie z trzpieniami. / Funktionsweise des Geräts zur Messung der Radialkraft von Teilen – Handhabungsstifte.],MATCH($B147,tab_MinKomp[[Stanowisko / Position ]:[Stanowisko / Position ]],0))="n/a","n/a",DM147-INDEX(tab_MinKomp[Obsługa urządzenia do pomiaru siły radialnej części - postępowanie z trzpieniami. / Funktionsweise des Geräts zur Messung der Radialkraft von Teilen – Handhabungsstifte.],MATCH($B147,tab_MinKomp[[Stanowisko / Position ]:[Stanowisko / Position ]],0)))</f>
        <v>n/a</v>
      </c>
      <c r="DN148" s="315" t="str">
        <f>IF(INDEX(tab_MinKomp[Wykonywanie pomiarów siły radialnej części / Führen Sie Radialkraftmessungen an Teilen durch],MATCH($B147,tab_MinKomp[[Stanowisko / Position ]:[Stanowisko / Position ]],0))="n/a","n/a",DN147-INDEX(tab_MinKomp[Wykonywanie pomiarów siły radialnej części / Führen Sie Radialkraftmessungen an Teilen durch],MATCH($B147,tab_MinKomp[[Stanowisko / Position ]:[Stanowisko / Position ]],0)))</f>
        <v>n/a</v>
      </c>
      <c r="DO148" s="315" t="str">
        <f>IF(INDEX(tab_MinKomp[Obsługa komory do testów wybuchwych / Betrieb einer Explosionsprüfkammer],MATCH($B147,tab_MinKomp[[Stanowisko / Position ]:[Stanowisko / Position ]],0))="n/a","n/a",DO147-INDEX(tab_MinKomp[Obsługa komory do testów wybuchwych / Betrieb einer Explosionsprüfkammer],MATCH($B147,tab_MinKomp[[Stanowisko / Position ]:[Stanowisko / Position ]],0)))</f>
        <v>n/a</v>
      </c>
      <c r="DP148" s="315" t="str">
        <f>IF(INDEX(tab_MinKomp[Wykonywanie testów wybuchowych części / Durchführung von Explosionstests an Teilen],MATCH($B147,tab_MinKomp[[Stanowisko / Position ]:[Stanowisko / Position ]],0))="n/a","n/a",DP147-INDEX(tab_MinKomp[Wykonywanie testów wybuchowych części / Durchführung von Explosionstests an Teilen],MATCH($B147,tab_MinKomp[[Stanowisko / Position ]:[Stanowisko / Position ]],0)))</f>
        <v>n/a</v>
      </c>
      <c r="DQ148" s="315" t="str">
        <f>IF(INDEX(tab_MinKomp[Obsługa urządzeń do mierzenia siły trzymania i/lub rozciągania / Betrieb von Geräten zur Messung der Halte- und/oder Dehnkraft],MATCH($B147,tab_MinKomp[[Stanowisko / Position ]:[Stanowisko / Position ]],0))="n/a","n/a",DQ147-INDEX(tab_MinKomp[Obsługa urządzeń do mierzenia siły trzymania i/lub rozciągania / Betrieb von Geräten zur Messung der Halte- und/oder Dehnkraft],MATCH($B147,tab_MinKomp[[Stanowisko / Position ]:[Stanowisko / Position ]],0)))</f>
        <v>n/a</v>
      </c>
      <c r="DR148" s="315" t="str">
        <f>IF(INDEX(tab_MinKomp[Wykonywanie testów mierzenia siły trzymania i/lub rozciągania / Durchführung von Tests zur Messung der Halte- und/oder Streckkraft],MATCH($B147,tab_MinKomp[[Stanowisko / Position ]:[Stanowisko / Position ]],0))="n/a","n/a",DR147-INDEX(tab_MinKomp[Wykonywanie testów mierzenia siły trzymania i/lub rozciągania / Durchführung von Tests zur Messung der Halte- und/oder Streckkraft],MATCH($B147,tab_MinKomp[[Stanowisko / Position ]:[Stanowisko / Position ]],0)))</f>
        <v>n/a</v>
      </c>
      <c r="DS148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Luftstrom)],MATCH($B147,tab_MinKomp[[Stanowisko / Position ]:[Stanowisko / Position ]],0))="n/a","n/a",DS147-INDEX(tab_MinKomp[Obsługa multimetru do pomiarów środowiskowych (temperatura, wilgotność, hałas, oświetlenie, przepływ powietrza) / Betrieb eines Multimeters für Umweltmessungen (Temperatur, Luftfeuchtigkeit, Lärm, Beleuchtung, Luftstrom)],MATCH($B147,tab_MinKomp[[Stanowisko / Position ]:[Stanowisko / Position ]],0)))</f>
        <v>n/a</v>
      </c>
      <c r="DT148" s="315" t="str">
        <f>IF(INDEX(tab_MinKomp[Kontrola warunków środowiskowych pracy (temperatura, wilgotność, hałas, oświetlenie, przepływ powietrza) / Kontrolle der Arbeitsumgebungsbedingungen (Temperatur, Luftfeuchtigkeit, Lärm, Beleuchtung, Luftstrom)],MATCH($B147,tab_MinKomp[[Stanowisko / Position ]:[Stanowisko / Position ]],0))="n/a","n/a",DT147-INDEX(tab_MinKomp[Kontrola warunków środowiskowych pracy (temperatura, wilgotność, hałas, oświetlenie, przepływ powietrza) / Kontrolle der Arbeitsumgebungsbedingungen (Temperatur, Luftfeuchtigkeit, Lärm, Beleuchtung, Luftstrom)],MATCH($B147,tab_MinKomp[[Stanowisko / Position ]:[Stanowisko / Position ]],0)))</f>
        <v>n/a</v>
      </c>
      <c r="DU148" s="315" t="str">
        <f>IF(INDEX(tab_MinKomp[MSA i SPC],MATCH($B147,tab_MinKomp[[Stanowisko / Position ]:[Stanowisko / Position ]],0))="n/a","n/a",DU147-INDEX(tab_MinKomp[MSA i SPC],MATCH($B147,tab_MinKomp[[Stanowisko / Position ]:[Stanowisko / Position ]],0)))</f>
        <v>n/a</v>
      </c>
      <c r="DV148" s="315" t="str">
        <f>IF(INDEX(tab_MinKomp[Kontrola wejściowa komponentów/ Eingangskontrolle],MATCH($B147,tab_MinKomp[[Stanowisko / Position ]:[Stanowisko / Position ]],0))="n/a","n/a",DV147-INDEX(tab_MinKomp[Kontrola wejściowa komponentów/ Eingangskontrolle],MATCH($B147,tab_MinKomp[[Stanowisko / Position ]:[Stanowisko / Position ]],0)))</f>
        <v>n/a</v>
      </c>
      <c r="DW148" s="315" t="str">
        <f>IF(INDEX(tab_MinKomp[Kontrola wyjściowa produktu / Ausgangskontrolle],MATCH($B147,tab_MinKomp[[Stanowisko / Position ]:[Stanowisko / Position ]],0))="n/a","n/a",DW147-INDEX(tab_MinKomp[Kontrola wyjściowa produktu / Ausgangskontrolle],MATCH($B147,tab_MinKomp[[Stanowisko / Position ]:[Stanowisko / Position ]],0)))</f>
        <v>n/a</v>
      </c>
      <c r="DX148" s="315" t="str">
        <f>IF(INDEX(tab_MinKomp[Kontrola codzienna produkcji / Tägliche Produktionskontrolle],MATCH($B147,tab_MinKomp[[Stanowisko / Position ]:[Stanowisko / Position ]],0))="n/a","n/a",DX147-INDEX(tab_MinKomp[Kontrola codzienna produkcji / Tägliche Produktionskontrolle],MATCH($B147,tab_MinKomp[[Stanowisko / Position ]:[Stanowisko / Position ]],0)))</f>
        <v>n/a</v>
      </c>
      <c r="DY148" s="315" t="str">
        <f>IF(INDEX(tab_MinKomp[Konserwacja Rep],MATCH($B147,tab_MinKomp[[Stanowisko / Position ]:[Stanowisko / Position ]],0))="n/a","n/a",DY147-INDEX(tab_MinKomp[Konserwacja Rep],MATCH($B147,tab_MinKomp[[Stanowisko / Position ]:[Stanowisko / Position ]],0)))</f>
        <v>n/a</v>
      </c>
      <c r="DZ148" s="315" t="str">
        <f>IF(INDEX(tab_MinKomp[[Konserwacja Engel ]],MATCH($B147,tab_MinKomp[[Stanowisko / Position ]:[Stanowisko / Position ]],0))="n/a","n/a",DZ147-INDEX(tab_MinKomp[[Konserwacja Engel ]],MATCH($B147,tab_MinKomp[[Stanowisko / Position ]:[Stanowisko / Position ]],0)))</f>
        <v>n/a</v>
      </c>
      <c r="EA148" s="315" t="str">
        <f>IF(INDEX(tab_MinKomp[Konserwacja B 50],MATCH($B147,tab_MinKomp[[Stanowisko / Position ]:[Stanowisko / Position ]],0))="n/a","n/a",EA147-INDEX(tab_MinKomp[Konserwacja B 50],MATCH($B147,tab_MinKomp[[Stanowisko / Position ]:[Stanowisko / Position ]],0)))</f>
        <v>n/a</v>
      </c>
      <c r="EB148" s="315" t="str">
        <f>IF(INDEX(tab_MinKomp[[Konserwacja EOL ]],MATCH($B147,tab_MinKomp[[Stanowisko / Position ]:[Stanowisko / Position ]],0))="n/a","n/a",EB147-INDEX(tab_MinKomp[[Konserwacja EOL ]],MATCH($B147,tab_MinKomp[[Stanowisko / Position ]:[Stanowisko / Position ]],0)))</f>
        <v>n/a</v>
      </c>
      <c r="EC148" s="315" t="str">
        <f>IF(INDEX(tab_MinKomp[Konserwacja Branson],MATCH($B147,tab_MinKomp[[Stanowisko / Position ]:[Stanowisko / Position ]],0))="n/a","n/a",EC147-INDEX(tab_MinKomp[Konserwacja Branson],MATCH($B147,tab_MinKomp[[Stanowisko / Position ]:[Stanowisko / Position ]],0)))</f>
        <v>n/a</v>
      </c>
      <c r="ED148" s="315" t="str">
        <f>IF(INDEX(tab_MinKomp[Konserwacja coolery],MATCH($B147,tab_MinKomp[[Stanowisko / Position ]:[Stanowisko / Position ]],0))="n/a","n/a",ED147-INDEX(tab_MinKomp[Konserwacja coolery],MATCH($B147,tab_MinKomp[[Stanowisko / Position ]:[Stanowisko / Position ]],0)))</f>
        <v>n/a</v>
      </c>
      <c r="EE148" s="315" t="str">
        <f>IF(INDEX(tab_MinKomp[Konserwacja piecy],MATCH($B147,tab_MinKomp[[Stanowisko / Position ]:[Stanowisko / Position ]],0))="n/a","n/a",EE147-INDEX(tab_MinKomp[Konserwacja piecy],MATCH($B147,tab_MinKomp[[Stanowisko / Position ]:[Stanowisko / Position ]],0)))</f>
        <v>n/a</v>
      </c>
      <c r="EF148" s="315">
        <f>IF(INDEX(tab_MinKomp[Rysunek techniczny- czytanie],MATCH($B147,tab_MinKomp[[Stanowisko / Position ]:[Stanowisko / Position ]],0))="n/a","n/a",EF147-INDEX(tab_MinKomp[Rysunek techniczny- czytanie],MATCH($B147,tab_MinKomp[[Stanowisko / Position ]:[Stanowisko / Position ]],0)))</f>
        <v>-1</v>
      </c>
      <c r="EG148" s="315">
        <f>IF(INDEX(tab_MinKomp[Elektryka],MATCH($B147,tab_MinKomp[[Stanowisko / Position ]:[Stanowisko / Position ]],0))="n/a","n/a",EG147-INDEX(tab_MinKomp[Elektryka],MATCH($B147,tab_MinKomp[[Stanowisko / Position ]:[Stanowisko / Position ]],0)))</f>
        <v>-1</v>
      </c>
      <c r="EH148" s="315">
        <f>IF(INDEX(tab_MinKomp[Pneumatyka],MATCH($B147,tab_MinKomp[[Stanowisko / Position ]:[Stanowisko / Position ]],0))="n/a","n/a",EH147-INDEX(tab_MinKomp[Pneumatyka],MATCH($B147,tab_MinKomp[[Stanowisko / Position ]:[Stanowisko / Position ]],0)))</f>
        <v>-1</v>
      </c>
      <c r="EI148" s="315">
        <f>IF(INDEX(tab_MinKomp[[Hydraulika ]],MATCH($B147,tab_MinKomp[[Stanowisko / Position ]:[Stanowisko / Position ]],0))="n/a","n/a",EI147-INDEX(tab_MinKomp[[Hydraulika ]],MATCH($B147,tab_MinKomp[[Stanowisko / Position ]:[Stanowisko / Position ]],0)))</f>
        <v>-1</v>
      </c>
      <c r="EJ148" s="315">
        <f>IF(INDEX(tab_MinKomp[Podciśnienie],MATCH($B147,tab_MinKomp[[Stanowisko / Position ]:[Stanowisko / Position ]],0))="n/a","n/a",EJ147-INDEX(tab_MinKomp[Podciśnienie],MATCH($B147,tab_MinKomp[[Stanowisko / Position ]:[Stanowisko / Position ]],0)))</f>
        <v>-1</v>
      </c>
      <c r="EK148" s="315">
        <f>IF(INDEX(tab_MinKomp[Usuwanie awarii],MATCH($B147,tab_MinKomp[[Stanowisko / Position ]:[Stanowisko / Position ]],0))="n/a","n/a",EK147-INDEX(tab_MinKomp[Usuwanie awarii],MATCH($B147,tab_MinKomp[[Stanowisko / Position ]:[Stanowisko / Position ]],0)))</f>
        <v>-1</v>
      </c>
      <c r="EL148" s="315" t="str">
        <f>IF(INDEX(tab_MinKomp[Planowanie strategiczne / Strategische Planung],MATCH($B147,tab_MinKomp[[Stanowisko / Position ]:[Stanowisko / Position ]],0))="n/a","n/a",EL147-INDEX(tab_MinKomp[Planowanie strategiczne / Strategische Planung],MATCH($B147,tab_MinKomp[[Stanowisko / Position ]:[Stanowisko / Position ]],0)))</f>
        <v>n/a</v>
      </c>
      <c r="EM148" s="315">
        <f>IF(INDEX(tab_MinKomp[Obsługa sterowania maszyny],MATCH($B147,tab_MinKomp[[Stanowisko / Position ]:[Stanowisko / Position ]],0))="n/a","n/a",EM147-INDEX(tab_MinKomp[Obsługa sterowania maszyny],MATCH($B147,tab_MinKomp[[Stanowisko / Position ]:[Stanowisko / Position ]],0)))</f>
        <v>0</v>
      </c>
      <c r="EN148" s="315" t="str">
        <f>IF(INDEX(tab_MinKomp[Planowanie strategiczne / Strategische Planung],MATCH($B147,tab_MinKomp[[Stanowisko / Position ]:[Stanowisko / Position ]],0))="n/a","n/a",EN147-INDEX(tab_MinKomp[Planowanie strategiczne / Strategische Planung],MATCH($B147,tab_MinKomp[[Stanowisko / Position ]:[Stanowisko / Position ]],0)))</f>
        <v>n/a</v>
      </c>
      <c r="EO148" s="315">
        <f>IF(INDEX(tab_MinKomp[Cmms stosowanie],MATCH($B147,tab_MinKomp[[Stanowisko / Position ]:[Stanowisko / Position ]],0))="n/a","n/a",EO147-INDEX(tab_MinKomp[Cmms stosowanie],MATCH($B147,tab_MinKomp[[Stanowisko / Position ]:[Stanowisko / Position ]],0)))</f>
        <v>0</v>
      </c>
      <c r="EP148" s="315">
        <f>IF(INDEX(tab_MinKomp[[Czyszczenie form gumowych ]],MATCH($B147,tab_MinKomp[[Stanowisko / Position ]:[Stanowisko / Position ]],0))="n/a","n/a",EP147-INDEX(tab_MinKomp[[Czyszczenie form gumowych ]],MATCH($B147,tab_MinKomp[[Stanowisko / Position ]:[Stanowisko / Position ]],0)))</f>
        <v>-1</v>
      </c>
      <c r="EQ148" s="315">
        <f>IF(INDEX(tab_MinKomp[Czyszczenie form plastikowych],MATCH($B147,tab_MinKomp[[Stanowisko / Position ]:[Stanowisko / Position ]],0))="n/a","n/a",EQ147-INDEX(tab_MinKomp[Czyszczenie form plastikowych],MATCH($B147,tab_MinKomp[[Stanowisko / Position ]:[Stanowisko / Position ]],0)))</f>
        <v>-1</v>
      </c>
      <c r="ER148" s="315">
        <f>IF(INDEX(tab_MinKomp[Wymiana form plastik],MATCH($B147,tab_MinKomp[[Stanowisko / Position ]:[Stanowisko / Position ]],0))="n/a","n/a",ER147-INDEX(tab_MinKomp[Wymiana form plastik],MATCH($B147,tab_MinKomp[[Stanowisko / Position ]:[Stanowisko / Position ]],0)))</f>
        <v>-1</v>
      </c>
      <c r="ES148" s="315">
        <f>IF(INDEX(tab_MinKomp[Wymiana form guma],MATCH($B147,tab_MinKomp[[Stanowisko / Position ]:[Stanowisko / Position ]],0))="n/a","n/a",ES147-INDEX(tab_MinKomp[Wymiana form guma],MATCH($B147,tab_MinKomp[[Stanowisko / Position ]:[Stanowisko / Position ]],0)))</f>
        <v>-1</v>
      </c>
      <c r="ET148" s="315" t="str">
        <f>IF(INDEX(tab_MinKomp[Planowanie strategiczne / Strategische Planung],MATCH($B147,tab_MinKomp[[Stanowisko / Position ]:[Stanowisko / Position ]],0))="n/a","n/a",ET147-INDEX(tab_MinKomp[Planowanie strategiczne / Strategische Planung],MATCH($B147,tab_MinKomp[[Stanowisko / Position ]:[Stanowisko / Position ]],0)))</f>
        <v>n/a</v>
      </c>
      <c r="EU148" s="315">
        <f>IF(INDEX(tab_MinKomp[Konserwacja form guma],MATCH($B147,tab_MinKomp[[Stanowisko / Position ]:[Stanowisko / Position ]],0))="n/a","n/a",EU147-INDEX(tab_MinKomp[Konserwacja form guma],MATCH($B147,tab_MinKomp[[Stanowisko / Position ]:[Stanowisko / Position ]],0)))</f>
        <v>-1</v>
      </c>
      <c r="EV148" s="315" t="str">
        <f>IF(INDEX(tab_MinKomp[Planowanie strategiczne / Strategische Planung],MATCH($B147,tab_MinKomp[[Stanowisko / Position ]:[Stanowisko / Position ]],0))="n/a","n/a",EV147-INDEX(tab_MinKomp[Planowanie strategiczne / Strategische Planung],MATCH($B147,tab_MinKomp[[Stanowisko / Position ]:[Stanowisko / Position ]],0)))</f>
        <v>n/a</v>
      </c>
      <c r="EW148" s="330">
        <f>IF(INDEX(tab_MinKomp[Konserwacja form plastiki],MATCH($B147,tab_MinKomp[[Stanowisko / Position ]:[Stanowisko / Position ]],0))="n/a","n/a",EW147-INDEX(tab_MinKomp[Konserwacja form plastiki],MATCH($B147,tab_MinKomp[[Stanowisko / Position ]:[Stanowisko / Position ]],0)))</f>
        <v>-1</v>
      </c>
      <c r="EX148" s="315" t="str">
        <f>IF(INDEX(tab_MinKomp[Planowanie strategiczne / Strategische Planung],MATCH($B147,tab_MinKomp[[Stanowisko / Position ]:[Stanowisko / Position ]],0))="n/a","n/a",EX147-INDEX(tab_MinKomp[Planowanie strategiczne / Strategische Planung],MATCH($B147,tab_MinKomp[[Stanowisko / Position ]:[Stanowisko / Position ]],0)))</f>
        <v>n/a</v>
      </c>
      <c r="EY148" s="315" t="str">
        <f>IF(INDEX(tab_MinKomp[Planowanie strategiczne / Strategische Planung],MATCH($B147,tab_MinKomp[[Stanowisko / Position ]:[Stanowisko / Position ]],0))="n/a","n/a",EY147-INDEX(tab_MinKomp[Planowanie strategiczne / Strategische Planung],MATCH($B147,tab_MinKomp[[Stanowisko / Position ]:[Stanowisko / Position ]],0)))</f>
        <v>n/a</v>
      </c>
      <c r="EZ148" s="315" t="str">
        <f>IF(INDEX(tab_MinKomp[Planowanie strategiczne / Strategische Planung],MATCH($B147,tab_MinKomp[[Stanowisko / Position ]:[Stanowisko / Position ]],0))="n/a","n/a",EZ147-INDEX(tab_MinKomp[Planowanie strategiczne / Strategische Planung],MATCH($B147,tab_MinKomp[[Stanowisko / Position ]:[Stanowisko / Position ]],0)))</f>
        <v>n/a</v>
      </c>
      <c r="FA148" s="315" t="str">
        <f>IF(INDEX(tab_MinKomp[Planowanie strategiczne / Strategische Planung],MATCH($B147,tab_MinKomp[[Stanowisko / Position ]:[Stanowisko / Position ]],0))="n/a","n/a",FA147-INDEX(tab_MinKomp[Planowanie strategiczne / Strategische Planung],MATCH($B147,tab_MinKomp[[Stanowisko / Position ]:[Stanowisko / Position ]],0)))</f>
        <v>n/a</v>
      </c>
      <c r="FB148" s="315" t="str">
        <f>IF(INDEX(tab_MinKomp[Język angielski / Englisch],MATCH($B147,tab_MinKomp[[Stanowisko / Position ]:[Stanowisko / Position ]],0))="n/a","n/a",FB147-INDEX(tab_MinKomp[Język angielski / Englisch],MATCH($B147,tab_MinKomp[[Stanowisko / Position ]:[Stanowisko / Position ]],0)))</f>
        <v>n/a</v>
      </c>
      <c r="FC148" s="315" t="str">
        <f>IF(INDEX(tab_MinKomp[Język niemiecki / Deutsch],MATCH($B147,tab_MinKomp[[Stanowisko / Position ]:[Stanowisko / Position ]],0))="n/a","n/a",FC147-INDEX(tab_MinKomp[Język niemiecki / Deutsch],MATCH($B147,tab_MinKomp[[Stanowisko / Position ]:[Stanowisko / Position ]],0)))</f>
        <v>n/a</v>
      </c>
      <c r="FD148" s="315">
        <f>IF(INDEX(tab_MinKomp[Zarządzanie dokumentacją procesową / Process dokumentation management],MATCH($B147,tab_MinKomp[[Stanowisko / Position ]:[Stanowisko / Position ]],0))="n/a","n/a",FD147-INDEX(tab_MinKomp[Zarządzanie dokumentacją procesową / Process dokumentation management],MATCH($B147,tab_MinKomp[[Stanowisko / Position ]:[Stanowisko / Position ]],0)))</f>
        <v>0</v>
      </c>
      <c r="FE148" s="315">
        <f>IF(INDEX(tab_MinKomp[Znajomość procesów z obszaru / Kenntiss der prozesse in dem Bereich],MATCH($B147,tab_MinKomp[[Stanowisko / Position ]:[Stanowisko / Position ]],0))="n/a","n/a",FE147-INDEX(tab_MinKomp[Znajomość procesów z obszaru / Kenntiss der prozesse in dem Bereich],MATCH($B147,tab_MinKomp[[Stanowisko / Position ]:[Stanowisko / Position ]],0)))</f>
        <v>-1</v>
      </c>
      <c r="FF148" s="315">
        <f>IF(INDEX(tab_MinKomp[optymalizacja procesów / Prozessoptymalisierung],MATCH($B147,tab_MinKomp[[Stanowisko / Position ]:[Stanowisko / Position ]],0))="n/a","n/a",FF147-INDEX(tab_MinKomp[optymalizacja procesów / Prozessoptymalisierung],MATCH($B147,tab_MinKomp[[Stanowisko / Position ]:[Stanowisko / Position ]],0)))</f>
        <v>0</v>
      </c>
      <c r="FG148" s="315" t="str">
        <f>IF(INDEX(tab_MinKomp[Planowanie strategiczne / Strategische Planung],MATCH($B147,tab_MinKomp[[Stanowisko / Position ]:[Stanowisko / Position ]],0))="n/a","n/a",FG147-INDEX(tab_MinKomp[Planowanie strategiczne / Strategische Planung],MATCH($B147,tab_MinKomp[[Stanowisko / Position ]:[Stanowisko / Position ]],0)))</f>
        <v>n/a</v>
      </c>
      <c r="FH148" s="315">
        <f>IF(INDEX(tab_MinKomp[Analityczne myślenie, podejście / Analitysches Denken, Einstellung],MATCH($B147,tab_MinKomp[[Stanowisko / Position ]:[Stanowisko / Position ]],0))="n/a","n/a",FH147-INDEX(tab_MinKomp[Analityczne myślenie, podejście / Analitysches Denken, Einstellung],MATCH($B147,tab_MinKomp[[Stanowisko / Position ]:[Stanowisko / Position ]],0)))</f>
        <v>-1</v>
      </c>
      <c r="FI148" s="315">
        <f>IF(INDEX(tab_MinKomp[Dokładność, precyzja w dzialaniu / Genauigkeit, Präzision in die Arbeit],MATCH($B147,tab_MinKomp[[Stanowisko / Position ]:[Stanowisko / Position ]],0))="n/a","n/a",FI147-INDEX(tab_MinKomp[Dokładność, precyzja w dzialaniu / Genauigkeit, Präzision in die Arbeit],MATCH($B147,tab_MinKomp[[Stanowisko / Position ]:[Stanowisko / Position ]],0)))</f>
        <v>-1</v>
      </c>
      <c r="FJ148" s="315">
        <f>IF(INDEX(tab_MinKomp[Dyspozycyjność / Verfügbarkeit],MATCH($B147,tab_MinKomp[[Stanowisko / Position ]:[Stanowisko / Position ]],0))="n/a","n/a",FJ147-INDEX(tab_MinKomp[Dyspozycyjność / Verfügbarkeit],MATCH($B147,tab_MinKomp[[Stanowisko / Position ]:[Stanowisko / Position ]],0)))</f>
        <v>-1</v>
      </c>
      <c r="FK148" s="315">
        <f>IF(INDEX(tab_MinKomp[Zaangażowanie / 
Engagement],MATCH($B147,tab_MinKomp[[Stanowisko / Position ]:[Stanowisko / Position ]],0))="n/a","n/a",FK147-INDEX(tab_MinKomp[Zaangażowanie / 
Engagement],MATCH($B147,tab_MinKomp[[Stanowisko / Position ]:[Stanowisko / Position ]],0)))</f>
        <v>-1</v>
      </c>
      <c r="FL148" s="315" t="str">
        <f>IF(INDEX(tab_MinKomp[Planowanie strategiczne / Strategische Planung],MATCH($B147,tab_MinKomp[[Stanowisko / Position ]:[Stanowisko / Position ]],0))="n/a","n/a",FL147-INDEX(tab_MinKomp[Planowanie strategiczne / Strategische Planung],MATCH($B147,tab_MinKomp[[Stanowisko / Position ]:[Stanowisko / Position ]],0)))</f>
        <v>n/a</v>
      </c>
      <c r="FM148" s="315">
        <f>IF(INDEX(tab_MinKomp[Konsekwentne i dynamiczne działanie],MATCH($B147,tab_MinKomp[[Stanowisko / Position ]:[Stanowisko / Position ]],0))="n/a","n/a",FM147-INDEX(tab_MinKomp[Konsekwentne i dynamiczne działanie],MATCH($B147,tab_MinKomp[[Stanowisko / Position ]:[Stanowisko / Position ]],0)))</f>
        <v>-1</v>
      </c>
      <c r="FN148" s="315">
        <f>IF(INDEX(tab_MinKomp[Elastyczność w działaniu],MATCH($B147,tab_MinKomp[[Stanowisko / Position ]:[Stanowisko / Position ]],0))="n/a","n/a",FN147-INDEX(tab_MinKomp[Elastyczność w działaniu],MATCH($B147,tab_MinKomp[[Stanowisko / Position ]:[Stanowisko / Position ]],0)))</f>
        <v>-1</v>
      </c>
      <c r="FO148" s="315">
        <f>IF(INDEX(tab_MinKomp[Komunikatywność],MATCH($B147,tab_MinKomp[[Stanowisko / Position ]:[Stanowisko / Position ]],0))="n/a","n/a",FO147-INDEX(tab_MinKomp[Komunikatywność],MATCH($B147,tab_MinKomp[[Stanowisko / Position ]:[Stanowisko / Position ]],0)))</f>
        <v>-1</v>
      </c>
      <c r="FP148" s="315" t="str">
        <f>IF(INDEX(tab_MinKomp[Motywowanie i budowanie zaangażowania zespołu],MATCH($B147,tab_MinKomp[[Stanowisko / Position ]:[Stanowisko / Position ]],0))="n/a","n/a",FP147-INDEX(tab_MinKomp[Motywowanie i budowanie zaangażowania zespołu],MATCH($B147,tab_MinKomp[[Stanowisko / Position ]:[Stanowisko / Position ]],0)))</f>
        <v>n/a</v>
      </c>
      <c r="FQ148" s="318" t="str">
        <f>IFERROR(IF(INDEX(tab_MinKomp[BRAK / Keine],MATCH($B147,tab_MinKomp[[Stanowisko / Position ]:[Stanowisko / Position ]],0))="n/a","n/a",INDEX(tab_MinKomp[BRAK / Keine],MATCH($B147,tab_MinKomp[[Stanowisko / Position ]:[Stanowisko / Position ]],0))-FQ147),"")</f>
        <v>n/a</v>
      </c>
      <c r="FR148" s="315" t="str">
        <f>IF(INDEX(tab_MinKomp[MINIMUM 1 ROK / min. 1 Jahr],MATCH($B147,tab_MinKomp[[Stanowisko / Position ]:[Stanowisko / Position ]],0))="n/a","n/a",INDEX(tab_MinKomp[MINIMUM 1 ROK / min. 1 Jahr],MATCH($B147,tab_MinKomp[[Stanowisko / Position ]:[Stanowisko / Position ]],0)))</f>
        <v>n/a</v>
      </c>
      <c r="FS148" s="315" t="str">
        <f>IF(INDEX(tab_MinKomp[MINIMUM 2 LATA / min. 2 Jahre],MATCH($B147,tab_MinKomp[[Stanowisko / Position ]:[Stanowisko / Position ]],0))="n/a","n/a",INDEX(tab_MinKomp[MINIMUM 2 LATA / min. 2 Jahre],MATCH($B147,tab_MinKomp[[Stanowisko / Position ]:[Stanowisko / Position ]],0)))</f>
        <v>n/a</v>
      </c>
      <c r="FT148" s="315" t="str">
        <f>IF(INDEX(tab_MinKomp[MINIMUM 3 LATA / min. 3 Jahre],MATCH($B147,tab_MinKomp[[Stanowisko / Position ]:[Stanowisko / Position ]],0))="n/a","n/a",INDEX(tab_MinKomp[MINIMUM 3 LATA / min. 3 Jahre],MATCH($B147,tab_MinKomp[[Stanowisko / Position ]:[Stanowisko / Position ]],0)))</f>
        <v>n/a</v>
      </c>
      <c r="FU148" s="315" t="str">
        <f>IF(INDEX(tab_MinKomp[MINIMUM 4 LATA / min. 4 Jahre],MATCH($B147,tab_MinKomp[[Stanowisko / Position ]:[Stanowisko / Position ]],0))="n/a","n/a",INDEX(tab_MinKomp[MINIMUM 4 LATA / min. 4 Jahre],MATCH($B147,tab_MinKomp[[Stanowisko / Position ]:[Stanowisko / Position ]],0)))</f>
        <v>n/a</v>
      </c>
      <c r="FV148" s="319" t="str">
        <f>IF(INDEX(tab_MinKomp[MINIMUM 5 LAT / min. 5 Jahre],MATCH($B147,tab_MinKomp[[Stanowisko / Position ]:[Stanowisko / Position ]],0))="n/a","n/a",INDEX(tab_MinKomp[MINIMUM 5 LAT / min. 5 Jahre],MATCH($B147,tab_MinKomp[[Stanowisko / Position ]:[Stanowisko / Position ]],0)))</f>
        <v>n/a</v>
      </c>
      <c r="FW148" s="318" t="str">
        <f>IF(INDEX(tab_MinKomp[BRAK / Keine9],MATCH($B147,tab_MinKomp[[Stanowisko / Position ]:[Stanowisko / Position ]],0))="n/a","n/a",INDEX(tab_MinKomp[BRAK / Keine9],MATCH($B147,tab_MinKomp[[Stanowisko / Position ]:[Stanowisko / Position ]],0)))</f>
        <v>n/a</v>
      </c>
      <c r="FX148" s="315" t="str">
        <f>IF(INDEX(tab_MinKomp[ZAWODOWE / Berufsausbildung],MATCH($B147,tab_MinKomp[[Stanowisko / Position ]:[Stanowisko / Position ]],0))="n/a","n/a",INDEX(tab_MinKomp[ZAWODOWE / Berufsausbildung],MATCH($B147,tab_MinKomp[[Stanowisko / Position ]:[Stanowisko / Position ]],0)))</f>
        <v>n/a</v>
      </c>
      <c r="FY148" s="315" t="str">
        <f>IF(INDEX(tab_MinKomp[ŚREDNIE OGÓLNE / Abitur allgemeine],MATCH($B147,tab_MinKomp[[Stanowisko / Position ]:[Stanowisko / Position ]],0))="n/a","n/a",INDEX(tab_MinKomp[ŚREDNIE OGÓLNE / Abitur allgemeine],MATCH($B147,tab_MinKomp[[Stanowisko / Position ]:[Stanowisko / Position ]],0)))</f>
        <v>n/a</v>
      </c>
      <c r="FZ148" s="315" t="str">
        <f>IF(INDEX(tab_MinKomp[ŚREDNIE KIERUNKOWE / berufliches Gymnasium],MATCH($B147,tab_MinKomp[[Stanowisko / Position ]:[Stanowisko / Position ]],0))="n/a","n/a",INDEX(tab_MinKomp[ŚREDNIE KIERUNKOWE / berufliches Gymnasium],MATCH($B147,tab_MinKomp[[Stanowisko / Position ]:[Stanowisko / Position ]],0)))</f>
        <v>n/a</v>
      </c>
      <c r="GA148" s="315" t="str">
        <f>IF(INDEX(tab_MinKomp[WYŻSZE OGÓLNE / Hochschule allgemeine],MATCH($B147,tab_MinKomp[[Stanowisko / Position ]:[Stanowisko / Position ]],0))="n/a","n/a",INDEX(tab_MinKomp[WYŻSZE OGÓLNE / Hochschule allgemeine],MATCH($B147,tab_MinKomp[[Stanowisko / Position ]:[Stanowisko / Position ]],0)))</f>
        <v>n/a</v>
      </c>
      <c r="GB148" s="319" t="str">
        <f>IF(INDEX(tab_MinKomp[WYŻSZE KIERUNKOWE / Hochschule berufliche],MATCH($B147,tab_MinKomp[[Stanowisko / Position ]:[Stanowisko / Position ]],0))="n/a","n/a",INDEX(tab_MinKomp[WYŻSZE KIERUNKOWE / Hochschule berufliche],MATCH($B147,tab_MinKomp[[Stanowisko / Position ]:[Stanowisko / Position ]],0)))</f>
        <v>n/a</v>
      </c>
      <c r="GC148" s="318" t="str">
        <f>IF(INDEX(tab_MinKomp[PIERWSZA POMOC / Erste Hilfe],MATCH($B147,tab_MinKomp[[Stanowisko / Position ]:[Stanowisko / Position ]],0))="n/a","n/a",INDEX(tab_MinKomp[PIERWSZA POMOC / Erste Hilfe],MATCH($B147,tab_MinKomp[[Stanowisko / Position ]:[Stanowisko / Position ]],0)))</f>
        <v>n/a</v>
      </c>
      <c r="GD148" s="315" t="str">
        <f>IF(INDEX(tab_MinKomp[Specjalista BHP / BHP Spezialist],MATCH($B147,tab_MinKomp[[Stanowisko / Position ]:[Stanowisko / Position ]],0))="n/a","n/a",INDEX(tab_MinKomp[Specjalista BHP / BHP Spezialist],MATCH($B147,tab_MinKomp[[Stanowisko / Position ]:[Stanowisko / Position ]],0)))</f>
        <v>n/a</v>
      </c>
      <c r="GE148" s="315" t="str">
        <f>IF(INDEX(tab_MinKomp[Inspektor ochrony PPOŻ / Brandschutzinspektor],MATCH($B147,tab_MinKomp[[Stanowisko / Position ]:[Stanowisko / Position ]],0))="n/a","n/a",INDEX(tab_MinKomp[Inspektor ochrony PPOŻ / Brandschutzinspektor],MATCH($B147,tab_MinKomp[[Stanowisko / Position ]:[Stanowisko / Position ]],0)))</f>
        <v>n/a</v>
      </c>
      <c r="GF148" s="315" t="str">
        <f>IF(INDEX(tab_MinKomp[WÓZKI JEZDNIOWE / Gebelstapler],MATCH($B147,tab_MinKomp[[Stanowisko / Position ]:[Stanowisko / Position ]],0))="n/a","n/a",INDEX(tab_MinKomp[WÓZKI JEZDNIOWE / Gebelstapler],MATCH($B147,tab_MinKomp[[Stanowisko / Position ]:[Stanowisko / Position ]],0)))</f>
        <v>x</v>
      </c>
      <c r="GG148" s="315" t="str">
        <f>IF(INDEX(tab_MinKomp[SEP],MATCH($B147,tab_MinKomp[[Stanowisko / Position ]:[Stanowisko / Position ]],0))="n/a","n/a",INDEX(tab_MinKomp[SEP],MATCH($B147,tab_MinKomp[[Stanowisko / Position ]:[Stanowisko / Position ]],0)))</f>
        <v>x</v>
      </c>
      <c r="GH148" s="315" t="str">
        <f>IF(INDEX(tab_MinKomp[SEP  DOZÓR / SEP Aufsicht],MATCH($B147,tab_MinKomp[[Stanowisko / Position ]:[Stanowisko / Position ]],0))="n/a","n/a",INDEX(tab_MinKomp[SEP  DOZÓR / SEP Aufsicht],MATCH($B147,tab_MinKomp[[Stanowisko / Position ]:[Stanowisko / Position ]],0)))</f>
        <v>n/a</v>
      </c>
      <c r="GI148" s="315" t="str">
        <f>IF(INDEX(tab_MinKomp[PODNOŚNIKI / Hebevorrichtung],MATCH($B147,tab_MinKomp[[Stanowisko / Position ]:[Stanowisko / Position ]],0))="n/a","n/a",INDEX(tab_MinKomp[PODNOŚNIKI / Hebevorrichtung],MATCH($B147,tab_MinKomp[[Stanowisko / Position ]:[Stanowisko / Position ]],0)))</f>
        <v>n/a</v>
      </c>
      <c r="GJ148" s="315" t="str">
        <f>IF(INDEX(tab_MinKomp[SUWNICE / Laufkran],MATCH($B147,tab_MinKomp[[Stanowisko / Position ]:[Stanowisko / Position ]],0))="n/a","n/a",INDEX(tab_MinKomp[SUWNICE / Laufkran],MATCH($B147,tab_MinKomp[[Stanowisko / Position ]:[Stanowisko / Position ]],0)))</f>
        <v>x</v>
      </c>
      <c r="GK148" s="319" t="str">
        <f>IF(INDEX(tab_MinKomp[WYSOKOŚCIOWE / Höhenberechtigungen],MATCH($B147,tab_MinKomp[[Stanowisko / Position ]:[Stanowisko / Position ]],0))="n/a","n/a",INDEX(tab_MinKomp[WYSOKOŚCIOWE / Höhenberechtigungen],MATCH($B147,tab_MinKomp[[Stanowisko / Position ]:[Stanowisko / Position ]],0)))</f>
        <v>n/a</v>
      </c>
      <c r="GL148" s="320">
        <f>SUM(G148:FP148)/(GL147-(SUM(G148:FP148)))</f>
        <v>-0.44736842105263158</v>
      </c>
      <c r="GM148" s="132"/>
    </row>
    <row r="149" spans="1:195" s="133" customFormat="1" ht="28.35" customHeight="1" x14ac:dyDescent="0.25">
      <c r="A149" s="135" t="s">
        <v>188</v>
      </c>
      <c r="B149" s="135" t="s">
        <v>207</v>
      </c>
      <c r="C149" s="138" t="s">
        <v>747</v>
      </c>
      <c r="D149" s="135">
        <v>1512</v>
      </c>
      <c r="E149" s="565" t="s">
        <v>626</v>
      </c>
      <c r="F149" s="307" t="s">
        <v>165</v>
      </c>
      <c r="G149" s="308">
        <v>2</v>
      </c>
      <c r="H149" s="308">
        <v>2</v>
      </c>
      <c r="I149" s="308">
        <v>2</v>
      </c>
      <c r="J149" s="308">
        <v>1</v>
      </c>
      <c r="K149" s="308">
        <v>2</v>
      </c>
      <c r="L149" s="308">
        <v>1</v>
      </c>
      <c r="M149" s="308" t="s">
        <v>176</v>
      </c>
      <c r="N149" s="308" t="s">
        <v>176</v>
      </c>
      <c r="O149" s="308">
        <v>1</v>
      </c>
      <c r="P149" s="308">
        <v>1</v>
      </c>
      <c r="Q149" s="308" t="s">
        <v>176</v>
      </c>
      <c r="R149" s="308" t="s">
        <v>176</v>
      </c>
      <c r="S149" s="308" t="s">
        <v>176</v>
      </c>
      <c r="T149" s="308" t="s">
        <v>176</v>
      </c>
      <c r="U149" s="308" t="s">
        <v>176</v>
      </c>
      <c r="V149" s="308" t="s">
        <v>176</v>
      </c>
      <c r="W149" s="308" t="s">
        <v>176</v>
      </c>
      <c r="X149" s="308" t="s">
        <v>176</v>
      </c>
      <c r="Y149" s="308" t="s">
        <v>176</v>
      </c>
      <c r="Z149" s="308" t="s">
        <v>176</v>
      </c>
      <c r="AA149" s="308" t="s">
        <v>176</v>
      </c>
      <c r="AB149" s="308" t="s">
        <v>176</v>
      </c>
      <c r="AC149" s="308" t="s">
        <v>176</v>
      </c>
      <c r="AD149" s="308" t="s">
        <v>176</v>
      </c>
      <c r="AE149" s="308" t="s">
        <v>176</v>
      </c>
      <c r="AF149" s="308" t="s">
        <v>176</v>
      </c>
      <c r="AG149" s="308" t="s">
        <v>176</v>
      </c>
      <c r="AH149" s="308" t="s">
        <v>176</v>
      </c>
      <c r="AI149" s="308" t="s">
        <v>176</v>
      </c>
      <c r="AJ149" s="308" t="s">
        <v>176</v>
      </c>
      <c r="AK149" s="308" t="s">
        <v>176</v>
      </c>
      <c r="AL149" s="308" t="s">
        <v>176</v>
      </c>
      <c r="AM149" s="308" t="s">
        <v>176</v>
      </c>
      <c r="AN149" s="308" t="s">
        <v>176</v>
      </c>
      <c r="AO149" s="308" t="s">
        <v>176</v>
      </c>
      <c r="AP149" s="308" t="s">
        <v>176</v>
      </c>
      <c r="AQ149" s="308" t="s">
        <v>176</v>
      </c>
      <c r="AR149" s="308" t="s">
        <v>176</v>
      </c>
      <c r="AS149" s="308" t="s">
        <v>176</v>
      </c>
      <c r="AT149" s="308" t="s">
        <v>176</v>
      </c>
      <c r="AU149" s="308" t="s">
        <v>176</v>
      </c>
      <c r="AV149" s="308">
        <v>2</v>
      </c>
      <c r="AW149" s="308"/>
      <c r="AX149" s="308"/>
      <c r="AY149" s="308" t="s">
        <v>176</v>
      </c>
      <c r="AZ149" s="308" t="s">
        <v>176</v>
      </c>
      <c r="BA149" s="308" t="s">
        <v>176</v>
      </c>
      <c r="BB149" s="308" t="s">
        <v>176</v>
      </c>
      <c r="BC149" s="308" t="s">
        <v>176</v>
      </c>
      <c r="BD149" s="308" t="s">
        <v>176</v>
      </c>
      <c r="BE149" s="308" t="s">
        <v>176</v>
      </c>
      <c r="BF149" s="308" t="s">
        <v>176</v>
      </c>
      <c r="BG149" s="308" t="s">
        <v>176</v>
      </c>
      <c r="BH149" s="308" t="s">
        <v>176</v>
      </c>
      <c r="BI149" s="308" t="s">
        <v>176</v>
      </c>
      <c r="BJ149" s="308" t="s">
        <v>176</v>
      </c>
      <c r="BK149" s="308" t="s">
        <v>176</v>
      </c>
      <c r="BL149" s="308" t="s">
        <v>176</v>
      </c>
      <c r="BM149" s="308" t="s">
        <v>176</v>
      </c>
      <c r="BN149" s="308">
        <v>1</v>
      </c>
      <c r="BO149" s="308">
        <v>2</v>
      </c>
      <c r="BP149" s="308" t="s">
        <v>176</v>
      </c>
      <c r="BQ149" s="308" t="s">
        <v>176</v>
      </c>
      <c r="BR149" s="308" t="s">
        <v>176</v>
      </c>
      <c r="BS149" s="308" t="s">
        <v>176</v>
      </c>
      <c r="BT149" s="308"/>
      <c r="BU149" s="308">
        <v>2</v>
      </c>
      <c r="BV149" s="308"/>
      <c r="BW149" s="308" t="s">
        <v>176</v>
      </c>
      <c r="BX149" s="308" t="s">
        <v>176</v>
      </c>
      <c r="BY149" s="308" t="s">
        <v>176</v>
      </c>
      <c r="BZ149" s="308" t="s">
        <v>176</v>
      </c>
      <c r="CA149" s="308" t="s">
        <v>176</v>
      </c>
      <c r="CB149" s="308" t="s">
        <v>176</v>
      </c>
      <c r="CC149" s="308" t="s">
        <v>176</v>
      </c>
      <c r="CD149" s="308" t="s">
        <v>176</v>
      </c>
      <c r="CE149" s="308" t="s">
        <v>176</v>
      </c>
      <c r="CF149" s="308" t="s">
        <v>176</v>
      </c>
      <c r="CG149" s="308" t="s">
        <v>176</v>
      </c>
      <c r="CH149" s="308" t="s">
        <v>176</v>
      </c>
      <c r="CI149" s="308" t="s">
        <v>176</v>
      </c>
      <c r="CJ149" s="308" t="s">
        <v>176</v>
      </c>
      <c r="CK149" s="308" t="s">
        <v>176</v>
      </c>
      <c r="CL149" s="308" t="s">
        <v>176</v>
      </c>
      <c r="CM149" s="308" t="s">
        <v>176</v>
      </c>
      <c r="CN149" s="308">
        <v>1</v>
      </c>
      <c r="CO149" s="308"/>
      <c r="CP149" s="308"/>
      <c r="CQ149" s="308" t="s">
        <v>176</v>
      </c>
      <c r="CR149" s="308" t="s">
        <v>176</v>
      </c>
      <c r="CS149" s="308" t="s">
        <v>176</v>
      </c>
      <c r="CT149" s="308" t="s">
        <v>176</v>
      </c>
      <c r="CU149" s="308"/>
      <c r="CV149" s="308" t="s">
        <v>176</v>
      </c>
      <c r="CW149" s="308" t="s">
        <v>176</v>
      </c>
      <c r="CX149" s="308" t="s">
        <v>176</v>
      </c>
      <c r="CY149" s="322" t="s">
        <v>176</v>
      </c>
      <c r="CZ149" s="308" t="s">
        <v>176</v>
      </c>
      <c r="DA149" s="308" t="s">
        <v>176</v>
      </c>
      <c r="DB149" s="308" t="s">
        <v>176</v>
      </c>
      <c r="DC149" s="308" t="s">
        <v>176</v>
      </c>
      <c r="DD149" s="322" t="s">
        <v>176</v>
      </c>
      <c r="DE149" s="308" t="s">
        <v>176</v>
      </c>
      <c r="DF149" s="308" t="s">
        <v>176</v>
      </c>
      <c r="DG149" s="308" t="s">
        <v>176</v>
      </c>
      <c r="DH149" s="308" t="s">
        <v>176</v>
      </c>
      <c r="DI149" s="322" t="s">
        <v>176</v>
      </c>
      <c r="DJ149" s="308" t="s">
        <v>176</v>
      </c>
      <c r="DK149" s="308" t="s">
        <v>176</v>
      </c>
      <c r="DL149" s="308" t="s">
        <v>176</v>
      </c>
      <c r="DM149" s="308" t="s">
        <v>176</v>
      </c>
      <c r="DN149" s="322" t="s">
        <v>176</v>
      </c>
      <c r="DO149" s="308" t="s">
        <v>176</v>
      </c>
      <c r="DP149" s="308" t="s">
        <v>176</v>
      </c>
      <c r="DQ149" s="308" t="s">
        <v>176</v>
      </c>
      <c r="DR149" s="308" t="s">
        <v>176</v>
      </c>
      <c r="DS149" s="308" t="s">
        <v>176</v>
      </c>
      <c r="DT149" s="308" t="s">
        <v>176</v>
      </c>
      <c r="DU149" s="308" t="s">
        <v>176</v>
      </c>
      <c r="DV149" s="308" t="s">
        <v>176</v>
      </c>
      <c r="DW149" s="308" t="s">
        <v>176</v>
      </c>
      <c r="DX149" s="308" t="s">
        <v>176</v>
      </c>
      <c r="DY149" s="308" t="s">
        <v>176</v>
      </c>
      <c r="DZ149" s="308" t="s">
        <v>176</v>
      </c>
      <c r="EA149" s="308" t="s">
        <v>176</v>
      </c>
      <c r="EB149" s="308" t="s">
        <v>176</v>
      </c>
      <c r="EC149" s="308" t="s">
        <v>176</v>
      </c>
      <c r="ED149" s="308" t="s">
        <v>176</v>
      </c>
      <c r="EE149" s="308" t="s">
        <v>176</v>
      </c>
      <c r="EF149" s="308">
        <v>1</v>
      </c>
      <c r="EG149" s="308">
        <v>1</v>
      </c>
      <c r="EH149" s="308">
        <v>2</v>
      </c>
      <c r="EI149" s="308">
        <v>1</v>
      </c>
      <c r="EJ149" s="308">
        <v>1</v>
      </c>
      <c r="EK149" s="308">
        <v>1</v>
      </c>
      <c r="EL149" s="308">
        <v>1</v>
      </c>
      <c r="EM149" s="308">
        <v>2</v>
      </c>
      <c r="EN149" s="308">
        <v>1</v>
      </c>
      <c r="EO149" s="308">
        <v>2</v>
      </c>
      <c r="EP149" s="308">
        <v>2</v>
      </c>
      <c r="EQ149" s="308">
        <v>2</v>
      </c>
      <c r="ER149" s="308">
        <v>2</v>
      </c>
      <c r="ES149" s="308">
        <v>2</v>
      </c>
      <c r="ET149" s="308">
        <v>2</v>
      </c>
      <c r="EU149" s="308">
        <v>2</v>
      </c>
      <c r="EV149" s="308">
        <v>1</v>
      </c>
      <c r="EW149" s="306">
        <v>2</v>
      </c>
      <c r="EX149" s="308">
        <v>2</v>
      </c>
      <c r="EY149" s="308">
        <v>1</v>
      </c>
      <c r="EZ149" s="308">
        <v>1</v>
      </c>
      <c r="FA149" s="308">
        <v>1</v>
      </c>
      <c r="FB149" s="308" t="s">
        <v>176</v>
      </c>
      <c r="FC149" s="308" t="s">
        <v>176</v>
      </c>
      <c r="FD149" s="308">
        <v>1</v>
      </c>
      <c r="FE149" s="308">
        <v>1</v>
      </c>
      <c r="FF149" s="308">
        <v>1</v>
      </c>
      <c r="FG149" s="308">
        <v>1</v>
      </c>
      <c r="FH149" s="308">
        <v>1</v>
      </c>
      <c r="FI149" s="308">
        <v>2</v>
      </c>
      <c r="FJ149" s="308">
        <v>2</v>
      </c>
      <c r="FK149" s="308">
        <v>2</v>
      </c>
      <c r="FL149" s="308" t="s">
        <v>176</v>
      </c>
      <c r="FM149" s="308">
        <v>2</v>
      </c>
      <c r="FN149" s="308">
        <v>2</v>
      </c>
      <c r="FO149" s="308">
        <v>2</v>
      </c>
      <c r="FP149" s="308" t="s">
        <v>176</v>
      </c>
      <c r="FQ149" s="308" t="s">
        <v>176</v>
      </c>
      <c r="FR149" s="308" t="s">
        <v>176</v>
      </c>
      <c r="FS149" s="308" t="s">
        <v>176</v>
      </c>
      <c r="FT149" s="308" t="s">
        <v>176</v>
      </c>
      <c r="FU149" s="308" t="s">
        <v>176</v>
      </c>
      <c r="FV149" s="308" t="s">
        <v>176</v>
      </c>
      <c r="FW149" s="308" t="s">
        <v>176</v>
      </c>
      <c r="FX149" s="308" t="s">
        <v>176</v>
      </c>
      <c r="FY149" s="308" t="s">
        <v>176</v>
      </c>
      <c r="FZ149" s="308" t="s">
        <v>176</v>
      </c>
      <c r="GA149" s="308" t="s">
        <v>176</v>
      </c>
      <c r="GB149" s="308" t="s">
        <v>176</v>
      </c>
      <c r="GC149" s="308" t="s">
        <v>176</v>
      </c>
      <c r="GD149" s="308" t="s">
        <v>176</v>
      </c>
      <c r="GE149" s="308" t="s">
        <v>176</v>
      </c>
      <c r="GF149" s="308"/>
      <c r="GG149" s="308" t="s">
        <v>387</v>
      </c>
      <c r="GH149" s="308" t="s">
        <v>176</v>
      </c>
      <c r="GI149" s="308" t="s">
        <v>176</v>
      </c>
      <c r="GJ149" s="308" t="s">
        <v>387</v>
      </c>
      <c r="GK149" s="308" t="s">
        <v>176</v>
      </c>
      <c r="GL149" s="329">
        <f>SUM(G149:FP149)</f>
        <v>70</v>
      </c>
      <c r="GM149" s="132"/>
    </row>
    <row r="150" spans="1:195" s="133" customFormat="1" ht="28.35" customHeight="1" thickBot="1" x14ac:dyDescent="0.3">
      <c r="A150" s="138" t="str">
        <f>A149</f>
        <v>Serwis form-Tooling</v>
      </c>
      <c r="B150" s="138" t="str">
        <f>B149</f>
        <v>Konserwator form</v>
      </c>
      <c r="C150" s="138" t="str">
        <f t="shared" si="4"/>
        <v>KC</v>
      </c>
      <c r="D150" s="138">
        <f>D149</f>
        <v>1512</v>
      </c>
      <c r="E150" s="567" t="str">
        <f>E149</f>
        <v>Lahodzia Ruslan</v>
      </c>
      <c r="F150" s="331" t="s">
        <v>166</v>
      </c>
      <c r="G150" s="330">
        <f>IF(INDEX(tab_MinKomp[Przepisy BHP / BHP Vorschriften],MATCH($B149,tab_MinKomp[[Stanowisko / Position ]:[Stanowisko / Position ]],0))="n/a","n/a",G149-INDEX(tab_MinKomp[Przepisy BHP / BHP Vorschriften],MATCH($B149,tab_MinKomp[[Stanowisko / Position ]:[Stanowisko / Position ]],0)))</f>
        <v>0</v>
      </c>
      <c r="H150" s="330">
        <f>IF(INDEX(tab_MinKomp[Przepisy PPOŻ / Brandschutzbestimmungen],MATCH($B149,tab_MinKomp[[Stanowisko / Position ]:[Stanowisko / Position ]],0))="n/a","n/a",H149-INDEX(tab_MinKomp[Przepisy PPOŻ / Brandschutzbestimmungen],MATCH($B149,tab_MinKomp[[Stanowisko / Position ]:[Stanowisko / Position ]],0)))</f>
        <v>0</v>
      </c>
      <c r="I150" s="330">
        <f>IF(INDEX(tab_MinKomp[Ryzyko zawodowe na stanowiskach pracyv/ Berufliche Risiken an Arbeitsstellen],MATCH($B149,tab_MinKomp[[Stanowisko / Position ]:[Stanowisko / Position ]],0))="n/a","n/a",I149-INDEX(tab_MinKomp[Ryzyko zawodowe na stanowiskach pracyv/ Berufliche Risiken an Arbeitsstellen],MATCH($B149,tab_MinKomp[[Stanowisko / Position ]:[Stanowisko / Position ]],0)))</f>
        <v>0</v>
      </c>
      <c r="J150" s="314">
        <f>IF(INDEX(tab_MinKomp[Gospodarka substancjami niebezpiecznymi / Gefahrstoffmanagement],MATCH($B149,tab_MinKomp[[Stanowisko / Position ]:[Stanowisko / Position ]],0))="n/a","n/a",J149-INDEX(tab_MinKomp[Gospodarka substancjami niebezpiecznymi / Gefahrstoffmanagement],MATCH($B149,tab_MinKomp[[Stanowisko / Position ]:[Stanowisko / Position ]],0)))</f>
        <v>-1</v>
      </c>
      <c r="K150" s="314">
        <f>IF(INDEX(tab_MinKomp[Gospodarka odpadami / Abfallwirtschaft],MATCH($B149,tab_MinKomp[[Stanowisko / Position ]:[Stanowisko / Position ]],0))="n/a","n/a",K149-INDEX(tab_MinKomp[Gospodarka odpadami / Abfallwirtschaft],MATCH($B149,tab_MinKomp[[Stanowisko / Position ]:[Stanowisko / Position ]],0)))</f>
        <v>0</v>
      </c>
      <c r="L150" s="315">
        <f>IF(INDEX(tab_MinKomp[Przepisy kodeksu pracy / Bestimmungen des Arbeitsgesetzes],MATCH($B149,tab_MinKomp[[Stanowisko / Position ]:[Stanowisko / Position ]],0))="n/a","n/a",L149-INDEX(tab_MinKomp[Przepisy kodeksu pracy / Bestimmungen des Arbeitsgesetzes],MATCH($B149,tab_MinKomp[[Stanowisko / Position ]:[Stanowisko / Position ]],0)))</f>
        <v>0</v>
      </c>
      <c r="M150" s="316" t="str">
        <f>IF(INDEX(tab_MinKomp[Przepisy o ub.społ. ZUS  / Sozialversicherungsvorschriften],MATCH($B149,tab_MinKomp[[Stanowisko / Position ]:[Stanowisko / Position ]],0))="n/a","n/a",M149-INDEX(tab_MinKomp[Przepisy o ub.społ. ZUS  / Sozialversicherungsvorschriften],MATCH($B149,tab_MinKomp[[Stanowisko / Position ]:[Stanowisko / Position ]],0)))</f>
        <v>n/a</v>
      </c>
      <c r="N150" s="315" t="str">
        <f>IF(INDEX(tab_MinKomp[PRZEPISY O PDOF /persönlich Einkommensteuergesetz ],MATCH($B149,tab_MinKomp[[Stanowisko / Position ]:[Stanowisko / Position ]],0))="n/a","n/a",N149-INDEX(tab_MinKomp[PRZEPISY O PDOF /persönlich Einkommensteuergesetz ],MATCH($B149,tab_MinKomp[[Stanowisko / Position ]:[Stanowisko / Position ]],0)))</f>
        <v>n/a</v>
      </c>
      <c r="O150" s="315">
        <f>IF(INDEX(tab_MinKomp[Regulamin pracy / Arbeitsordnung],MATCH($B149,tab_MinKomp[[Stanowisko / Position ]:[Stanowisko / Position ]],0))="n/a","n/a",O149-INDEX(tab_MinKomp[Regulamin pracy / Arbeitsordnung],MATCH($B149,tab_MinKomp[[Stanowisko / Position ]:[Stanowisko / Position ]],0)))</f>
        <v>0</v>
      </c>
      <c r="P150" s="315">
        <f>IF(INDEX(tab_MinKomp[Regulamin wynagradzania / Vergütungsordnung],MATCH($B149,tab_MinKomp[[Stanowisko / Position ]:[Stanowisko / Position ]],0))="n/a","n/a",P149-INDEX(tab_MinKomp[Regulamin wynagradzania / Vergütungsordnung],MATCH($B149,tab_MinKomp[[Stanowisko / Position ]:[Stanowisko / Position ]],0)))</f>
        <v>0</v>
      </c>
      <c r="Q150" s="315" t="str">
        <f>IF(INDEX(tab_MinKomp[System R2PŁATNIK PRO: Płace / Lohnabrechnung],MATCH($B149,tab_MinKomp[[Stanowisko / Position ]:[Stanowisko / Position ]],0))="n/a","n/a",Q149-INDEX(tab_MinKomp[System R2PŁATNIK PRO: Płace / Lohnabrechnung],MATCH($B149,tab_MinKomp[[Stanowisko / Position ]:[Stanowisko / Position ]],0)))</f>
        <v>n/a</v>
      </c>
      <c r="R150" s="315" t="str">
        <f>IF(INDEX(tab_MinKomp[SystemR2PŁATNIK PRO: KADRY / Personaldaten],MATCH($B149,tab_MinKomp[[Stanowisko / Position ]:[Stanowisko / Position ]],0))="n/a","n/a",R149-INDEX(tab_MinKomp[SystemR2PŁATNIK PRO: KADRY / Personaldaten],MATCH($B149,tab_MinKomp[[Stanowisko / Position ]:[Stanowisko / Position ]],0)))</f>
        <v>n/a</v>
      </c>
      <c r="S150" s="315" t="str">
        <f>IF(INDEX(tab_MinKomp[SYSTEM R2PŁATNIK PRO: zarządzanie pracownikami / Arbeitsverwaltung],MATCH($B149,tab_MinKomp[[Stanowisko / Position ]:[Stanowisko / Position ]],0))="n/a","n/a",S149-INDEX(tab_MinKomp[SYSTEM R2PŁATNIK PRO: zarządzanie pracownikami / Arbeitsverwaltung],MATCH($B149,tab_MinKomp[[Stanowisko / Position ]:[Stanowisko / Position ]],0)))</f>
        <v>n/a</v>
      </c>
      <c r="T150" s="315" t="str">
        <f>IF(INDEX(tab_MinKomp[Doradztwo, wsparcie personalne / Personalberatung und Unterstützung],MATCH($B149,tab_MinKomp[[Stanowisko / Position ]:[Stanowisko / Position ]],0))="n/a","n/a",T149-INDEX(tab_MinKomp[Doradztwo, wsparcie personalne / Personalberatung und Unterstützung],MATCH($B149,tab_MinKomp[[Stanowisko / Position ]:[Stanowisko / Position ]],0)))</f>
        <v>n/a</v>
      </c>
      <c r="U150" s="315" t="str">
        <f>IF(INDEX(tab_MinKomp[Przepisy o podatku VAT / MwSt.- Gesetz],MATCH($B149,tab_MinKomp[[Stanowisko / Position ]:[Stanowisko / Position ]],0))="n/a","n/a",U149-INDEX(tab_MinKomp[Przepisy o podatku VAT / MwSt.- Gesetz],MATCH($B149,tab_MinKomp[[Stanowisko / Position ]:[Stanowisko / Position ]],0)))</f>
        <v>n/a</v>
      </c>
      <c r="V150" s="315" t="str">
        <f>IF(INDEX(tab_MinKomp[PrzepisyPDOP / geschäftlich Einkommensteuergesetz],MATCH($B149,tab_MinKomp[[Stanowisko / Position ]:[Stanowisko / Position ]],0))="n/a","n/a",V149-INDEX(tab_MinKomp[PrzepisyPDOP / geschäftlich Einkommensteuergesetz],MATCH($B149,tab_MinKomp[[Stanowisko / Position ]:[Stanowisko / Position ]],0)))</f>
        <v>n/a</v>
      </c>
      <c r="W150" s="315" t="str">
        <f>IF(INDEX(tab_MinKomp[System BAAN / FINANSE (FIBU)],MATCH($B149,tab_MinKomp[[Stanowisko / Position ]:[Stanowisko / Position ]],0))="n/a","n/a",W149-INDEX(tab_MinKomp[System BAAN / FINANSE (FIBU)],MATCH($B149,tab_MinKomp[[Stanowisko / Position ]:[Stanowisko / Position ]],0)))</f>
        <v>n/a</v>
      </c>
      <c r="X150" s="315" t="str">
        <f>IF(INDEX(tab_MinKomp[Systemy pomocnicze / Hilfssysteme(STOCKPROGRAM, KALK2000 etc.)],MATCH($B149,tab_MinKomp[[Stanowisko / Position ]:[Stanowisko / Position ]],0))="n/a","n/a",X149-INDEX(tab_MinKomp[Systemy pomocnicze / Hilfssysteme(STOCKPROGRAM, KALK2000 etc.)],MATCH($B149,tab_MinKomp[[Stanowisko / Position ]:[Stanowisko / Position ]],0)))</f>
        <v>n/a</v>
      </c>
      <c r="Y150" s="315" t="str">
        <f>IF(INDEX(tab_MinKomp[Polityka rachunkowości / Buchführungspolitik],MATCH($B149,tab_MinKomp[[Stanowisko / Position ]:[Stanowisko / Position ]],0))="n/a","n/a",Y149-INDEX(tab_MinKomp[Polityka rachunkowości / Buchführungspolitik],MATCH($B149,tab_MinKomp[[Stanowisko / Position ]:[Stanowisko / Position ]],0)))</f>
        <v>n/a</v>
      </c>
      <c r="Z150" s="315" t="str">
        <f>IF(INDEX(tab_MinKomp[Ustawa o rachunkowości / Rechnungslegungsgesetz],MATCH($B149,tab_MinKomp[[Stanowisko / Position ]:[Stanowisko / Position ]],0))="n/a","n/a",Z149-INDEX(tab_MinKomp[Ustawa o rachunkowości / Rechnungslegungsgesetz],MATCH($B149,tab_MinKomp[[Stanowisko / Position ]:[Stanowisko / Position ]],0)))</f>
        <v>n/a</v>
      </c>
      <c r="AA150" s="315" t="str">
        <f>IF(INDEX(tab_MinKomp[WORKFLOW - TS-100],MATCH($B149,tab_MinKomp[[Stanowisko / Position ]:[Stanowisko / Position ]],0))="n/a","n/a",AA149-INDEX(tab_MinKomp[WORKFLOW - TS-100],MATCH($B149,tab_MinKomp[[Stanowisko / Position ]:[Stanowisko / Position ]],0)))</f>
        <v>n/a</v>
      </c>
      <c r="AB150" s="315" t="str">
        <f>IF(INDEX(tab_MinKomp[WORKFLOW - SFMS],MATCH($B149,tab_MinKomp[[Stanowisko / Position ]:[Stanowisko / Position ]],0))="n/a","n/a",AB149-INDEX(tab_MinKomp[WORKFLOW - SFMS],MATCH($B149,tab_MinKomp[[Stanowisko / Position ]:[Stanowisko / Position ]],0)))</f>
        <v>n/a</v>
      </c>
      <c r="AC150" s="315" t="str">
        <f>IF(INDEX(tab_MinKomp[System ISO 9001:2015],MATCH($B149,tab_MinKomp[[Stanowisko / Position ]:[Stanowisko / Position ]],0))="n/a","n/a",AC149-INDEX(tab_MinKomp[System ISO 9001:2015],MATCH($B149,tab_MinKomp[[Stanowisko / Position ]:[Stanowisko / Position ]],0)))</f>
        <v>n/a</v>
      </c>
      <c r="AD150" s="315" t="str">
        <f>IF(INDEX(tab_MinKomp[System IATF 16949:2016],MATCH($B149,tab_MinKomp[[Stanowisko / Position ]:[Stanowisko / Position ]],0))="n/a","n/a",AD149-INDEX(tab_MinKomp[System IATF 16949:2016],MATCH($B149,tab_MinKomp[[Stanowisko / Position ]:[Stanowisko / Position ]],0)))</f>
        <v>n/a</v>
      </c>
      <c r="AE150" s="315" t="str">
        <f>IF(INDEX(tab_MinKomp[System ISO 14001:2015],MATCH($B149,tab_MinKomp[[Stanowisko / Position ]:[Stanowisko / Position ]],0))="n/a","n/a",AE149-INDEX(tab_MinKomp[System ISO 14001:2015],MATCH($B149,tab_MinKomp[[Stanowisko / Position ]:[Stanowisko / Position ]],0)))</f>
        <v>n/a</v>
      </c>
      <c r="AF150" s="315" t="str">
        <f>IF(INDEX(tab_MinKomp[System PN-N 18001:2004 / ISO 45001:2018],MATCH($B149,tab_MinKomp[[Stanowisko / Position ]:[Stanowisko / Position ]],0))="n/a","n/a",AF149-INDEX(tab_MinKomp[System PN-N 18001:2004 / ISO 45001:2018],MATCH($B149,tab_MinKomp[[Stanowisko / Position ]:[Stanowisko / Position ]],0)))</f>
        <v>n/a</v>
      </c>
      <c r="AG150" s="315" t="str">
        <f>IF(INDEX(tab_MinKomp[Wymagania VDA 6.3 Process / Forderungen],MATCH($B149,tab_MinKomp[[Stanowisko / Position ]:[Stanowisko / Position ]],0))="n/a","n/a",AG149-INDEX(tab_MinKomp[Wymagania VDA 6.3 Process / Forderungen],MATCH($B149,tab_MinKomp[[Stanowisko / Position ]:[Stanowisko / Position ]],0)))</f>
        <v>n/a</v>
      </c>
      <c r="AH150" s="315" t="str">
        <f>IF(INDEX(tab_MinKomp[Wymagania VDA 6.5 Product / Forderungen],MATCH($B149,tab_MinKomp[[Stanowisko / Position ]:[Stanowisko / Position ]],0))="n/a","n/a",AH149-INDEX(tab_MinKomp[Wymagania VDA 6.5 Product / Forderungen],MATCH($B149,tab_MinKomp[[Stanowisko / Position ]:[Stanowisko / Position ]],0)))</f>
        <v>n/a</v>
      </c>
      <c r="AI150" s="315" t="str">
        <f>IF(INDEX(tab_MinKomp[PSCR (VW Product Safety &amp; Conformity Representative)],MATCH($B149,tab_MinKomp[[Stanowisko / Position ]:[Stanowisko / Position ]],0))="n/a","n/a",AI149-INDEX(tab_MinKomp[PSCR (VW Product Safety &amp; Conformity Representative)],MATCH($B149,tab_MinKomp[[Stanowisko / Position ]:[Stanowisko / Position ]],0)))</f>
        <v>n/a</v>
      </c>
      <c r="AJ150" s="315" t="str">
        <f>IF(INDEX(tab_MinKomp[Auditor systemu ISO 17025:2018],MATCH($B149,tab_MinKomp[[Stanowisko / Position ]:[Stanowisko / Position ]],0))="n/a","n/a",AJ149-INDEX(tab_MinKomp[Auditor systemu ISO 17025:2018],MATCH($B149,tab_MinKomp[[Stanowisko / Position ]:[Stanowisko / Position ]],0)))</f>
        <v>n/a</v>
      </c>
      <c r="AK150" s="315" t="str">
        <f>IF(INDEX(tab_MinKomp[Pełnomocnik systemu / Systemvertreter],MATCH($B149,tab_MinKomp[[Stanowisko / Position ]:[Stanowisko / Position ]],0))="n/a","n/a",AK149-INDEX(tab_MinKomp[Pełnomocnik systemu / Systemvertreter],MATCH($B149,tab_MinKomp[[Stanowisko / Position ]:[Stanowisko / Position ]],0)))</f>
        <v>n/a</v>
      </c>
      <c r="AL150" s="315" t="str">
        <f>IF(INDEX(tab_MinKomp[Polityka Etyczna - Compliance],MATCH($B149,tab_MinKomp[[Stanowisko / Position ]:[Stanowisko / Position ]],0))="n/a","n/a",AL149-INDEX(tab_MinKomp[Polityka Etyczna - Compliance],MATCH($B149,tab_MinKomp[[Stanowisko / Position ]:[Stanowisko / Position ]],0)))</f>
        <v>n/a</v>
      </c>
      <c r="AM150" s="315" t="str">
        <f>IF(INDEX(tab_MinKomp[WDRAŻANIE NOWYCH PROJEKTÓW/ PROCEDURA CTM],MATCH($B149,tab_MinKomp[[Stanowisko / Position ]:[Stanowisko / Position ]],0))="n/a","n/a",AM149-INDEX(tab_MinKomp[WDRAŻANIE NOWYCH PROJEKTÓW/ PROCEDURA CTM],MATCH($B149,tab_MinKomp[[Stanowisko / Position ]:[Stanowisko / Position ]],0)))</f>
        <v>n/a</v>
      </c>
      <c r="AN150" s="315" t="str">
        <f>IF(INDEX(tab_MinKomp[KAMIENIE MILOWE MSL/PIFF],MATCH($B149,tab_MinKomp[[Stanowisko / Position ]:[Stanowisko / Position ]],0))="n/a","n/a",AN149-INDEX(tab_MinKomp[KAMIENIE MILOWE MSL/PIFF],MATCH($B149,tab_MinKomp[[Stanowisko / Position ]:[Stanowisko / Position ]],0)))</f>
        <v>n/a</v>
      </c>
      <c r="AO150" s="315" t="str">
        <f>IF(INDEX(tab_MinKomp[CP],MATCH($B149,tab_MinKomp[[Stanowisko / Position ]:[Stanowisko / Position ]],0))="n/a","n/a",AO149-INDEX(tab_MinKomp[CP],MATCH($B149,tab_MinKomp[[Stanowisko / Position ]:[Stanowisko / Position ]],0)))</f>
        <v>n/a</v>
      </c>
      <c r="AP150" s="315" t="str">
        <f>IF(INDEX(tab_MinKomp[FMEA],MATCH($B149,tab_MinKomp[[Stanowisko / Position ]:[Stanowisko / Position ]],0))="n/a","n/a",AP149-INDEX(tab_MinKomp[FMEA],MATCH($B149,tab_MinKomp[[Stanowisko / Position ]:[Stanowisko / Position ]],0)))</f>
        <v>n/a</v>
      </c>
      <c r="AQ150" s="315" t="str">
        <f>IF(INDEX(tab_MinKomp[FLOW CHART],MATCH($B149,tab_MinKomp[[Stanowisko / Position ]:[Stanowisko / Position ]],0))="n/a","n/a",AQ149-INDEX(tab_MinKomp[FLOW CHART],MATCH($B149,tab_MinKomp[[Stanowisko / Position ]:[Stanowisko / Position ]],0)))</f>
        <v>n/a</v>
      </c>
      <c r="AR150" s="315" t="str">
        <f>IF(INDEX(tab_MinKomp[APQP],MATCH($B149,tab_MinKomp[[Stanowisko / Position ]:[Stanowisko / Position ]],0))="n/a","n/a",AR149-INDEX(tab_MinKomp[APQP],MATCH($B149,tab_MinKomp[[Stanowisko / Position ]:[Stanowisko / Position ]],0)))</f>
        <v>n/a</v>
      </c>
      <c r="AS150" s="315" t="str">
        <f>IF(INDEX(tab_MinKomp[MSA],MATCH($B149,tab_MinKomp[[Stanowisko / Position ]:[Stanowisko / Position ]],0))="n/a","n/a",AS149-INDEX(tab_MinKomp[MSA],MATCH($B149,tab_MinKomp[[Stanowisko / Position ]:[Stanowisko / Position ]],0)))</f>
        <v>n/a</v>
      </c>
      <c r="AT150" s="315" t="str">
        <f>IF(INDEX(tab_MinKomp[SPC],MATCH($B149,tab_MinKomp[[Stanowisko / Position ]:[Stanowisko / Position ]],0))="n/a","n/a",AT149-INDEX(tab_MinKomp[SPC],MATCH($B149,tab_MinKomp[[Stanowisko / Position ]:[Stanowisko / Position ]],0)))</f>
        <v>n/a</v>
      </c>
      <c r="AU150" s="315" t="str">
        <f>IF(INDEX(tab_MinKomp[CSR (SPECYFICZNE WYMAGANIA KLIENTA)],MATCH($B149,tab_MinKomp[[Stanowisko / Position ]:[Stanowisko / Position ]],0))="n/a","n/a",AU149-INDEX(tab_MinKomp[CSR (SPECYFICZNE WYMAGANIA KLIENTA)],MATCH($B149,tab_MinKomp[[Stanowisko / Position ]:[Stanowisko / Position ]],0)))</f>
        <v>n/a</v>
      </c>
      <c r="AV150" s="315">
        <f>IF(INDEX(tab_MinKomp[5S],MATCH($B149,tab_MinKomp[[Stanowisko / Position ]:[Stanowisko / Position ]],0))="n/a","n/a",AV149-INDEX(tab_MinKomp[5S],MATCH($B149,tab_MinKomp[[Stanowisko / Position ]:[Stanowisko / Position ]],0)))</f>
        <v>0</v>
      </c>
      <c r="AW150" s="315">
        <f>IF(INDEX(tab_MinKomp[LEAN MANAGEMENT],MATCH($B149,tab_MinKomp[[Stanowisko / Position ]:[Stanowisko / Position ]],0))="n/a","n/a",AW149-INDEX(tab_MinKomp[LEAN MANAGEMENT],MATCH($B149,tab_MinKomp[[Stanowisko / Position ]:[Stanowisko / Position ]],0)))</f>
        <v>-1</v>
      </c>
      <c r="AX150" s="315">
        <f>IF(INDEX(tab_MinKomp[5R],MATCH($B149,tab_MinKomp[[Stanowisko / Position ]:[Stanowisko / Position ]],0))="n/a","n/a",AX149-INDEX(tab_MinKomp[5R],MATCH($B149,tab_MinKomp[[Stanowisko / Position ]:[Stanowisko / Position ]],0)))</f>
        <v>-1</v>
      </c>
      <c r="AY150" s="315" t="str">
        <f>IF(INDEX(tab_MinKomp[Six Sigma],MATCH($B149,tab_MinKomp[[Stanowisko / Position ]:[Stanowisko / Position ]],0))="n/a","n/a",AY149-INDEX(tab_MinKomp[Six Sigma],MATCH($B149,tab_MinKomp[[Stanowisko / Position ]:[Stanowisko / Position ]],0)))</f>
        <v>n/a</v>
      </c>
      <c r="AZ150" s="315" t="str">
        <f>IF(INDEX(tab_MinKomp[System BAAN / Distribution &amp; Supply Chain],MATCH($B149,tab_MinKomp[[Stanowisko / Position ]:[Stanowisko / Position ]],0))="n/a","n/a",AZ149-INDEX(tab_MinKomp[System BAAN / Distribution &amp; Supply Chain],MATCH($B149,tab_MinKomp[[Stanowisko / Position ]:[Stanowisko / Position ]],0)))</f>
        <v>n/a</v>
      </c>
      <c r="BA150" s="315" t="str">
        <f>IF(INDEX(tab_MinKomp[Gospodarka magazynowa / Lagerverwaltung],MATCH($B149,tab_MinKomp[[Stanowisko / Position ]:[Stanowisko / Position ]],0))="n/a","n/a",BA149-INDEX(tab_MinKomp[Gospodarka magazynowa / Lagerverwaltung],MATCH($B149,tab_MinKomp[[Stanowisko / Position ]:[Stanowisko / Position ]],0)))</f>
        <v>n/a</v>
      </c>
      <c r="BB150" s="315" t="str">
        <f>IF(INDEX(tab_MinKomp[Inwentaryzacja - organizacja i przebieg / Inventurprozess],MATCH($B149,tab_MinKomp[[Stanowisko / Position ]:[Stanowisko / Position ]],0))="n/a","n/a",BB149-INDEX(tab_MinKomp[Inwentaryzacja - organizacja i przebieg / Inventurprozess],MATCH($B149,tab_MinKomp[[Stanowisko / Position ]:[Stanowisko / Position ]],0)))</f>
        <v>n/a</v>
      </c>
      <c r="BC150" s="315" t="str">
        <f>IF(INDEX(tab_MinKomp[Organizacja dostaw / Versorgungsorganisation],MATCH($B149,tab_MinKomp[[Stanowisko / Position ]:[Stanowisko / Position ]],0))="n/a","n/a",BC149-INDEX(tab_MinKomp[Organizacja dostaw / Versorgungsorganisation],MATCH($B149,tab_MinKomp[[Stanowisko / Position ]:[Stanowisko / Position ]],0)))</f>
        <v>n/a</v>
      </c>
      <c r="BD150" s="315" t="str">
        <f>IF(INDEX(tab_MinKomp[Organizacja wysyłek / Organisation von Lieferungen],MATCH($B149,tab_MinKomp[[Stanowisko / Position ]:[Stanowisko / Position ]],0))="n/a","n/a",BD149-INDEX(tab_MinKomp[Organizacja wysyłek / Organisation von Lieferungen],MATCH($B149,tab_MinKomp[[Stanowisko / Position ]:[Stanowisko / Position ]],0)))</f>
        <v>n/a</v>
      </c>
      <c r="BE150" s="315" t="str">
        <f>IF(INDEX(tab_MinKomp[Analiza magazynowa - Program Polen.mdb / Inventuranalyse],MATCH($B149,tab_MinKomp[[Stanowisko / Position ]:[Stanowisko / Position ]],0))="n/a","n/a",BE149-INDEX(tab_MinKomp[Analiza magazynowa - Program Polen.mdb / Inventuranalyse],MATCH($B149,tab_MinKomp[[Stanowisko / Position ]:[Stanowisko / Position ]],0)))</f>
        <v>n/a</v>
      </c>
      <c r="BF150" s="315" t="str">
        <f>IF(INDEX(tab_MinKomp[MMOG (Materials Management Operations Guidelines)],MATCH($B149,tab_MinKomp[[Stanowisko / Position ]:[Stanowisko / Position ]],0))="n/a","n/a",BF149-INDEX(tab_MinKomp[MMOG (Materials Management Operations Guidelines)],MATCH($B149,tab_MinKomp[[Stanowisko / Position ]:[Stanowisko / Position ]],0)))</f>
        <v>n/a</v>
      </c>
      <c r="BG150" s="315" t="str">
        <f>IF(INDEX(tab_MinKomp[DETC],MATCH($B149,tab_MinKomp[[Stanowisko / Position ]:[Stanowisko / Position ]],0))="n/a","n/a",BG149-INDEX(tab_MinKomp[DETC],MATCH($B149,tab_MinKomp[[Stanowisko / Position ]:[Stanowisko / Position ]],0)))</f>
        <v>n/a</v>
      </c>
      <c r="BH150" s="315" t="str">
        <f>IF(INDEX(tab_MinKomp[GPP],MATCH($B149,tab_MinKomp[[Stanowisko / Position ]:[Stanowisko / Position ]],0))="n/a","n/a",BH149-INDEX(tab_MinKomp[GPP],MATCH($B149,tab_MinKomp[[Stanowisko / Position ]:[Stanowisko / Position ]],0)))</f>
        <v>n/a</v>
      </c>
      <c r="BI150" s="315" t="str">
        <f>IF(INDEX(tab_MinKomp[AIAG (Automotive Industry Action Group)],MATCH($B149,tab_MinKomp[[Stanowisko / Position ]:[Stanowisko / Position ]],0))="n/a","n/a",BI149-INDEX(tab_MinKomp[AIAG (Automotive Industry Action Group)],MATCH($B149,tab_MinKomp[[Stanowisko / Position ]:[Stanowisko / Position ]],0)))</f>
        <v>n/a</v>
      </c>
      <c r="BJ150" s="315" t="str">
        <f>IF(INDEX(tab_MinKomp[Super-G disputes],MATCH($B149,tab_MinKomp[[Stanowisko / Position ]:[Stanowisko / Position ]],0))="n/a","n/a",BJ149-INDEX(tab_MinKomp[Super-G disputes],MATCH($B149,tab_MinKomp[[Stanowisko / Position ]:[Stanowisko / Position ]],0)))</f>
        <v>n/a</v>
      </c>
      <c r="BK150" s="315" t="str">
        <f>IF(INDEX(tab_MinKomp[CMMS3/eDDL (Direct Data Link)],MATCH($B149,tab_MinKomp[[Stanowisko / Position ]:[Stanowisko / Position ]],0))="n/a","n/a",BK149-INDEX(tab_MinKomp[CMMS3/eDDL (Direct Data Link)],MATCH($B149,tab_MinKomp[[Stanowisko / Position ]:[Stanowisko / Position ]],0)))</f>
        <v>n/a</v>
      </c>
      <c r="BL150" s="315" t="str">
        <f>IF(INDEX(tab_MinKomp[MP&amp;L (Material Planning and Logistics)],MATCH($B149,tab_MinKomp[[Stanowisko / Position ]:[Stanowisko / Position ]],0))="n/a","n/a",BL149-INDEX(tab_MinKomp[MP&amp;L (Material Planning and Logistics)],MATCH($B149,tab_MinKomp[[Stanowisko / Position ]:[Stanowisko / Position ]],0)))</f>
        <v>n/a</v>
      </c>
      <c r="BM150" s="315" t="str">
        <f>IF(INDEX(tab_MinKomp[Planowanie produkcji / Produktionsplanung],MATCH($B149,tab_MinKomp[[Stanowisko / Position ]:[Stanowisko / Position ]],0))="n/a","n/a",BM149-INDEX(tab_MinKomp[Planowanie produkcji / Produktionsplanung],MATCH($B149,tab_MinKomp[[Stanowisko / Position ]:[Stanowisko / Position ]],0)))</f>
        <v>n/a</v>
      </c>
      <c r="BN150" s="315">
        <f>IF(INDEX(tab_MinKomp[Obsługa maszyn Engel / Engel Maschinenbedienung],MATCH($B149,tab_MinKomp[[Stanowisko / Position ]:[Stanowisko / Position ]],0))="n/a","n/a",BN149-INDEX(tab_MinKomp[Obsługa maszyn Engel / Engel Maschinenbedienung],MATCH($B149,tab_MinKomp[[Stanowisko / Position ]:[Stanowisko / Position ]],0)))</f>
        <v>-1</v>
      </c>
      <c r="BO150" s="315">
        <f>IF(INDEX(tab_MinKomp[Obsługa maszyn Novapax / Novapax Maschinenbedienung],MATCH($B149,tab_MinKomp[[Stanowisko / Position ]:[Stanowisko / Position ]],0))="n/a","n/a",BO149-INDEX(tab_MinKomp[Obsługa maszyn Novapax / Novapax Maschinenbedienung],MATCH($B149,tab_MinKomp[[Stanowisko / Position ]:[Stanowisko / Position ]],0)))</f>
        <v>0</v>
      </c>
      <c r="BP150" s="315" t="str">
        <f>IF(INDEX(tab_MinKomp[Obsługa maszyn KVT / KVT Maschinenbedienung],MATCH($B149,tab_MinKomp[[Stanowisko / Position ]:[Stanowisko / Position ]],0))="n/a","n/a",BP149-INDEX(tab_MinKomp[Obsługa maszyn KVT / KVT Maschinenbedienung],MATCH($B149,tab_MinKomp[[Stanowisko / Position ]:[Stanowisko / Position ]],0)))</f>
        <v>n/a</v>
      </c>
      <c r="BQ150" s="315" t="str">
        <f>IF(INDEX(tab_MinKomp[Obsługa maszyn ASL / ASL Maschinenbedienung],MATCH($B149,tab_MinKomp[[Stanowisko / Position ]:[Stanowisko / Position ]],0))="n/a","n/a",BQ149-INDEX(tab_MinKomp[Obsługa maszyn ASL / ASL Maschinenbedienung],MATCH($B149,tab_MinKomp[[Stanowisko / Position ]:[Stanowisko / Position ]],0)))</f>
        <v>n/a</v>
      </c>
      <c r="BR150" s="315" t="str">
        <f>IF(INDEX(tab_MinKomp[Obsługa maszyn Branson / Branson Maschinenbedienung],MATCH($B149,tab_MinKomp[[Stanowisko / Position ]:[Stanowisko / Position ]],0))="n/a","n/a",BR149-INDEX(tab_MinKomp[Obsługa maszyn Branson / Branson Maschinenbedienung],MATCH($B149,tab_MinKomp[[Stanowisko / Position ]:[Stanowisko / Position ]],0)))</f>
        <v>n/a</v>
      </c>
      <c r="BS150" s="315" t="str">
        <f>IF(INDEX(tab_MinKomp[Obsługa maszyn Kamtec / Kamtec Maschinenbedienung],MATCH($B149,tab_MinKomp[[Stanowisko / Position ]:[Stanowisko / Position ]],0))="n/a","n/a",BS149-INDEX(tab_MinKomp[Obsługa maszyn Kamtec / Kamtec Maschinenbedienung],MATCH($B149,tab_MinKomp[[Stanowisko / Position ]:[Stanowisko / Position ]],0)))</f>
        <v>n/a</v>
      </c>
      <c r="BT150" s="315">
        <f>IF(INDEX(tab_MinKomp[Obsługa maszyn Piovan / Piovan Maschinenbedienung],MATCH($B149,tab_MinKomp[[Stanowisko / Position ]:[Stanowisko / Position ]],0))="n/a","n/a",BT149-INDEX(tab_MinKomp[Obsługa maszyn Piovan / Piovan Maschinenbedienung],MATCH($B149,tab_MinKomp[[Stanowisko / Position ]:[Stanowisko / Position ]],0)))</f>
        <v>-1</v>
      </c>
      <c r="BU150" s="315">
        <f>IF(INDEX(tab_MinKomp[Obsługa maszyn REP / REP Maschinenbedienung],MATCH($B149,tab_MinKomp[[Stanowisko / Position ]:[Stanowisko / Position ]],0))="n/a","n/a",BU149-INDEX(tab_MinKomp[Obsługa maszyn REP / REP Maschinenbedienung],MATCH($B149,tab_MinKomp[[Stanowisko / Position ]:[Stanowisko / Position ]],0)))</f>
        <v>0</v>
      </c>
      <c r="BV150" s="315">
        <f>IF(INDEX(tab_MinKomp[Eliminacja awarii / Beseitigung von Ausfällen],MATCH($B149,tab_MinKomp[[Stanowisko / Position ]:[Stanowisko / Position ]],0))="n/a","n/a",BV149-INDEX(tab_MinKomp[Eliminacja awarii / Beseitigung von Ausfällen],MATCH($B149,tab_MinKomp[[Stanowisko / Position ]:[Stanowisko / Position ]],0)))</f>
        <v>-2</v>
      </c>
      <c r="BW150" s="315" t="str">
        <f>IF(INDEX(tab_MinKomp[Informatyka ogólna (techniczne i systemowe) / Allgemeine IT (Technik und System)],MATCH($B149,tab_MinKomp[[Stanowisko / Position ]:[Stanowisko / Position ]],0))="n/a","n/a",BW149-INDEX(tab_MinKomp[Informatyka ogólna (techniczne i systemowe) / Allgemeine IT (Technik und System)],MATCH($B149,tab_MinKomp[[Stanowisko / Position ]:[Stanowisko / Position ]],0)))</f>
        <v>n/a</v>
      </c>
      <c r="BX150" s="315" t="str">
        <f>IF(INDEX(tab_MinKomp[Sieci komputerowe / Computernetzwerke],MATCH($B149,tab_MinKomp[[Stanowisko / Position ]:[Stanowisko / Position ]],0))="n/a","n/a",BX149-INDEX(tab_MinKomp[Sieci komputerowe / Computernetzwerke],MATCH($B149,tab_MinKomp[[Stanowisko / Position ]:[Stanowisko / Position ]],0)))</f>
        <v>n/a</v>
      </c>
      <c r="BY150" s="315" t="str">
        <f>IF(INDEX(tab_MinKomp[Hardware (komputery PC, drukarki biurowe i etykietowe, telefonia stacjonarna i mobilna) (PC, Drucker, Telefpne, Handys)],MATCH($B149,tab_MinKomp[[Stanowisko / Position ]:[Stanowisko / Position ]],0))="n/a","n/a",BY149-INDEX(tab_MinKomp[Hardware (komputery PC, drukarki biurowe i etykietowe, telefonia stacjonarna i mobilna) (PC, Drucker, Telefpne, Handys)],MATCH($B149,tab_MinKomp[[Stanowisko / Position ]:[Stanowisko / Position ]],0)))</f>
        <v>n/a</v>
      </c>
      <c r="BZ150" s="315" t="str">
        <f>IF(INDEX(tab_MinKomp[Software &amp; Systems (MS Office, MS Remote Desktop)],MATCH($B149,tab_MinKomp[[Stanowisko / Position ]:[Stanowisko / Position ]],0))="n/a","n/a",BZ149-INDEX(tab_MinKomp[Software &amp; Systems (MS Office, MS Remote Desktop)],MATCH($B149,tab_MinKomp[[Stanowisko / Position ]:[Stanowisko / Position ]],0)))</f>
        <v>n/a</v>
      </c>
      <c r="CA150" s="315" t="str">
        <f>IF(INDEX(tab_MinKomp[Programowanie obiektowe (PHP) / Objektprogrammierung],MATCH($B149,tab_MinKomp[[Stanowisko / Position ]:[Stanowisko / Position ]],0))="n/a","n/a",CA149-INDEX(tab_MinKomp[Programowanie obiektowe (PHP) / Objektprogrammierung],MATCH($B149,tab_MinKomp[[Stanowisko / Position ]:[Stanowisko / Position ]],0)))</f>
        <v>n/a</v>
      </c>
      <c r="CB150" s="315" t="str">
        <f>IF(INDEX(tab_MinKomp[Scrum],MATCH($B149,tab_MinKomp[[Stanowisko / Position ]:[Stanowisko / Position ]],0))="n/a","n/a",CB149-INDEX(tab_MinKomp[Scrum],MATCH($B149,tab_MinKomp[[Stanowisko / Position ]:[Stanowisko / Position ]],0)))</f>
        <v>n/a</v>
      </c>
      <c r="CC150" s="315" t="str">
        <f>IF(INDEX(tab_MinKomp[SQL (MySQL)],MATCH($B149,tab_MinKomp[[Stanowisko / Position ]:[Stanowisko / Position ]],0))="n/a","n/a",CC149-INDEX(tab_MinKomp[SQL (MySQL)],MATCH($B149,tab_MinKomp[[Stanowisko / Position ]:[Stanowisko / Position ]],0)))</f>
        <v>n/a</v>
      </c>
      <c r="CD150" s="315" t="str">
        <f>IF(INDEX(tab_MinKomp[Javascript],MATCH($B149,tab_MinKomp[[Stanowisko / Position ]:[Stanowisko / Position ]],0))="n/a","n/a",CD149-INDEX(tab_MinKomp[Javascript],MATCH($B149,tab_MinKomp[[Stanowisko / Position ]:[Stanowisko / Position ]],0)))</f>
        <v>n/a</v>
      </c>
      <c r="CE150" s="315" t="str">
        <f>IF(INDEX(tab_MinKomp[Joomla],MATCH($B149,tab_MinKomp[[Stanowisko / Position ]:[Stanowisko / Position ]],0))="n/a","n/a",CE149-INDEX(tab_MinKomp[Joomla],MATCH($B149,tab_MinKomp[[Stanowisko / Position ]:[Stanowisko / Position ]],0)))</f>
        <v>n/a</v>
      </c>
      <c r="CF150" s="315" t="str">
        <f>IF(INDEX(tab_MinKomp[Bash],MATCH($B149,tab_MinKomp[[Stanowisko / Position ]:[Stanowisko / Position ]],0))="n/a","n/a",CF149-INDEX(tab_MinKomp[Bash],MATCH($B149,tab_MinKomp[[Stanowisko / Position ]:[Stanowisko / Position ]],0)))</f>
        <v>n/a</v>
      </c>
      <c r="CG150" s="315" t="str">
        <f>IF(INDEX(tab_MinKomp[Systemy MES (HYDRA / SFMS)],MATCH($B149,tab_MinKomp[[Stanowisko / Position ]:[Stanowisko / Position ]],0))="n/a","n/a",CG149-INDEX(tab_MinKomp[Systemy MES (HYDRA / SFMS)],MATCH($B149,tab_MinKomp[[Stanowisko / Position ]:[Stanowisko / Position ]],0)))</f>
        <v>n/a</v>
      </c>
      <c r="CH150" s="315" t="str">
        <f>IF(INDEX(tab_MinKomp[HTML / CSS],MATCH($B149,tab_MinKomp[[Stanowisko / Position ]:[Stanowisko / Position ]],0))="n/a","n/a",CH149-INDEX(tab_MinKomp[HTML / CSS],MATCH($B149,tab_MinKomp[[Stanowisko / Position ]:[Stanowisko / Position ]],0)))</f>
        <v>n/a</v>
      </c>
      <c r="CI150" s="315" t="str">
        <f>IF(INDEX(tab_MinKomp[SYSTEM PR],MATCH($B149,tab_MinKomp[[Stanowisko / Position ]:[Stanowisko / Position ]],0))="n/a","n/a",CI149-INDEX(tab_MinKomp[SYSTEM PR],MATCH($B149,tab_MinKomp[[Stanowisko / Position ]:[Stanowisko / Position ]],0)))</f>
        <v>n/a</v>
      </c>
      <c r="CJ150" s="315" t="str">
        <f>IF(INDEX(tab_MinKomp[System Einkauf XP / EBA],MATCH($B149,tab_MinKomp[[Stanowisko / Position ]:[Stanowisko / Position ]],0))="n/a","n/a",CJ149-INDEX(tab_MinKomp[System Einkauf XP / EBA],MATCH($B149,tab_MinKomp[[Stanowisko / Position ]:[Stanowisko / Position ]],0)))</f>
        <v>n/a</v>
      </c>
      <c r="CK150" s="315" t="str">
        <f>IF(INDEX(tab_MinKomp[Techniki negocjacyjne / Verhandlungstechniken],MATCH($B149,tab_MinKomp[[Stanowisko / Position ]:[Stanowisko / Position ]],0))="n/a","n/a",CK149-INDEX(tab_MinKomp[Techniki negocjacyjne / Verhandlungstechniken],MATCH($B149,tab_MinKomp[[Stanowisko / Position ]:[Stanowisko / Position ]],0)))</f>
        <v>n/a</v>
      </c>
      <c r="CL150" s="315" t="str">
        <f>IF(INDEX(tab_MinKomp[Znajomość rynku branżowego / Kenntnis des Industrie Marktes],MATCH($B149,tab_MinKomp[[Stanowisko / Position ]:[Stanowisko / Position ]],0))="n/a","n/a",CL149-INDEX(tab_MinKomp[Znajomość rynku branżowego / Kenntnis des Industrie Marktes],MATCH($B149,tab_MinKomp[[Stanowisko / Position ]:[Stanowisko / Position ]],0)))</f>
        <v>n/a</v>
      </c>
      <c r="CM150" s="315" t="str">
        <f>IF(INDEX(tab_MinKomp[RAPORTY 8D / 8D Berichten],MATCH($B149,tab_MinKomp[[Stanowisko / Position ]:[Stanowisko / Position ]],0))="n/a","n/a",CM149-INDEX(tab_MinKomp[RAPORTY 8D / 8D Berichten],MATCH($B149,tab_MinKomp[[Stanowisko / Position ]:[Stanowisko / Position ]],0)))</f>
        <v>n/a</v>
      </c>
      <c r="CN150" s="315">
        <f>IF(INDEX(tab_MinKomp[NARZĘDZIA JAKOŚCIOWE (5WHY, Ishikawa, etc) / QS-Werkzeuge],MATCH($B149,tab_MinKomp[[Stanowisko / Position ]:[Stanowisko / Position ]],0))="n/a","n/a",CN149-INDEX(tab_MinKomp[NARZĘDZIA JAKOŚCIOWE (5WHY, Ishikawa, etc) / QS-Werkzeuge],MATCH($B149,tab_MinKomp[[Stanowisko / Position ]:[Stanowisko / Position ]],0)))</f>
        <v>0</v>
      </c>
      <c r="CO150" s="315">
        <f>IF(INDEX(tab_MinKomp[PDCA],MATCH($B149,tab_MinKomp[[Stanowisko / Position ]:[Stanowisko / Position ]],0))="n/a","n/a",CO149-INDEX(tab_MinKomp[PDCA],MATCH($B149,tab_MinKomp[[Stanowisko / Position ]:[Stanowisko / Position ]],0)))</f>
        <v>-1</v>
      </c>
      <c r="CP150" s="315">
        <f>IF(INDEX(tab_MinKomp[Pareto],MATCH($B149,tab_MinKomp[[Stanowisko / Position ]:[Stanowisko / Position ]],0))="n/a","n/a",CP149-INDEX(tab_MinKomp[Pareto],MATCH($B149,tab_MinKomp[[Stanowisko / Position ]:[Stanowisko / Position ]],0)))</f>
        <v>-1</v>
      </c>
      <c r="CQ150" s="315" t="str">
        <f>IF(INDEX(tab_MinKomp[PPAP/PSW],MATCH($B149,tab_MinKomp[[Stanowisko / Position ]:[Stanowisko / Position ]],0))="n/a","n/a",CQ149-INDEX(tab_MinKomp[PPAP/PSW],MATCH($B149,tab_MinKomp[[Stanowisko / Position ]:[Stanowisko / Position ]],0)))</f>
        <v>n/a</v>
      </c>
      <c r="CR150" s="315" t="str">
        <f>IF(INDEX(tab_MinKomp[SUPPLIER MANAGEMENT],MATCH($B149,tab_MinKomp[[Stanowisko / Position ]:[Stanowisko / Position ]],0))="n/a","n/a",CR149-INDEX(tab_MinKomp[SUPPLIER MANAGEMENT],MATCH($B149,tab_MinKomp[[Stanowisko / Position ]:[Stanowisko / Position ]],0)))</f>
        <v>n/a</v>
      </c>
      <c r="CS150" s="315" t="str">
        <f>IF(INDEX(tab_MinKomp[OBSŁUGA PORTALI KLIENTA / Kundenportale],MATCH($B149,tab_MinKomp[[Stanowisko / Position ]:[Stanowisko / Position ]],0))="n/a","n/a",CS149-INDEX(tab_MinKomp[OBSŁUGA PORTALI KLIENTA / Kundenportale],MATCH($B149,tab_MinKomp[[Stanowisko / Position ]:[Stanowisko / Position ]],0)))</f>
        <v>n/a</v>
      </c>
      <c r="CT150" s="315" t="str">
        <f>IF(INDEX(tab_MinKomp[Obsługa systemu BABTECQ / BABTECQ System],MATCH($B149,tab_MinKomp[[Stanowisko / Position ]:[Stanowisko / Position ]],0))="n/a","n/a",CT149-INDEX(tab_MinKomp[Obsługa systemu BABTECQ / BABTECQ System],MATCH($B149,tab_MinKomp[[Stanowisko / Position ]:[Stanowisko / Position ]],0)))</f>
        <v>n/a</v>
      </c>
      <c r="CU150" s="315">
        <f>IF(INDEX(tab_MinKomp[Rysunek techniczny / technische Zeichnung],MATCH($B149,tab_MinKomp[[Stanowisko / Position ]:[Stanowisko / Position ]],0))="n/a","n/a",CU149-INDEX(tab_MinKomp[Rysunek techniczny / technische Zeichnung],MATCH($B149,tab_MinKomp[[Stanowisko / Position ]:[Stanowisko / Position ]],0)))</f>
        <v>-2</v>
      </c>
      <c r="CV150" s="315" t="str">
        <f>IF(INDEX(tab_MinKomp[Kalibracja / Kalibrierung],MATCH($B149,tab_MinKomp[[Stanowisko / Position ]:[Stanowisko / Position ]],0))="n/a","n/a",CV149-INDEX(tab_MinKomp[Kalibracja / Kalibrierung],MATCH($B149,tab_MinKomp[[Stanowisko / Position ]:[Stanowisko / Position ]],0)))</f>
        <v>n/a</v>
      </c>
      <c r="CW150" s="315" t="str">
        <f>IF(INDEX(tab_MinKomp[Rekwalifikacja / Requalifizierung],MATCH($B149,tab_MinKomp[[Stanowisko / Position ]:[Stanowisko / Position ]],0))="n/a","n/a",CW149-INDEX(tab_MinKomp[Rekwalifikacja / Requalifizierung],MATCH($B149,tab_MinKomp[[Stanowisko / Position ]:[Stanowisko / Position ]],0)))</f>
        <v>n/a</v>
      </c>
      <c r="CX150" s="315" t="str">
        <f>IF(INDEX(tab_MinKomp[Obsługa mikroskopu optycznego / Bedienung eines optischen Mikroskops],MATCH($B149,tab_MinKomp[[Stanowisko / Position ]:[Stanowisko / Position ]],0))="n/a","n/a",CX149-INDEX(tab_MinKomp[Obsługa mikroskopu optycznego / Bedienung eines optischen Mikroskops],MATCH($B149,tab_MinKomp[[Stanowisko / Position ]:[Stanowisko / Position ]],0)))</f>
        <v>n/a</v>
      </c>
      <c r="CY150" s="315" t="str">
        <f>IF(INDEX(tab_MinKomp[Wykonywanie pomiarów optycznych - ocena wizualna / Optische Messungen durchführen – visuelle Beurteilung],MATCH($B149,tab_MinKomp[[Stanowisko / Position ]:[Stanowisko / Position ]],0))="n/a","n/a",CY149-INDEX(tab_MinKomp[Wykonywanie pomiarów optycznych - ocena wizualna / Optische Messungen durchführen – visuelle Beurteilung],MATCH($B149,tab_MinKomp[[Stanowisko / Position ]:[Stanowisko / Position ]],0)))</f>
        <v>n/a</v>
      </c>
      <c r="CZ150" s="315" t="str">
        <f>IF(INDEX(tab_MinKomp[Obsługa Rheometra / Rheometra-Unterstützung],MATCH($B149,tab_MinKomp[[Stanowisko / Position ]:[Stanowisko / Position ]],0))="n/a","n/a",CZ149-INDEX(tab_MinKomp[Obsługa Rheometra / Rheometra-Unterstützung],MATCH($B149,tab_MinKomp[[Stanowisko / Position ]:[Stanowisko / Position ]],0)))</f>
        <v>n/a</v>
      </c>
      <c r="DA150" s="315" t="str">
        <f>IF(INDEX(tab_MinKomp[Testy właściwości Rheometra mieszanki gumy],MATCH($B149,tab_MinKomp[[Stanowisko / Position ]:[Stanowisko / Position ]],0))="n/a","n/a",DA149-INDEX(tab_MinKomp[Testy właściwości Rheometra mieszanki gumy],MATCH($B149,tab_MinKomp[[Stanowisko / Position ]:[Stanowisko / Position ]],0)))</f>
        <v>n/a</v>
      </c>
      <c r="DB150" s="315" t="str">
        <f>IF(INDEX(tab_MinKomp[CMM - Contura Zeiss],MATCH($B149,tab_MinKomp[[Stanowisko / Position ]:[Stanowisko / Position ]],0))="n/a","n/a",DB149-INDEX(tab_MinKomp[CMM - Contura Zeiss],MATCH($B149,tab_MinKomp[[Stanowisko / Position ]:[Stanowisko / Position ]],0)))</f>
        <v>n/a</v>
      </c>
      <c r="DC150" s="315" t="str">
        <f>IF(INDEX(tab_MinKomp[Wykonywanie precyzyjnych pomiarów metrycznych, pomiary 3D],MATCH($B149,tab_MinKomp[[Stanowisko / Position ]:[Stanowisko / Position ]],0))="n/a","n/a",DC149-INDEX(tab_MinKomp[Wykonywanie precyzyjnych pomiarów metrycznych, pomiary 3D],MATCH($B149,tab_MinKomp[[Stanowisko / Position ]:[Stanowisko / Position ]],0)))</f>
        <v>n/a</v>
      </c>
      <c r="DD150" s="315" t="str">
        <f>IF(INDEX(tab_MinKomp[Pisanie programów / Programme schreiben],MATCH($B149,tab_MinKomp[[Stanowisko / Position ]:[Stanowisko / Position ]],0))="n/a","n/a",DD149-INDEX(tab_MinKomp[Pisanie programów / Programme schreiben],MATCH($B149,tab_MinKomp[[Stanowisko / Position ]:[Stanowisko / Position ]],0)))</f>
        <v>n/a</v>
      </c>
      <c r="DE150" s="315" t="str">
        <f>IF(INDEX(tab_MinKomp[Obsługa wyposażenia do testów czystości (myjka + analizator) / Betrieb von Sauberkeitsprüfgeräten (Waschmaschine + Analysegerät)],MATCH($B149,tab_MinKomp[[Stanowisko / Position ]:[Stanowisko / Position ]],0))="n/a","n/a",DE149-INDEX(tab_MinKomp[Obsługa wyposażenia do testów czystości (myjka + analizator) / Betrieb von Sauberkeitsprüfgeräten (Waschmaschine + Analysegerät)],MATCH($B149,tab_MinKomp[[Stanowisko / Position ]:[Stanowisko / Position ]],0)))</f>
        <v>n/a</v>
      </c>
      <c r="DF150" s="315" t="str">
        <f>IF(INDEX(tab_MinKomp[Testy czystości / Reinheitstests],MATCH($B149,tab_MinKomp[[Stanowisko / Position ]:[Stanowisko / Position ]],0))="n/a","n/a",DF149-INDEX(tab_MinKomp[Testy czystości / Reinheitstests],MATCH($B149,tab_MinKomp[[Stanowisko / Position ]:[Stanowisko / Position ]],0)))</f>
        <v>n/a</v>
      </c>
      <c r="DG150" s="315" t="str">
        <f>IF(INDEX(tab_MinKomp[Obsługa wysokościomierza / Unterstützung für Höhenmesser],MATCH($B149,tab_MinKomp[[Stanowisko / Position ]:[Stanowisko / Position ]],0))="n/a","n/a",DG149-INDEX(tab_MinKomp[Obsługa wysokościomierza / Unterstützung für Höhenmesser],MATCH($B149,tab_MinKomp[[Stanowisko / Position ]:[Stanowisko / Position ]],0)))</f>
        <v>n/a</v>
      </c>
      <c r="DH150" s="315" t="str">
        <f>IF(INDEX(tab_MinKomp[Pomiary wysokości materiału / Materialhöhenmessungen],MATCH($B149,tab_MinKomp[[Stanowisko / Position ]:[Stanowisko / Position ]],0))="n/a","n/a",DH149-INDEX(tab_MinKomp[Pomiary wysokości materiału / Materialhöhenmessungen],MATCH($B149,tab_MinKomp[[Stanowisko / Position ]:[Stanowisko / Position ]],0)))</f>
        <v>n/a</v>
      </c>
      <c r="DI150" s="315" t="str">
        <f>IF(INDEX(tab_MinKomp[Obsługa okrągłościomierza / Unterstützung für Rundheitsmessgeräte],MATCH($B149,tab_MinKomp[[Stanowisko / Position ]:[Stanowisko / Position ]],0))="n/a","n/a",DI149-INDEX(tab_MinKomp[Obsługa okrągłościomierza / Unterstützung für Rundheitsmessgeräte],MATCH($B149,tab_MinKomp[[Stanowisko / Position ]:[Stanowisko / Position ]],0)))</f>
        <v>n/a</v>
      </c>
      <c r="DJ150" s="315" t="str">
        <f>IF(INDEX(tab_MinKomp[Wykonywania pomiarów owalności, srednicy materiału / Messung der Ovalität und des Durchmessers des Materials],MATCH($B149,tab_MinKomp[[Stanowisko / Position ]:[Stanowisko / Position ]],0))="n/a","n/a",DJ149-INDEX(tab_MinKomp[Wykonywania pomiarów owalności, srednicy materiału / Messung der Ovalität und des Durchmessers des Materials],MATCH($B149,tab_MinKomp[[Stanowisko / Position ]:[Stanowisko / Position ]],0)))</f>
        <v>n/a</v>
      </c>
      <c r="DK150" s="315" t="str">
        <f>IF(INDEX(tab_MinKomp[Obsługa urządzenia do pomiarów chropowoatości powierzchni materiału],MATCH($B149,tab_MinKomp[[Stanowisko / Position ]:[Stanowisko / Position ]],0))="n/a","n/a",DK149-INDEX(tab_MinKomp[Obsługa urządzenia do pomiarów chropowoatości powierzchni materiału],MATCH($B149,tab_MinKomp[[Stanowisko / Position ]:[Stanowisko / Position ]],0)))</f>
        <v>n/a</v>
      </c>
      <c r="DL150" s="315" t="str">
        <f>IF(INDEX(tab_MinKomp[Wykonywanie pomiarów chropowatości powierzchni materiału / Durchführung von Messungen der Materialoberflächenrauheit],MATCH($B149,tab_MinKomp[[Stanowisko / Position ]:[Stanowisko / Position ]],0))="n/a","n/a",DL149-INDEX(tab_MinKomp[Wykonywanie pomiarów chropowatości powierzchni materiału / Durchführung von Messungen der Materialoberflächenrauheit],MATCH($B149,tab_MinKomp[[Stanowisko / Position ]:[Stanowisko / Position ]],0)))</f>
        <v>n/a</v>
      </c>
      <c r="DM150" s="315" t="str">
        <f>IF(INDEX(tab_MinKomp[Obsługa urządzenia do pomiaru siły radialnej części - postępowanie z trzpieniami. / Funktionsweise des Geräts zur Messung der Radialkraft von Teilen – Handhabungsstifte.],MATCH($B149,tab_MinKomp[[Stanowisko / Position ]:[Stanowisko / Position ]],0))="n/a","n/a",DM149-INDEX(tab_MinKomp[Obsługa urządzenia do pomiaru siły radialnej części - postępowanie z trzpieniami. / Funktionsweise des Geräts zur Messung der Radialkraft von Teilen – Handhabungsstifte.],MATCH($B149,tab_MinKomp[[Stanowisko / Position ]:[Stanowisko / Position ]],0)))</f>
        <v>n/a</v>
      </c>
      <c r="DN150" s="315" t="str">
        <f>IF(INDEX(tab_MinKomp[Wykonywanie pomiarów siły radialnej części / Führen Sie Radialkraftmessungen an Teilen durch],MATCH($B149,tab_MinKomp[[Stanowisko / Position ]:[Stanowisko / Position ]],0))="n/a","n/a",DN149-INDEX(tab_MinKomp[Wykonywanie pomiarów siły radialnej części / Führen Sie Radialkraftmessungen an Teilen durch],MATCH($B149,tab_MinKomp[[Stanowisko / Position ]:[Stanowisko / Position ]],0)))</f>
        <v>n/a</v>
      </c>
      <c r="DO150" s="315" t="str">
        <f>IF(INDEX(tab_MinKomp[Obsługa komory do testów wybuchwych / Betrieb einer Explosionsprüfkammer],MATCH($B149,tab_MinKomp[[Stanowisko / Position ]:[Stanowisko / Position ]],0))="n/a","n/a",DO149-INDEX(tab_MinKomp[Obsługa komory do testów wybuchwych / Betrieb einer Explosionsprüfkammer],MATCH($B149,tab_MinKomp[[Stanowisko / Position ]:[Stanowisko / Position ]],0)))</f>
        <v>n/a</v>
      </c>
      <c r="DP150" s="315" t="str">
        <f>IF(INDEX(tab_MinKomp[Wykonywanie testów wybuchowych części / Durchführung von Explosionstests an Teilen],MATCH($B149,tab_MinKomp[[Stanowisko / Position ]:[Stanowisko / Position ]],0))="n/a","n/a",DP149-INDEX(tab_MinKomp[Wykonywanie testów wybuchowych części / Durchführung von Explosionstests an Teilen],MATCH($B149,tab_MinKomp[[Stanowisko / Position ]:[Stanowisko / Position ]],0)))</f>
        <v>n/a</v>
      </c>
      <c r="DQ150" s="315" t="str">
        <f>IF(INDEX(tab_MinKomp[Obsługa urządzeń do mierzenia siły trzymania i/lub rozciągania / Betrieb von Geräten zur Messung der Halte- und/oder Dehnkraft],MATCH($B149,tab_MinKomp[[Stanowisko / Position ]:[Stanowisko / Position ]],0))="n/a","n/a",DQ149-INDEX(tab_MinKomp[Obsługa urządzeń do mierzenia siły trzymania i/lub rozciągania / Betrieb von Geräten zur Messung der Halte- und/oder Dehnkraft],MATCH($B149,tab_MinKomp[[Stanowisko / Position ]:[Stanowisko / Position ]],0)))</f>
        <v>n/a</v>
      </c>
      <c r="DR150" s="315" t="str">
        <f>IF(INDEX(tab_MinKomp[Wykonywanie testów mierzenia siły trzymania i/lub rozciągania / Durchführung von Tests zur Messung der Halte- und/oder Streckkraft],MATCH($B149,tab_MinKomp[[Stanowisko / Position ]:[Stanowisko / Position ]],0))="n/a","n/a",DR149-INDEX(tab_MinKomp[Wykonywanie testów mierzenia siły trzymania i/lub rozciągania / Durchführung von Tests zur Messung der Halte- und/oder Streckkraft],MATCH($B149,tab_MinKomp[[Stanowisko / Position ]:[Stanowisko / Position ]],0)))</f>
        <v>n/a</v>
      </c>
      <c r="DS150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Luftstrom)],MATCH($B149,tab_MinKomp[[Stanowisko / Position ]:[Stanowisko / Position ]],0))="n/a","n/a",DS149-INDEX(tab_MinKomp[Obsługa multimetru do pomiarów środowiskowych (temperatura, wilgotność, hałas, oświetlenie, przepływ powietrza) / Betrieb eines Multimeters für Umweltmessungen (Temperatur, Luftfeuchtigkeit, Lärm, Beleuchtung, Luftstrom)],MATCH($B149,tab_MinKomp[[Stanowisko / Position ]:[Stanowisko / Position ]],0)))</f>
        <v>n/a</v>
      </c>
      <c r="DT150" s="315" t="str">
        <f>IF(INDEX(tab_MinKomp[Kontrola warunków środowiskowych pracy (temperatura, wilgotność, hałas, oświetlenie, przepływ powietrza) / Kontrolle der Arbeitsumgebungsbedingungen (Temperatur, Luftfeuchtigkeit, Lärm, Beleuchtung, Luftstrom)],MATCH($B149,tab_MinKomp[[Stanowisko / Position ]:[Stanowisko / Position ]],0))="n/a","n/a",DT149-INDEX(tab_MinKomp[Kontrola warunków środowiskowych pracy (temperatura, wilgotność, hałas, oświetlenie, przepływ powietrza) / Kontrolle der Arbeitsumgebungsbedingungen (Temperatur, Luftfeuchtigkeit, Lärm, Beleuchtung, Luftstrom)],MATCH($B149,tab_MinKomp[[Stanowisko / Position ]:[Stanowisko / Position ]],0)))</f>
        <v>n/a</v>
      </c>
      <c r="DU150" s="315" t="str">
        <f>IF(INDEX(tab_MinKomp[MSA i SPC],MATCH($B149,tab_MinKomp[[Stanowisko / Position ]:[Stanowisko / Position ]],0))="n/a","n/a",DU149-INDEX(tab_MinKomp[MSA i SPC],MATCH($B149,tab_MinKomp[[Stanowisko / Position ]:[Stanowisko / Position ]],0)))</f>
        <v>n/a</v>
      </c>
      <c r="DV150" s="315" t="str">
        <f>IF(INDEX(tab_MinKomp[Kontrola wejściowa komponentów/ Eingangskontrolle],MATCH($B149,tab_MinKomp[[Stanowisko / Position ]:[Stanowisko / Position ]],0))="n/a","n/a",DV149-INDEX(tab_MinKomp[Kontrola wejściowa komponentów/ Eingangskontrolle],MATCH($B149,tab_MinKomp[[Stanowisko / Position ]:[Stanowisko / Position ]],0)))</f>
        <v>n/a</v>
      </c>
      <c r="DW150" s="315" t="str">
        <f>IF(INDEX(tab_MinKomp[Kontrola wyjściowa produktu / Ausgangskontrolle],MATCH($B149,tab_MinKomp[[Stanowisko / Position ]:[Stanowisko / Position ]],0))="n/a","n/a",DW149-INDEX(tab_MinKomp[Kontrola wyjściowa produktu / Ausgangskontrolle],MATCH($B149,tab_MinKomp[[Stanowisko / Position ]:[Stanowisko / Position ]],0)))</f>
        <v>n/a</v>
      </c>
      <c r="DX150" s="315" t="str">
        <f>IF(INDEX(tab_MinKomp[Kontrola codzienna produkcji / Tägliche Produktionskontrolle],MATCH($B149,tab_MinKomp[[Stanowisko / Position ]:[Stanowisko / Position ]],0))="n/a","n/a",DX149-INDEX(tab_MinKomp[Kontrola codzienna produkcji / Tägliche Produktionskontrolle],MATCH($B149,tab_MinKomp[[Stanowisko / Position ]:[Stanowisko / Position ]],0)))</f>
        <v>n/a</v>
      </c>
      <c r="DY150" s="315" t="str">
        <f>IF(INDEX(tab_MinKomp[Konserwacja Rep],MATCH($B149,tab_MinKomp[[Stanowisko / Position ]:[Stanowisko / Position ]],0))="n/a","n/a",DY149-INDEX(tab_MinKomp[Konserwacja Rep],MATCH($B149,tab_MinKomp[[Stanowisko / Position ]:[Stanowisko / Position ]],0)))</f>
        <v>n/a</v>
      </c>
      <c r="DZ150" s="315" t="str">
        <f>IF(INDEX(tab_MinKomp[[Konserwacja Engel ]],MATCH($B149,tab_MinKomp[[Stanowisko / Position ]:[Stanowisko / Position ]],0))="n/a","n/a",DZ149-INDEX(tab_MinKomp[[Konserwacja Engel ]],MATCH($B149,tab_MinKomp[[Stanowisko / Position ]:[Stanowisko / Position ]],0)))</f>
        <v>n/a</v>
      </c>
      <c r="EA150" s="315" t="str">
        <f>IF(INDEX(tab_MinKomp[Konserwacja B 50],MATCH($B149,tab_MinKomp[[Stanowisko / Position ]:[Stanowisko / Position ]],0))="n/a","n/a",EA149-INDEX(tab_MinKomp[Konserwacja B 50],MATCH($B149,tab_MinKomp[[Stanowisko / Position ]:[Stanowisko / Position ]],0)))</f>
        <v>n/a</v>
      </c>
      <c r="EB150" s="315" t="str">
        <f>IF(INDEX(tab_MinKomp[[Konserwacja EOL ]],MATCH($B149,tab_MinKomp[[Stanowisko / Position ]:[Stanowisko / Position ]],0))="n/a","n/a",EB149-INDEX(tab_MinKomp[[Konserwacja EOL ]],MATCH($B149,tab_MinKomp[[Stanowisko / Position ]:[Stanowisko / Position ]],0)))</f>
        <v>n/a</v>
      </c>
      <c r="EC150" s="315" t="str">
        <f>IF(INDEX(tab_MinKomp[Konserwacja Branson],MATCH($B149,tab_MinKomp[[Stanowisko / Position ]:[Stanowisko / Position ]],0))="n/a","n/a",EC149-INDEX(tab_MinKomp[Konserwacja Branson],MATCH($B149,tab_MinKomp[[Stanowisko / Position ]:[Stanowisko / Position ]],0)))</f>
        <v>n/a</v>
      </c>
      <c r="ED150" s="315" t="str">
        <f>IF(INDEX(tab_MinKomp[Konserwacja coolery],MATCH($B149,tab_MinKomp[[Stanowisko / Position ]:[Stanowisko / Position ]],0))="n/a","n/a",ED149-INDEX(tab_MinKomp[Konserwacja coolery],MATCH($B149,tab_MinKomp[[Stanowisko / Position ]:[Stanowisko / Position ]],0)))</f>
        <v>n/a</v>
      </c>
      <c r="EE150" s="315" t="str">
        <f>IF(INDEX(tab_MinKomp[Konserwacja piecy],MATCH($B149,tab_MinKomp[[Stanowisko / Position ]:[Stanowisko / Position ]],0))="n/a","n/a",EE149-INDEX(tab_MinKomp[Konserwacja piecy],MATCH($B149,tab_MinKomp[[Stanowisko / Position ]:[Stanowisko / Position ]],0)))</f>
        <v>n/a</v>
      </c>
      <c r="EF150" s="315">
        <f>IF(INDEX(tab_MinKomp[Rysunek techniczny- czytanie],MATCH($B149,tab_MinKomp[[Stanowisko / Position ]:[Stanowisko / Position ]],0))="n/a","n/a",EF149-INDEX(tab_MinKomp[Rysunek techniczny- czytanie],MATCH($B149,tab_MinKomp[[Stanowisko / Position ]:[Stanowisko / Position ]],0)))</f>
        <v>-1</v>
      </c>
      <c r="EG150" s="315">
        <f>IF(INDEX(tab_MinKomp[Elektryka],MATCH($B149,tab_MinKomp[[Stanowisko / Position ]:[Stanowisko / Position ]],0))="n/a","n/a",EG149-INDEX(tab_MinKomp[Elektryka],MATCH($B149,tab_MinKomp[[Stanowisko / Position ]:[Stanowisko / Position ]],0)))</f>
        <v>-1</v>
      </c>
      <c r="EH150" s="315">
        <f>IF(INDEX(tab_MinKomp[Pneumatyka],MATCH($B149,tab_MinKomp[[Stanowisko / Position ]:[Stanowisko / Position ]],0))="n/a","n/a",EH149-INDEX(tab_MinKomp[Pneumatyka],MATCH($B149,tab_MinKomp[[Stanowisko / Position ]:[Stanowisko / Position ]],0)))</f>
        <v>0</v>
      </c>
      <c r="EI150" s="315">
        <f>IF(INDEX(tab_MinKomp[[Hydraulika ]],MATCH($B149,tab_MinKomp[[Stanowisko / Position ]:[Stanowisko / Position ]],0))="n/a","n/a",EI149-INDEX(tab_MinKomp[[Hydraulika ]],MATCH($B149,tab_MinKomp[[Stanowisko / Position ]:[Stanowisko / Position ]],0)))</f>
        <v>-1</v>
      </c>
      <c r="EJ150" s="315">
        <f>IF(INDEX(tab_MinKomp[Podciśnienie],MATCH($B149,tab_MinKomp[[Stanowisko / Position ]:[Stanowisko / Position ]],0))="n/a","n/a",EJ149-INDEX(tab_MinKomp[Podciśnienie],MATCH($B149,tab_MinKomp[[Stanowisko / Position ]:[Stanowisko / Position ]],0)))</f>
        <v>-1</v>
      </c>
      <c r="EK150" s="315">
        <f>IF(INDEX(tab_MinKomp[Usuwanie awarii],MATCH($B149,tab_MinKomp[[Stanowisko / Position ]:[Stanowisko / Position ]],0))="n/a","n/a",EK149-INDEX(tab_MinKomp[Usuwanie awarii],MATCH($B149,tab_MinKomp[[Stanowisko / Position ]:[Stanowisko / Position ]],0)))</f>
        <v>-1</v>
      </c>
      <c r="EL150" s="315">
        <f>IF(INDEX(tab_MinKomp[Obsługa robotów],MATCH($B149,tab_MinKomp[[Stanowisko / Position ]:[Stanowisko / Position ]],0))="n/a","n/a",EL149-INDEX(tab_MinKomp[Obsługa robotów],MATCH($B149,tab_MinKomp[[Stanowisko / Position ]:[Stanowisko / Position ]],0)))</f>
        <v>0</v>
      </c>
      <c r="EM150" s="315">
        <f>IF(INDEX(tab_MinKomp[Obsługa sterowania maszyny],MATCH($B149,tab_MinKomp[[Stanowisko / Position ]:[Stanowisko / Position ]],0))="n/a","n/a",EM149-INDEX(tab_MinKomp[Obsługa sterowania maszyny],MATCH($B149,tab_MinKomp[[Stanowisko / Position ]:[Stanowisko / Position ]],0)))</f>
        <v>1</v>
      </c>
      <c r="EN150" s="315">
        <f>IF(INDEX(tab_MinKomp[Usuwanie przyczyn żródłowych],MATCH($B149,tab_MinKomp[[Stanowisko / Position ]:[Stanowisko / Position ]],0))="n/a","n/a",EN149-INDEX(tab_MinKomp[Usuwanie przyczyn żródłowych],MATCH($B149,tab_MinKomp[[Stanowisko / Position ]:[Stanowisko / Position ]],0)))</f>
        <v>-1</v>
      </c>
      <c r="EO150" s="315">
        <f>IF(INDEX(tab_MinKomp[Cmms stosowanie],MATCH($B149,tab_MinKomp[[Stanowisko / Position ]:[Stanowisko / Position ]],0))="n/a","n/a",EO149-INDEX(tab_MinKomp[Cmms stosowanie],MATCH($B149,tab_MinKomp[[Stanowisko / Position ]:[Stanowisko / Position ]],0)))</f>
        <v>0</v>
      </c>
      <c r="EP150" s="315">
        <f>IF(INDEX(tab_MinKomp[[Czyszczenie form gumowych ]],MATCH($B149,tab_MinKomp[[Stanowisko / Position ]:[Stanowisko / Position ]],0))="n/a","n/a",EP149-INDEX(tab_MinKomp[[Czyszczenie form gumowych ]],MATCH($B149,tab_MinKomp[[Stanowisko / Position ]:[Stanowisko / Position ]],0)))</f>
        <v>0</v>
      </c>
      <c r="EQ150" s="315">
        <f>IF(INDEX(tab_MinKomp[Czyszczenie form plastikowych],MATCH($B149,tab_MinKomp[[Stanowisko / Position ]:[Stanowisko / Position ]],0))="n/a","n/a",EQ149-INDEX(tab_MinKomp[Czyszczenie form plastikowych],MATCH($B149,tab_MinKomp[[Stanowisko / Position ]:[Stanowisko / Position ]],0)))</f>
        <v>0</v>
      </c>
      <c r="ER150" s="315">
        <f>IF(INDEX(tab_MinKomp[Wymiana form plastik],MATCH($B149,tab_MinKomp[[Stanowisko / Position ]:[Stanowisko / Position ]],0))="n/a","n/a",ER149-INDEX(tab_MinKomp[Wymiana form plastik],MATCH($B149,tab_MinKomp[[Stanowisko / Position ]:[Stanowisko / Position ]],0)))</f>
        <v>0</v>
      </c>
      <c r="ES150" s="315">
        <f>IF(INDEX(tab_MinKomp[Wymiana form guma],MATCH($B149,tab_MinKomp[[Stanowisko / Position ]:[Stanowisko / Position ]],0))="n/a","n/a",ES149-INDEX(tab_MinKomp[Wymiana form guma],MATCH($B149,tab_MinKomp[[Stanowisko / Position ]:[Stanowisko / Position ]],0)))</f>
        <v>0</v>
      </c>
      <c r="ET150" s="315">
        <f>IF(INDEX(tab_MinKomp[Konserwacja KK],MATCH($B149,tab_MinKomp[[Stanowisko / Position ]:[Stanowisko / Position ]],0))="n/a","n/a",ET149-INDEX(tab_MinKomp[Konserwacja KK],MATCH($B149,tab_MinKomp[[Stanowisko / Position ]:[Stanowisko / Position ]],0)))</f>
        <v>0</v>
      </c>
      <c r="EU150" s="315">
        <f>IF(INDEX(tab_MinKomp[Konserwacja form guma],MATCH($B149,tab_MinKomp[[Stanowisko / Position ]:[Stanowisko / Position ]],0))="n/a","n/a",EU149-INDEX(tab_MinKomp[Konserwacja form guma],MATCH($B149,tab_MinKomp[[Stanowisko / Position ]:[Stanowisko / Position ]],0)))</f>
        <v>0</v>
      </c>
      <c r="EV150" s="315">
        <f>IF(INDEX(tab_MinKomp[Konserwacja form plastiki],MATCH($B149,tab_MinKomp[[Stanowisko / Position ]:[Stanowisko / Position ]],0))="n/a","n/a",EV149-INDEX(tab_MinKomp[Konserwacja form plastiki],MATCH($B149,tab_MinKomp[[Stanowisko / Position ]:[Stanowisko / Position ]],0)))</f>
        <v>-1</v>
      </c>
      <c r="EW150" s="330">
        <f>IF(INDEX(tab_MinKomp[Konserwacja form plastiki],MATCH($B149,tab_MinKomp[[Stanowisko / Position ]:[Stanowisko / Position ]],0))="n/a","n/a",EW149-INDEX(tab_MinKomp[Konserwacja form plastiki],MATCH($B149,tab_MinKomp[[Stanowisko / Position ]:[Stanowisko / Position ]],0)))</f>
        <v>0</v>
      </c>
      <c r="EX150" s="315">
        <f>IF(INDEX(tab_MinKomp[Konserwacja Gorącego Kanału],MATCH($B149,tab_MinKomp[[Stanowisko / Position ]:[Stanowisko / Position ]],0))="n/a","n/a",EX149-INDEX(tab_MinKomp[Konserwacja Gorącego Kanału],MATCH($B149,tab_MinKomp[[Stanowisko / Position ]:[Stanowisko / Position ]],0)))</f>
        <v>0</v>
      </c>
      <c r="EY150" s="315">
        <f>IF(INDEX(tab_MinKomp[MS Office (Excel)],MATCH($B149,tab_MinKomp[[Stanowisko / Position ]:[Stanowisko / Position ]],0))="n/a","n/a",EY149-INDEX(tab_MinKomp[MS Office (Excel)],MATCH($B149,tab_MinKomp[[Stanowisko / Position ]:[Stanowisko / Position ]],0)))</f>
        <v>0</v>
      </c>
      <c r="EZ150" s="315">
        <f>IF(INDEX(tab_MinKomp[MS Office (Word)],MATCH($B149,tab_MinKomp[[Stanowisko / Position ]:[Stanowisko / Position ]],0))="n/a","n/a",EZ149-INDEX(tab_MinKomp[MS Office (Word)],MATCH($B149,tab_MinKomp[[Stanowisko / Position ]:[Stanowisko / Position ]],0)))</f>
        <v>0</v>
      </c>
      <c r="FA150" s="315">
        <f>IF(INDEX(tab_MinKomp[MS Office (Power Point)],MATCH($B149,tab_MinKomp[[Stanowisko / Position ]:[Stanowisko / Position ]],0))="n/a","n/a",FA149-INDEX(tab_MinKomp[MS Office (Power Point)],MATCH($B149,tab_MinKomp[[Stanowisko / Position ]:[Stanowisko / Position ]],0)))</f>
        <v>0</v>
      </c>
      <c r="FB150" s="315" t="str">
        <f>IF(INDEX(tab_MinKomp[Język angielski / Englisch],MATCH($B149,tab_MinKomp[[Stanowisko / Position ]:[Stanowisko / Position ]],0))="n/a","n/a",FB149-INDEX(tab_MinKomp[Język angielski / Englisch],MATCH($B149,tab_MinKomp[[Stanowisko / Position ]:[Stanowisko / Position ]],0)))</f>
        <v>n/a</v>
      </c>
      <c r="FC150" s="315" t="str">
        <f>IF(INDEX(tab_MinKomp[Język niemiecki / Deutsch],MATCH($B149,tab_MinKomp[[Stanowisko / Position ]:[Stanowisko / Position ]],0))="n/a","n/a",FC149-INDEX(tab_MinKomp[Język niemiecki / Deutsch],MATCH($B149,tab_MinKomp[[Stanowisko / Position ]:[Stanowisko / Position ]],0)))</f>
        <v>n/a</v>
      </c>
      <c r="FD150" s="315">
        <f>IF(INDEX(tab_MinKomp[Zarządzanie dokumentacją procesową / Process dokumentation management],MATCH($B149,tab_MinKomp[[Stanowisko / Position ]:[Stanowisko / Position ]],0))="n/a","n/a",FD149-INDEX(tab_MinKomp[Zarządzanie dokumentacją procesową / Process dokumentation management],MATCH($B149,tab_MinKomp[[Stanowisko / Position ]:[Stanowisko / Position ]],0)))</f>
        <v>0</v>
      </c>
      <c r="FE150" s="315">
        <f>IF(INDEX(tab_MinKomp[Znajomość procesów z obszaru / Kenntiss der prozesse in dem Bereich],MATCH($B149,tab_MinKomp[[Stanowisko / Position ]:[Stanowisko / Position ]],0))="n/a","n/a",FE149-INDEX(tab_MinKomp[Znajomość procesów z obszaru / Kenntiss der prozesse in dem Bereich],MATCH($B149,tab_MinKomp[[Stanowisko / Position ]:[Stanowisko / Position ]],0)))</f>
        <v>-1</v>
      </c>
      <c r="FF150" s="315">
        <f>IF(INDEX(tab_MinKomp[optymalizacja procesów / Prozessoptymalisierung],MATCH($B149,tab_MinKomp[[Stanowisko / Position ]:[Stanowisko / Position ]],0))="n/a","n/a",FF149-INDEX(tab_MinKomp[optymalizacja procesów / Prozessoptymalisierung],MATCH($B149,tab_MinKomp[[Stanowisko / Position ]:[Stanowisko / Position ]],0)))</f>
        <v>0</v>
      </c>
      <c r="FG150" s="315">
        <f>IF(INDEX(tab_MinKomp[Umiejętności szkoleniowe / Trainingsfähigkeiten],MATCH($B149,tab_MinKomp[[Stanowisko / Position ]:[Stanowisko / Position ]],0))="n/a","n/a",FG149-INDEX(tab_MinKomp[Umiejętności szkoleniowe / Trainingsfähigkeiten],MATCH($B149,tab_MinKomp[[Stanowisko / Position ]:[Stanowisko / Position ]],0)))</f>
        <v>0</v>
      </c>
      <c r="FH150" s="315">
        <f>IF(INDEX(tab_MinKomp[Analityczne myślenie, podejście / Analitysches Denken, Einstellung],MATCH($B149,tab_MinKomp[[Stanowisko / Position ]:[Stanowisko / Position ]],0))="n/a","n/a",FH149-INDEX(tab_MinKomp[Analityczne myślenie, podejście / Analitysches Denken, Einstellung],MATCH($B149,tab_MinKomp[[Stanowisko / Position ]:[Stanowisko / Position ]],0)))</f>
        <v>-1</v>
      </c>
      <c r="FI150" s="315">
        <f>IF(INDEX(tab_MinKomp[Dokładność, precyzja w dzialaniu / Genauigkeit, Präzision in die Arbeit],MATCH($B149,tab_MinKomp[[Stanowisko / Position ]:[Stanowisko / Position ]],0))="n/a","n/a",FI149-INDEX(tab_MinKomp[Dokładność, precyzja w dzialaniu / Genauigkeit, Präzision in die Arbeit],MATCH($B149,tab_MinKomp[[Stanowisko / Position ]:[Stanowisko / Position ]],0)))</f>
        <v>0</v>
      </c>
      <c r="FJ150" s="315">
        <f>IF(INDEX(tab_MinKomp[Dyspozycyjność / Verfügbarkeit],MATCH($B149,tab_MinKomp[[Stanowisko / Position ]:[Stanowisko / Position ]],0))="n/a","n/a",FJ149-INDEX(tab_MinKomp[Dyspozycyjność / Verfügbarkeit],MATCH($B149,tab_MinKomp[[Stanowisko / Position ]:[Stanowisko / Position ]],0)))</f>
        <v>0</v>
      </c>
      <c r="FK150" s="315">
        <f>IF(INDEX(tab_MinKomp[Zaangażowanie / 
Engagement],MATCH($B149,tab_MinKomp[[Stanowisko / Position ]:[Stanowisko / Position ]],0))="n/a","n/a",FK149-INDEX(tab_MinKomp[Zaangażowanie / 
Engagement],MATCH($B149,tab_MinKomp[[Stanowisko / Position ]:[Stanowisko / Position ]],0)))</f>
        <v>0</v>
      </c>
      <c r="FL150" s="315" t="str">
        <f>IF(INDEX(tab_MinKomp[Planowanie strategiczne / Strategische Planung],MATCH($B149,tab_MinKomp[[Stanowisko / Position ]:[Stanowisko / Position ]],0))="n/a","n/a",FL149-INDEX(tab_MinKomp[Planowanie strategiczne / Strategische Planung],MATCH($B149,tab_MinKomp[[Stanowisko / Position ]:[Stanowisko / Position ]],0)))</f>
        <v>n/a</v>
      </c>
      <c r="FM150" s="315">
        <f>IF(INDEX(tab_MinKomp[Konsekwentne i dynamiczne działanie],MATCH($B149,tab_MinKomp[[Stanowisko / Position ]:[Stanowisko / Position ]],0))="n/a","n/a",FM149-INDEX(tab_MinKomp[Konsekwentne i dynamiczne działanie],MATCH($B149,tab_MinKomp[[Stanowisko / Position ]:[Stanowisko / Position ]],0)))</f>
        <v>0</v>
      </c>
      <c r="FN150" s="315">
        <f>IF(INDEX(tab_MinKomp[Elastyczność w działaniu],MATCH($B149,tab_MinKomp[[Stanowisko / Position ]:[Stanowisko / Position ]],0))="n/a","n/a",FN149-INDEX(tab_MinKomp[Elastyczność w działaniu],MATCH($B149,tab_MinKomp[[Stanowisko / Position ]:[Stanowisko / Position ]],0)))</f>
        <v>0</v>
      </c>
      <c r="FO150" s="315">
        <f>IF(INDEX(tab_MinKomp[Komunikatywność],MATCH($B149,tab_MinKomp[[Stanowisko / Position ]:[Stanowisko / Position ]],0))="n/a","n/a",FO149-INDEX(tab_MinKomp[Komunikatywność],MATCH($B149,tab_MinKomp[[Stanowisko / Position ]:[Stanowisko / Position ]],0)))</f>
        <v>0</v>
      </c>
      <c r="FP150" s="315" t="str">
        <f>IF(INDEX(tab_MinKomp[Motywowanie i budowanie zaangażowania zespołu],MATCH($B149,tab_MinKomp[[Stanowisko / Position ]:[Stanowisko / Position ]],0))="n/a","n/a",FP149-INDEX(tab_MinKomp[Motywowanie i budowanie zaangażowania zespołu],MATCH($B149,tab_MinKomp[[Stanowisko / Position ]:[Stanowisko / Position ]],0)))</f>
        <v>n/a</v>
      </c>
      <c r="FQ150" s="318" t="str">
        <f>IFERROR(IF(INDEX(tab_MinKomp[BRAK / Keine],MATCH($B149,tab_MinKomp[[Stanowisko / Position ]:[Stanowisko / Position ]],0))="n/a","n/a",INDEX(tab_MinKomp[BRAK / Keine],MATCH($B149,tab_MinKomp[[Stanowisko / Position ]:[Stanowisko / Position ]],0))-FQ149),"")</f>
        <v>n/a</v>
      </c>
      <c r="FR150" s="315" t="str">
        <f>IF(INDEX(tab_MinKomp[MINIMUM 1 ROK / min. 1 Jahr],MATCH($B149,tab_MinKomp[[Stanowisko / Position ]:[Stanowisko / Position ]],0))="n/a","n/a",INDEX(tab_MinKomp[MINIMUM 1 ROK / min. 1 Jahr],MATCH($B149,tab_MinKomp[[Stanowisko / Position ]:[Stanowisko / Position ]],0)))</f>
        <v>n/a</v>
      </c>
      <c r="FS150" s="315" t="str">
        <f>IF(INDEX(tab_MinKomp[MINIMUM 2 LATA / min. 2 Jahre],MATCH($B149,tab_MinKomp[[Stanowisko / Position ]:[Stanowisko / Position ]],0))="n/a","n/a",INDEX(tab_MinKomp[MINIMUM 2 LATA / min. 2 Jahre],MATCH($B149,tab_MinKomp[[Stanowisko / Position ]:[Stanowisko / Position ]],0)))</f>
        <v>n/a</v>
      </c>
      <c r="FT150" s="315" t="str">
        <f>IF(INDEX(tab_MinKomp[MINIMUM 3 LATA / min. 3 Jahre],MATCH($B149,tab_MinKomp[[Stanowisko / Position ]:[Stanowisko / Position ]],0))="n/a","n/a",INDEX(tab_MinKomp[MINIMUM 3 LATA / min. 3 Jahre],MATCH($B149,tab_MinKomp[[Stanowisko / Position ]:[Stanowisko / Position ]],0)))</f>
        <v>n/a</v>
      </c>
      <c r="FU150" s="315" t="str">
        <f>IF(INDEX(tab_MinKomp[MINIMUM 4 LATA / min. 4 Jahre],MATCH($B149,tab_MinKomp[[Stanowisko / Position ]:[Stanowisko / Position ]],0))="n/a","n/a",INDEX(tab_MinKomp[MINIMUM 4 LATA / min. 4 Jahre],MATCH($B149,tab_MinKomp[[Stanowisko / Position ]:[Stanowisko / Position ]],0)))</f>
        <v>n/a</v>
      </c>
      <c r="FV150" s="319" t="str">
        <f>IF(INDEX(tab_MinKomp[MINIMUM 5 LAT / min. 5 Jahre],MATCH($B149,tab_MinKomp[[Stanowisko / Position ]:[Stanowisko / Position ]],0))="n/a","n/a",INDEX(tab_MinKomp[MINIMUM 5 LAT / min. 5 Jahre],MATCH($B149,tab_MinKomp[[Stanowisko / Position ]:[Stanowisko / Position ]],0)))</f>
        <v>n/a</v>
      </c>
      <c r="FW150" s="318" t="str">
        <f>IF(INDEX(tab_MinKomp[BRAK / Keine9],MATCH($B149,tab_MinKomp[[Stanowisko / Position ]:[Stanowisko / Position ]],0))="n/a","n/a",INDEX(tab_MinKomp[BRAK / Keine9],MATCH($B149,tab_MinKomp[[Stanowisko / Position ]:[Stanowisko / Position ]],0)))</f>
        <v>n/a</v>
      </c>
      <c r="FX150" s="315" t="str">
        <f>IF(INDEX(tab_MinKomp[ZAWODOWE / Berufsausbildung],MATCH($B149,tab_MinKomp[[Stanowisko / Position ]:[Stanowisko / Position ]],0))="n/a","n/a",INDEX(tab_MinKomp[ZAWODOWE / Berufsausbildung],MATCH($B149,tab_MinKomp[[Stanowisko / Position ]:[Stanowisko / Position ]],0)))</f>
        <v>n/a</v>
      </c>
      <c r="FY150" s="315" t="str">
        <f>IF(INDEX(tab_MinKomp[ŚREDNIE OGÓLNE / Abitur allgemeine],MATCH($B149,tab_MinKomp[[Stanowisko / Position ]:[Stanowisko / Position ]],0))="n/a","n/a",INDEX(tab_MinKomp[ŚREDNIE OGÓLNE / Abitur allgemeine],MATCH($B149,tab_MinKomp[[Stanowisko / Position ]:[Stanowisko / Position ]],0)))</f>
        <v>n/a</v>
      </c>
      <c r="FZ150" s="315" t="str">
        <f>IF(INDEX(tab_MinKomp[ŚREDNIE KIERUNKOWE / berufliches Gymnasium],MATCH($B149,tab_MinKomp[[Stanowisko / Position ]:[Stanowisko / Position ]],0))="n/a","n/a",INDEX(tab_MinKomp[ŚREDNIE KIERUNKOWE / berufliches Gymnasium],MATCH($B149,tab_MinKomp[[Stanowisko / Position ]:[Stanowisko / Position ]],0)))</f>
        <v>n/a</v>
      </c>
      <c r="GA150" s="315" t="str">
        <f>IF(INDEX(tab_MinKomp[WYŻSZE OGÓLNE / Hochschule allgemeine],MATCH($B149,tab_MinKomp[[Stanowisko / Position ]:[Stanowisko / Position ]],0))="n/a","n/a",INDEX(tab_MinKomp[WYŻSZE OGÓLNE / Hochschule allgemeine],MATCH($B149,tab_MinKomp[[Stanowisko / Position ]:[Stanowisko / Position ]],0)))</f>
        <v>n/a</v>
      </c>
      <c r="GB150" s="319" t="str">
        <f>IF(INDEX(tab_MinKomp[WYŻSZE KIERUNKOWE / Hochschule berufliche],MATCH($B149,tab_MinKomp[[Stanowisko / Position ]:[Stanowisko / Position ]],0))="n/a","n/a",INDEX(tab_MinKomp[WYŻSZE KIERUNKOWE / Hochschule berufliche],MATCH($B149,tab_MinKomp[[Stanowisko / Position ]:[Stanowisko / Position ]],0)))</f>
        <v>n/a</v>
      </c>
      <c r="GC150" s="318" t="str">
        <f>IF(INDEX(tab_MinKomp[PIERWSZA POMOC / Erste Hilfe],MATCH($B149,tab_MinKomp[[Stanowisko / Position ]:[Stanowisko / Position ]],0))="n/a","n/a",INDEX(tab_MinKomp[PIERWSZA POMOC / Erste Hilfe],MATCH($B149,tab_MinKomp[[Stanowisko / Position ]:[Stanowisko / Position ]],0)))</f>
        <v>n/a</v>
      </c>
      <c r="GD150" s="315" t="str">
        <f>IF(INDEX(tab_MinKomp[Specjalista BHP / BHP Spezialist],MATCH($B149,tab_MinKomp[[Stanowisko / Position ]:[Stanowisko / Position ]],0))="n/a","n/a",INDEX(tab_MinKomp[Specjalista BHP / BHP Spezialist],MATCH($B149,tab_MinKomp[[Stanowisko / Position ]:[Stanowisko / Position ]],0)))</f>
        <v>n/a</v>
      </c>
      <c r="GE150" s="315" t="str">
        <f>IF(INDEX(tab_MinKomp[Inspektor ochrony PPOŻ / Brandschutzinspektor],MATCH($B149,tab_MinKomp[[Stanowisko / Position ]:[Stanowisko / Position ]],0))="n/a","n/a",INDEX(tab_MinKomp[Inspektor ochrony PPOŻ / Brandschutzinspektor],MATCH($B149,tab_MinKomp[[Stanowisko / Position ]:[Stanowisko / Position ]],0)))</f>
        <v>n/a</v>
      </c>
      <c r="GF150" s="315" t="str">
        <f>IF(INDEX(tab_MinKomp[WÓZKI JEZDNIOWE / Gebelstapler],MATCH($B149,tab_MinKomp[[Stanowisko / Position ]:[Stanowisko / Position ]],0))="n/a","n/a",INDEX(tab_MinKomp[WÓZKI JEZDNIOWE / Gebelstapler],MATCH($B149,tab_MinKomp[[Stanowisko / Position ]:[Stanowisko / Position ]],0)))</f>
        <v>x</v>
      </c>
      <c r="GG150" s="315" t="str">
        <f>IF(INDEX(tab_MinKomp[SEP],MATCH($B149,tab_MinKomp[[Stanowisko / Position ]:[Stanowisko / Position ]],0))="n/a","n/a",INDEX(tab_MinKomp[SEP],MATCH($B149,tab_MinKomp[[Stanowisko / Position ]:[Stanowisko / Position ]],0)))</f>
        <v>x</v>
      </c>
      <c r="GH150" s="315" t="str">
        <f>IF(INDEX(tab_MinKomp[SEP  DOZÓR / SEP Aufsicht],MATCH($B149,tab_MinKomp[[Stanowisko / Position ]:[Stanowisko / Position ]],0))="n/a","n/a",INDEX(tab_MinKomp[SEP  DOZÓR / SEP Aufsicht],MATCH($B149,tab_MinKomp[[Stanowisko / Position ]:[Stanowisko / Position ]],0)))</f>
        <v>n/a</v>
      </c>
      <c r="GI150" s="315" t="str">
        <f>IF(INDEX(tab_MinKomp[PODNOŚNIKI / Hebevorrichtung],MATCH($B149,tab_MinKomp[[Stanowisko / Position ]:[Stanowisko / Position ]],0))="n/a","n/a",INDEX(tab_MinKomp[PODNOŚNIKI / Hebevorrichtung],MATCH($B149,tab_MinKomp[[Stanowisko / Position ]:[Stanowisko / Position ]],0)))</f>
        <v>n/a</v>
      </c>
      <c r="GJ150" s="315" t="str">
        <f>IF(INDEX(tab_MinKomp[SUWNICE / Laufkran],MATCH($B149,tab_MinKomp[[Stanowisko / Position ]:[Stanowisko / Position ]],0))="n/a","n/a",INDEX(tab_MinKomp[SUWNICE / Laufkran],MATCH($B149,tab_MinKomp[[Stanowisko / Position ]:[Stanowisko / Position ]],0)))</f>
        <v>x</v>
      </c>
      <c r="GK150" s="319" t="str">
        <f>IF(INDEX(tab_MinKomp[WYSOKOŚCIOWE / Höhenberechtigungen],MATCH($B149,tab_MinKomp[[Stanowisko / Position ]:[Stanowisko / Position ]],0))="n/a","n/a",INDEX(tab_MinKomp[WYSOKOŚCIOWE / Höhenberechtigungen],MATCH($B149,tab_MinKomp[[Stanowisko / Position ]:[Stanowisko / Position ]],0)))</f>
        <v>n/a</v>
      </c>
      <c r="GL150" s="320">
        <f>SUM(G150:FP150)/(GL149-(SUM(G150:FP150)))</f>
        <v>-0.21348314606741572</v>
      </c>
      <c r="GM150" s="132"/>
    </row>
    <row r="151" spans="1:195" s="133" customFormat="1" ht="29.25" customHeight="1" x14ac:dyDescent="0.25">
      <c r="A151" s="135" t="s">
        <v>181</v>
      </c>
      <c r="B151" s="135" t="s">
        <v>628</v>
      </c>
      <c r="C151" s="135" t="s">
        <v>613</v>
      </c>
      <c r="D151" s="135">
        <v>1511</v>
      </c>
      <c r="E151" s="570" t="s">
        <v>627</v>
      </c>
      <c r="F151" s="339" t="s">
        <v>165</v>
      </c>
      <c r="G151" s="323">
        <v>2</v>
      </c>
      <c r="H151" s="323">
        <v>2</v>
      </c>
      <c r="I151" s="323">
        <v>2</v>
      </c>
      <c r="J151" s="323">
        <v>2</v>
      </c>
      <c r="K151" s="323">
        <v>2</v>
      </c>
      <c r="L151" s="323">
        <v>1</v>
      </c>
      <c r="M151" s="323" t="s">
        <v>176</v>
      </c>
      <c r="N151" s="323" t="s">
        <v>176</v>
      </c>
      <c r="O151" s="323">
        <v>1</v>
      </c>
      <c r="P151" s="323">
        <v>1</v>
      </c>
      <c r="Q151" s="308" t="s">
        <v>176</v>
      </c>
      <c r="R151" s="308" t="s">
        <v>176</v>
      </c>
      <c r="S151" s="308" t="s">
        <v>176</v>
      </c>
      <c r="T151" s="308" t="s">
        <v>176</v>
      </c>
      <c r="U151" s="308" t="s">
        <v>176</v>
      </c>
      <c r="V151" s="308" t="s">
        <v>176</v>
      </c>
      <c r="W151" s="308" t="s">
        <v>176</v>
      </c>
      <c r="X151" s="308" t="s">
        <v>176</v>
      </c>
      <c r="Y151" s="308" t="s">
        <v>176</v>
      </c>
      <c r="Z151" s="308" t="s">
        <v>176</v>
      </c>
      <c r="AA151" s="308" t="s">
        <v>176</v>
      </c>
      <c r="AB151" s="308" t="s">
        <v>176</v>
      </c>
      <c r="AC151" s="308" t="s">
        <v>176</v>
      </c>
      <c r="AD151" s="308" t="s">
        <v>176</v>
      </c>
      <c r="AE151" s="308" t="s">
        <v>176</v>
      </c>
      <c r="AF151" s="308" t="s">
        <v>176</v>
      </c>
      <c r="AG151" s="308" t="s">
        <v>176</v>
      </c>
      <c r="AH151" s="308" t="s">
        <v>176</v>
      </c>
      <c r="AI151" s="308" t="s">
        <v>176</v>
      </c>
      <c r="AJ151" s="308" t="s">
        <v>176</v>
      </c>
      <c r="AK151" s="308" t="s">
        <v>176</v>
      </c>
      <c r="AL151" s="308">
        <v>1</v>
      </c>
      <c r="AM151" s="308" t="s">
        <v>176</v>
      </c>
      <c r="AN151" s="308" t="s">
        <v>176</v>
      </c>
      <c r="AO151" s="308" t="s">
        <v>176</v>
      </c>
      <c r="AP151" s="308" t="s">
        <v>176</v>
      </c>
      <c r="AQ151" s="308" t="s">
        <v>176</v>
      </c>
      <c r="AR151" s="308" t="s">
        <v>176</v>
      </c>
      <c r="AS151" s="308" t="s">
        <v>176</v>
      </c>
      <c r="AT151" s="308" t="s">
        <v>176</v>
      </c>
      <c r="AU151" s="308" t="s">
        <v>176</v>
      </c>
      <c r="AV151" s="323">
        <v>1</v>
      </c>
      <c r="AW151" s="308"/>
      <c r="AX151" s="308"/>
      <c r="AY151" s="308" t="s">
        <v>176</v>
      </c>
      <c r="AZ151" s="308" t="s">
        <v>176</v>
      </c>
      <c r="BA151" s="308" t="s">
        <v>176</v>
      </c>
      <c r="BB151" s="308" t="s">
        <v>176</v>
      </c>
      <c r="BC151" s="308" t="s">
        <v>176</v>
      </c>
      <c r="BD151" s="308" t="s">
        <v>176</v>
      </c>
      <c r="BE151" s="308" t="s">
        <v>176</v>
      </c>
      <c r="BF151" s="308" t="s">
        <v>176</v>
      </c>
      <c r="BG151" s="308" t="s">
        <v>176</v>
      </c>
      <c r="BH151" s="308" t="s">
        <v>176</v>
      </c>
      <c r="BI151" s="308" t="s">
        <v>176</v>
      </c>
      <c r="BJ151" s="308" t="s">
        <v>176</v>
      </c>
      <c r="BK151" s="308" t="s">
        <v>176</v>
      </c>
      <c r="BL151" s="308" t="s">
        <v>176</v>
      </c>
      <c r="BM151" s="308" t="s">
        <v>176</v>
      </c>
      <c r="BN151" s="308" t="s">
        <v>176</v>
      </c>
      <c r="BO151" s="308" t="s">
        <v>176</v>
      </c>
      <c r="BP151" s="308" t="s">
        <v>176</v>
      </c>
      <c r="BQ151" s="308" t="s">
        <v>176</v>
      </c>
      <c r="BR151" s="308" t="s">
        <v>176</v>
      </c>
      <c r="BS151" s="308" t="s">
        <v>176</v>
      </c>
      <c r="BT151" s="308" t="s">
        <v>176</v>
      </c>
      <c r="BU151" s="308" t="s">
        <v>176</v>
      </c>
      <c r="BV151" s="308" t="s">
        <v>176</v>
      </c>
      <c r="BW151" s="308" t="s">
        <v>176</v>
      </c>
      <c r="BX151" s="308" t="s">
        <v>176</v>
      </c>
      <c r="BY151" s="308" t="s">
        <v>176</v>
      </c>
      <c r="BZ151" s="308" t="s">
        <v>176</v>
      </c>
      <c r="CA151" s="308" t="s">
        <v>176</v>
      </c>
      <c r="CB151" s="308" t="s">
        <v>176</v>
      </c>
      <c r="CC151" s="308" t="s">
        <v>176</v>
      </c>
      <c r="CD151" s="308" t="s">
        <v>176</v>
      </c>
      <c r="CE151" s="308" t="s">
        <v>176</v>
      </c>
      <c r="CF151" s="308" t="s">
        <v>176</v>
      </c>
      <c r="CG151" s="308" t="s">
        <v>176</v>
      </c>
      <c r="CH151" s="308" t="s">
        <v>176</v>
      </c>
      <c r="CI151" s="308" t="s">
        <v>176</v>
      </c>
      <c r="CJ151" s="308" t="s">
        <v>176</v>
      </c>
      <c r="CK151" s="308" t="s">
        <v>176</v>
      </c>
      <c r="CL151" s="308" t="s">
        <v>176</v>
      </c>
      <c r="CM151" s="323" t="s">
        <v>176</v>
      </c>
      <c r="CN151" s="323"/>
      <c r="CO151" s="323"/>
      <c r="CP151" s="323"/>
      <c r="CQ151" s="323" t="s">
        <v>176</v>
      </c>
      <c r="CR151" s="308" t="s">
        <v>176</v>
      </c>
      <c r="CS151" s="308" t="s">
        <v>176</v>
      </c>
      <c r="CT151" s="308" t="s">
        <v>176</v>
      </c>
      <c r="CU151" s="308">
        <v>1</v>
      </c>
      <c r="CV151" s="308" t="s">
        <v>176</v>
      </c>
      <c r="CW151" s="308" t="s">
        <v>176</v>
      </c>
      <c r="CX151" s="308" t="s">
        <v>176</v>
      </c>
      <c r="CY151" s="308" t="s">
        <v>176</v>
      </c>
      <c r="CZ151" s="308" t="s">
        <v>176</v>
      </c>
      <c r="DA151" s="308" t="s">
        <v>176</v>
      </c>
      <c r="DB151" s="308" t="s">
        <v>176</v>
      </c>
      <c r="DC151" s="308" t="s">
        <v>176</v>
      </c>
      <c r="DD151" s="308" t="s">
        <v>176</v>
      </c>
      <c r="DE151" s="308" t="s">
        <v>176</v>
      </c>
      <c r="DF151" s="308" t="s">
        <v>176</v>
      </c>
      <c r="DG151" s="308" t="s">
        <v>176</v>
      </c>
      <c r="DH151" s="308" t="s">
        <v>176</v>
      </c>
      <c r="DI151" s="308" t="s">
        <v>176</v>
      </c>
      <c r="DJ151" s="308" t="s">
        <v>176</v>
      </c>
      <c r="DK151" s="308" t="s">
        <v>176</v>
      </c>
      <c r="DL151" s="308" t="s">
        <v>176</v>
      </c>
      <c r="DM151" s="308" t="s">
        <v>176</v>
      </c>
      <c r="DN151" s="308" t="s">
        <v>176</v>
      </c>
      <c r="DO151" s="308" t="s">
        <v>176</v>
      </c>
      <c r="DP151" s="308" t="s">
        <v>176</v>
      </c>
      <c r="DQ151" s="308" t="s">
        <v>176</v>
      </c>
      <c r="DR151" s="308" t="s">
        <v>176</v>
      </c>
      <c r="DS151" s="308" t="s">
        <v>176</v>
      </c>
      <c r="DT151" s="308" t="s">
        <v>176</v>
      </c>
      <c r="DU151" s="308" t="s">
        <v>176</v>
      </c>
      <c r="DV151" s="308" t="s">
        <v>176</v>
      </c>
      <c r="DW151" s="308" t="s">
        <v>176</v>
      </c>
      <c r="DX151" s="308" t="s">
        <v>176</v>
      </c>
      <c r="DY151" s="308" t="s">
        <v>176</v>
      </c>
      <c r="DZ151" s="308" t="s">
        <v>176</v>
      </c>
      <c r="EA151" s="308" t="s">
        <v>176</v>
      </c>
      <c r="EB151" s="308" t="s">
        <v>176</v>
      </c>
      <c r="EC151" s="308" t="s">
        <v>176</v>
      </c>
      <c r="ED151" s="308" t="s">
        <v>176</v>
      </c>
      <c r="EE151" s="308" t="s">
        <v>176</v>
      </c>
      <c r="EF151" s="308" t="s">
        <v>176</v>
      </c>
      <c r="EG151" s="308" t="s">
        <v>176</v>
      </c>
      <c r="EH151" s="308" t="s">
        <v>176</v>
      </c>
      <c r="EI151" s="308" t="s">
        <v>176</v>
      </c>
      <c r="EJ151" s="308" t="s">
        <v>176</v>
      </c>
      <c r="EK151" s="308" t="s">
        <v>176</v>
      </c>
      <c r="EL151" s="308" t="s">
        <v>176</v>
      </c>
      <c r="EM151" s="308" t="s">
        <v>176</v>
      </c>
      <c r="EN151" s="323">
        <v>2</v>
      </c>
      <c r="EO151" s="308">
        <v>1</v>
      </c>
      <c r="EP151" s="308" t="s">
        <v>176</v>
      </c>
      <c r="EQ151" s="308" t="s">
        <v>176</v>
      </c>
      <c r="ER151" s="308" t="s">
        <v>176</v>
      </c>
      <c r="ES151" s="308" t="s">
        <v>176</v>
      </c>
      <c r="ET151" s="308" t="s">
        <v>176</v>
      </c>
      <c r="EU151" s="308" t="s">
        <v>176</v>
      </c>
      <c r="EV151" s="308" t="s">
        <v>176</v>
      </c>
      <c r="EW151" s="308" t="s">
        <v>176</v>
      </c>
      <c r="EX151" s="308" t="s">
        <v>176</v>
      </c>
      <c r="EY151" s="308" t="s">
        <v>176</v>
      </c>
      <c r="EZ151" s="308" t="s">
        <v>176</v>
      </c>
      <c r="FA151" s="308" t="s">
        <v>176</v>
      </c>
      <c r="FB151" s="308" t="s">
        <v>176</v>
      </c>
      <c r="FC151" s="308" t="s">
        <v>176</v>
      </c>
      <c r="FD151" s="323">
        <v>1</v>
      </c>
      <c r="FE151" s="323">
        <v>1</v>
      </c>
      <c r="FF151" s="323">
        <v>1</v>
      </c>
      <c r="FG151" s="308">
        <v>1</v>
      </c>
      <c r="FH151" s="323">
        <v>2</v>
      </c>
      <c r="FI151" s="323">
        <v>2</v>
      </c>
      <c r="FJ151" s="323">
        <v>2</v>
      </c>
      <c r="FK151" s="323">
        <v>2</v>
      </c>
      <c r="FL151" s="308">
        <v>1</v>
      </c>
      <c r="FM151" s="323">
        <v>2</v>
      </c>
      <c r="FN151" s="323">
        <v>2</v>
      </c>
      <c r="FO151" s="323" t="s">
        <v>176</v>
      </c>
      <c r="FP151" s="323" t="s">
        <v>176</v>
      </c>
      <c r="FQ151" s="308" t="s">
        <v>176</v>
      </c>
      <c r="FR151" s="308"/>
      <c r="FS151" s="308" t="s">
        <v>176</v>
      </c>
      <c r="FT151" s="308" t="s">
        <v>176</v>
      </c>
      <c r="FU151" s="308" t="s">
        <v>176</v>
      </c>
      <c r="FV151" s="308" t="s">
        <v>176</v>
      </c>
      <c r="FW151" s="308" t="s">
        <v>176</v>
      </c>
      <c r="FX151" s="308" t="s">
        <v>176</v>
      </c>
      <c r="FY151" s="308" t="s">
        <v>176</v>
      </c>
      <c r="FZ151" s="308"/>
      <c r="GA151" s="308" t="s">
        <v>176</v>
      </c>
      <c r="GB151" s="308" t="s">
        <v>176</v>
      </c>
      <c r="GC151" s="308" t="s">
        <v>176</v>
      </c>
      <c r="GD151" s="308" t="s">
        <v>176</v>
      </c>
      <c r="GE151" s="308" t="s">
        <v>176</v>
      </c>
      <c r="GF151" s="308"/>
      <c r="GG151" s="308" t="s">
        <v>176</v>
      </c>
      <c r="GH151" s="328" t="s">
        <v>387</v>
      </c>
      <c r="GI151" s="308" t="s">
        <v>176</v>
      </c>
      <c r="GJ151" s="308" t="s">
        <v>387</v>
      </c>
      <c r="GK151" s="308"/>
      <c r="GL151" s="329">
        <f>SUM(G151:FP151)</f>
        <v>36</v>
      </c>
      <c r="GM151" s="132"/>
    </row>
    <row r="152" spans="1:195" s="133" customFormat="1" ht="29.25" customHeight="1" thickBot="1" x14ac:dyDescent="0.3">
      <c r="A152" s="138" t="str">
        <f>A151</f>
        <v>Utrzymanie ruchu-Maintenance</v>
      </c>
      <c r="B152" s="138" t="str">
        <f>B151</f>
        <v>Konserwator budynku</v>
      </c>
      <c r="C152" s="138" t="str">
        <f>C151</f>
        <v>KS</v>
      </c>
      <c r="D152" s="138">
        <f>D151</f>
        <v>1511</v>
      </c>
      <c r="E152" s="566" t="str">
        <f>E151</f>
        <v>Łatarewicz Mariusz</v>
      </c>
      <c r="F152" s="312" t="s">
        <v>166</v>
      </c>
      <c r="G152" s="341">
        <f>IF(INDEX(tab_MinKomp[Przepisy BHP / BHP Vorschriften],MATCH($B151,tab_MinKomp[[Stanowisko / Position ]:[Stanowisko / Position ]],0))="n/a","n/a",G151-INDEX(tab_MinKomp[Przepisy BHP / BHP Vorschriften],MATCH($B151,tab_MinKomp[[Stanowisko / Position ]:[Stanowisko / Position ]],0)))</f>
        <v>0</v>
      </c>
      <c r="H152" s="341">
        <f>IF(INDEX(tab_MinKomp[Przepisy PPOŻ / Brandschutzbestimmungen],MATCH($B151,tab_MinKomp[[Stanowisko / Position ]:[Stanowisko / Position ]],0))="n/a","n/a",H151-INDEX(tab_MinKomp[Przepisy PPOŻ / Brandschutzbestimmungen],MATCH($B151,tab_MinKomp[[Stanowisko / Position ]:[Stanowisko / Position ]],0)))</f>
        <v>0</v>
      </c>
      <c r="I152" s="341">
        <f>IF(INDEX(tab_MinKomp[Ryzyko zawodowe na stanowiskach pracyv/ Berufliche Risiken an Arbeitsstellen],MATCH($B151,tab_MinKomp[[Stanowisko / Position ]:[Stanowisko / Position ]],0))="n/a","n/a",I151-INDEX(tab_MinKomp[Ryzyko zawodowe na stanowiskach pracyv/ Berufliche Risiken an Arbeitsstellen],MATCH($B151,tab_MinKomp[[Stanowisko / Position ]:[Stanowisko / Position ]],0)))</f>
        <v>0</v>
      </c>
      <c r="J152" s="341">
        <f>IF(INDEX(tab_MinKomp[Gospodarka substancjami niebezpiecznymi / Gefahrstoffmanagement],MATCH($B151,tab_MinKomp[[Stanowisko / Position ]:[Stanowisko / Position ]],0))="n/a","n/a",J151-INDEX(tab_MinKomp[Gospodarka substancjami niebezpiecznymi / Gefahrstoffmanagement],MATCH($B151,tab_MinKomp[[Stanowisko / Position ]:[Stanowisko / Position ]],0)))</f>
        <v>0</v>
      </c>
      <c r="K152" s="341">
        <f>IF(INDEX(tab_MinKomp[Gospodarka odpadami / Abfallwirtschaft],MATCH($B151,tab_MinKomp[[Stanowisko / Position ]:[Stanowisko / Position ]],0))="n/a","n/a",K151-INDEX(tab_MinKomp[Gospodarka odpadami / Abfallwirtschaft],MATCH($B151,tab_MinKomp[[Stanowisko / Position ]:[Stanowisko / Position ]],0)))</f>
        <v>0</v>
      </c>
      <c r="L152" s="341">
        <f>IF(INDEX(tab_MinKomp[Przepisy kodeksu pracy / Bestimmungen des Arbeitsgesetzes],MATCH($B151,tab_MinKomp[[Stanowisko / Position ]:[Stanowisko / Position ]],0))="n/a","n/a",L151-INDEX(tab_MinKomp[Przepisy kodeksu pracy / Bestimmungen des Arbeitsgesetzes],MATCH($B151,tab_MinKomp[[Stanowisko / Position ]:[Stanowisko / Position ]],0)))</f>
        <v>0</v>
      </c>
      <c r="M152" s="341" t="str">
        <f>IF(INDEX(tab_MinKomp[Przepisy o ub.społ. ZUS  / Sozialversicherungsvorschriften],MATCH($B151,tab_MinKomp[[Stanowisko / Position ]:[Stanowisko / Position ]],0))="n/a","n/a",M151-INDEX(tab_MinKomp[Przepisy o ub.społ. ZUS  / Sozialversicherungsvorschriften],MATCH($B151,tab_MinKomp[[Stanowisko / Position ]:[Stanowisko / Position ]],0)))</f>
        <v>n/a</v>
      </c>
      <c r="N152" s="341" t="str">
        <f>IF(INDEX(tab_MinKomp[PRZEPISY O PDOF /persönlich Einkommensteuergesetz ],MATCH($B151,tab_MinKomp[[Stanowisko / Position ]:[Stanowisko / Position ]],0))="n/a","n/a",N151-INDEX(tab_MinKomp[PRZEPISY O PDOF /persönlich Einkommensteuergesetz ],MATCH($B151,tab_MinKomp[[Stanowisko / Position ]:[Stanowisko / Position ]],0)))</f>
        <v>n/a</v>
      </c>
      <c r="O152" s="341">
        <f>IF(INDEX(tab_MinKomp[Regulamin pracy / Arbeitsordnung],MATCH($B151,tab_MinKomp[[Stanowisko / Position ]:[Stanowisko / Position ]],0))="n/a","n/a",O151-INDEX(tab_MinKomp[Regulamin pracy / Arbeitsordnung],MATCH($B151,tab_MinKomp[[Stanowisko / Position ]:[Stanowisko / Position ]],0)))</f>
        <v>0</v>
      </c>
      <c r="P152" s="341">
        <f>IF(INDEX(tab_MinKomp[Regulamin wynagradzania / Vergütungsordnung],MATCH($B151,tab_MinKomp[[Stanowisko / Position ]:[Stanowisko / Position ]],0))="n/a","n/a",P151-INDEX(tab_MinKomp[Regulamin wynagradzania / Vergütungsordnung],MATCH($B151,tab_MinKomp[[Stanowisko / Position ]:[Stanowisko / Position ]],0)))</f>
        <v>0</v>
      </c>
      <c r="Q152" s="341" t="str">
        <f>IF(INDEX(tab_MinKomp[System R2PŁATNIK PRO: Płace / Lohnabrechnung],MATCH($B151,tab_MinKomp[[Stanowisko / Position ]:[Stanowisko / Position ]],0))="n/a","n/a",Q151-INDEX(tab_MinKomp[System R2PŁATNIK PRO: Płace / Lohnabrechnung],MATCH($B151,tab_MinKomp[[Stanowisko / Position ]:[Stanowisko / Position ]],0)))</f>
        <v>n/a</v>
      </c>
      <c r="R152" s="341" t="str">
        <f>IF(INDEX(tab_MinKomp[SystemR2PŁATNIK PRO: KADRY / Personaldaten],MATCH($B151,tab_MinKomp[[Stanowisko / Position ]:[Stanowisko / Position ]],0))="n/a","n/a",R151-INDEX(tab_MinKomp[SystemR2PŁATNIK PRO: KADRY / Personaldaten],MATCH($B151,tab_MinKomp[[Stanowisko / Position ]:[Stanowisko / Position ]],0)))</f>
        <v>n/a</v>
      </c>
      <c r="S152" s="341" t="str">
        <f>IF(INDEX(tab_MinKomp[SYSTEM R2PŁATNIK PRO: zarządzanie pracownikami / Arbeitsverwaltung],MATCH($B151,tab_MinKomp[[Stanowisko / Position ]:[Stanowisko / Position ]],0))="n/a","n/a",S151-INDEX(tab_MinKomp[SYSTEM R2PŁATNIK PRO: zarządzanie pracownikami / Arbeitsverwaltung],MATCH($B151,tab_MinKomp[[Stanowisko / Position ]:[Stanowisko / Position ]],0)))</f>
        <v>n/a</v>
      </c>
      <c r="T152" s="341" t="str">
        <f>IF(INDEX(tab_MinKomp[Doradztwo, wsparcie personalne / Personalberatung und Unterstützung],MATCH($B151,tab_MinKomp[[Stanowisko / Position ]:[Stanowisko / Position ]],0))="n/a","n/a",T151-INDEX(tab_MinKomp[Doradztwo, wsparcie personalne / Personalberatung und Unterstützung],MATCH($B151,tab_MinKomp[[Stanowisko / Position ]:[Stanowisko / Position ]],0)))</f>
        <v>n/a</v>
      </c>
      <c r="U152" s="341" t="str">
        <f>IF(INDEX(tab_MinKomp[Przepisy o podatku VAT / MwSt.- Gesetz],MATCH($B151,tab_MinKomp[[Stanowisko / Position ]:[Stanowisko / Position ]],0))="n/a","n/a",U151-INDEX(tab_MinKomp[Przepisy o podatku VAT / MwSt.- Gesetz],MATCH($B151,tab_MinKomp[[Stanowisko / Position ]:[Stanowisko / Position ]],0)))</f>
        <v>n/a</v>
      </c>
      <c r="V152" s="341" t="str">
        <f>IF(INDEX(tab_MinKomp[PrzepisyPDOP / geschäftlich Einkommensteuergesetz],MATCH($B151,tab_MinKomp[[Stanowisko / Position ]:[Stanowisko / Position ]],0))="n/a","n/a",V151-INDEX(tab_MinKomp[PrzepisyPDOP / geschäftlich Einkommensteuergesetz],MATCH($B151,tab_MinKomp[[Stanowisko / Position ]:[Stanowisko / Position ]],0)))</f>
        <v>n/a</v>
      </c>
      <c r="W152" s="341" t="str">
        <f>IF(INDEX(tab_MinKomp[System BAAN / FINANSE (FIBU)],MATCH($B151,tab_MinKomp[[Stanowisko / Position ]:[Stanowisko / Position ]],0))="n/a","n/a",W151-INDEX(tab_MinKomp[System BAAN / FINANSE (FIBU)],MATCH($B151,tab_MinKomp[[Stanowisko / Position ]:[Stanowisko / Position ]],0)))</f>
        <v>n/a</v>
      </c>
      <c r="X152" s="341" t="str">
        <f>IF(INDEX(tab_MinKomp[Systemy pomocnicze / Hilfssysteme(STOCKPROGRAM, KALK2000 etc.)],MATCH($B151,tab_MinKomp[[Stanowisko / Position ]:[Stanowisko / Position ]],0))="n/a","n/a",X151-INDEX(tab_MinKomp[Systemy pomocnicze / Hilfssysteme(STOCKPROGRAM, KALK2000 etc.)],MATCH($B151,tab_MinKomp[[Stanowisko / Position ]:[Stanowisko / Position ]],0)))</f>
        <v>n/a</v>
      </c>
      <c r="Y152" s="341" t="str">
        <f>IF(INDEX(tab_MinKomp[Polityka rachunkowości / Buchführungspolitik],MATCH($B151,tab_MinKomp[[Stanowisko / Position ]:[Stanowisko / Position ]],0))="n/a","n/a",Y151-INDEX(tab_MinKomp[Polityka rachunkowości / Buchführungspolitik],MATCH($B151,tab_MinKomp[[Stanowisko / Position ]:[Stanowisko / Position ]],0)))</f>
        <v>n/a</v>
      </c>
      <c r="Z152" s="341" t="str">
        <f>IF(INDEX(tab_MinKomp[Ustawa o rachunkowości / Rechnungslegungsgesetz],MATCH($B151,tab_MinKomp[[Stanowisko / Position ]:[Stanowisko / Position ]],0))="n/a","n/a",Z151-INDEX(tab_MinKomp[Ustawa o rachunkowości / Rechnungslegungsgesetz],MATCH($B151,tab_MinKomp[[Stanowisko / Position ]:[Stanowisko / Position ]],0)))</f>
        <v>n/a</v>
      </c>
      <c r="AA152" s="341" t="str">
        <f>IF(INDEX(tab_MinKomp[WORKFLOW - TS-100],MATCH($B151,tab_MinKomp[[Stanowisko / Position ]:[Stanowisko / Position ]],0))="n/a","n/a",AA151-INDEX(tab_MinKomp[WORKFLOW - TS-100],MATCH($B151,tab_MinKomp[[Stanowisko / Position ]:[Stanowisko / Position ]],0)))</f>
        <v>n/a</v>
      </c>
      <c r="AB152" s="341" t="str">
        <f>IF(INDEX(tab_MinKomp[WORKFLOW - SFMS],MATCH($B151,tab_MinKomp[[Stanowisko / Position ]:[Stanowisko / Position ]],0))="n/a","n/a",AB151-INDEX(tab_MinKomp[WORKFLOW - SFMS],MATCH($B151,tab_MinKomp[[Stanowisko / Position ]:[Stanowisko / Position ]],0)))</f>
        <v>n/a</v>
      </c>
      <c r="AC152" s="341" t="str">
        <f>IF(INDEX(tab_MinKomp[System ISO 9001:2015],MATCH($B151,tab_MinKomp[[Stanowisko / Position ]:[Stanowisko / Position ]],0))="n/a","n/a",AC151-INDEX(tab_MinKomp[System ISO 9001:2015],MATCH($B151,tab_MinKomp[[Stanowisko / Position ]:[Stanowisko / Position ]],0)))</f>
        <v>n/a</v>
      </c>
      <c r="AD152" s="341" t="str">
        <f>IF(INDEX(tab_MinKomp[System IATF 16949:2016],MATCH($B151,tab_MinKomp[[Stanowisko / Position ]:[Stanowisko / Position ]],0))="n/a","n/a",AD151-INDEX(tab_MinKomp[System IATF 16949:2016],MATCH($B151,tab_MinKomp[[Stanowisko / Position ]:[Stanowisko / Position ]],0)))</f>
        <v>n/a</v>
      </c>
      <c r="AE152" s="341" t="str">
        <f>IF(INDEX(tab_MinKomp[System ISO 14001:2015],MATCH($B151,tab_MinKomp[[Stanowisko / Position ]:[Stanowisko / Position ]],0))="n/a","n/a",AE151-INDEX(tab_MinKomp[System ISO 14001:2015],MATCH($B151,tab_MinKomp[[Stanowisko / Position ]:[Stanowisko / Position ]],0)))</f>
        <v>n/a</v>
      </c>
      <c r="AF152" s="341" t="str">
        <f>IF(INDEX(tab_MinKomp[System PN-N 18001:2004 / ISO 45001:2018],MATCH($B151,tab_MinKomp[[Stanowisko / Position ]:[Stanowisko / Position ]],0))="n/a","n/a",AF151-INDEX(tab_MinKomp[System PN-N 18001:2004 / ISO 45001:2018],MATCH($B151,tab_MinKomp[[Stanowisko / Position ]:[Stanowisko / Position ]],0)))</f>
        <v>n/a</v>
      </c>
      <c r="AG152" s="341" t="str">
        <f>IF(INDEX(tab_MinKomp[Wymagania VDA 6.3 Process / Forderungen],MATCH($B151,tab_MinKomp[[Stanowisko / Position ]:[Stanowisko / Position ]],0))="n/a","n/a",AG151-INDEX(tab_MinKomp[Wymagania VDA 6.3 Process / Forderungen],MATCH($B151,tab_MinKomp[[Stanowisko / Position ]:[Stanowisko / Position ]],0)))</f>
        <v>n/a</v>
      </c>
      <c r="AH152" s="341" t="str">
        <f>IF(INDEX(tab_MinKomp[Wymagania VDA 6.5 Product / Forderungen],MATCH($B151,tab_MinKomp[[Stanowisko / Position ]:[Stanowisko / Position ]],0))="n/a","n/a",AH151-INDEX(tab_MinKomp[Wymagania VDA 6.5 Product / Forderungen],MATCH($B151,tab_MinKomp[[Stanowisko / Position ]:[Stanowisko / Position ]],0)))</f>
        <v>n/a</v>
      </c>
      <c r="AI152" s="341" t="str">
        <f>IF(INDEX(tab_MinKomp[PSCR (VW Product Safety &amp; Conformity Representative)],MATCH($B151,tab_MinKomp[[Stanowisko / Position ]:[Stanowisko / Position ]],0))="n/a","n/a",AI151-INDEX(tab_MinKomp[PSCR (VW Product Safety &amp; Conformity Representative)],MATCH($B151,tab_MinKomp[[Stanowisko / Position ]:[Stanowisko / Position ]],0)))</f>
        <v>n/a</v>
      </c>
      <c r="AJ152" s="341" t="str">
        <f>IF(INDEX(tab_MinKomp[Auditor systemu ISO 17025:2018],MATCH($B151,tab_MinKomp[[Stanowisko / Position ]:[Stanowisko / Position ]],0))="n/a","n/a",AJ151-INDEX(tab_MinKomp[Auditor systemu ISO 17025:2018],MATCH($B151,tab_MinKomp[[Stanowisko / Position ]:[Stanowisko / Position ]],0)))</f>
        <v>n/a</v>
      </c>
      <c r="AK152" s="341" t="str">
        <f>IF(INDEX(tab_MinKomp[Pełnomocnik systemu / Systemvertreter],MATCH($B151,tab_MinKomp[[Stanowisko / Position ]:[Stanowisko / Position ]],0))="n/a","n/a",AK151-INDEX(tab_MinKomp[Pełnomocnik systemu / Systemvertreter],MATCH($B151,tab_MinKomp[[Stanowisko / Position ]:[Stanowisko / Position ]],0)))</f>
        <v>n/a</v>
      </c>
      <c r="AL152" s="341">
        <f>IF(INDEX(tab_MinKomp[Polityka Etyczna - Compliance],MATCH($B151,tab_MinKomp[[Stanowisko / Position ]:[Stanowisko / Position ]],0))="n/a","n/a",AL151-INDEX(tab_MinKomp[Polityka Etyczna - Compliance],MATCH($B151,tab_MinKomp[[Stanowisko / Position ]:[Stanowisko / Position ]],0)))</f>
        <v>0</v>
      </c>
      <c r="AM152" s="341" t="str">
        <f>IF(INDEX(tab_MinKomp[WDRAŻANIE NOWYCH PROJEKTÓW/ PROCEDURA CTM],MATCH($B151,tab_MinKomp[[Stanowisko / Position ]:[Stanowisko / Position ]],0))="n/a","n/a",AM151-INDEX(tab_MinKomp[WDRAŻANIE NOWYCH PROJEKTÓW/ PROCEDURA CTM],MATCH($B151,tab_MinKomp[[Stanowisko / Position ]:[Stanowisko / Position ]],0)))</f>
        <v>n/a</v>
      </c>
      <c r="AN152" s="341" t="str">
        <f>IF(INDEX(tab_MinKomp[KAMIENIE MILOWE MSL/PIFF],MATCH($B151,tab_MinKomp[[Stanowisko / Position ]:[Stanowisko / Position ]],0))="n/a","n/a",AN151-INDEX(tab_MinKomp[KAMIENIE MILOWE MSL/PIFF],MATCH($B151,tab_MinKomp[[Stanowisko / Position ]:[Stanowisko / Position ]],0)))</f>
        <v>n/a</v>
      </c>
      <c r="AO152" s="341" t="str">
        <f>IF(INDEX(tab_MinKomp[CP],MATCH($B151,tab_MinKomp[[Stanowisko / Position ]:[Stanowisko / Position ]],0))="n/a","n/a",AO151-INDEX(tab_MinKomp[CP],MATCH($B151,tab_MinKomp[[Stanowisko / Position ]:[Stanowisko / Position ]],0)))</f>
        <v>n/a</v>
      </c>
      <c r="AP152" s="341" t="str">
        <f>IF(INDEX(tab_MinKomp[FMEA],MATCH($B151,tab_MinKomp[[Stanowisko / Position ]:[Stanowisko / Position ]],0))="n/a","n/a",AP151-INDEX(tab_MinKomp[FMEA],MATCH($B151,tab_MinKomp[[Stanowisko / Position ]:[Stanowisko / Position ]],0)))</f>
        <v>n/a</v>
      </c>
      <c r="AQ152" s="341" t="str">
        <f>IF(INDEX(tab_MinKomp[FLOW CHART],MATCH($B151,tab_MinKomp[[Stanowisko / Position ]:[Stanowisko / Position ]],0))="n/a","n/a",AQ151-INDEX(tab_MinKomp[FLOW CHART],MATCH($B151,tab_MinKomp[[Stanowisko / Position ]:[Stanowisko / Position ]],0)))</f>
        <v>n/a</v>
      </c>
      <c r="AR152" s="341" t="str">
        <f>IF(INDEX(tab_MinKomp[APQP],MATCH($B151,tab_MinKomp[[Stanowisko / Position ]:[Stanowisko / Position ]],0))="n/a","n/a",AR151-INDEX(tab_MinKomp[APQP],MATCH($B151,tab_MinKomp[[Stanowisko / Position ]:[Stanowisko / Position ]],0)))</f>
        <v>n/a</v>
      </c>
      <c r="AS152" s="341" t="str">
        <f>IF(INDEX(tab_MinKomp[MSA],MATCH($B151,tab_MinKomp[[Stanowisko / Position ]:[Stanowisko / Position ]],0))="n/a","n/a",AS151-INDEX(tab_MinKomp[MSA],MATCH($B151,tab_MinKomp[[Stanowisko / Position ]:[Stanowisko / Position ]],0)))</f>
        <v>n/a</v>
      </c>
      <c r="AT152" s="341" t="str">
        <f>IF(INDEX(tab_MinKomp[SPC],MATCH($B151,tab_MinKomp[[Stanowisko / Position ]:[Stanowisko / Position ]],0))="n/a","n/a",AT151-INDEX(tab_MinKomp[SPC],MATCH($B151,tab_MinKomp[[Stanowisko / Position ]:[Stanowisko / Position ]],0)))</f>
        <v>n/a</v>
      </c>
      <c r="AU152" s="341" t="str">
        <f>IF(INDEX(tab_MinKomp[CSR (SPECYFICZNE WYMAGANIA KLIENTA)],MATCH($B151,tab_MinKomp[[Stanowisko / Position ]:[Stanowisko / Position ]],0))="n/a","n/a",AU151-INDEX(tab_MinKomp[CSR (SPECYFICZNE WYMAGANIA KLIENTA)],MATCH($B151,tab_MinKomp[[Stanowisko / Position ]:[Stanowisko / Position ]],0)))</f>
        <v>n/a</v>
      </c>
      <c r="AV152" s="341">
        <f>IF(INDEX(tab_MinKomp[5S],MATCH($B151,tab_MinKomp[[Stanowisko / Position ]:[Stanowisko / Position ]],0))="n/a","n/a",AV151-INDEX(tab_MinKomp[5S],MATCH($B151,tab_MinKomp[[Stanowisko / Position ]:[Stanowisko / Position ]],0)))</f>
        <v>-1</v>
      </c>
      <c r="AW152" s="341">
        <f>IF(INDEX(tab_MinKomp[LEAN MANAGEMENT],MATCH($B151,tab_MinKomp[[Stanowisko / Position ]:[Stanowisko / Position ]],0))="n/a","n/a",AW151-INDEX(tab_MinKomp[LEAN MANAGEMENT],MATCH($B151,tab_MinKomp[[Stanowisko / Position ]:[Stanowisko / Position ]],0)))</f>
        <v>-1</v>
      </c>
      <c r="AX152" s="341">
        <f>IF(INDEX(tab_MinKomp[5R],MATCH($B151,tab_MinKomp[[Stanowisko / Position ]:[Stanowisko / Position ]],0))="n/a","n/a",AX151-INDEX(tab_MinKomp[5R],MATCH($B151,tab_MinKomp[[Stanowisko / Position ]:[Stanowisko / Position ]],0)))</f>
        <v>-1</v>
      </c>
      <c r="AY152" s="341" t="str">
        <f>IF(INDEX(tab_MinKomp[Six Sigma],MATCH($B151,tab_MinKomp[[Stanowisko / Position ]:[Stanowisko / Position ]],0))="n/a","n/a",AY151-INDEX(tab_MinKomp[Six Sigma],MATCH($B151,tab_MinKomp[[Stanowisko / Position ]:[Stanowisko / Position ]],0)))</f>
        <v>n/a</v>
      </c>
      <c r="AZ152" s="341" t="str">
        <f>IF(INDEX(tab_MinKomp[System BAAN / Distribution &amp; Supply Chain],MATCH($B151,tab_MinKomp[[Stanowisko / Position ]:[Stanowisko / Position ]],0))="n/a","n/a",AZ151-INDEX(tab_MinKomp[System BAAN / Distribution &amp; Supply Chain],MATCH($B151,tab_MinKomp[[Stanowisko / Position ]:[Stanowisko / Position ]],0)))</f>
        <v>n/a</v>
      </c>
      <c r="BA152" s="341" t="str">
        <f>IF(INDEX(tab_MinKomp[Gospodarka magazynowa / Lagerverwaltung],MATCH($B151,tab_MinKomp[[Stanowisko / Position ]:[Stanowisko / Position ]],0))="n/a","n/a",BA151-INDEX(tab_MinKomp[Gospodarka magazynowa / Lagerverwaltung],MATCH($B151,tab_MinKomp[[Stanowisko / Position ]:[Stanowisko / Position ]],0)))</f>
        <v>n/a</v>
      </c>
      <c r="BB152" s="341" t="str">
        <f>IF(INDEX(tab_MinKomp[Inwentaryzacja - organizacja i przebieg / Inventurprozess],MATCH($B151,tab_MinKomp[[Stanowisko / Position ]:[Stanowisko / Position ]],0))="n/a","n/a",BB151-INDEX(tab_MinKomp[Inwentaryzacja - organizacja i przebieg / Inventurprozess],MATCH($B151,tab_MinKomp[[Stanowisko / Position ]:[Stanowisko / Position ]],0)))</f>
        <v>n/a</v>
      </c>
      <c r="BC152" s="341" t="str">
        <f>IF(INDEX(tab_MinKomp[Organizacja dostaw / Versorgungsorganisation],MATCH($B151,tab_MinKomp[[Stanowisko / Position ]:[Stanowisko / Position ]],0))="n/a","n/a",BC151-INDEX(tab_MinKomp[Organizacja dostaw / Versorgungsorganisation],MATCH($B151,tab_MinKomp[[Stanowisko / Position ]:[Stanowisko / Position ]],0)))</f>
        <v>n/a</v>
      </c>
      <c r="BD152" s="341" t="str">
        <f>IF(INDEX(tab_MinKomp[Organizacja wysyłek / Organisation von Lieferungen],MATCH($B151,tab_MinKomp[[Stanowisko / Position ]:[Stanowisko / Position ]],0))="n/a","n/a",BD151-INDEX(tab_MinKomp[Organizacja wysyłek / Organisation von Lieferungen],MATCH($B151,tab_MinKomp[[Stanowisko / Position ]:[Stanowisko / Position ]],0)))</f>
        <v>n/a</v>
      </c>
      <c r="BE152" s="341" t="str">
        <f>IF(INDEX(tab_MinKomp[Analiza magazynowa - Program Polen.mdb / Inventuranalyse],MATCH($B151,tab_MinKomp[[Stanowisko / Position ]:[Stanowisko / Position ]],0))="n/a","n/a",BE151-INDEX(tab_MinKomp[Analiza magazynowa - Program Polen.mdb / Inventuranalyse],MATCH($B151,tab_MinKomp[[Stanowisko / Position ]:[Stanowisko / Position ]],0)))</f>
        <v>n/a</v>
      </c>
      <c r="BF152" s="341" t="str">
        <f>IF(INDEX(tab_MinKomp[MMOG (Materials Management Operations Guidelines)],MATCH($B151,tab_MinKomp[[Stanowisko / Position ]:[Stanowisko / Position ]],0))="n/a","n/a",BF151-INDEX(tab_MinKomp[MMOG (Materials Management Operations Guidelines)],MATCH($B151,tab_MinKomp[[Stanowisko / Position ]:[Stanowisko / Position ]],0)))</f>
        <v>n/a</v>
      </c>
      <c r="BG152" s="341" t="str">
        <f>IF(INDEX(tab_MinKomp[DETC],MATCH($B151,tab_MinKomp[[Stanowisko / Position ]:[Stanowisko / Position ]],0))="n/a","n/a",BG151-INDEX(tab_MinKomp[DETC],MATCH($B151,tab_MinKomp[[Stanowisko / Position ]:[Stanowisko / Position ]],0)))</f>
        <v>n/a</v>
      </c>
      <c r="BH152" s="341" t="str">
        <f>IF(INDEX(tab_MinKomp[GPP],MATCH($B151,tab_MinKomp[[Stanowisko / Position ]:[Stanowisko / Position ]],0))="n/a","n/a",BH151-INDEX(tab_MinKomp[GPP],MATCH($B151,tab_MinKomp[[Stanowisko / Position ]:[Stanowisko / Position ]],0)))</f>
        <v>n/a</v>
      </c>
      <c r="BI152" s="341" t="str">
        <f>IF(INDEX(tab_MinKomp[AIAG (Automotive Industry Action Group)],MATCH($B151,tab_MinKomp[[Stanowisko / Position ]:[Stanowisko / Position ]],0))="n/a","n/a",BI151-INDEX(tab_MinKomp[AIAG (Automotive Industry Action Group)],MATCH($B151,tab_MinKomp[[Stanowisko / Position ]:[Stanowisko / Position ]],0)))</f>
        <v>n/a</v>
      </c>
      <c r="BJ152" s="341" t="str">
        <f>IF(INDEX(tab_MinKomp[Super-G disputes],MATCH($B151,tab_MinKomp[[Stanowisko / Position ]:[Stanowisko / Position ]],0))="n/a","n/a",BJ151-INDEX(tab_MinKomp[Super-G disputes],MATCH($B151,tab_MinKomp[[Stanowisko / Position ]:[Stanowisko / Position ]],0)))</f>
        <v>n/a</v>
      </c>
      <c r="BK152" s="341" t="str">
        <f>IF(INDEX(tab_MinKomp[CMMS3/eDDL (Direct Data Link)],MATCH($B151,tab_MinKomp[[Stanowisko / Position ]:[Stanowisko / Position ]],0))="n/a","n/a",BK151-INDEX(tab_MinKomp[CMMS3/eDDL (Direct Data Link)],MATCH($B151,tab_MinKomp[[Stanowisko / Position ]:[Stanowisko / Position ]],0)))</f>
        <v>n/a</v>
      </c>
      <c r="BL152" s="341" t="str">
        <f>IF(INDEX(tab_MinKomp[Supplier delivery rating],MATCH($B151,tab_MinKomp[[Stanowisko / Position ]:[Stanowisko / Position ]],0))="n/a","n/a",BL151-INDEX(tab_MinKomp[Supplier delivery rating],MATCH($B151,tab_MinKomp[[Stanowisko / Position ]:[Stanowisko / Position ]],0)))</f>
        <v>n/a</v>
      </c>
      <c r="BM152" s="341" t="str">
        <f>IF(INDEX(tab_MinKomp[Planowanie produkcji / Produktionsplanung],MATCH($B151,tab_MinKomp[[Stanowisko / Position ]:[Stanowisko / Position ]],0))="n/a","n/a",BM151-INDEX(tab_MinKomp[Planowanie produkcji / Produktionsplanung],MATCH($B151,tab_MinKomp[[Stanowisko / Position ]:[Stanowisko / Position ]],0)))</f>
        <v>n/a</v>
      </c>
      <c r="BN152" s="341" t="str">
        <f>IF(INDEX(tab_MinKomp[Obsługa maszyn Engel / Engel Maschinenbedienung],MATCH($B151,tab_MinKomp[[Stanowisko / Position ]:[Stanowisko / Position ]],0))="n/a","n/a",BN151-INDEX(tab_MinKomp[Obsługa maszyn Engel / Engel Maschinenbedienung],MATCH($B151,tab_MinKomp[[Stanowisko / Position ]:[Stanowisko / Position ]],0)))</f>
        <v>n/a</v>
      </c>
      <c r="BO152" s="341" t="str">
        <f>IF(INDEX(tab_MinKomp[Obsługa maszyn Novapax / Novapax Maschinenbedienung],MATCH($B151,tab_MinKomp[[Stanowisko / Position ]:[Stanowisko / Position ]],0))="n/a","n/a",BO151-INDEX(tab_MinKomp[Obsługa maszyn Novapax / Novapax Maschinenbedienung],MATCH($B151,tab_MinKomp[[Stanowisko / Position ]:[Stanowisko / Position ]],0)))</f>
        <v>n/a</v>
      </c>
      <c r="BP152" s="341" t="str">
        <f>IF(INDEX(tab_MinKomp[Obsługa maszyn KVT / KVT Maschinenbedienung],MATCH($B151,tab_MinKomp[[Stanowisko / Position ]:[Stanowisko / Position ]],0))="n/a","n/a",BP151-INDEX(tab_MinKomp[Obsługa maszyn KVT / KVT Maschinenbedienung],MATCH($B151,tab_MinKomp[[Stanowisko / Position ]:[Stanowisko / Position ]],0)))</f>
        <v>n/a</v>
      </c>
      <c r="BQ152" s="341" t="str">
        <f>IF(INDEX(tab_MinKomp[Obsługa maszyn ASL / ASL Maschinenbedienung],MATCH($B151,tab_MinKomp[[Stanowisko / Position ]:[Stanowisko / Position ]],0))="n/a","n/a",BQ151-INDEX(tab_MinKomp[Obsługa maszyn ASL / ASL Maschinenbedienung],MATCH($B151,tab_MinKomp[[Stanowisko / Position ]:[Stanowisko / Position ]],0)))</f>
        <v>n/a</v>
      </c>
      <c r="BR152" s="341" t="str">
        <f>IF(INDEX(tab_MinKomp[Obsługa maszyn Branson / Branson Maschinenbedienung],MATCH($B151,tab_MinKomp[[Stanowisko / Position ]:[Stanowisko / Position ]],0))="n/a","n/a",BR151-INDEX(tab_MinKomp[Obsługa maszyn Branson / Branson Maschinenbedienung],MATCH($B151,tab_MinKomp[[Stanowisko / Position ]:[Stanowisko / Position ]],0)))</f>
        <v>n/a</v>
      </c>
      <c r="BS152" s="341" t="str">
        <f>IF(INDEX(tab_MinKomp[Obsługa maszyn Kamtec / Kamtec Maschinenbedienung],MATCH($B151,tab_MinKomp[[Stanowisko / Position ]:[Stanowisko / Position ]],0))="n/a","n/a",BS151-INDEX(tab_MinKomp[Obsługa maszyn Kamtec / Kamtec Maschinenbedienung],MATCH($B151,tab_MinKomp[[Stanowisko / Position ]:[Stanowisko / Position ]],0)))</f>
        <v>n/a</v>
      </c>
      <c r="BT152" s="341" t="str">
        <f>IF(INDEX(tab_MinKomp[Obsługa maszyn Piovan / Piovan Maschinenbedienung],MATCH($B151,tab_MinKomp[[Stanowisko / Position ]:[Stanowisko / Position ]],0))="n/a","n/a",BT151-INDEX(tab_MinKomp[Obsługa maszyn Piovan / Piovan Maschinenbedienung],MATCH($B151,tab_MinKomp[[Stanowisko / Position ]:[Stanowisko / Position ]],0)))</f>
        <v>n/a</v>
      </c>
      <c r="BU152" s="341" t="str">
        <f>IF(INDEX(tab_MinKomp[Obsługa maszyn REP / REP Maschinenbedienung],MATCH($B151,tab_MinKomp[[Stanowisko / Position ]:[Stanowisko / Position ]],0))="n/a","n/a",BU151-INDEX(tab_MinKomp[Obsługa maszyn REP / REP Maschinenbedienung],MATCH($B151,tab_MinKomp[[Stanowisko / Position ]:[Stanowisko / Position ]],0)))</f>
        <v>n/a</v>
      </c>
      <c r="BV152" s="341" t="str">
        <f>IF(INDEX(tab_MinKomp[Obsługa maszyn REP / REP Maschinenbedienung],MATCH($B151,tab_MinKomp[[Stanowisko / Position ]:[Stanowisko / Position ]],0))="n/a","n/a",BV151-INDEX(tab_MinKomp[Obsługa maszyn REP / REP Maschinenbedienung],MATCH($B151,tab_MinKomp[[Stanowisko / Position ]:[Stanowisko / Position ]],0)))</f>
        <v>n/a</v>
      </c>
      <c r="BW152" s="341" t="str">
        <f>IF(INDEX(tab_MinKomp[Eliminacja awarii / Beseitigung von Ausfällen],MATCH($B151,tab_MinKomp[[Stanowisko / Position ]:[Stanowisko / Position ]],0))="n/a","n/a",BW151-INDEX(tab_MinKomp[Eliminacja awarii / Beseitigung von Ausfällen],MATCH($B151,tab_MinKomp[[Stanowisko / Position ]:[Stanowisko / Position ]],0)))</f>
        <v>n/a</v>
      </c>
      <c r="BX152" s="341" t="str">
        <f>IF(INDEX(tab_MinKomp[Informatyka ogólna (techniczne i systemowe) / Allgemeine IT (Technik und System)],MATCH($B151,tab_MinKomp[[Stanowisko / Position ]:[Stanowisko / Position ]],0))="n/a","n/a",BX151-INDEX(tab_MinKomp[Informatyka ogólna (techniczne i systemowe) / Allgemeine IT (Technik und System)],MATCH($B151,tab_MinKomp[[Stanowisko / Position ]:[Stanowisko / Position ]],0)))</f>
        <v>n/a</v>
      </c>
      <c r="BY152" s="341" t="str">
        <f>IF(INDEX(tab_MinKomp[Sieci komputerowe / Computernetzwerke],MATCH($B151,tab_MinKomp[[Stanowisko / Position ]:[Stanowisko / Position ]],0))="n/a","n/a",BY151-INDEX(tab_MinKomp[Sieci komputerowe / Computernetzwerke],MATCH($B151,tab_MinKomp[[Stanowisko / Position ]:[Stanowisko / Position ]],0)))</f>
        <v>n/a</v>
      </c>
      <c r="BZ152" s="341" t="str">
        <f>IF(INDEX(tab_MinKomp[Hardware (komputery PC, drukarki biurowe i etykietowe, telefonia stacjonarna i mobilna) (PC, Drucker, Telefpne, Handys)],MATCH($B151,tab_MinKomp[[Stanowisko / Position ]:[Stanowisko / Position ]],0))="n/a","n/a",BZ151-INDEX(tab_MinKomp[Hardware (komputery PC, drukarki biurowe i etykietowe, telefonia stacjonarna i mobilna) (PC, Drucker, Telefpne, Handys)],MATCH($B151,tab_MinKomp[[Stanowisko / Position ]:[Stanowisko / Position ]],0)))</f>
        <v>n/a</v>
      </c>
      <c r="CA152" s="341" t="str">
        <f>IF(INDEX(tab_MinKomp[Software &amp; Systems (MS Office, MS Remote Desktop)],MATCH($B151,tab_MinKomp[[Stanowisko / Position ]:[Stanowisko / Position ]],0))="n/a","n/a",CA151-INDEX(tab_MinKomp[Software &amp; Systems (MS Office, MS Remote Desktop)],MATCH($B151,tab_MinKomp[[Stanowisko / Position ]:[Stanowisko / Position ]],0)))</f>
        <v>n/a</v>
      </c>
      <c r="CB152" s="341" t="str">
        <f>IF(INDEX(tab_MinKomp[Programowanie obiektowe (PHP) / Objektprogrammierung],MATCH($B151,tab_MinKomp[[Stanowisko / Position ]:[Stanowisko / Position ]],0))="n/a","n/a",CB151-INDEX(tab_MinKomp[Programowanie obiektowe (PHP) / Objektprogrammierung],MATCH($B151,tab_MinKomp[[Stanowisko / Position ]:[Stanowisko / Position ]],0)))</f>
        <v>n/a</v>
      </c>
      <c r="CC152" s="341" t="str">
        <f>IF(INDEX(tab_MinKomp[Scrum],MATCH($B151,tab_MinKomp[[Stanowisko / Position ]:[Stanowisko / Position ]],0))="n/a","n/a",CC151-INDEX(tab_MinKomp[Scrum],MATCH($B151,tab_MinKomp[[Stanowisko / Position ]:[Stanowisko / Position ]],0)))</f>
        <v>n/a</v>
      </c>
      <c r="CD152" s="341" t="str">
        <f>IF(INDEX(tab_MinKomp[SQL (MySQL)],MATCH($B151,tab_MinKomp[[Stanowisko / Position ]:[Stanowisko / Position ]],0))="n/a","n/a",CD151-INDEX(tab_MinKomp[SQL (MySQL)],MATCH($B151,tab_MinKomp[[Stanowisko / Position ]:[Stanowisko / Position ]],0)))</f>
        <v>n/a</v>
      </c>
      <c r="CE152" s="341" t="str">
        <f>IF(INDEX(tab_MinKomp[Javascript],MATCH($B151,tab_MinKomp[[Stanowisko / Position ]:[Stanowisko / Position ]],0))="n/a","n/a",CE151-INDEX(tab_MinKomp[Javascript],MATCH($B151,tab_MinKomp[[Stanowisko / Position ]:[Stanowisko / Position ]],0)))</f>
        <v>n/a</v>
      </c>
      <c r="CF152" s="341" t="str">
        <f>IF(INDEX(tab_MinKomp[Joomla],MATCH($B151,tab_MinKomp[[Stanowisko / Position ]:[Stanowisko / Position ]],0))="n/a","n/a",CF151-INDEX(tab_MinKomp[Joomla],MATCH($B151,tab_MinKomp[[Stanowisko / Position ]:[Stanowisko / Position ]],0)))</f>
        <v>n/a</v>
      </c>
      <c r="CG152" s="341" t="str">
        <f>IF(INDEX(tab_MinKomp[Systemy MES (HYDRA / SFMS)],MATCH($B151,tab_MinKomp[[Stanowisko / Position ]:[Stanowisko / Position ]],0))="n/a","n/a",CG151-INDEX(tab_MinKomp[Systemy MES (HYDRA / SFMS)],MATCH($B151,tab_MinKomp[[Stanowisko / Position ]:[Stanowisko / Position ]],0)))</f>
        <v>n/a</v>
      </c>
      <c r="CH152" s="341" t="str">
        <f>IF(INDEX(tab_MinKomp[HTML / CSS],MATCH($B151,tab_MinKomp[[Stanowisko / Position ]:[Stanowisko / Position ]],0))="n/a","n/a",CH151-INDEX(tab_MinKomp[HTML / CSS],MATCH($B151,tab_MinKomp[[Stanowisko / Position ]:[Stanowisko / Position ]],0)))</f>
        <v>n/a</v>
      </c>
      <c r="CI152" s="341" t="str">
        <f>IF(INDEX(tab_MinKomp[SYSTEM PR],MATCH($B151,tab_MinKomp[[Stanowisko / Position ]:[Stanowisko / Position ]],0))="n/a","n/a",CI151-INDEX(tab_MinKomp[SYSTEM PR],MATCH($B151,tab_MinKomp[[Stanowisko / Position ]:[Stanowisko / Position ]],0)))</f>
        <v>n/a</v>
      </c>
      <c r="CJ152" s="341" t="str">
        <f>IF(INDEX(tab_MinKomp[System Einkauf XP / EBA],MATCH($B151,tab_MinKomp[[Stanowisko / Position ]:[Stanowisko / Position ]],0))="n/a","n/a",CJ151-INDEX(tab_MinKomp[System Einkauf XP / EBA],MATCH($B151,tab_MinKomp[[Stanowisko / Position ]:[Stanowisko / Position ]],0)))</f>
        <v>n/a</v>
      </c>
      <c r="CK152" s="341" t="str">
        <f>IF(INDEX(tab_MinKomp[Techniki negocjacyjne / Verhandlungstechniken],MATCH($B151,tab_MinKomp[[Stanowisko / Position ]:[Stanowisko / Position ]],0))="n/a","n/a",CK151-INDEX(tab_MinKomp[Techniki negocjacyjne / Verhandlungstechniken],MATCH($B151,tab_MinKomp[[Stanowisko / Position ]:[Stanowisko / Position ]],0)))</f>
        <v>n/a</v>
      </c>
      <c r="CL152" s="341" t="str">
        <f>IF(INDEX(tab_MinKomp[Znajomość rynku branżowego / Kenntnis des Industrie Marktes],MATCH($B151,tab_MinKomp[[Stanowisko / Position ]:[Stanowisko / Position ]],0))="n/a","n/a",CL151-INDEX(tab_MinKomp[Znajomość rynku branżowego / Kenntnis des Industrie Marktes],MATCH($B151,tab_MinKomp[[Stanowisko / Position ]:[Stanowisko / Position ]],0)))</f>
        <v>n/a</v>
      </c>
      <c r="CM152" s="341" t="str">
        <f>IF(INDEX(tab_MinKomp[RAPORTY 8D / 8D Berichten],MATCH($B151,tab_MinKomp[[Stanowisko / Position ]:[Stanowisko / Position ]],0))="n/a","n/a",CM151-INDEX(tab_MinKomp[RAPORTY 8D / 8D Berichten],MATCH($B151,tab_MinKomp[[Stanowisko / Position ]:[Stanowisko / Position ]],0)))</f>
        <v>n/a</v>
      </c>
      <c r="CN152" s="341">
        <f>IF(INDEX(tab_MinKomp[NARZĘDZIA JAKOŚCIOWE (5WHY, Ishikawa, etc) / QS-Werkzeuge],MATCH($B151,tab_MinKomp[[Stanowisko / Position ]:[Stanowisko / Position ]],0))="n/a","n/a",CN151-INDEX(tab_MinKomp[NARZĘDZIA JAKOŚCIOWE (5WHY, Ishikawa, etc) / QS-Werkzeuge],MATCH($B151,tab_MinKomp[[Stanowisko / Position ]:[Stanowisko / Position ]],0)))</f>
        <v>-1</v>
      </c>
      <c r="CO152" s="341">
        <f>IF(INDEX(tab_MinKomp[PDCA],MATCH($B151,tab_MinKomp[[Stanowisko / Position ]:[Stanowisko / Position ]],0))="n/a","n/a",CO151-INDEX(tab_MinKomp[PDCA],MATCH($B151,tab_MinKomp[[Stanowisko / Position ]:[Stanowisko / Position ]],0)))</f>
        <v>-1</v>
      </c>
      <c r="CP152" s="341">
        <f>IF(INDEX(tab_MinKomp[Pareto],MATCH($B151,tab_MinKomp[[Stanowisko / Position ]:[Stanowisko / Position ]],0))="n/a","n/a",CP151-INDEX(tab_MinKomp[Pareto],MATCH($B151,tab_MinKomp[[Stanowisko / Position ]:[Stanowisko / Position ]],0)))</f>
        <v>-1</v>
      </c>
      <c r="CQ152" s="341" t="str">
        <f>IF(INDEX(tab_MinKomp[PPAP/PSW],MATCH($B151,tab_MinKomp[[Stanowisko / Position ]:[Stanowisko / Position ]],0))="n/a","n/a",CQ151-INDEX(tab_MinKomp[PPAP/PSW],MATCH($B151,tab_MinKomp[[Stanowisko / Position ]:[Stanowisko / Position ]],0)))</f>
        <v>n/a</v>
      </c>
      <c r="CR152" s="341" t="str">
        <f>IF(INDEX(tab_MinKomp[SUPPLIER MANAGEMENT],MATCH($B151,tab_MinKomp[[Stanowisko / Position ]:[Stanowisko / Position ]],0))="n/a","n/a",CR151-INDEX(tab_MinKomp[SUPPLIER MANAGEMENT],MATCH($B151,tab_MinKomp[[Stanowisko / Position ]:[Stanowisko / Position ]],0)))</f>
        <v>n/a</v>
      </c>
      <c r="CS152" s="341" t="str">
        <f>IF(INDEX(tab_MinKomp[OBSŁUGA PORTALI KLIENTA / Kundenportale],MATCH($B151,tab_MinKomp[[Stanowisko / Position ]:[Stanowisko / Position ]],0))="n/a","n/a",CS151-INDEX(tab_MinKomp[OBSŁUGA PORTALI KLIENTA / Kundenportale],MATCH($B151,tab_MinKomp[[Stanowisko / Position ]:[Stanowisko / Position ]],0)))</f>
        <v>n/a</v>
      </c>
      <c r="CT152" s="341" t="str">
        <f>IF(INDEX(tab_MinKomp[Obsługa systemu BABTECQ / BABTECQ System],MATCH($B151,tab_MinKomp[[Stanowisko / Position ]:[Stanowisko / Position ]],0))="n/a","n/a",CT151-INDEX(tab_MinKomp[Obsługa systemu BABTECQ / BABTECQ System],MATCH($B151,tab_MinKomp[[Stanowisko / Position ]:[Stanowisko / Position ]],0)))</f>
        <v>n/a</v>
      </c>
      <c r="CU152" s="341">
        <f>IF(INDEX(tab_MinKomp[Rysunek techniczny / technische Zeichnung],MATCH($B151,tab_MinKomp[[Stanowisko / Position ]:[Stanowisko / Position ]],0))="n/a","n/a",CU151-INDEX(tab_MinKomp[Rysunek techniczny / technische Zeichnung],MATCH($B151,tab_MinKomp[[Stanowisko / Position ]:[Stanowisko / Position ]],0)))</f>
        <v>0</v>
      </c>
      <c r="CV152" s="341" t="str">
        <f>IF(INDEX(tab_MinKomp[Kalibracja / Kalibrierung],MATCH($B151,tab_MinKomp[[Stanowisko / Position ]:[Stanowisko / Position ]],0))="n/a","n/a",CV151-INDEX(tab_MinKomp[Kalibracja / Kalibrierung],MATCH($B151,tab_MinKomp[[Stanowisko / Position ]:[Stanowisko / Position ]],0)))</f>
        <v>n/a</v>
      </c>
      <c r="CW152" s="341" t="str">
        <f>IF(INDEX(tab_MinKomp[Rekwalifikacja / Requalifizierung],MATCH($B151,tab_MinKomp[[Stanowisko / Position ]:[Stanowisko / Position ]],0))="n/a","n/a",CW151-INDEX(tab_MinKomp[Rekwalifikacja / Requalifizierung],MATCH($B151,tab_MinKomp[[Stanowisko / Position ]:[Stanowisko / Position ]],0)))</f>
        <v>n/a</v>
      </c>
      <c r="CX152" s="341" t="str">
        <f>IF(INDEX(tab_MinKomp[Obsługa mikroskopu optycznego / Bedienung eines optischen Mikroskops],MATCH($B151,tab_MinKomp[[Stanowisko / Position ]:[Stanowisko / Position ]],0))="n/a","n/a",CX151-INDEX(tab_MinKomp[Obsługa mikroskopu optycznego / Bedienung eines optischen Mikroskops],MATCH($B151,tab_MinKomp[[Stanowisko / Position ]:[Stanowisko / Position ]],0)))</f>
        <v>n/a</v>
      </c>
      <c r="CY152" s="341" t="str">
        <f>IF(INDEX(tab_MinKomp[Wykonywanie pomiarów optycznych - ocena wizualna / Optische Messungen durchführen – visuelle Beurteilung],MATCH($B151,tab_MinKomp[[Stanowisko / Position ]:[Stanowisko / Position ]],0))="n/a","n/a",CY151-INDEX(tab_MinKomp[Wykonywanie pomiarów optycznych - ocena wizualna / Optische Messungen durchführen – visuelle Beurteilung],MATCH($B151,tab_MinKomp[[Stanowisko / Position ]:[Stanowisko / Position ]],0)))</f>
        <v>n/a</v>
      </c>
      <c r="CZ152" s="341" t="str">
        <f>IF(INDEX(tab_MinKomp[Obsługa Rheometra / Rheometra-Unterstützung],MATCH($B151,tab_MinKomp[[Stanowisko / Position ]:[Stanowisko / Position ]],0))="n/a","n/a",CZ151-INDEX(tab_MinKomp[Obsługa Rheometra / Rheometra-Unterstützung],MATCH($B151,tab_MinKomp[[Stanowisko / Position ]:[Stanowisko / Position ]],0)))</f>
        <v>n/a</v>
      </c>
      <c r="DA152" s="341" t="str">
        <f>IF(INDEX(tab_MinKomp[Testy właściwości Rheometra mieszanki gumy],MATCH($B151,tab_MinKomp[[Stanowisko / Position ]:[Stanowisko / Position ]],0))="n/a","n/a",DA151-INDEX(tab_MinKomp[Testy właściwości Rheometra mieszanki gumy],MATCH($B151,tab_MinKomp[[Stanowisko / Position ]:[Stanowisko / Position ]],0)))</f>
        <v>n/a</v>
      </c>
      <c r="DB152" s="341" t="str">
        <f>IF(INDEX(tab_MinKomp[CMM - Contura Zeiss],MATCH($B151,tab_MinKomp[[Stanowisko / Position ]:[Stanowisko / Position ]],0))="n/a","n/a",DB151-INDEX(tab_MinKomp[CMM - Contura Zeiss],MATCH($B151,tab_MinKomp[[Stanowisko / Position ]:[Stanowisko / Position ]],0)))</f>
        <v>n/a</v>
      </c>
      <c r="DC152" s="341" t="str">
        <f>IF(INDEX(tab_MinKomp[Wykonywanie precyzyjnych pomiarów metrycznych, pomiary 3D],MATCH($B151,tab_MinKomp[[Stanowisko / Position ]:[Stanowisko / Position ]],0))="n/a","n/a",DC151-INDEX(tab_MinKomp[Wykonywanie precyzyjnych pomiarów metrycznych, pomiary 3D],MATCH($B151,tab_MinKomp[[Stanowisko / Position ]:[Stanowisko / Position ]],0)))</f>
        <v>n/a</v>
      </c>
      <c r="DD152" s="341" t="str">
        <f>IF(INDEX(tab_MinKomp[Pisanie programów / Programme schreiben],MATCH($B151,tab_MinKomp[[Stanowisko / Position ]:[Stanowisko / Position ]],0))="n/a","n/a",DD151-INDEX(tab_MinKomp[Pisanie programów / Programme schreiben],MATCH($B151,tab_MinKomp[[Stanowisko / Position ]:[Stanowisko / Position ]],0)))</f>
        <v>n/a</v>
      </c>
      <c r="DE152" s="341" t="str">
        <f>IF(INDEX(tab_MinKomp[Obsługa wyposażenia do testów czystości (myjka + analizator) / Betrieb von Sauberkeitsprüfgeräten (Waschmaschine + Analysegerät)],MATCH($B151,tab_MinKomp[[Stanowisko / Position ]:[Stanowisko / Position ]],0))="n/a","n/a",DE151-INDEX(tab_MinKomp[Obsługa wyposażenia do testów czystości (myjka + analizator) / Betrieb von Sauberkeitsprüfgeräten (Waschmaschine + Analysegerät)],MATCH($B151,tab_MinKomp[[Stanowisko / Position ]:[Stanowisko / Position ]],0)))</f>
        <v>n/a</v>
      </c>
      <c r="DF152" s="341" t="str">
        <f>IF(INDEX(tab_MinKomp[Testy czystości / Reinheitstests],MATCH($B151,tab_MinKomp[[Stanowisko / Position ]:[Stanowisko / Position ]],0))="n/a","n/a",DF151-INDEX(tab_MinKomp[Testy czystości / Reinheitstests],MATCH($B151,tab_MinKomp[[Stanowisko / Position ]:[Stanowisko / Position ]],0)))</f>
        <v>n/a</v>
      </c>
      <c r="DG152" s="341" t="str">
        <f>IF(INDEX(tab_MinKomp[Obsługa wysokościomierza / Unterstützung für Höhenmesser],MATCH($B151,tab_MinKomp[[Stanowisko / Position ]:[Stanowisko / Position ]],0))="n/a","n/a",DG151-INDEX(tab_MinKomp[Obsługa wysokościomierza / Unterstützung für Höhenmesser],MATCH($B151,tab_MinKomp[[Stanowisko / Position ]:[Stanowisko / Position ]],0)))</f>
        <v>n/a</v>
      </c>
      <c r="DH152" s="341" t="str">
        <f>IF(INDEX(tab_MinKomp[Pomiary wysokości materiału / Materialhöhenmessungen],MATCH($B151,tab_MinKomp[[Stanowisko / Position ]:[Stanowisko / Position ]],0))="n/a","n/a",DH151-INDEX(tab_MinKomp[Pomiary wysokości materiału / Materialhöhenmessungen],MATCH($B151,tab_MinKomp[[Stanowisko / Position ]:[Stanowisko / Position ]],0)))</f>
        <v>n/a</v>
      </c>
      <c r="DI152" s="341" t="str">
        <f>IF(INDEX(tab_MinKomp[Obsługa okrągłościomierza / Unterstützung für Rundheitsmessgeräte],MATCH($B151,tab_MinKomp[[Stanowisko / Position ]:[Stanowisko / Position ]],0))="n/a","n/a",DI151-INDEX(tab_MinKomp[Obsługa okrągłościomierza / Unterstützung für Rundheitsmessgeräte],MATCH($B151,tab_MinKomp[[Stanowisko / Position ]:[Stanowisko / Position ]],0)))</f>
        <v>n/a</v>
      </c>
      <c r="DJ152" s="341" t="str">
        <f>IF(INDEX(tab_MinKomp[Wykonywania pomiarów owalności, srednicy materiału / Messung der Ovalität und des Durchmessers des Materials],MATCH($B151,tab_MinKomp[[Stanowisko / Position ]:[Stanowisko / Position ]],0))="n/a","n/a",DJ151-INDEX(tab_MinKomp[Wykonywania pomiarów owalności, srednicy materiału / Messung der Ovalität und des Durchmessers des Materials],MATCH($B151,tab_MinKomp[[Stanowisko / Position ]:[Stanowisko / Position ]],0)))</f>
        <v>n/a</v>
      </c>
      <c r="DK152" s="341" t="str">
        <f>IF(INDEX(tab_MinKomp[Obsługa urządzenia do pomiarów chropowoatości powierzchni materiału],MATCH($B151,tab_MinKomp[[Stanowisko / Position ]:[Stanowisko / Position ]],0))="n/a","n/a",DK151-INDEX(tab_MinKomp[Obsługa urządzenia do pomiarów chropowoatości powierzchni materiału],MATCH($B151,tab_MinKomp[[Stanowisko / Position ]:[Stanowisko / Position ]],0)))</f>
        <v>n/a</v>
      </c>
      <c r="DL152" s="341" t="str">
        <f>IF(INDEX(tab_MinKomp[Wykonywanie pomiarów chropowatości powierzchni materiału / Durchführung von Messungen der Materialoberflächenrauheit],MATCH($B151,tab_MinKomp[[Stanowisko / Position ]:[Stanowisko / Position ]],0))="n/a","n/a",DL151-INDEX(tab_MinKomp[Wykonywanie pomiarów chropowatości powierzchni materiału / Durchführung von Messungen der Materialoberflächenrauheit],MATCH($B151,tab_MinKomp[[Stanowisko / Position ]:[Stanowisko / Position ]],0)))</f>
        <v>n/a</v>
      </c>
      <c r="DM152" s="341" t="str">
        <f>IF(INDEX(tab_MinKomp[Obsługa urządzenia do pomiaru siły radialnej części - postępowanie z trzpieniami. / Funktionsweise des Geräts zur Messung der Radialkraft von Teilen – Handhabungsstifte.],MATCH($B151,tab_MinKomp[[Stanowisko / Position ]:[Stanowisko / Position ]],0))="n/a","n/a",DM151-INDEX(tab_MinKomp[Obsługa urządzenia do pomiaru siły radialnej części - postępowanie z trzpieniami. / Funktionsweise des Geräts zur Messung der Radialkraft von Teilen – Handhabungsstifte.],MATCH($B151,tab_MinKomp[[Stanowisko / Position ]:[Stanowisko / Position ]],0)))</f>
        <v>n/a</v>
      </c>
      <c r="DN152" s="341" t="str">
        <f>IF(INDEX(tab_MinKomp[Wykonywanie pomiarów siły radialnej części / Führen Sie Radialkraftmessungen an Teilen durch],MATCH($B151,tab_MinKomp[[Stanowisko / Position ]:[Stanowisko / Position ]],0))="n/a","n/a",DN151-INDEX(tab_MinKomp[Wykonywanie pomiarów siły radialnej części / Führen Sie Radialkraftmessungen an Teilen durch],MATCH($B151,tab_MinKomp[[Stanowisko / Position ]:[Stanowisko / Position ]],0)))</f>
        <v>n/a</v>
      </c>
      <c r="DO152" s="341" t="str">
        <f>IF(INDEX(tab_MinKomp[Obsługa komory do testów wybuchwych / Betrieb einer Explosionsprüfkammer],MATCH($B151,tab_MinKomp[[Stanowisko / Position ]:[Stanowisko / Position ]],0))="n/a","n/a",DO151-INDEX(tab_MinKomp[Obsługa komory do testów wybuchwych / Betrieb einer Explosionsprüfkammer],MATCH($B151,tab_MinKomp[[Stanowisko / Position ]:[Stanowisko / Position ]],0)))</f>
        <v>n/a</v>
      </c>
      <c r="DP152" s="341" t="str">
        <f>IF(INDEX(tab_MinKomp[Wykonywanie testów wybuchowych części / Durchführung von Explosionstests an Teilen],MATCH($B151,tab_MinKomp[[Stanowisko / Position ]:[Stanowisko / Position ]],0))="n/a","n/a",DP151-INDEX(tab_MinKomp[Wykonywanie testów wybuchowych części / Durchführung von Explosionstests an Teilen],MATCH($B151,tab_MinKomp[[Stanowisko / Position ]:[Stanowisko / Position ]],0)))</f>
        <v>n/a</v>
      </c>
      <c r="DQ152" s="341" t="str">
        <f>IF(INDEX(tab_MinKomp[Obsługa urządzeń do mierzenia siły trzymania i/lub rozciągania / Betrieb von Geräten zur Messung der Halte- und/oder Dehnkraft],MATCH($B151,tab_MinKomp[[Stanowisko / Position ]:[Stanowisko / Position ]],0))="n/a","n/a",DQ151-INDEX(tab_MinKomp[Obsługa urządzeń do mierzenia siły trzymania i/lub rozciągania / Betrieb von Geräten zur Messung der Halte- und/oder Dehnkraft],MATCH($B151,tab_MinKomp[[Stanowisko / Position ]:[Stanowisko / Position ]],0)))</f>
        <v>n/a</v>
      </c>
      <c r="DR152" s="341" t="str">
        <f>IF(INDEX(tab_MinKomp[Wykonywanie testów mierzenia siły trzymania i/lub rozciągania / Durchführung von Tests zur Messung der Halte- und/oder Streckkraft],MATCH($B151,tab_MinKomp[[Stanowisko / Position ]:[Stanowisko / Position ]],0))="n/a","n/a",DR151-INDEX(tab_MinKomp[Wykonywanie testów mierzenia siły trzymania i/lub rozciągania / Durchführung von Tests zur Messung der Halte- und/oder Streckkraft],MATCH($B151,tab_MinKomp[[Stanowisko / Position ]:[Stanowisko / Position ]],0)))</f>
        <v>n/a</v>
      </c>
      <c r="DS152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Luftstrom)],MATCH($B151,tab_MinKomp[[Stanowisko / Position ]:[Stanowisko / Position ]],0))="n/a","n/a",DS151-INDEX(tab_MinKomp[Obsługa multimetru do pomiarów środowiskowych (temperatura, wilgotność, hałas, oświetlenie, przepływ powietrza) / Betrieb eines Multimeters für Umweltmessungen (Temperatur, Luftfeuchtigkeit, Lärm, Beleuchtung, Luftstrom)],MATCH($B151,tab_MinKomp[[Stanowisko / Position ]:[Stanowisko / Position ]],0)))</f>
        <v>n/a</v>
      </c>
      <c r="DT152" s="341" t="str">
        <f>IF(INDEX(tab_MinKomp[Kontrola warunków środowiskowych pracy (temperatura, wilgotność, hałas, oświetlenie, przepływ powietrza) / Kontrolle der Arbeitsumgebungsbedingungen (Temperatur, Luftfeuchtigkeit, Lärm, Beleuchtung, Luftstrom)],MATCH($B151,tab_MinKomp[[Stanowisko / Position ]:[Stanowisko / Position ]],0))="n/a","n/a",DT151-INDEX(tab_MinKomp[Kontrola warunków środowiskowych pracy (temperatura, wilgotność, hałas, oświetlenie, przepływ powietrza) / Kontrolle der Arbeitsumgebungsbedingungen (Temperatur, Luftfeuchtigkeit, Lärm, Beleuchtung, Luftstrom)],MATCH($B151,tab_MinKomp[[Stanowisko / Position ]:[Stanowisko / Position ]],0)))</f>
        <v>n/a</v>
      </c>
      <c r="DU152" s="341" t="str">
        <f>IF(INDEX(tab_MinKomp[MSA i SPC],MATCH($B151,tab_MinKomp[[Stanowisko / Position ]:[Stanowisko / Position ]],0))="n/a","n/a",DU151-INDEX(tab_MinKomp[MSA i SPC],MATCH($B151,tab_MinKomp[[Stanowisko / Position ]:[Stanowisko / Position ]],0)))</f>
        <v>n/a</v>
      </c>
      <c r="DV152" s="341" t="str">
        <f>IF(INDEX(tab_MinKomp[Kontrola wejściowa komponentów/ Eingangskontrolle],MATCH($B151,tab_MinKomp[[Stanowisko / Position ]:[Stanowisko / Position ]],0))="n/a","n/a",DV151-INDEX(tab_MinKomp[Kontrola wejściowa komponentów/ Eingangskontrolle],MATCH($B151,tab_MinKomp[[Stanowisko / Position ]:[Stanowisko / Position ]],0)))</f>
        <v>n/a</v>
      </c>
      <c r="DW152" s="341" t="str">
        <f>IF(INDEX(tab_MinKomp[Kontrola wyjściowa produktu / Ausgangskontrolle],MATCH($B151,tab_MinKomp[[Stanowisko / Position ]:[Stanowisko / Position ]],0))="n/a","n/a",DW151-INDEX(tab_MinKomp[Kontrola wyjściowa produktu / Ausgangskontrolle],MATCH($B151,tab_MinKomp[[Stanowisko / Position ]:[Stanowisko / Position ]],0)))</f>
        <v>n/a</v>
      </c>
      <c r="DX152" s="341" t="str">
        <f>IF(INDEX(tab_MinKomp[Kontrola codzienna produkcji / Tägliche Produktionskontrolle],MATCH($B151,tab_MinKomp[[Stanowisko / Position ]:[Stanowisko / Position ]],0))="n/a","n/a",DX151-INDEX(tab_MinKomp[Kontrola codzienna produkcji / Tägliche Produktionskontrolle],MATCH($B151,tab_MinKomp[[Stanowisko / Position ]:[Stanowisko / Position ]],0)))</f>
        <v>n/a</v>
      </c>
      <c r="DY152" s="341" t="str">
        <f>IF(INDEX(tab_MinKomp[Konserwacja Rep],MATCH($B151,tab_MinKomp[[Stanowisko / Position ]:[Stanowisko / Position ]],0))="n/a","n/a",DY151-INDEX(tab_MinKomp[Konserwacja Rep],MATCH($B151,tab_MinKomp[[Stanowisko / Position ]:[Stanowisko / Position ]],0)))</f>
        <v>n/a</v>
      </c>
      <c r="DZ152" s="341" t="str">
        <f>IF(INDEX(tab_MinKomp[[Konserwacja Engel ]],MATCH($B151,tab_MinKomp[[Stanowisko / Position ]:[Stanowisko / Position ]],0))="n/a","n/a",DZ151-INDEX(tab_MinKomp[[Konserwacja Engel ]],MATCH($B151,tab_MinKomp[[Stanowisko / Position ]:[Stanowisko / Position ]],0)))</f>
        <v>n/a</v>
      </c>
      <c r="EA152" s="341" t="str">
        <f>IF(INDEX(tab_MinKomp[Konserwacja B 50],MATCH($B151,tab_MinKomp[[Stanowisko / Position ]:[Stanowisko / Position ]],0))="n/a","n/a",EA151-INDEX(tab_MinKomp[Konserwacja B 50],MATCH($B151,tab_MinKomp[[Stanowisko / Position ]:[Stanowisko / Position ]],0)))</f>
        <v>n/a</v>
      </c>
      <c r="EB152" s="341" t="str">
        <f>IF(INDEX(tab_MinKomp[[Konserwacja EOL ]],MATCH($B151,tab_MinKomp[[Stanowisko / Position ]:[Stanowisko / Position ]],0))="n/a","n/a",EB151-INDEX(tab_MinKomp[[Konserwacja EOL ]],MATCH($B151,tab_MinKomp[[Stanowisko / Position ]:[Stanowisko / Position ]],0)))</f>
        <v>n/a</v>
      </c>
      <c r="EC152" s="341" t="str">
        <f>IF(INDEX(tab_MinKomp[Konserwacja Branson],MATCH($B151,tab_MinKomp[[Stanowisko / Position ]:[Stanowisko / Position ]],0))="n/a","n/a",EC151-INDEX(tab_MinKomp[Konserwacja Branson],MATCH($B151,tab_MinKomp[[Stanowisko / Position ]:[Stanowisko / Position ]],0)))</f>
        <v>n/a</v>
      </c>
      <c r="ED152" s="341" t="str">
        <f>IF(INDEX(tab_MinKomp[Konserwacja coolery],MATCH($B151,tab_MinKomp[[Stanowisko / Position ]:[Stanowisko / Position ]],0))="n/a","n/a",ED151-INDEX(tab_MinKomp[Konserwacja coolery],MATCH($B151,tab_MinKomp[[Stanowisko / Position ]:[Stanowisko / Position ]],0)))</f>
        <v>n/a</v>
      </c>
      <c r="EE152" s="341" t="str">
        <f>IF(INDEX(tab_MinKomp[Konserwacja piecy],MATCH($B151,tab_MinKomp[[Stanowisko / Position ]:[Stanowisko / Position ]],0))="n/a","n/a",EE151-INDEX(tab_MinKomp[Konserwacja piecy],MATCH($B151,tab_MinKomp[[Stanowisko / Position ]:[Stanowisko / Position ]],0)))</f>
        <v>n/a</v>
      </c>
      <c r="EF152" s="341" t="str">
        <f>IF(INDEX(tab_MinKomp[Rysunek techniczny- czytanie],MATCH($B151,tab_MinKomp[[Stanowisko / Position ]:[Stanowisko / Position ]],0))="n/a","n/a",EF151-INDEX(tab_MinKomp[Rysunek techniczny- czytanie],MATCH($B151,tab_MinKomp[[Stanowisko / Position ]:[Stanowisko / Position ]],0)))</f>
        <v>n/a</v>
      </c>
      <c r="EG152" s="341" t="str">
        <f>IF(INDEX(tab_MinKomp[Elektryka],MATCH($B151,tab_MinKomp[[Stanowisko / Position ]:[Stanowisko / Position ]],0))="n/a","n/a",EG151-INDEX(tab_MinKomp[Elektryka],MATCH($B151,tab_MinKomp[[Stanowisko / Position ]:[Stanowisko / Position ]],0)))</f>
        <v>n/a</v>
      </c>
      <c r="EH152" s="341" t="str">
        <f>IF(INDEX(tab_MinKomp[Pneumatyka],MATCH($B151,tab_MinKomp[[Stanowisko / Position ]:[Stanowisko / Position ]],0))="n/a","n/a",EH151-INDEX(tab_MinKomp[Pneumatyka],MATCH($B151,tab_MinKomp[[Stanowisko / Position ]:[Stanowisko / Position ]],0)))</f>
        <v>n/a</v>
      </c>
      <c r="EI152" s="341" t="str">
        <f>IF(INDEX(tab_MinKomp[[Hydraulika ]],MATCH($B151,tab_MinKomp[[Stanowisko / Position ]:[Stanowisko / Position ]],0))="n/a","n/a",EI151-INDEX(tab_MinKomp[[Hydraulika ]],MATCH($B151,tab_MinKomp[[Stanowisko / Position ]:[Stanowisko / Position ]],0)))</f>
        <v>n/a</v>
      </c>
      <c r="EJ152" s="341" t="str">
        <f>IF(INDEX(tab_MinKomp[Podciśnienie],MATCH($B151,tab_MinKomp[[Stanowisko / Position ]:[Stanowisko / Position ]],0))="n/a","n/a",EJ151-INDEX(tab_MinKomp[Podciśnienie],MATCH($B151,tab_MinKomp[[Stanowisko / Position ]:[Stanowisko / Position ]],0)))</f>
        <v>n/a</v>
      </c>
      <c r="EK152" s="341" t="str">
        <f>IF(INDEX(tab_MinKomp[Usuwanie awarii],MATCH($B151,tab_MinKomp[[Stanowisko / Position ]:[Stanowisko / Position ]],0))="n/a","n/a",EK151-INDEX(tab_MinKomp[Usuwanie awarii],MATCH($B151,tab_MinKomp[[Stanowisko / Position ]:[Stanowisko / Position ]],0)))</f>
        <v>n/a</v>
      </c>
      <c r="EL152" s="341" t="str">
        <f>IF(INDEX(tab_MinKomp[Obsługa robotów],MATCH($B151,tab_MinKomp[[Stanowisko / Position ]:[Stanowisko / Position ]],0))="n/a","n/a",EL151-INDEX(tab_MinKomp[Obsługa robotów],MATCH($B151,tab_MinKomp[[Stanowisko / Position ]:[Stanowisko / Position ]],0)))</f>
        <v>n/a</v>
      </c>
      <c r="EM152" s="341" t="str">
        <f>IF(INDEX(tab_MinKomp[Obsługa sterowania maszyny],MATCH($B151,tab_MinKomp[[Stanowisko / Position ]:[Stanowisko / Position ]],0))="n/a","n/a",EM151-INDEX(tab_MinKomp[Obsługa sterowania maszyny],MATCH($B151,tab_MinKomp[[Stanowisko / Position ]:[Stanowisko / Position ]],0)))</f>
        <v>n/a</v>
      </c>
      <c r="EN152" s="341">
        <f>IF(INDEX(tab_MinKomp[Usuwanie przyczyn żródłowych],MATCH($B151,tab_MinKomp[[Stanowisko / Position ]:[Stanowisko / Position ]],0))="n/a","n/a",EN151-INDEX(tab_MinKomp[Usuwanie przyczyn żródłowych],MATCH($B151,tab_MinKomp[[Stanowisko / Position ]:[Stanowisko / Position ]],0)))</f>
        <v>0</v>
      </c>
      <c r="EO152" s="341">
        <f>IF(INDEX(tab_MinKomp[Cmms stosowanie],MATCH($B151,tab_MinKomp[[Stanowisko / Position ]:[Stanowisko / Position ]],0))="n/a","n/a",EO151-INDEX(tab_MinKomp[Cmms stosowanie],MATCH($B151,tab_MinKomp[[Stanowisko / Position ]:[Stanowisko / Position ]],0)))</f>
        <v>0</v>
      </c>
      <c r="EP152" s="341" t="str">
        <f>IF(INDEX(tab_MinKomp[[Czyszczenie form gumowych ]],MATCH($B151,tab_MinKomp[[Stanowisko / Position ]:[Stanowisko / Position ]],0))="n/a","n/a",EP151-INDEX(tab_MinKomp[[Czyszczenie form gumowych ]],MATCH($B151,tab_MinKomp[[Stanowisko / Position ]:[Stanowisko / Position ]],0)))</f>
        <v>n/a</v>
      </c>
      <c r="EQ152" s="341" t="str">
        <f>IF(INDEX(tab_MinKomp[Czyszczenie form plastikowych],MATCH($B151,tab_MinKomp[[Stanowisko / Position ]:[Stanowisko / Position ]],0))="n/a","n/a",EQ151-INDEX(tab_MinKomp[Czyszczenie form plastikowych],MATCH($B151,tab_MinKomp[[Stanowisko / Position ]:[Stanowisko / Position ]],0)))</f>
        <v>n/a</v>
      </c>
      <c r="ER152" s="341" t="str">
        <f>IF(INDEX(tab_MinKomp[Wymiana form plastik],MATCH($B151,tab_MinKomp[[Stanowisko / Position ]:[Stanowisko / Position ]],0))="n/a","n/a",ER151-INDEX(tab_MinKomp[Wymiana form plastik],MATCH($B151,tab_MinKomp[[Stanowisko / Position ]:[Stanowisko / Position ]],0)))</f>
        <v>n/a</v>
      </c>
      <c r="ES152" s="341" t="str">
        <f>IF(INDEX(tab_MinKomp[Wymiana form guma],MATCH($B151,tab_MinKomp[[Stanowisko / Position ]:[Stanowisko / Position ]],0))="n/a","n/a",ES151-INDEX(tab_MinKomp[Wymiana form guma],MATCH($B151,tab_MinKomp[[Stanowisko / Position ]:[Stanowisko / Position ]],0)))</f>
        <v>n/a</v>
      </c>
      <c r="ET152" s="341" t="str">
        <f>IF(INDEX(tab_MinKomp[Konserwacja KK],MATCH($B151,tab_MinKomp[[Stanowisko / Position ]:[Stanowisko / Position ]],0))="n/a","n/a",ET151-INDEX(tab_MinKomp[Konserwacja KK],MATCH($B151,tab_MinKomp[[Stanowisko / Position ]:[Stanowisko / Position ]],0)))</f>
        <v>n/a</v>
      </c>
      <c r="EU152" s="341" t="str">
        <f>IF(INDEX(tab_MinKomp[Konserwacja form guma],MATCH($B151,tab_MinKomp[[Stanowisko / Position ]:[Stanowisko / Position ]],0))="n/a","n/a",EU151-INDEX(tab_MinKomp[Konserwacja form guma],MATCH($B151,tab_MinKomp[[Stanowisko / Position ]:[Stanowisko / Position ]],0)))</f>
        <v>n/a</v>
      </c>
      <c r="EV152" s="341" t="str">
        <f>IF(INDEX(tab_MinKomp[Konserwacja form plastiki],MATCH($B151,tab_MinKomp[[Stanowisko / Position ]:[Stanowisko / Position ]],0))="n/a","n/a",EV151-INDEX(tab_MinKomp[Konserwacja form plastiki],MATCH($B151,tab_MinKomp[[Stanowisko / Position ]:[Stanowisko / Position ]],0)))</f>
        <v>n/a</v>
      </c>
      <c r="EW152" s="330" t="str">
        <f>IF(INDEX(tab_MinKomp[Konserwacja form plastiki],MATCH($B151,tab_MinKomp[[Stanowisko / Position ]:[Stanowisko / Position ]],0))="n/a","n/a",EW151-INDEX(tab_MinKomp[Konserwacja form plastiki],MATCH($B151,tab_MinKomp[[Stanowisko / Position ]:[Stanowisko / Position ]],0)))</f>
        <v>n/a</v>
      </c>
      <c r="EX152" s="341" t="str">
        <f>IF(INDEX(tab_MinKomp[Konserwacja Gorącego Kanału],MATCH($B151,tab_MinKomp[[Stanowisko / Position ]:[Stanowisko / Position ]],0))="n/a","n/a",EX151-INDEX(tab_MinKomp[Konserwacja Gorącego Kanału],MATCH($B151,tab_MinKomp[[Stanowisko / Position ]:[Stanowisko / Position ]],0)))</f>
        <v>n/a</v>
      </c>
      <c r="EY152" s="341" t="str">
        <f>IF(INDEX(tab_MinKomp[MS Office (Excel)],MATCH($B151,tab_MinKomp[[Stanowisko / Position ]:[Stanowisko / Position ]],0))="n/a","n/a",EY151-INDEX(tab_MinKomp[MS Office (Excel)],MATCH($B151,tab_MinKomp[[Stanowisko / Position ]:[Stanowisko / Position ]],0)))</f>
        <v>n/a</v>
      </c>
      <c r="EZ152" s="341" t="str">
        <f>IF(INDEX(tab_MinKomp[MS Office (Word)],MATCH($B151,tab_MinKomp[[Stanowisko / Position ]:[Stanowisko / Position ]],0))="n/a","n/a",EZ151-INDEX(tab_MinKomp[MS Office (Word)],MATCH($B151,tab_MinKomp[[Stanowisko / Position ]:[Stanowisko / Position ]],0)))</f>
        <v>n/a</v>
      </c>
      <c r="FA152" s="341" t="str">
        <f>IF(INDEX(tab_MinKomp[MS Office (Power Point)],MATCH($B151,tab_MinKomp[[Stanowisko / Position ]:[Stanowisko / Position ]],0))="n/a","n/a",FA151-INDEX(tab_MinKomp[MS Office (Power Point)],MATCH($B151,tab_MinKomp[[Stanowisko / Position ]:[Stanowisko / Position ]],0)))</f>
        <v>n/a</v>
      </c>
      <c r="FB152" s="341" t="str">
        <f>IF(INDEX(tab_MinKomp[Język angielski / Englisch],MATCH($B151,tab_MinKomp[[Stanowisko / Position ]:[Stanowisko / Position ]],0))="n/a","n/a",FB151-INDEX(tab_MinKomp[Język angielski / Englisch],MATCH($B151,tab_MinKomp[[Stanowisko / Position ]:[Stanowisko / Position ]],0)))</f>
        <v>n/a</v>
      </c>
      <c r="FC152" s="341" t="str">
        <f>IF(INDEX(tab_MinKomp[Język niemiecki / Deutsch],MATCH($B151,tab_MinKomp[[Stanowisko / Position ]:[Stanowisko / Position ]],0))="n/a","n/a",FC151-INDEX(tab_MinKomp[Język niemiecki / Deutsch],MATCH($B151,tab_MinKomp[[Stanowisko / Position ]:[Stanowisko / Position ]],0)))</f>
        <v>n/a</v>
      </c>
      <c r="FD152" s="341">
        <f>IF(INDEX(tab_MinKomp[Zarządzanie dokumentacją procesową / Process dokumentation management],MATCH($B151,tab_MinKomp[[Stanowisko / Position ]:[Stanowisko / Position ]],0))="n/a","n/a",FD151-INDEX(tab_MinKomp[Zarządzanie dokumentacją procesową / Process dokumentation management],MATCH($B151,tab_MinKomp[[Stanowisko / Position ]:[Stanowisko / Position ]],0)))</f>
        <v>0</v>
      </c>
      <c r="FE152" s="341">
        <f>IF(INDEX(tab_MinKomp[Znajomość procesów z obszaru / Kenntiss der prozesse in dem Bereich],MATCH($B151,tab_MinKomp[[Stanowisko / Position ]:[Stanowisko / Position ]],0))="n/a","n/a",FE151-INDEX(tab_MinKomp[Znajomość procesów z obszaru / Kenntiss der prozesse in dem Bereich],MATCH($B151,tab_MinKomp[[Stanowisko / Position ]:[Stanowisko / Position ]],0)))</f>
        <v>-1</v>
      </c>
      <c r="FF152" s="341">
        <f>IF(INDEX(tab_MinKomp[optymalizacja procesów / Prozessoptymalisierung],MATCH($B151,tab_MinKomp[[Stanowisko / Position ]:[Stanowisko / Position ]],0))="n/a","n/a",FF151-INDEX(tab_MinKomp[optymalizacja procesów / Prozessoptymalisierung],MATCH($B151,tab_MinKomp[[Stanowisko / Position ]:[Stanowisko / Position ]],0)))</f>
        <v>0</v>
      </c>
      <c r="FG152" s="341" t="str">
        <f>IF(INDEX(tab_MinKomp[Umiejętności szkoleniowe / Trainingsfähigkeiten],MATCH($B151,tab_MinKomp[[Stanowisko / Position ]:[Stanowisko / Position ]],0))="n/a","n/a",FG151-INDEX(tab_MinKomp[Umiejętności szkoleniowe / Trainingsfähigkeiten],MATCH($B151,tab_MinKomp[[Stanowisko / Position ]:[Stanowisko / Position ]],0)))</f>
        <v>n/a</v>
      </c>
      <c r="FH152" s="341">
        <f>IF(INDEX(tab_MinKomp[Analityczne myślenie, podejście / Analitysches Denken, Einstellung],MATCH($B151,tab_MinKomp[[Stanowisko / Position ]:[Stanowisko / Position ]],0))="n/a","n/a",FH151-INDEX(tab_MinKomp[Analityczne myślenie, podejście / Analitysches Denken, Einstellung],MATCH($B151,tab_MinKomp[[Stanowisko / Position ]:[Stanowisko / Position ]],0)))</f>
        <v>0</v>
      </c>
      <c r="FI152" s="341">
        <f>IF(INDEX(tab_MinKomp[Dokładność, precyzja w dzialaniu / Genauigkeit, Präzision in die Arbeit],MATCH($B151,tab_MinKomp[[Stanowisko / Position ]:[Stanowisko / Position ]],0))="n/a","n/a",FI151-INDEX(tab_MinKomp[Dokładność, precyzja w dzialaniu / Genauigkeit, Präzision in die Arbeit],MATCH($B151,tab_MinKomp[[Stanowisko / Position ]:[Stanowisko / Position ]],0)))</f>
        <v>0</v>
      </c>
      <c r="FJ152" s="341">
        <f>IF(INDEX(tab_MinKomp[Dyspozycyjność / Verfügbarkeit],MATCH($B151,tab_MinKomp[[Stanowisko / Position ]:[Stanowisko / Position ]],0))="n/a","n/a",FJ151-INDEX(tab_MinKomp[Dyspozycyjność / Verfügbarkeit],MATCH($B151,tab_MinKomp[[Stanowisko / Position ]:[Stanowisko / Position ]],0)))</f>
        <v>0</v>
      </c>
      <c r="FK152" s="341">
        <f>IF(INDEX(tab_MinKomp[Zaangażowanie / 
Engagement],MATCH($B151,tab_MinKomp[[Stanowisko / Position ]:[Stanowisko / Position ]],0))="n/a","n/a",FK151-INDEX(tab_MinKomp[Zaangażowanie / 
Engagement],MATCH($B151,tab_MinKomp[[Stanowisko / Position ]:[Stanowisko / Position ]],0)))</f>
        <v>1</v>
      </c>
      <c r="FL152" s="341">
        <f>IF(INDEX(tab_MinKomp[Planowanie strategiczne / Strategische Planung],MATCH($B151,tab_MinKomp[[Stanowisko / Position ]:[Stanowisko / Position ]],0))="n/a","n/a",FL151-INDEX(tab_MinKomp[Planowanie strategiczne / Strategische Planung],MATCH($B151,tab_MinKomp[[Stanowisko / Position ]:[Stanowisko / Position ]],0)))</f>
        <v>-1</v>
      </c>
      <c r="FM152" s="341">
        <f>IF(INDEX(tab_MinKomp[Konsekwentne i dynamiczne działanie],MATCH($B151,tab_MinKomp[[Stanowisko / Position ]:[Stanowisko / Position ]],0))="n/a","n/a",FM151-INDEX(tab_MinKomp[Konsekwentne i dynamiczne działanie],MATCH($B151,tab_MinKomp[[Stanowisko / Position ]:[Stanowisko / Position ]],0)))</f>
        <v>0</v>
      </c>
      <c r="FN152" s="341">
        <f>IF(INDEX(tab_MinKomp[Elastyczność w działaniu],MATCH($B151,tab_MinKomp[[Stanowisko / Position ]:[Stanowisko / Position ]],0))="n/a","n/a",FN151-INDEX(tab_MinKomp[Elastyczność w działaniu],MATCH($B151,tab_MinKomp[[Stanowisko / Position ]:[Stanowisko / Position ]],0)))</f>
        <v>0</v>
      </c>
      <c r="FO152" s="341" t="str">
        <f>IF(INDEX(tab_MinKomp[Komunikatywność],MATCH($B151,tab_MinKomp[[Stanowisko / Position ]:[Stanowisko / Position ]],0))="n/a","n/a",FO151-INDEX(tab_MinKomp[Komunikatywność],MATCH($B151,tab_MinKomp[[Stanowisko / Position ]:[Stanowisko / Position ]],0)))</f>
        <v>n/a</v>
      </c>
      <c r="FP152" s="341" t="str">
        <f>IF(INDEX(tab_MinKomp[Motywowanie i budowanie zaangażowania zespołu],MATCH($B151,tab_MinKomp[[Stanowisko / Position ]:[Stanowisko / Position ]],0))="n/a","n/a",FP151-INDEX(tab_MinKomp[Motywowanie i budowanie zaangażowania zespołu],MATCH($B151,tab_MinKomp[[Stanowisko / Position ]:[Stanowisko / Position ]],0)))</f>
        <v>n/a</v>
      </c>
      <c r="FQ152" s="341" t="str">
        <f>IF(INDEX(tab_MinKomp[Motywowanie i budowanie zaangażowania zespołu],MATCH($B151,tab_MinKomp[[Stanowisko / Position ]:[Stanowisko / Position ]],0))="n/a","n/a",FQ151-INDEX(tab_MinKomp[Motywowanie i budowanie zaangażowania zespołu],MATCH($B151,tab_MinKomp[[Stanowisko / Position ]:[Stanowisko / Position ]],0)))</f>
        <v>n/a</v>
      </c>
      <c r="FR152" s="341" t="s">
        <v>387</v>
      </c>
      <c r="FS152" s="341" t="str">
        <f>IF(INDEX(tab_MinKomp[MINIMUM 1 ROK / min. 1 Jahr],MATCH($B151,tab_MinKomp[[Stanowisko / Position ]:[Stanowisko / Position ]],0))="n/a","n/a",FS151-INDEX(tab_MinKomp[MINIMUM 1 ROK / min. 1 Jahr],MATCH($B151,tab_MinKomp[[Stanowisko / Position ]:[Stanowisko / Position ]],0)))</f>
        <v>n/a</v>
      </c>
      <c r="FT152" s="341" t="str">
        <f>IF(INDEX(tab_MinKomp[MINIMUM 2 LATA / min. 2 Jahre],MATCH($B151,tab_MinKomp[[Stanowisko / Position ]:[Stanowisko / Position ]],0))="n/a","n/a",FT151-INDEX(tab_MinKomp[MINIMUM 2 LATA / min. 2 Jahre],MATCH($B151,tab_MinKomp[[Stanowisko / Position ]:[Stanowisko / Position ]],0)))</f>
        <v>n/a</v>
      </c>
      <c r="FU152" s="341" t="str">
        <f>IF(INDEX(tab_MinKomp[MINIMUM 3 LATA / min. 3 Jahre],MATCH($B151,tab_MinKomp[[Stanowisko / Position ]:[Stanowisko / Position ]],0))="n/a","n/a",FU151-INDEX(tab_MinKomp[MINIMUM 3 LATA / min. 3 Jahre],MATCH($B151,tab_MinKomp[[Stanowisko / Position ]:[Stanowisko / Position ]],0)))</f>
        <v>n/a</v>
      </c>
      <c r="FV152" s="341" t="str">
        <f>IF(INDEX(tab_MinKomp[MINIMUM 4 LATA / min. 4 Jahre],MATCH($B151,tab_MinKomp[[Stanowisko / Position ]:[Stanowisko / Position ]],0))="n/a","n/a",FV151-INDEX(tab_MinKomp[MINIMUM 4 LATA / min. 4 Jahre],MATCH($B151,tab_MinKomp[[Stanowisko / Position ]:[Stanowisko / Position ]],0)))</f>
        <v>n/a</v>
      </c>
      <c r="FW152" s="341" t="str">
        <f>IF(INDEX(tab_MinKomp[MINIMUM 5 LAT / min. 5 Jahre],MATCH($B151,tab_MinKomp[[Stanowisko / Position ]:[Stanowisko / Position ]],0))="n/a","n/a",FW151-INDEX(tab_MinKomp[MINIMUM 5 LAT / min. 5 Jahre],MATCH($B151,tab_MinKomp[[Stanowisko / Position ]:[Stanowisko / Position ]],0)))</f>
        <v>n/a</v>
      </c>
      <c r="FX152" s="341" t="str">
        <f>IF(INDEX(tab_MinKomp[BRAK / Keine9],MATCH($B151,tab_MinKomp[[Stanowisko / Position ]:[Stanowisko / Position ]],0))="n/a","n/a",FX151-INDEX(tab_MinKomp[BRAK / Keine9],MATCH($B151,tab_MinKomp[[Stanowisko / Position ]:[Stanowisko / Position ]],0)))</f>
        <v>n/a</v>
      </c>
      <c r="FY152" s="341" t="str">
        <f>IF(INDEX(tab_MinKomp[ZAWODOWE / Berufsausbildung],MATCH($B151,tab_MinKomp[[Stanowisko / Position ]:[Stanowisko / Position ]],0))="n/a","n/a",FY151-INDEX(tab_MinKomp[ZAWODOWE / Berufsausbildung],MATCH($B151,tab_MinKomp[[Stanowisko / Position ]:[Stanowisko / Position ]],0)))</f>
        <v>n/a</v>
      </c>
      <c r="FZ152" s="341" t="s">
        <v>387</v>
      </c>
      <c r="GA152" s="341" t="str">
        <f>IF(INDEX(tab_MinKomp[ŚREDNIE KIERUNKOWE / berufliches Gymnasium],MATCH($B151,tab_MinKomp[[Stanowisko / Position ]:[Stanowisko / Position ]],0))="n/a","n/a",GA151-INDEX(tab_MinKomp[ŚREDNIE KIERUNKOWE / berufliches Gymnasium],MATCH($B151,tab_MinKomp[[Stanowisko / Position ]:[Stanowisko / Position ]],0)))</f>
        <v>n/a</v>
      </c>
      <c r="GB152" s="341" t="str">
        <f>IF(INDEX(tab_MinKomp[WYŻSZE OGÓLNE / Hochschule allgemeine],MATCH($B151,tab_MinKomp[[Stanowisko / Position ]:[Stanowisko / Position ]],0))="n/a","n/a",GB151-INDEX(tab_MinKomp[WYŻSZE OGÓLNE / Hochschule allgemeine],MATCH($B151,tab_MinKomp[[Stanowisko / Position ]:[Stanowisko / Position ]],0)))</f>
        <v>n/a</v>
      </c>
      <c r="GC152" s="341" t="str">
        <f>IF(INDEX(tab_MinKomp[WYŻSZE KIERUNKOWE / Hochschule berufliche],MATCH($B151,tab_MinKomp[[Stanowisko / Position ]:[Stanowisko / Position ]],0))="n/a","n/a",GC151-INDEX(tab_MinKomp[WYŻSZE KIERUNKOWE / Hochschule berufliche],MATCH($B151,tab_MinKomp[[Stanowisko / Position ]:[Stanowisko / Position ]],0)))</f>
        <v>n/a</v>
      </c>
      <c r="GD152" s="349" t="str">
        <f>IF(INDEX(tab_MinKomp[Specjalista BHP / BHP Spezialist],MATCH($B151,tab_MinKomp[[Stanowisko / Position ]:[Stanowisko / Position ]],0))="n/a","n/a",INDEX(tab_MinKomp[Specjalista BHP / BHP Spezialist],MATCH($B151,tab_MinKomp[[Stanowisko / Position ]:[Stanowisko / Position ]],0)))</f>
        <v>n/a</v>
      </c>
      <c r="GE152" s="349" t="str">
        <f>IF(INDEX(tab_MinKomp[Specjalista BHP / BHP Spezialist],MATCH($B151,tab_MinKomp[[Stanowisko / Position ]:[Stanowisko / Position ]],0))="n/a","n/a",INDEX(tab_MinKomp[Specjalista BHP / BHP Spezialist],MATCH($B151,tab_MinKomp[[Stanowisko / Position ]:[Stanowisko / Position ]],0)))</f>
        <v>n/a</v>
      </c>
      <c r="GF152" s="341" t="s">
        <v>387</v>
      </c>
      <c r="GG152" s="341" t="s">
        <v>176</v>
      </c>
      <c r="GH152" s="341" t="s">
        <v>387</v>
      </c>
      <c r="GI152" s="341" t="s">
        <v>176</v>
      </c>
      <c r="GJ152" s="341" t="s">
        <v>387</v>
      </c>
      <c r="GK152" s="341" t="s">
        <v>387</v>
      </c>
      <c r="GL152" s="320">
        <f>SUM(G152:FP152)/(GL151-(SUM(G152:FP152)))</f>
        <v>-0.16279069767441862</v>
      </c>
      <c r="GM152" s="132"/>
    </row>
    <row r="153" spans="1:195" s="133" customFormat="1" ht="28.35" customHeight="1" x14ac:dyDescent="0.25">
      <c r="A153" s="138" t="s">
        <v>189</v>
      </c>
      <c r="B153" s="138" t="s">
        <v>221</v>
      </c>
      <c r="C153" s="138" t="s">
        <v>599</v>
      </c>
      <c r="D153" s="138">
        <v>1870</v>
      </c>
      <c r="E153" s="563" t="s">
        <v>706</v>
      </c>
      <c r="F153" s="307" t="s">
        <v>165</v>
      </c>
      <c r="G153" s="421">
        <v>2</v>
      </c>
      <c r="H153" s="421">
        <v>2</v>
      </c>
      <c r="I153" s="421" t="s">
        <v>176</v>
      </c>
      <c r="J153" s="421" t="s">
        <v>176</v>
      </c>
      <c r="K153" s="421" t="s">
        <v>176</v>
      </c>
      <c r="L153" s="421">
        <v>2</v>
      </c>
      <c r="M153" s="421">
        <v>2</v>
      </c>
      <c r="N153" s="421">
        <v>2</v>
      </c>
      <c r="O153" s="421">
        <v>2</v>
      </c>
      <c r="P153" s="421">
        <v>2</v>
      </c>
      <c r="Q153" s="421">
        <v>2</v>
      </c>
      <c r="R153" s="421">
        <v>2</v>
      </c>
      <c r="S153" s="421">
        <v>1</v>
      </c>
      <c r="T153" s="421">
        <v>1</v>
      </c>
      <c r="U153" s="421" t="s">
        <v>176</v>
      </c>
      <c r="V153" s="421" t="s">
        <v>176</v>
      </c>
      <c r="W153" s="421" t="s">
        <v>176</v>
      </c>
      <c r="X153" s="421" t="s">
        <v>176</v>
      </c>
      <c r="Y153" s="421" t="s">
        <v>176</v>
      </c>
      <c r="Z153" s="421" t="s">
        <v>176</v>
      </c>
      <c r="AA153" s="421" t="s">
        <v>176</v>
      </c>
      <c r="AB153" s="421">
        <v>2</v>
      </c>
      <c r="AC153" s="421" t="s">
        <v>176</v>
      </c>
      <c r="AD153" s="421" t="s">
        <v>176</v>
      </c>
      <c r="AE153" s="421" t="s">
        <v>176</v>
      </c>
      <c r="AF153" s="421" t="s">
        <v>176</v>
      </c>
      <c r="AG153" s="421" t="s">
        <v>176</v>
      </c>
      <c r="AH153" s="421" t="s">
        <v>176</v>
      </c>
      <c r="AI153" s="421" t="s">
        <v>176</v>
      </c>
      <c r="AJ153" s="421" t="s">
        <v>176</v>
      </c>
      <c r="AK153" s="421" t="s">
        <v>176</v>
      </c>
      <c r="AL153" s="308">
        <v>2</v>
      </c>
      <c r="AM153" s="421" t="s">
        <v>176</v>
      </c>
      <c r="AN153" s="421" t="s">
        <v>176</v>
      </c>
      <c r="AO153" s="421" t="s">
        <v>176</v>
      </c>
      <c r="AP153" s="421" t="s">
        <v>176</v>
      </c>
      <c r="AQ153" s="421" t="s">
        <v>176</v>
      </c>
      <c r="AR153" s="421" t="s">
        <v>176</v>
      </c>
      <c r="AS153" s="421" t="s">
        <v>176</v>
      </c>
      <c r="AT153" s="421" t="s">
        <v>176</v>
      </c>
      <c r="AU153" s="421" t="s">
        <v>176</v>
      </c>
      <c r="AV153" s="421">
        <v>1</v>
      </c>
      <c r="AW153" s="308"/>
      <c r="AX153" s="421">
        <v>1</v>
      </c>
      <c r="AY153" s="421" t="s">
        <v>176</v>
      </c>
      <c r="AZ153" s="421" t="s">
        <v>176</v>
      </c>
      <c r="BA153" s="421" t="s">
        <v>176</v>
      </c>
      <c r="BB153" s="421" t="s">
        <v>176</v>
      </c>
      <c r="BC153" s="421" t="s">
        <v>176</v>
      </c>
      <c r="BD153" s="421" t="s">
        <v>176</v>
      </c>
      <c r="BE153" s="421" t="s">
        <v>176</v>
      </c>
      <c r="BF153" s="421" t="s">
        <v>176</v>
      </c>
      <c r="BG153" s="421" t="s">
        <v>176</v>
      </c>
      <c r="BH153" s="421" t="s">
        <v>176</v>
      </c>
      <c r="BI153" s="421" t="s">
        <v>176</v>
      </c>
      <c r="BJ153" s="421" t="s">
        <v>176</v>
      </c>
      <c r="BK153" s="421" t="s">
        <v>176</v>
      </c>
      <c r="BL153" s="421" t="s">
        <v>176</v>
      </c>
      <c r="BM153" s="421" t="s">
        <v>176</v>
      </c>
      <c r="BN153" s="421" t="s">
        <v>176</v>
      </c>
      <c r="BO153" s="421" t="s">
        <v>176</v>
      </c>
      <c r="BP153" s="421" t="s">
        <v>176</v>
      </c>
      <c r="BQ153" s="421" t="s">
        <v>176</v>
      </c>
      <c r="BR153" s="421" t="s">
        <v>176</v>
      </c>
      <c r="BS153" s="421" t="s">
        <v>176</v>
      </c>
      <c r="BT153" s="421" t="s">
        <v>176</v>
      </c>
      <c r="BU153" s="421" t="s">
        <v>176</v>
      </c>
      <c r="BV153" s="421" t="s">
        <v>176</v>
      </c>
      <c r="BW153" s="421" t="s">
        <v>176</v>
      </c>
      <c r="BX153" s="421" t="s">
        <v>176</v>
      </c>
      <c r="BY153" s="421" t="s">
        <v>176</v>
      </c>
      <c r="BZ153" s="421" t="s">
        <v>176</v>
      </c>
      <c r="CA153" s="421" t="s">
        <v>176</v>
      </c>
      <c r="CB153" s="421" t="s">
        <v>176</v>
      </c>
      <c r="CC153" s="421" t="s">
        <v>176</v>
      </c>
      <c r="CD153" s="421" t="s">
        <v>176</v>
      </c>
      <c r="CE153" s="421" t="s">
        <v>176</v>
      </c>
      <c r="CF153" s="421" t="s">
        <v>176</v>
      </c>
      <c r="CG153" s="421" t="s">
        <v>176</v>
      </c>
      <c r="CH153" s="308" t="s">
        <v>176</v>
      </c>
      <c r="CI153" s="308">
        <v>2</v>
      </c>
      <c r="CJ153" s="308" t="s">
        <v>176</v>
      </c>
      <c r="CK153" s="308" t="s">
        <v>176</v>
      </c>
      <c r="CL153" s="308" t="s">
        <v>176</v>
      </c>
      <c r="CM153" s="308">
        <v>1</v>
      </c>
      <c r="CN153" s="308">
        <v>1</v>
      </c>
      <c r="CO153" s="308" t="s">
        <v>176</v>
      </c>
      <c r="CP153" s="308" t="s">
        <v>176</v>
      </c>
      <c r="CQ153" s="308" t="s">
        <v>176</v>
      </c>
      <c r="CR153" s="308" t="s">
        <v>176</v>
      </c>
      <c r="CS153" s="308" t="s">
        <v>176</v>
      </c>
      <c r="CT153" s="308" t="s">
        <v>176</v>
      </c>
      <c r="CU153" s="421" t="s">
        <v>176</v>
      </c>
      <c r="CV153" s="421" t="s">
        <v>176</v>
      </c>
      <c r="CW153" s="421" t="s">
        <v>176</v>
      </c>
      <c r="CX153" s="421" t="s">
        <v>176</v>
      </c>
      <c r="CY153" s="421" t="s">
        <v>176</v>
      </c>
      <c r="CZ153" s="421" t="s">
        <v>176</v>
      </c>
      <c r="DA153" s="421" t="s">
        <v>176</v>
      </c>
      <c r="DB153" s="421" t="s">
        <v>176</v>
      </c>
      <c r="DC153" s="421" t="s">
        <v>176</v>
      </c>
      <c r="DD153" s="421" t="s">
        <v>176</v>
      </c>
      <c r="DE153" s="421" t="s">
        <v>176</v>
      </c>
      <c r="DF153" s="421" t="s">
        <v>176</v>
      </c>
      <c r="DG153" s="421" t="s">
        <v>176</v>
      </c>
      <c r="DH153" s="421" t="s">
        <v>176</v>
      </c>
      <c r="DI153" s="421" t="s">
        <v>176</v>
      </c>
      <c r="DJ153" s="421" t="s">
        <v>176</v>
      </c>
      <c r="DK153" s="421" t="s">
        <v>176</v>
      </c>
      <c r="DL153" s="421" t="s">
        <v>176</v>
      </c>
      <c r="DM153" s="421" t="s">
        <v>176</v>
      </c>
      <c r="DN153" s="421" t="s">
        <v>176</v>
      </c>
      <c r="DO153" s="421" t="s">
        <v>176</v>
      </c>
      <c r="DP153" s="421" t="s">
        <v>176</v>
      </c>
      <c r="DQ153" s="421" t="s">
        <v>176</v>
      </c>
      <c r="DR153" s="421" t="s">
        <v>176</v>
      </c>
      <c r="DS153" s="421" t="s">
        <v>176</v>
      </c>
      <c r="DT153" s="421" t="s">
        <v>176</v>
      </c>
      <c r="DU153" s="421" t="s">
        <v>176</v>
      </c>
      <c r="DV153" s="421" t="s">
        <v>176</v>
      </c>
      <c r="DW153" s="421" t="s">
        <v>176</v>
      </c>
      <c r="DX153" s="421" t="s">
        <v>176</v>
      </c>
      <c r="DY153" s="421" t="s">
        <v>176</v>
      </c>
      <c r="DZ153" s="421" t="s">
        <v>176</v>
      </c>
      <c r="EA153" s="421" t="s">
        <v>176</v>
      </c>
      <c r="EB153" s="421" t="s">
        <v>176</v>
      </c>
      <c r="EC153" s="421" t="s">
        <v>176</v>
      </c>
      <c r="ED153" s="421" t="s">
        <v>176</v>
      </c>
      <c r="EE153" s="421" t="s">
        <v>176</v>
      </c>
      <c r="EF153" s="421" t="s">
        <v>176</v>
      </c>
      <c r="EG153" s="421" t="s">
        <v>176</v>
      </c>
      <c r="EH153" s="421" t="s">
        <v>176</v>
      </c>
      <c r="EI153" s="421" t="s">
        <v>176</v>
      </c>
      <c r="EJ153" s="421" t="s">
        <v>176</v>
      </c>
      <c r="EK153" s="421" t="s">
        <v>176</v>
      </c>
      <c r="EL153" s="421" t="s">
        <v>176</v>
      </c>
      <c r="EM153" s="421" t="s">
        <v>176</v>
      </c>
      <c r="EN153" s="421" t="s">
        <v>176</v>
      </c>
      <c r="EO153" s="421" t="s">
        <v>176</v>
      </c>
      <c r="EP153" s="421" t="s">
        <v>176</v>
      </c>
      <c r="EQ153" s="421" t="s">
        <v>176</v>
      </c>
      <c r="ER153" s="421" t="s">
        <v>176</v>
      </c>
      <c r="ES153" s="421" t="s">
        <v>176</v>
      </c>
      <c r="ET153" s="421" t="s">
        <v>176</v>
      </c>
      <c r="EU153" s="421" t="s">
        <v>176</v>
      </c>
      <c r="EV153" s="421" t="s">
        <v>176</v>
      </c>
      <c r="EW153" s="308" t="s">
        <v>176</v>
      </c>
      <c r="EX153" s="421" t="s">
        <v>176</v>
      </c>
      <c r="EY153" s="308">
        <v>2</v>
      </c>
      <c r="EZ153" s="308">
        <v>2</v>
      </c>
      <c r="FA153" s="308">
        <v>1</v>
      </c>
      <c r="FB153" s="308">
        <v>1</v>
      </c>
      <c r="FC153" s="308">
        <v>1</v>
      </c>
      <c r="FD153" s="308">
        <v>2</v>
      </c>
      <c r="FE153" s="308">
        <v>2</v>
      </c>
      <c r="FF153" s="308">
        <v>2</v>
      </c>
      <c r="FG153" s="308">
        <v>1</v>
      </c>
      <c r="FH153" s="308">
        <v>1</v>
      </c>
      <c r="FI153" s="308">
        <v>2</v>
      </c>
      <c r="FJ153" s="308">
        <v>3</v>
      </c>
      <c r="FK153" s="308">
        <v>3</v>
      </c>
      <c r="FL153" s="308">
        <v>1</v>
      </c>
      <c r="FM153" s="308">
        <v>1</v>
      </c>
      <c r="FN153" s="308">
        <v>2</v>
      </c>
      <c r="FO153" s="308">
        <v>1</v>
      </c>
      <c r="FP153" s="308">
        <v>1</v>
      </c>
      <c r="FQ153" s="421" t="s">
        <v>176</v>
      </c>
      <c r="FR153" s="421" t="s">
        <v>176</v>
      </c>
      <c r="FS153" s="421" t="s">
        <v>176</v>
      </c>
      <c r="FT153" s="421" t="s">
        <v>160</v>
      </c>
      <c r="FU153" s="421" t="s">
        <v>176</v>
      </c>
      <c r="FV153" s="421" t="s">
        <v>176</v>
      </c>
      <c r="FW153" s="421" t="s">
        <v>176</v>
      </c>
      <c r="FX153" s="421" t="s">
        <v>176</v>
      </c>
      <c r="FY153" s="421" t="s">
        <v>176</v>
      </c>
      <c r="FZ153" s="421" t="s">
        <v>176</v>
      </c>
      <c r="GA153" s="421" t="s">
        <v>176</v>
      </c>
      <c r="GB153" s="421" t="s">
        <v>160</v>
      </c>
      <c r="GC153" s="421" t="s">
        <v>176</v>
      </c>
      <c r="GD153" s="421" t="s">
        <v>176</v>
      </c>
      <c r="GE153" s="421" t="s">
        <v>176</v>
      </c>
      <c r="GF153" s="421" t="s">
        <v>176</v>
      </c>
      <c r="GG153" s="421" t="s">
        <v>176</v>
      </c>
      <c r="GH153" s="421" t="s">
        <v>176</v>
      </c>
      <c r="GI153" s="421" t="s">
        <v>176</v>
      </c>
      <c r="GJ153" s="421" t="s">
        <v>176</v>
      </c>
      <c r="GK153" s="421" t="s">
        <v>176</v>
      </c>
      <c r="GL153" s="311">
        <f>SUM(G153:FP153)</f>
        <v>59</v>
      </c>
      <c r="GM153" s="132"/>
    </row>
    <row r="154" spans="1:195" s="133" customFormat="1" ht="28.35" customHeight="1" thickBot="1" x14ac:dyDescent="0.3">
      <c r="A154" s="138" t="s">
        <v>189</v>
      </c>
      <c r="B154" s="138" t="s">
        <v>221</v>
      </c>
      <c r="C154" s="138" t="s">
        <v>599</v>
      </c>
      <c r="D154" s="138">
        <v>1870</v>
      </c>
      <c r="E154" s="564"/>
      <c r="F154" s="312" t="s">
        <v>166</v>
      </c>
      <c r="G154" s="435">
        <f>IF(INDEX(tab_MinKomp[Przepisy BHP / BHP Vorschriften],MATCH($B153,tab_MinKomp[[Stanowisko / Position ]:[Stanowisko / Position ]],0))="n/a","n/a",G153-INDEX(tab_MinKomp[Przepisy BHP / BHP Vorschriften],MATCH($B153,tab_MinKomp[[Stanowisko / Position ]:[Stanowisko / Position ]],0)))</f>
        <v>0</v>
      </c>
      <c r="H154" s="436">
        <f>IF(INDEX(tab_MinKomp[Przepisy PPOŻ / Brandschutzbestimmungen],MATCH($B153,tab_MinKomp[[Stanowisko / Position ]:[Stanowisko / Position ]],0))="n/a","n/a",H153-INDEX(tab_MinKomp[Przepisy PPOŻ / Brandschutzbestimmungen],MATCH($B153,tab_MinKomp[[Stanowisko / Position ]:[Stanowisko / Position ]],0)))</f>
        <v>0</v>
      </c>
      <c r="I154" s="436" t="str">
        <f>IF(INDEX(tab_MinKomp[Ryzyko zawodowe na stanowiskach pracyv/ Berufliche Risiken an Arbeitsstellen],MATCH($B153,tab_MinKomp[[Stanowisko / Position ]:[Stanowisko / Position ]],0))="n/a","n/a",I153-INDEX(tab_MinKomp[Ryzyko zawodowe na stanowiskach pracyv/ Berufliche Risiken an Arbeitsstellen],MATCH($B153,tab_MinKomp[[Stanowisko / Position ]:[Stanowisko / Position ]],0)))</f>
        <v>n/a</v>
      </c>
      <c r="J154" s="436" t="str">
        <f>IF(INDEX(tab_MinKomp[Gospodarka substancjami niebezpiecznymi / Gefahrstoffmanagement],MATCH($B153,tab_MinKomp[[Stanowisko / Position ]:[Stanowisko / Position ]],0))="n/a","n/a",J153-INDEX(tab_MinKomp[Gospodarka substancjami niebezpiecznymi / Gefahrstoffmanagement],MATCH($B153,tab_MinKomp[[Stanowisko / Position ]:[Stanowisko / Position ]],0)))</f>
        <v>n/a</v>
      </c>
      <c r="K154" s="436" t="str">
        <f>IF(INDEX(tab_MinKomp[Gospodarka odpadami / Abfallwirtschaft],MATCH($B153,tab_MinKomp[[Stanowisko / Position ]:[Stanowisko / Position ]],0))="n/a","n/a",K153-INDEX(tab_MinKomp[Gospodarka odpadami / Abfallwirtschaft],MATCH($B153,tab_MinKomp[[Stanowisko / Position ]:[Stanowisko / Position ]],0)))</f>
        <v>n/a</v>
      </c>
      <c r="L154" s="437">
        <f>IF(INDEX(tab_MinKomp[Przepisy kodeksu pracy / Bestimmungen des Arbeitsgesetzes],MATCH($B153,tab_MinKomp[[Stanowisko / Position ]:[Stanowisko / Position ]],0))="n/a","n/a",L153-INDEX(tab_MinKomp[Przepisy kodeksu pracy / Bestimmungen des Arbeitsgesetzes],MATCH($B153,tab_MinKomp[[Stanowisko / Position ]:[Stanowisko / Position ]],0)))</f>
        <v>-1</v>
      </c>
      <c r="M154" s="438">
        <f>IF(INDEX(tab_MinKomp[Przepisy o ub.społ. ZUS  / Sozialversicherungsvorschriften],MATCH($B153,tab_MinKomp[[Stanowisko / Position ]:[Stanowisko / Position ]],0))="n/a","n/a",M153-INDEX(tab_MinKomp[Przepisy o ub.społ. ZUS  / Sozialversicherungsvorschriften],MATCH($B153,tab_MinKomp[[Stanowisko / Position ]:[Stanowisko / Position ]],0)))</f>
        <v>-1</v>
      </c>
      <c r="N154" s="437">
        <f>IF(INDEX(tab_MinKomp[PRZEPISY O PDOF /persönlich Einkommensteuergesetz ],MATCH($B153,tab_MinKomp[[Stanowisko / Position ]:[Stanowisko / Position ]],0))="n/a","n/a",N153-INDEX(tab_MinKomp[PRZEPISY O PDOF /persönlich Einkommensteuergesetz ],MATCH($B153,tab_MinKomp[[Stanowisko / Position ]:[Stanowisko / Position ]],0)))</f>
        <v>-1</v>
      </c>
      <c r="O154" s="437">
        <f>IF(INDEX(tab_MinKomp[Regulamin pracy / Arbeitsordnung],MATCH($B153,tab_MinKomp[[Stanowisko / Position ]:[Stanowisko / Position ]],0))="n/a","n/a",O153-INDEX(tab_MinKomp[Regulamin pracy / Arbeitsordnung],MATCH($B153,tab_MinKomp[[Stanowisko / Position ]:[Stanowisko / Position ]],0)))</f>
        <v>-1</v>
      </c>
      <c r="P154" s="437">
        <f>IF(INDEX(tab_MinKomp[Regulamin wynagradzania / Vergütungsordnung],MATCH($B153,tab_MinKomp[[Stanowisko / Position ]:[Stanowisko / Position ]],0))="n/a","n/a",P153-INDEX(tab_MinKomp[Regulamin wynagradzania / Vergütungsordnung],MATCH($B153,tab_MinKomp[[Stanowisko / Position ]:[Stanowisko / Position ]],0)))</f>
        <v>-1</v>
      </c>
      <c r="Q154" s="437">
        <f>IF(INDEX(tab_MinKomp[System R2PŁATNIK PRO: Płace / Lohnabrechnung],MATCH($B153,tab_MinKomp[[Stanowisko / Position ]:[Stanowisko / Position ]],0))="n/a","n/a",Q153-INDEX(tab_MinKomp[System R2PŁATNIK PRO: Płace / Lohnabrechnung],MATCH($B153,tab_MinKomp[[Stanowisko / Position ]:[Stanowisko / Position ]],0)))</f>
        <v>-1</v>
      </c>
      <c r="R154" s="437">
        <f>IF(INDEX(tab_MinKomp[SystemR2PŁATNIK PRO: KADRY / Personaldaten],MATCH($B153,tab_MinKomp[[Stanowisko / Position ]:[Stanowisko / Position ]],0))="n/a","n/a",R153-INDEX(tab_MinKomp[SystemR2PŁATNIK PRO: KADRY / Personaldaten],MATCH($B153,tab_MinKomp[[Stanowisko / Position ]:[Stanowisko / Position ]],0)))</f>
        <v>0</v>
      </c>
      <c r="S154" s="437">
        <f>IF(INDEX(tab_MinKomp[SYSTEM R2PŁATNIK PRO: zarządzanie pracownikami / Arbeitsverwaltung],MATCH($B153,tab_MinKomp[[Stanowisko / Position ]:[Stanowisko / Position ]],0))="n/a","n/a",S153-INDEX(tab_MinKomp[SYSTEM R2PŁATNIK PRO: zarządzanie pracownikami / Arbeitsverwaltung],MATCH($B153,tab_MinKomp[[Stanowisko / Position ]:[Stanowisko / Position ]],0)))</f>
        <v>-1</v>
      </c>
      <c r="T154" s="437">
        <f>IF(INDEX(tab_MinKomp[Doradztwo, wsparcie personalne / Personalberatung und Unterstützung],MATCH($B153,tab_MinKomp[[Stanowisko / Position ]:[Stanowisko / Position ]],0))="n/a","n/a",T153-INDEX(tab_MinKomp[Doradztwo, wsparcie personalne / Personalberatung und Unterstützung],MATCH($B153,tab_MinKomp[[Stanowisko / Position ]:[Stanowisko / Position ]],0)))</f>
        <v>0</v>
      </c>
      <c r="U154" s="437" t="str">
        <f>IF(INDEX(tab_MinKomp[Przepisy o podatku VAT / MwSt.- Gesetz],MATCH($B153,tab_MinKomp[[Stanowisko / Position ]:[Stanowisko / Position ]],0))="n/a","n/a",U153-INDEX(tab_MinKomp[Przepisy o podatku VAT / MwSt.- Gesetz],MATCH($B153,tab_MinKomp[[Stanowisko / Position ]:[Stanowisko / Position ]],0)))</f>
        <v>n/a</v>
      </c>
      <c r="V154" s="437" t="str">
        <f>IF(INDEX(tab_MinKomp[PrzepisyPDOP / geschäftlich Einkommensteuergesetz],MATCH($B153,tab_MinKomp[[Stanowisko / Position ]:[Stanowisko / Position ]],0))="n/a","n/a",V153-INDEX(tab_MinKomp[PrzepisyPDOP / geschäftlich Einkommensteuergesetz],MATCH($B153,tab_MinKomp[[Stanowisko / Position ]:[Stanowisko / Position ]],0)))</f>
        <v>n/a</v>
      </c>
      <c r="W154" s="437" t="str">
        <f>IF(INDEX(tab_MinKomp[System BAAN / FINANSE (FIBU)],MATCH($B153,tab_MinKomp[[Stanowisko / Position ]:[Stanowisko / Position ]],0))="n/a","n/a",W153-INDEX(tab_MinKomp[System BAAN / FINANSE (FIBU)],MATCH($B153,tab_MinKomp[[Stanowisko / Position ]:[Stanowisko / Position ]],0)))</f>
        <v>n/a</v>
      </c>
      <c r="X154" s="437" t="str">
        <f>IF(INDEX(tab_MinKomp[Systemy pomocnicze / Hilfssysteme(STOCKPROGRAM, KALK2000 etc.)],MATCH($B153,tab_MinKomp[[Stanowisko / Position ]:[Stanowisko / Position ]],0))="n/a","n/a",X153-INDEX(tab_MinKomp[Systemy pomocnicze / Hilfssysteme(STOCKPROGRAM, KALK2000 etc.)],MATCH($B153,tab_MinKomp[[Stanowisko / Position ]:[Stanowisko / Position ]],0)))</f>
        <v>n/a</v>
      </c>
      <c r="Y154" s="437" t="str">
        <f>IF(INDEX(tab_MinKomp[Polityka rachunkowości / Buchführungspolitik],MATCH($B153,tab_MinKomp[[Stanowisko / Position ]:[Stanowisko / Position ]],0))="n/a","n/a",Y153-INDEX(tab_MinKomp[Polityka rachunkowości / Buchführungspolitik],MATCH($B153,tab_MinKomp[[Stanowisko / Position ]:[Stanowisko / Position ]],0)))</f>
        <v>n/a</v>
      </c>
      <c r="Z154" s="437" t="str">
        <f>IF(INDEX(tab_MinKomp[Ustawa o rachunkowości / Rechnungslegungsgesetz],MATCH($B153,tab_MinKomp[[Stanowisko / Position ]:[Stanowisko / Position ]],0))="n/a","n/a",Z153-INDEX(tab_MinKomp[Ustawa o rachunkowości / Rechnungslegungsgesetz],MATCH($B153,tab_MinKomp[[Stanowisko / Position ]:[Stanowisko / Position ]],0)))</f>
        <v>n/a</v>
      </c>
      <c r="AA154" s="437" t="str">
        <f>IF(INDEX(tab_MinKomp[WORKFLOW - TS-100],MATCH($B153,tab_MinKomp[[Stanowisko / Position ]:[Stanowisko / Position ]],0))="n/a","n/a",AA153-INDEX(tab_MinKomp[WORKFLOW - TS-100],MATCH($B153,tab_MinKomp[[Stanowisko / Position ]:[Stanowisko / Position ]],0)))</f>
        <v>n/a</v>
      </c>
      <c r="AB154" s="437">
        <f>IF(INDEX(tab_MinKomp[WORKFLOW - SFMS],MATCH($B153,tab_MinKomp[[Stanowisko / Position ]:[Stanowisko / Position ]],0))="n/a","n/a",AB153-INDEX(tab_MinKomp[WORKFLOW - SFMS],MATCH($B153,tab_MinKomp[[Stanowisko / Position ]:[Stanowisko / Position ]],0)))</f>
        <v>0</v>
      </c>
      <c r="AC154" s="437" t="str">
        <f>IF(INDEX(tab_MinKomp[System ISO 9001:2015],MATCH($B153,tab_MinKomp[[Stanowisko / Position ]:[Stanowisko / Position ]],0))="n/a","n/a",AC153-INDEX(tab_MinKomp[System ISO 9001:2015],MATCH($B153,tab_MinKomp[[Stanowisko / Position ]:[Stanowisko / Position ]],0)))</f>
        <v>n/a</v>
      </c>
      <c r="AD154" s="437" t="str">
        <f>IF(INDEX(tab_MinKomp[System IATF 16949:2016],MATCH($B153,tab_MinKomp[[Stanowisko / Position ]:[Stanowisko / Position ]],0))="n/a","n/a",AD153-INDEX(tab_MinKomp[System IATF 16949:2016],MATCH($B153,tab_MinKomp[[Stanowisko / Position ]:[Stanowisko / Position ]],0)))</f>
        <v>n/a</v>
      </c>
      <c r="AE154" s="437" t="str">
        <f>IF(INDEX(tab_MinKomp[System ISO 14001:2015],MATCH($B153,tab_MinKomp[[Stanowisko / Position ]:[Stanowisko / Position ]],0))="n/a","n/a",AE153-INDEX(tab_MinKomp[System ISO 14001:2015],MATCH($B153,tab_MinKomp[[Stanowisko / Position ]:[Stanowisko / Position ]],0)))</f>
        <v>n/a</v>
      </c>
      <c r="AF154" s="437" t="str">
        <f>IF(INDEX(tab_MinKomp[System PN-N 18001:2004 / ISO 45001:2018],MATCH($B153,tab_MinKomp[[Stanowisko / Position ]:[Stanowisko / Position ]],0))="n/a","n/a",AF153-INDEX(tab_MinKomp[System PN-N 18001:2004 / ISO 45001:2018],MATCH($B153,tab_MinKomp[[Stanowisko / Position ]:[Stanowisko / Position ]],0)))</f>
        <v>n/a</v>
      </c>
      <c r="AG154" s="437" t="str">
        <f>IF(INDEX(tab_MinKomp[Wymagania VDA 6.3 Process / Forderungen],MATCH($B153,tab_MinKomp[[Stanowisko / Position ]:[Stanowisko / Position ]],0))="n/a","n/a",AG153-INDEX(tab_MinKomp[Wymagania VDA 6.3 Process / Forderungen],MATCH($B153,tab_MinKomp[[Stanowisko / Position ]:[Stanowisko / Position ]],0)))</f>
        <v>n/a</v>
      </c>
      <c r="AH154" s="437" t="str">
        <f>IF(INDEX(tab_MinKomp[Wymagania VDA 6.5 Product / Forderungen],MATCH($B153,tab_MinKomp[[Stanowisko / Position ]:[Stanowisko / Position ]],0))="n/a","n/a",AH153-INDEX(tab_MinKomp[Wymagania VDA 6.5 Product / Forderungen],MATCH($B153,tab_MinKomp[[Stanowisko / Position ]:[Stanowisko / Position ]],0)))</f>
        <v>n/a</v>
      </c>
      <c r="AI154" s="437" t="str">
        <f>IF(INDEX(tab_MinKomp[PSCR (VW Product Safety &amp; Conformity Representative)],MATCH($B153,tab_MinKomp[[Stanowisko / Position ]:[Stanowisko / Position ]],0))="n/a","n/a",AI153-INDEX(tab_MinKomp[PSCR (VW Product Safety &amp; Conformity Representative)],MATCH($B153,tab_MinKomp[[Stanowisko / Position ]:[Stanowisko / Position ]],0)))</f>
        <v>n/a</v>
      </c>
      <c r="AJ154" s="437" t="str">
        <f>IF(INDEX(tab_MinKomp[Auditor systemu ISO 17025:2018],MATCH($B153,tab_MinKomp[[Stanowisko / Position ]:[Stanowisko / Position ]],0))="n/a","n/a",AJ153-INDEX(tab_MinKomp[Auditor systemu ISO 17025:2018],MATCH($B153,tab_MinKomp[[Stanowisko / Position ]:[Stanowisko / Position ]],0)))</f>
        <v>n/a</v>
      </c>
      <c r="AK154" s="437" t="str">
        <f>IF(INDEX(tab_MinKomp[Pełnomocnik systemu / Systemvertreter],MATCH($B153,tab_MinKomp[[Stanowisko / Position ]:[Stanowisko / Position ]],0))="n/a","n/a",AK153-INDEX(tab_MinKomp[Pełnomocnik systemu / Systemvertreter],MATCH($B153,tab_MinKomp[[Stanowisko / Position ]:[Stanowisko / Position ]],0)))</f>
        <v>n/a</v>
      </c>
      <c r="AL154" s="437">
        <f>IF(INDEX(tab_MinKomp[Polityka Etyczna - Compliance],MATCH($B153,tab_MinKomp[[Stanowisko / Position ]:[Stanowisko / Position ]],0))="n/a","n/a",AL153-INDEX(tab_MinKomp[Polityka Etyczna - Compliance],MATCH($B153,tab_MinKomp[[Stanowisko / Position ]:[Stanowisko / Position ]],0)))</f>
        <v>0</v>
      </c>
      <c r="AM154" s="437" t="str">
        <f>IF(INDEX(tab_MinKomp[WDRAŻANIE NOWYCH PROJEKTÓW/ PROCEDURA CTM],MATCH($B153,tab_MinKomp[[Stanowisko / Position ]:[Stanowisko / Position ]],0))="n/a","n/a",AM153-INDEX(tab_MinKomp[WDRAŻANIE NOWYCH PROJEKTÓW/ PROCEDURA CTM],MATCH($B153,tab_MinKomp[[Stanowisko / Position ]:[Stanowisko / Position ]],0)))</f>
        <v>n/a</v>
      </c>
      <c r="AN154" s="437" t="str">
        <f>IF(INDEX(tab_MinKomp[KAMIENIE MILOWE MSL/PIFF],MATCH($B153,tab_MinKomp[[Stanowisko / Position ]:[Stanowisko / Position ]],0))="n/a","n/a",AN153-INDEX(tab_MinKomp[KAMIENIE MILOWE MSL/PIFF],MATCH($B153,tab_MinKomp[[Stanowisko / Position ]:[Stanowisko / Position ]],0)))</f>
        <v>n/a</v>
      </c>
      <c r="AO154" s="437" t="str">
        <f>IF(INDEX(tab_MinKomp[CP],MATCH($B153,tab_MinKomp[[Stanowisko / Position ]:[Stanowisko / Position ]],0))="n/a","n/a",AO153-INDEX(tab_MinKomp[CP],MATCH($B153,tab_MinKomp[[Stanowisko / Position ]:[Stanowisko / Position ]],0)))</f>
        <v>n/a</v>
      </c>
      <c r="AP154" s="437" t="str">
        <f>IF(INDEX(tab_MinKomp[FMEA],MATCH($B153,tab_MinKomp[[Stanowisko / Position ]:[Stanowisko / Position ]],0))="n/a","n/a",AP153-INDEX(tab_MinKomp[FMEA],MATCH($B153,tab_MinKomp[[Stanowisko / Position ]:[Stanowisko / Position ]],0)))</f>
        <v>n/a</v>
      </c>
      <c r="AQ154" s="437" t="str">
        <f>IF(INDEX(tab_MinKomp[FLOW CHART],MATCH($B153,tab_MinKomp[[Stanowisko / Position ]:[Stanowisko / Position ]],0))="n/a","n/a",AQ153-INDEX(tab_MinKomp[FLOW CHART],MATCH($B153,tab_MinKomp[[Stanowisko / Position ]:[Stanowisko / Position ]],0)))</f>
        <v>n/a</v>
      </c>
      <c r="AR154" s="437" t="str">
        <f>IF(INDEX(tab_MinKomp[APQP],MATCH($B153,tab_MinKomp[[Stanowisko / Position ]:[Stanowisko / Position ]],0))="n/a","n/a",AR153-INDEX(tab_MinKomp[APQP],MATCH($B153,tab_MinKomp[[Stanowisko / Position ]:[Stanowisko / Position ]],0)))</f>
        <v>n/a</v>
      </c>
      <c r="AS154" s="437" t="str">
        <f>IF(INDEX(tab_MinKomp[MSA],MATCH($B153,tab_MinKomp[[Stanowisko / Position ]:[Stanowisko / Position ]],0))="n/a","n/a",AS153-INDEX(tab_MinKomp[MSA],MATCH($B153,tab_MinKomp[[Stanowisko / Position ]:[Stanowisko / Position ]],0)))</f>
        <v>n/a</v>
      </c>
      <c r="AT154" s="437" t="str">
        <f>IF(INDEX(tab_MinKomp[SPC],MATCH($B153,tab_MinKomp[[Stanowisko / Position ]:[Stanowisko / Position ]],0))="n/a","n/a",AT153-INDEX(tab_MinKomp[SPC],MATCH($B153,tab_MinKomp[[Stanowisko / Position ]:[Stanowisko / Position ]],0)))</f>
        <v>n/a</v>
      </c>
      <c r="AU154" s="437" t="str">
        <f>IF(INDEX(tab_MinKomp[CSR (SPECYFICZNE WYMAGANIA KLIENTA)],MATCH($B153,tab_MinKomp[[Stanowisko / Position ]:[Stanowisko / Position ]],0))="n/a","n/a",AU153-INDEX(tab_MinKomp[CSR (SPECYFICZNE WYMAGANIA KLIENTA)],MATCH($B153,tab_MinKomp[[Stanowisko / Position ]:[Stanowisko / Position ]],0)))</f>
        <v>n/a</v>
      </c>
      <c r="AV154" s="437">
        <f>IF(INDEX(tab_MinKomp[5S],MATCH($B153,tab_MinKomp[[Stanowisko / Position ]:[Stanowisko / Position ]],0))="n/a","n/a",AV153-INDEX(tab_MinKomp[5S],MATCH($B153,tab_MinKomp[[Stanowisko / Position ]:[Stanowisko / Position ]],0)))</f>
        <v>0</v>
      </c>
      <c r="AW154" s="315">
        <f>IF(INDEX(tab_MinKomp[LEAN MANAGEMENT],MATCH($B153,tab_MinKomp[[Stanowisko / Position ]:[Stanowisko / Position ]],0))="n/a","n/a",AW153-INDEX(tab_MinKomp[LEAN MANAGEMENT],MATCH($B153,tab_MinKomp[[Stanowisko / Position ]:[Stanowisko / Position ]],0)))</f>
        <v>-1</v>
      </c>
      <c r="AX154" s="437">
        <f>IF(INDEX(tab_MinKomp[5R],MATCH($B153,tab_MinKomp[[Stanowisko / Position ]:[Stanowisko / Position ]],0))="n/a","n/a",AX153-INDEX(tab_MinKomp[5R],MATCH($B153,tab_MinKomp[[Stanowisko / Position ]:[Stanowisko / Position ]],0)))</f>
        <v>0</v>
      </c>
      <c r="AY154" s="437" t="str">
        <f>IF(INDEX(tab_MinKomp[Six Sigma],MATCH($B153,tab_MinKomp[[Stanowisko / Position ]:[Stanowisko / Position ]],0))="n/a","n/a",AY153-INDEX(tab_MinKomp[Six Sigma],MATCH($B153,tab_MinKomp[[Stanowisko / Position ]:[Stanowisko / Position ]],0)))</f>
        <v>n/a</v>
      </c>
      <c r="AZ154" s="437" t="str">
        <f>IF(INDEX(tab_MinKomp[System BAAN / Distribution &amp; Supply Chain],MATCH($B153,tab_MinKomp[[Stanowisko / Position ]:[Stanowisko / Position ]],0))="n/a","n/a",AZ153-INDEX(tab_MinKomp[System BAAN / Distribution &amp; Supply Chain],MATCH($B153,tab_MinKomp[[Stanowisko / Position ]:[Stanowisko / Position ]],0)))</f>
        <v>n/a</v>
      </c>
      <c r="BA154" s="437" t="str">
        <f>IF(INDEX(tab_MinKomp[Gospodarka magazynowa / Lagerverwaltung],MATCH($B153,tab_MinKomp[[Stanowisko / Position ]:[Stanowisko / Position ]],0))="n/a","n/a",BA153-INDEX(tab_MinKomp[Gospodarka magazynowa / Lagerverwaltung],MATCH($B153,tab_MinKomp[[Stanowisko / Position ]:[Stanowisko / Position ]],0)))</f>
        <v>n/a</v>
      </c>
      <c r="BB154" s="437" t="str">
        <f>IF(INDEX(tab_MinKomp[Inwentaryzacja - organizacja i przebieg / Inventurprozess],MATCH($B153,tab_MinKomp[[Stanowisko / Position ]:[Stanowisko / Position ]],0))="n/a","n/a",BB153-INDEX(tab_MinKomp[Inwentaryzacja - organizacja i przebieg / Inventurprozess],MATCH($B153,tab_MinKomp[[Stanowisko / Position ]:[Stanowisko / Position ]],0)))</f>
        <v>n/a</v>
      </c>
      <c r="BC154" s="437" t="str">
        <f>IF(INDEX(tab_MinKomp[Organizacja dostaw / Versorgungsorganisation],MATCH($B153,tab_MinKomp[[Stanowisko / Position ]:[Stanowisko / Position ]],0))="n/a","n/a",BC153-INDEX(tab_MinKomp[Organizacja dostaw / Versorgungsorganisation],MATCH($B153,tab_MinKomp[[Stanowisko / Position ]:[Stanowisko / Position ]],0)))</f>
        <v>n/a</v>
      </c>
      <c r="BD154" s="437" t="str">
        <f>IF(INDEX(tab_MinKomp[Organizacja wysyłek / Organisation von Lieferungen],MATCH($B153,tab_MinKomp[[Stanowisko / Position ]:[Stanowisko / Position ]],0))="n/a","n/a",BD153-INDEX(tab_MinKomp[Organizacja wysyłek / Organisation von Lieferungen],MATCH($B153,tab_MinKomp[[Stanowisko / Position ]:[Stanowisko / Position ]],0)))</f>
        <v>n/a</v>
      </c>
      <c r="BE154" s="437" t="str">
        <f>IF(INDEX(tab_MinKomp[Analiza magazynowa - Program Polen.mdb / Inventuranalyse],MATCH($B153,tab_MinKomp[[Stanowisko / Position ]:[Stanowisko / Position ]],0))="n/a","n/a",BE153-INDEX(tab_MinKomp[Analiza magazynowa - Program Polen.mdb / Inventuranalyse],MATCH($B153,tab_MinKomp[[Stanowisko / Position ]:[Stanowisko / Position ]],0)))</f>
        <v>n/a</v>
      </c>
      <c r="BF154" s="437" t="str">
        <f>IF(INDEX(tab_MinKomp[MMOG (Materials Management Operations Guidelines)],MATCH($B153,tab_MinKomp[[Stanowisko / Position ]:[Stanowisko / Position ]],0))="n/a","n/a",BF153-INDEX(tab_MinKomp[MMOG (Materials Management Operations Guidelines)],MATCH($B153,tab_MinKomp[[Stanowisko / Position ]:[Stanowisko / Position ]],0)))</f>
        <v>n/a</v>
      </c>
      <c r="BG154" s="437" t="str">
        <f>IF(INDEX(tab_MinKomp[GPP],MATCH($B153,tab_MinKomp[[Stanowisko / Position ]:[Stanowisko / Position ]],0))="n/a","n/a",BG153-INDEX(tab_MinKomp[GPP],MATCH($B153,tab_MinKomp[[Stanowisko / Position ]:[Stanowisko / Position ]],0)))</f>
        <v>n/a</v>
      </c>
      <c r="BH154" s="437" t="str">
        <f>IF(INDEX(tab_MinKomp[AIAG (Automotive Industry Action Group)],MATCH($B153,tab_MinKomp[[Stanowisko / Position ]:[Stanowisko / Position ]],0))="n/a","n/a",BH153-INDEX(tab_MinKomp[AIAG (Automotive Industry Action Group)],MATCH($B153,tab_MinKomp[[Stanowisko / Position ]:[Stanowisko / Position ]],0)))</f>
        <v>n/a</v>
      </c>
      <c r="BI154" s="437" t="str">
        <f>IF(INDEX(tab_MinKomp[Super-G disputes],MATCH($B153,tab_MinKomp[[Stanowisko / Position ]:[Stanowisko / Position ]],0))="n/a","n/a",BI153-INDEX(tab_MinKomp[Super-G disputes],MATCH($B153,tab_MinKomp[[Stanowisko / Position ]:[Stanowisko / Position ]],0)))</f>
        <v>n/a</v>
      </c>
      <c r="BJ154" s="437" t="str">
        <f>IF(INDEX(tab_MinKomp[CMMS3/eDDL (Direct Data Link)],MATCH($B153,tab_MinKomp[[Stanowisko / Position ]:[Stanowisko / Position ]],0))="n/a","n/a",BJ153-INDEX(tab_MinKomp[CMMS3/eDDL (Direct Data Link)],MATCH($B153,tab_MinKomp[[Stanowisko / Position ]:[Stanowisko / Position ]],0)))</f>
        <v>n/a</v>
      </c>
      <c r="BK154" s="437" t="str">
        <f>IF(INDEX(tab_MinKomp[MP&amp;L (Material Planning and Logistics)],MATCH($B153,tab_MinKomp[[Stanowisko / Position ]:[Stanowisko / Position ]],0))="n/a","n/a",BK153-INDEX(tab_MinKomp[MP&amp;L (Material Planning and Logistics)],MATCH($B153,tab_MinKomp[[Stanowisko / Position ]:[Stanowisko / Position ]],0)))</f>
        <v>n/a</v>
      </c>
      <c r="BL154" s="437" t="str">
        <f>IF(INDEX(tab_MinKomp[Supplier delivery rating],MATCH($B153,tab_MinKomp[[Stanowisko / Position ]:[Stanowisko / Position ]],0))="n/a","n/a",BL153-INDEX(tab_MinKomp[Supplier delivery rating],MATCH($B153,tab_MinKomp[[Stanowisko / Position ]:[Stanowisko / Position ]],0)))</f>
        <v>n/a</v>
      </c>
      <c r="BM154" s="437" t="str">
        <f>IF(INDEX(tab_MinKomp[Planowanie produkcji / Produktionsplanung],MATCH($B153,tab_MinKomp[[Stanowisko / Position ]:[Stanowisko / Position ]],0))="n/a","n/a",BM153-INDEX(tab_MinKomp[Planowanie produkcji / Produktionsplanung],MATCH($B153,tab_MinKomp[[Stanowisko / Position ]:[Stanowisko / Position ]],0)))</f>
        <v>n/a</v>
      </c>
      <c r="BN154" s="437" t="str">
        <f>IF(INDEX(tab_MinKomp[Obsługa maszyn Engel / Engel Maschinenbedienung],MATCH($B153,tab_MinKomp[[Stanowisko / Position ]:[Stanowisko / Position ]],0))="n/a","n/a",BN153-INDEX(tab_MinKomp[Obsługa maszyn Engel / Engel Maschinenbedienung],MATCH($B153,tab_MinKomp[[Stanowisko / Position ]:[Stanowisko / Position ]],0)))</f>
        <v>n/a</v>
      </c>
      <c r="BO154" s="437" t="str">
        <f>IF(INDEX(tab_MinKomp[Obsługa maszyn Novapax / Novapax Maschinenbedienung],MATCH($B153,tab_MinKomp[[Stanowisko / Position ]:[Stanowisko / Position ]],0))="n/a","n/a",BO153-INDEX(tab_MinKomp[Obsługa maszyn Novapax / Novapax Maschinenbedienung],MATCH($B153,tab_MinKomp[[Stanowisko / Position ]:[Stanowisko / Position ]],0)))</f>
        <v>n/a</v>
      </c>
      <c r="BP154" s="437" t="str">
        <f>IF(INDEX(tab_MinKomp[Obsługa maszyn KVT / KVT Maschinenbedienung],MATCH($B153,tab_MinKomp[[Stanowisko / Position ]:[Stanowisko / Position ]],0))="n/a","n/a",BP153-INDEX(tab_MinKomp[Obsługa maszyn KVT / KVT Maschinenbedienung],MATCH($B153,tab_MinKomp[[Stanowisko / Position ]:[Stanowisko / Position ]],0)))</f>
        <v>n/a</v>
      </c>
      <c r="BQ154" s="437" t="str">
        <f>IF(INDEX(tab_MinKomp[Obsługa maszyn ASL / ASL Maschinenbedienung],MATCH($B153,tab_MinKomp[[Stanowisko / Position ]:[Stanowisko / Position ]],0))="n/a","n/a",#REF!-INDEX(tab_MinKomp[Obsługa maszyn ASL / ASL Maschinenbedienung],MATCH($B153,tab_MinKomp[[Stanowisko / Position ]:[Stanowisko / Position ]],0)))</f>
        <v>n/a</v>
      </c>
      <c r="BR154" s="437" t="str">
        <f>IF(INDEX(tab_MinKomp[Obsługa maszyn Branson / Branson Maschinenbedienung],MATCH($B153,tab_MinKomp[[Stanowisko / Position ]:[Stanowisko / Position ]],0))="n/a","n/a",BQ153-INDEX(tab_MinKomp[Obsługa maszyn Branson / Branson Maschinenbedienung],MATCH($B153,tab_MinKomp[[Stanowisko / Position ]:[Stanowisko / Position ]],0)))</f>
        <v>n/a</v>
      </c>
      <c r="BS154" s="437" t="str">
        <f>IF(INDEX(tab_MinKomp[Obsługa maszyn Kamtec / Kamtec Maschinenbedienung],MATCH($B153,tab_MinKomp[[Stanowisko / Position ]:[Stanowisko / Position ]],0))="n/a","n/a",BS153-INDEX(tab_MinKomp[Obsługa maszyn Kamtec / Kamtec Maschinenbedienung],MATCH($B153,tab_MinKomp[[Stanowisko / Position ]:[Stanowisko / Position ]],0)))</f>
        <v>n/a</v>
      </c>
      <c r="BT154" s="437" t="str">
        <f>IF(INDEX(tab_MinKomp[Obsługa maszyn Piovan / Piovan Maschinenbedienung],MATCH($B153,tab_MinKomp[[Stanowisko / Position ]:[Stanowisko / Position ]],0))="n/a","n/a",BT153-INDEX(tab_MinKomp[Obsługa maszyn Piovan / Piovan Maschinenbedienung],MATCH($B153,tab_MinKomp[[Stanowisko / Position ]:[Stanowisko / Position ]],0)))</f>
        <v>n/a</v>
      </c>
      <c r="BU154" s="437" t="str">
        <f>IF(INDEX(tab_MinKomp[Obsługa maszyn REP / REP Maschinenbedienung],MATCH($B153,tab_MinKomp[[Stanowisko / Position ]:[Stanowisko / Position ]],0))="n/a","n/a",BU153-INDEX(tab_MinKomp[Obsługa maszyn REP / REP Maschinenbedienung],MATCH($B153,tab_MinKomp[[Stanowisko / Position ]:[Stanowisko / Position ]],0)))</f>
        <v>n/a</v>
      </c>
      <c r="BV154" s="437" t="str">
        <f>IF(INDEX(tab_MinKomp[Eliminacja awarii / Beseitigung von Ausfällen],MATCH($B153,tab_MinKomp[[Stanowisko / Position ]:[Stanowisko / Position ]],0))="n/a","n/a",BV153-INDEX(tab_MinKomp[Eliminacja awarii / Beseitigung von Ausfällen],MATCH($B153,tab_MinKomp[[Stanowisko / Position ]:[Stanowisko / Position ]],0)))</f>
        <v>n/a</v>
      </c>
      <c r="BW154" s="437" t="str">
        <f>IF(INDEX(tab_MinKomp[Informatyka ogólna (techniczne i systemowe) / Allgemeine IT (Technik und System)],MATCH($B153,tab_MinKomp[[Stanowisko / Position ]:[Stanowisko / Position ]],0))="n/a","n/a",BW153-INDEX(tab_MinKomp[Informatyka ogólna (techniczne i systemowe) / Allgemeine IT (Technik und System)],MATCH($B153,tab_MinKomp[[Stanowisko / Position ]:[Stanowisko / Position ]],0)))</f>
        <v>n/a</v>
      </c>
      <c r="BX154" s="437" t="str">
        <f>IF(INDEX(tab_MinKomp[Sieci komputerowe / Computernetzwerke],MATCH($B153,tab_MinKomp[[Stanowisko / Position ]:[Stanowisko / Position ]],0))="n/a","n/a",BX153-INDEX(tab_MinKomp[Sieci komputerowe / Computernetzwerke],MATCH($B153,tab_MinKomp[[Stanowisko / Position ]:[Stanowisko / Position ]],0)))</f>
        <v>n/a</v>
      </c>
      <c r="BY154" s="437" t="str">
        <f>IF(INDEX(tab_MinKomp[Hardware (komputery PC, drukarki biurowe i etykietowe, telefonia stacjonarna i mobilna) (PC, Drucker, Telefpne, Handys)],MATCH($B153,tab_MinKomp[[Stanowisko / Position ]:[Stanowisko / Position ]],0))="n/a","n/a",BY153-INDEX(tab_MinKomp[Hardware (komputery PC, drukarki biurowe i etykietowe, telefonia stacjonarna i mobilna) (PC, Drucker, Telefpne, Handys)],MATCH($B153,tab_MinKomp[[Stanowisko / Position ]:[Stanowisko / Position ]],0)))</f>
        <v>n/a</v>
      </c>
      <c r="BZ154" s="437" t="str">
        <f>IF(INDEX(tab_MinKomp[Software &amp; Systems (MS Office, MS Remote Desktop)],MATCH($B153,tab_MinKomp[[Stanowisko / Position ]:[Stanowisko / Position ]],0))="n/a","n/a",BZ153-INDEX(tab_MinKomp[Software &amp; Systems (MS Office, MS Remote Desktop)],MATCH($B153,tab_MinKomp[[Stanowisko / Position ]:[Stanowisko / Position ]],0)))</f>
        <v>n/a</v>
      </c>
      <c r="CA154" s="437" t="str">
        <f>IF(INDEX(tab_MinKomp[Programowanie obiektowe (PHP) / Objektprogrammierung],MATCH($B153,tab_MinKomp[[Stanowisko / Position ]:[Stanowisko / Position ]],0))="n/a","n/a",CA153-INDEX(tab_MinKomp[Programowanie obiektowe (PHP) / Objektprogrammierung],MATCH($B153,tab_MinKomp[[Stanowisko / Position ]:[Stanowisko / Position ]],0)))</f>
        <v>n/a</v>
      </c>
      <c r="CB154" s="437" t="str">
        <f>IF(INDEX(tab_MinKomp[Scrum],MATCH($B153,tab_MinKomp[[Stanowisko / Position ]:[Stanowisko / Position ]],0))="n/a","n/a",CB153-INDEX(tab_MinKomp[Scrum],MATCH($B153,tab_MinKomp[[Stanowisko / Position ]:[Stanowisko / Position ]],0)))</f>
        <v>n/a</v>
      </c>
      <c r="CC154" s="437" t="str">
        <f>IF(INDEX(tab_MinKomp[SQL (MySQL)],MATCH($B153,tab_MinKomp[[Stanowisko / Position ]:[Stanowisko / Position ]],0))="n/a","n/a",CC153-INDEX(tab_MinKomp[SQL (MySQL)],MATCH($B153,tab_MinKomp[[Stanowisko / Position ]:[Stanowisko / Position ]],0)))</f>
        <v>n/a</v>
      </c>
      <c r="CD154" s="437" t="str">
        <f>IF(INDEX(tab_MinKomp[Javascript],MATCH($B153,tab_MinKomp[[Stanowisko / Position ]:[Stanowisko / Position ]],0))="n/a","n/a",CD153-INDEX(tab_MinKomp[Javascript],MATCH($B153,tab_MinKomp[[Stanowisko / Position ]:[Stanowisko / Position ]],0)))</f>
        <v>n/a</v>
      </c>
      <c r="CE154" s="437" t="str">
        <f>IF(INDEX(tab_MinKomp[Joomla],MATCH($B153,tab_MinKomp[[Stanowisko / Position ]:[Stanowisko / Position ]],0))="n/a","n/a",CE153-INDEX(tab_MinKomp[Joomla],MATCH($B153,tab_MinKomp[[Stanowisko / Position ]:[Stanowisko / Position ]],0)))</f>
        <v>n/a</v>
      </c>
      <c r="CF154" s="437" t="str">
        <f>IF(INDEX(tab_MinKomp[Bash],MATCH($B153,tab_MinKomp[[Stanowisko / Position ]:[Stanowisko / Position ]],0))="n/a","n/a",CF153-INDEX(tab_MinKomp[Bash],MATCH($B153,tab_MinKomp[[Stanowisko / Position ]:[Stanowisko / Position ]],0)))</f>
        <v>n/a</v>
      </c>
      <c r="CG154" s="437" t="str">
        <f>IF(INDEX(tab_MinKomp[Systemy MES (HYDRA / SFMS)],MATCH($B153,tab_MinKomp[[Stanowisko / Position ]:[Stanowisko / Position ]],0))="n/a","n/a",CG153-INDEX(tab_MinKomp[Systemy MES (HYDRA / SFMS)],MATCH($B153,tab_MinKomp[[Stanowisko / Position ]:[Stanowisko / Position ]],0)))</f>
        <v>n/a</v>
      </c>
      <c r="CH154" s="315" t="str">
        <f>IF(INDEX(tab_MinKomp[HTML / CSS],MATCH($B153,tab_MinKomp[[Stanowisko / Position ]:[Stanowisko / Position ]],0))="n/a","n/a",CH153-INDEX(tab_MinKomp[HTML / CSS],MATCH($B153,tab_MinKomp[[Stanowisko / Position ]:[Stanowisko / Position ]],0)))</f>
        <v>n/a</v>
      </c>
      <c r="CI154" s="315">
        <f>IF(INDEX(tab_MinKomp[SYSTEM PR],MATCH($B153,tab_MinKomp[[Stanowisko / Position ]:[Stanowisko / Position ]],0))="n/a","n/a",CI153-INDEX(tab_MinKomp[SYSTEM PR],MATCH($B153,tab_MinKomp[[Stanowisko / Position ]:[Stanowisko / Position ]],0)))</f>
        <v>0</v>
      </c>
      <c r="CJ154" s="315" t="str">
        <f>IF(INDEX(tab_MinKomp[System Einkauf XP / EBA],MATCH($B153,tab_MinKomp[[Stanowisko / Position ]:[Stanowisko / Position ]],0))="n/a","n/a",CJ153-INDEX(tab_MinKomp[System Einkauf XP / EBA],MATCH($B153,tab_MinKomp[[Stanowisko / Position ]:[Stanowisko / Position ]],0)))</f>
        <v>n/a</v>
      </c>
      <c r="CK154" s="315" t="str">
        <f>IF(INDEX(tab_MinKomp[Techniki negocjacyjne / Verhandlungstechniken],MATCH($B153,tab_MinKomp[[Stanowisko / Position ]:[Stanowisko / Position ]],0))="n/a","n/a",CK153-INDEX(tab_MinKomp[Techniki negocjacyjne / Verhandlungstechniken],MATCH($B153,tab_MinKomp[[Stanowisko / Position ]:[Stanowisko / Position ]],0)))</f>
        <v>n/a</v>
      </c>
      <c r="CL154" s="315" t="str">
        <f>IF(INDEX(tab_MinKomp[Znajomość rynku branżowego / Kenntnis des Industrie Marktes],MATCH($B153,tab_MinKomp[[Stanowisko / Position ]:[Stanowisko / Position ]],0))="n/a","n/a",CL153-INDEX(tab_MinKomp[Znajomość rynku branżowego / Kenntnis des Industrie Marktes],MATCH($B153,tab_MinKomp[[Stanowisko / Position ]:[Stanowisko / Position ]],0)))</f>
        <v>n/a</v>
      </c>
      <c r="CM154" s="315">
        <f>IF(INDEX(tab_MinKomp[RAPORTY 8D / 8D Berichten],MATCH($B153,tab_MinKomp[[Stanowisko / Position ]:[Stanowisko / Position ]],0))="n/a","n/a",CM153-INDEX(tab_MinKomp[RAPORTY 8D / 8D Berichten],MATCH($B153,tab_MinKomp[[Stanowisko / Position ]:[Stanowisko / Position ]],0)))</f>
        <v>0</v>
      </c>
      <c r="CN154" s="315">
        <f>IF(INDEX(tab_MinKomp[NARZĘDZIA JAKOŚCIOWE (5WHY, Ishikawa, etc) / QS-Werkzeuge],MATCH($B153,tab_MinKomp[[Stanowisko / Position ]:[Stanowisko / Position ]],0))="n/a","n/a",CN153-INDEX(tab_MinKomp[NARZĘDZIA JAKOŚCIOWE (5WHY, Ishikawa, etc) / QS-Werkzeuge],MATCH($B153,tab_MinKomp[[Stanowisko / Position ]:[Stanowisko / Position ]],0)))</f>
        <v>0</v>
      </c>
      <c r="CO154" s="315" t="str">
        <f>IF(INDEX(tab_MinKomp[PDCA],MATCH($B153,tab_MinKomp[[Stanowisko / Position ]:[Stanowisko / Position ]],0))="n/a","n/a",CO153-INDEX(tab_MinKomp[PDCA],MATCH($B153,tab_MinKomp[[Stanowisko / Position ]:[Stanowisko / Position ]],0)))</f>
        <v>n/a</v>
      </c>
      <c r="CP154" s="315" t="str">
        <f>IF(INDEX(tab_MinKomp[Pareto],MATCH($B153,tab_MinKomp[[Stanowisko / Position ]:[Stanowisko / Position ]],0))="n/a","n/a",CP153-INDEX(tab_MinKomp[Pareto],MATCH($B153,tab_MinKomp[[Stanowisko / Position ]:[Stanowisko / Position ]],0)))</f>
        <v>n/a</v>
      </c>
      <c r="CQ154" s="315" t="str">
        <f>IF(INDEX(tab_MinKomp[PPAP/PSW],MATCH($B153,tab_MinKomp[[Stanowisko / Position ]:[Stanowisko / Position ]],0))="n/a","n/a",CQ153-INDEX(tab_MinKomp[PPAP/PSW],MATCH($B153,tab_MinKomp[[Stanowisko / Position ]:[Stanowisko / Position ]],0)))</f>
        <v>n/a</v>
      </c>
      <c r="CR154" s="315" t="str">
        <f>IF(INDEX(tab_MinKomp[SUPPLIER MANAGEMENT],MATCH($B153,tab_MinKomp[[Stanowisko / Position ]:[Stanowisko / Position ]],0))="n/a","n/a",CR153-INDEX(tab_MinKomp[SUPPLIER MANAGEMENT],MATCH($B153,tab_MinKomp[[Stanowisko / Position ]:[Stanowisko / Position ]],0)))</f>
        <v>n/a</v>
      </c>
      <c r="CS154" s="315" t="str">
        <f>IF(INDEX(tab_MinKomp[OBSŁUGA PORTALI KLIENTA / Kundenportale],MATCH($B153,tab_MinKomp[[Stanowisko / Position ]:[Stanowisko / Position ]],0))="n/a","n/a",CS153-INDEX(tab_MinKomp[OBSŁUGA PORTALI KLIENTA / Kundenportale],MATCH($B153,tab_MinKomp[[Stanowisko / Position ]:[Stanowisko / Position ]],0)))</f>
        <v>n/a</v>
      </c>
      <c r="CT154" s="315" t="str">
        <f>IF(INDEX(tab_MinKomp[Obsługa systemu BABTECQ / BABTECQ System],MATCH($B153,tab_MinKomp[[Stanowisko / Position ]:[Stanowisko / Position ]],0))="n/a","n/a",CT153-INDEX(tab_MinKomp[Obsługa systemu BABTECQ / BABTECQ System],MATCH($B153,tab_MinKomp[[Stanowisko / Position ]:[Stanowisko / Position ]],0)))</f>
        <v>n/a</v>
      </c>
      <c r="CU154" s="437" t="s">
        <v>176</v>
      </c>
      <c r="CV154" s="437" t="str">
        <f>IF(INDEX(tab_MinKomp[Rekwalifikacja / Requalifizierung],MATCH($B153,tab_MinKomp[[Stanowisko / Position ]:[Stanowisko / Position ]],0))="n/a","n/a",CV153-INDEX(tab_MinKomp[Rekwalifikacja / Requalifizierung],MATCH($B153,tab_MinKomp[[Stanowisko / Position ]:[Stanowisko / Position ]],0)))</f>
        <v>n/a</v>
      </c>
      <c r="CW154" s="437" t="s">
        <v>176</v>
      </c>
      <c r="CX154" s="437" t="s">
        <v>176</v>
      </c>
      <c r="CY154" s="437" t="s">
        <v>176</v>
      </c>
      <c r="CZ154" s="437" t="s">
        <v>176</v>
      </c>
      <c r="DA154" s="437" t="str">
        <f>IF(INDEX(tab_MinKomp[Rekwalifikacja / Requalifizierung],MATCH($B153,tab_MinKomp[[Stanowisko / Position ]:[Stanowisko / Position ]],0))="n/a","n/a",DA153-INDEX(tab_MinKomp[Rekwalifikacja / Requalifizierung],MATCH($B153,tab_MinKomp[[Stanowisko / Position ]:[Stanowisko / Position ]],0)))</f>
        <v>n/a</v>
      </c>
      <c r="DB154" s="437" t="s">
        <v>176</v>
      </c>
      <c r="DC154" s="437" t="s">
        <v>176</v>
      </c>
      <c r="DD154" s="437" t="s">
        <v>176</v>
      </c>
      <c r="DE154" s="437" t="s">
        <v>176</v>
      </c>
      <c r="DF154" s="437" t="str">
        <f>IF(INDEX(tab_MinKomp[Rekwalifikacja / Requalifizierung],MATCH($B153,tab_MinKomp[[Stanowisko / Position ]:[Stanowisko / Position ]],0))="n/a","n/a",DF153-INDEX(tab_MinKomp[Rekwalifikacja / Requalifizierung],MATCH($B153,tab_MinKomp[[Stanowisko / Position ]:[Stanowisko / Position ]],0)))</f>
        <v>n/a</v>
      </c>
      <c r="DG154" s="437" t="s">
        <v>176</v>
      </c>
      <c r="DH154" s="437" t="s">
        <v>176</v>
      </c>
      <c r="DI154" s="437" t="s">
        <v>176</v>
      </c>
      <c r="DJ154" s="437" t="s">
        <v>176</v>
      </c>
      <c r="DK154" s="437" t="str">
        <f>IF(INDEX(tab_MinKomp[Rekwalifikacja / Requalifizierung],MATCH($B153,tab_MinKomp[[Stanowisko / Position ]:[Stanowisko / Position ]],0))="n/a","n/a",DK153-INDEX(tab_MinKomp[Rekwalifikacja / Requalifizierung],MATCH($B153,tab_MinKomp[[Stanowisko / Position ]:[Stanowisko / Position ]],0)))</f>
        <v>n/a</v>
      </c>
      <c r="DL154" s="437" t="s">
        <v>176</v>
      </c>
      <c r="DM154" s="437" t="s">
        <v>176</v>
      </c>
      <c r="DN154" s="437" t="s">
        <v>176</v>
      </c>
      <c r="DO154" s="437" t="s">
        <v>176</v>
      </c>
      <c r="DP154" s="437" t="str">
        <f>IF(INDEX(tab_MinKomp[Rekwalifikacja / Requalifizierung],MATCH($B153,tab_MinKomp[[Stanowisko / Position ]:[Stanowisko / Position ]],0))="n/a","n/a",DP153-INDEX(tab_MinKomp[Rekwalifikacja / Requalifizierung],MATCH($B153,tab_MinKomp[[Stanowisko / Position ]:[Stanowisko / Position ]],0)))</f>
        <v>n/a</v>
      </c>
      <c r="DQ154" s="437" t="s">
        <v>176</v>
      </c>
      <c r="DR154" s="437" t="s">
        <v>176</v>
      </c>
      <c r="DS154" s="437" t="s">
        <v>176</v>
      </c>
      <c r="DT154" s="437" t="s">
        <v>176</v>
      </c>
      <c r="DU154" s="437" t="str">
        <f>IF(INDEX(tab_MinKomp[Rekwalifikacja / Requalifizierung],MATCH($B153,tab_MinKomp[[Stanowisko / Position ]:[Stanowisko / Position ]],0))="n/a","n/a",DU153-INDEX(tab_MinKomp[Rekwalifikacja / Requalifizierung],MATCH($B153,tab_MinKomp[[Stanowisko / Position ]:[Stanowisko / Position ]],0)))</f>
        <v>n/a</v>
      </c>
      <c r="DV154" s="437" t="s">
        <v>176</v>
      </c>
      <c r="DW154" s="437" t="s">
        <v>176</v>
      </c>
      <c r="DX154" s="437" t="s">
        <v>176</v>
      </c>
      <c r="DY154" s="437" t="str">
        <f>IF(INDEX(tab_MinKomp[Konserwacja Rep],MATCH($B153,tab_MinKomp[[Stanowisko / Position ]:[Stanowisko / Position ]],0))="n/a","n/a",DY153-INDEX(tab_MinKomp[Konserwacja Rep],MATCH($B153,tab_MinKomp[[Stanowisko / Position ]:[Stanowisko / Position ]],0)))</f>
        <v>n/a</v>
      </c>
      <c r="DZ154" s="437" t="str">
        <f>IF(INDEX(tab_MinKomp[[Konserwacja Engel ]],MATCH($B153,tab_MinKomp[[Stanowisko / Position ]:[Stanowisko / Position ]],0))="n/a","n/a",DZ153-INDEX(tab_MinKomp[[Konserwacja Engel ]],MATCH($B153,tab_MinKomp[[Stanowisko / Position ]:[Stanowisko / Position ]],0)))</f>
        <v>n/a</v>
      </c>
      <c r="EA154" s="437" t="str">
        <f>IF(INDEX(tab_MinKomp[Konserwacja B 50],MATCH($B153,tab_MinKomp[[Stanowisko / Position ]:[Stanowisko / Position ]],0))="n/a","n/a",EA153-INDEX(tab_MinKomp[Konserwacja B 50],MATCH($B153,tab_MinKomp[[Stanowisko / Position ]:[Stanowisko / Position ]],0)))</f>
        <v>n/a</v>
      </c>
      <c r="EB154" s="437" t="str">
        <f>IF(INDEX(tab_MinKomp[[Konserwacja EOL ]],MATCH($B153,tab_MinKomp[[Stanowisko / Position ]:[Stanowisko / Position ]],0))="n/a","n/a",EB153-INDEX(tab_MinKomp[[Konserwacja EOL ]],MATCH($B153,tab_MinKomp[[Stanowisko / Position ]:[Stanowisko / Position ]],0)))</f>
        <v>n/a</v>
      </c>
      <c r="EC154" s="437" t="str">
        <f>IF(INDEX(tab_MinKomp[Konserwacja Branson],MATCH($B153,tab_MinKomp[[Stanowisko / Position ]:[Stanowisko / Position ]],0))="n/a","n/a",EC153-INDEX(tab_MinKomp[Konserwacja Branson],MATCH($B153,tab_MinKomp[[Stanowisko / Position ]:[Stanowisko / Position ]],0)))</f>
        <v>n/a</v>
      </c>
      <c r="ED154" s="437" t="str">
        <f>IF(INDEX(tab_MinKomp[Konserwacja coolery],MATCH($B153,tab_MinKomp[[Stanowisko / Position ]:[Stanowisko / Position ]],0))="n/a","n/a",ED153-INDEX(tab_MinKomp[Konserwacja coolery],MATCH($B153,tab_MinKomp[[Stanowisko / Position ]:[Stanowisko / Position ]],0)))</f>
        <v>n/a</v>
      </c>
      <c r="EE154" s="437" t="str">
        <f>IF(INDEX(tab_MinKomp[Konserwacja piecy],MATCH($B153,tab_MinKomp[[Stanowisko / Position ]:[Stanowisko / Position ]],0))="n/a","n/a",EE153-INDEX(tab_MinKomp[Konserwacja piecy],MATCH($B153,tab_MinKomp[[Stanowisko / Position ]:[Stanowisko / Position ]],0)))</f>
        <v>n/a</v>
      </c>
      <c r="EF154" s="437" t="str">
        <f>IF(INDEX(tab_MinKomp[Rysunek techniczny- czytanie],MATCH($B153,tab_MinKomp[[Stanowisko / Position ]:[Stanowisko / Position ]],0))="n/a","n/a",EF153-INDEX(tab_MinKomp[Rysunek techniczny- czytanie],MATCH($B153,tab_MinKomp[[Stanowisko / Position ]:[Stanowisko / Position ]],0)))</f>
        <v>n/a</v>
      </c>
      <c r="EG154" s="437" t="str">
        <f>IF(INDEX(tab_MinKomp[Elektryka],MATCH($B153,tab_MinKomp[[Stanowisko / Position ]:[Stanowisko / Position ]],0))="n/a","n/a",EG153-INDEX(tab_MinKomp[Elektryka],MATCH($B153,tab_MinKomp[[Stanowisko / Position ]:[Stanowisko / Position ]],0)))</f>
        <v>n/a</v>
      </c>
      <c r="EH154" s="437" t="str">
        <f>IF(INDEX(tab_MinKomp[Pneumatyka],MATCH($B153,tab_MinKomp[[Stanowisko / Position ]:[Stanowisko / Position ]],0))="n/a","n/a",EH153-INDEX(tab_MinKomp[Pneumatyka],MATCH($B153,tab_MinKomp[[Stanowisko / Position ]:[Stanowisko / Position ]],0)))</f>
        <v>n/a</v>
      </c>
      <c r="EI154" s="437" t="str">
        <f>IF(INDEX(tab_MinKomp[[Hydraulika ]],MATCH($B153,tab_MinKomp[[Stanowisko / Position ]:[Stanowisko / Position ]],0))="n/a","n/a",EI153-INDEX(tab_MinKomp[[Hydraulika ]],MATCH($B153,tab_MinKomp[[Stanowisko / Position ]:[Stanowisko / Position ]],0)))</f>
        <v>n/a</v>
      </c>
      <c r="EJ154" s="437" t="str">
        <f>IF(INDEX(tab_MinKomp[Podciśnienie],MATCH($B153,tab_MinKomp[[Stanowisko / Position ]:[Stanowisko / Position ]],0))="n/a","n/a",EJ153-INDEX(tab_MinKomp[Podciśnienie],MATCH($B153,tab_MinKomp[[Stanowisko / Position ]:[Stanowisko / Position ]],0)))</f>
        <v>n/a</v>
      </c>
      <c r="EK154" s="437" t="str">
        <f>IF(INDEX(tab_MinKomp[Usuwanie awarii],MATCH($B153,tab_MinKomp[[Stanowisko / Position ]:[Stanowisko / Position ]],0))="n/a","n/a",EK153-INDEX(tab_MinKomp[Usuwanie awarii],MATCH($B153,tab_MinKomp[[Stanowisko / Position ]:[Stanowisko / Position ]],0)))</f>
        <v>n/a</v>
      </c>
      <c r="EL154" s="437" t="str">
        <f>IF(INDEX(tab_MinKomp[Obsługa robotów],MATCH($B153,tab_MinKomp[[Stanowisko / Position ]:[Stanowisko / Position ]],0))="n/a","n/a",EL153-INDEX(tab_MinKomp[Obsługa robotów],MATCH($B153,tab_MinKomp[[Stanowisko / Position ]:[Stanowisko / Position ]],0)))</f>
        <v>n/a</v>
      </c>
      <c r="EM154" s="437" t="str">
        <f>IF(INDEX(tab_MinKomp[Obsługa sterowania maszyny],MATCH($B153,tab_MinKomp[[Stanowisko / Position ]:[Stanowisko / Position ]],0))="n/a","n/a",EM153-INDEX(tab_MinKomp[Obsługa sterowania maszyny],MATCH($B153,tab_MinKomp[[Stanowisko / Position ]:[Stanowisko / Position ]],0)))</f>
        <v>n/a</v>
      </c>
      <c r="EN154" s="437" t="str">
        <f>IF(INDEX(tab_MinKomp[Usuwanie przyczyn żródłowych],MATCH($B153,tab_MinKomp[[Stanowisko / Position ]:[Stanowisko / Position ]],0))="n/a","n/a",EN153-INDEX(tab_MinKomp[Usuwanie przyczyn żródłowych],MATCH($B153,tab_MinKomp[[Stanowisko / Position ]:[Stanowisko / Position ]],0)))</f>
        <v>n/a</v>
      </c>
      <c r="EO154" s="437" t="str">
        <f>IF(INDEX(tab_MinKomp[Cmms stosowanie],MATCH($B153,tab_MinKomp[[Stanowisko / Position ]:[Stanowisko / Position ]],0))="n/a","n/a",EO153-INDEX(tab_MinKomp[Cmms stosowanie],MATCH($B153,tab_MinKomp[[Stanowisko / Position ]:[Stanowisko / Position ]],0)))</f>
        <v>n/a</v>
      </c>
      <c r="EP154" s="437" t="str">
        <f>IF(INDEX(tab_MinKomp[[Czyszczenie form gumowych ]],MATCH($B153,tab_MinKomp[[Stanowisko / Position ]:[Stanowisko / Position ]],0))="n/a","n/a",EP153-INDEX(tab_MinKomp[[Czyszczenie form gumowych ]],MATCH($B153,tab_MinKomp[[Stanowisko / Position ]:[Stanowisko / Position ]],0)))</f>
        <v>n/a</v>
      </c>
      <c r="EQ154" s="437" t="str">
        <f>IF(INDEX(tab_MinKomp[Czyszczenie form plastikowych],MATCH($B153,tab_MinKomp[[Stanowisko / Position ]:[Stanowisko / Position ]],0))="n/a","n/a",EQ153-INDEX(tab_MinKomp[Czyszczenie form plastikowych],MATCH($B153,tab_MinKomp[[Stanowisko / Position ]:[Stanowisko / Position ]],0)))</f>
        <v>n/a</v>
      </c>
      <c r="ER154" s="437" t="str">
        <f>IF(INDEX(tab_MinKomp[Wymiana form plastik],MATCH($B153,tab_MinKomp[[Stanowisko / Position ]:[Stanowisko / Position ]],0))="n/a","n/a",ER153-INDEX(tab_MinKomp[Wymiana form plastik],MATCH($B153,tab_MinKomp[[Stanowisko / Position ]:[Stanowisko / Position ]],0)))</f>
        <v>n/a</v>
      </c>
      <c r="ES154" s="437" t="str">
        <f>IF(INDEX(tab_MinKomp[Wymiana form guma],MATCH($B153,tab_MinKomp[[Stanowisko / Position ]:[Stanowisko / Position ]],0))="n/a","n/a",ES153-INDEX(tab_MinKomp[Wymiana form guma],MATCH($B153,tab_MinKomp[[Stanowisko / Position ]:[Stanowisko / Position ]],0)))</f>
        <v>n/a</v>
      </c>
      <c r="ET154" s="437" t="str">
        <f>IF(INDEX(tab_MinKomp[Konserwacja KK],MATCH($B153,tab_MinKomp[[Stanowisko / Position ]:[Stanowisko / Position ]],0))="n/a","n/a",ET153-INDEX(tab_MinKomp[Konserwacja KK],MATCH($B153,tab_MinKomp[[Stanowisko / Position ]:[Stanowisko / Position ]],0)))</f>
        <v>n/a</v>
      </c>
      <c r="EU154" s="437" t="str">
        <f>IF(INDEX(tab_MinKomp[Konserwacja form guma],MATCH($B153,tab_MinKomp[[Stanowisko / Position ]:[Stanowisko / Position ]],0))="n/a","n/a",EU153-INDEX(tab_MinKomp[Konserwacja form guma],MATCH($B153,tab_MinKomp[[Stanowisko / Position ]:[Stanowisko / Position ]],0)))</f>
        <v>n/a</v>
      </c>
      <c r="EV154" s="437" t="str">
        <f>IF(INDEX(tab_MinKomp[Konserwacja form plastiki],MATCH($B153,tab_MinKomp[[Stanowisko / Position ]:[Stanowisko / Position ]],0))="n/a","n/a",EV153-INDEX(tab_MinKomp[Konserwacja form plastiki],MATCH($B153,tab_MinKomp[[Stanowisko / Position ]:[Stanowisko / Position ]],0)))</f>
        <v>n/a</v>
      </c>
      <c r="EW154" s="330" t="str">
        <f>IF(INDEX(tab_MinKomp[Konserwacja form plastiki],MATCH($B153,tab_MinKomp[[Stanowisko / Position ]:[Stanowisko / Position ]],0))="n/a","n/a",EW153-INDEX(tab_MinKomp[Konserwacja form plastiki],MATCH($B153,tab_MinKomp[[Stanowisko / Position ]:[Stanowisko / Position ]],0)))</f>
        <v>n/a</v>
      </c>
      <c r="EX154" s="437" t="str">
        <f>IF(INDEX(tab_MinKomp[Konserwacja Gorącego Kanału],MATCH($B153,tab_MinKomp[[Stanowisko / Position ]:[Stanowisko / Position ]],0))="n/a","n/a",EX153-INDEX(tab_MinKomp[Konserwacja Gorącego Kanału],MATCH($B153,tab_MinKomp[[Stanowisko / Position ]:[Stanowisko / Position ]],0)))</f>
        <v>n/a</v>
      </c>
      <c r="EY154" s="315">
        <f>IF(INDEX(tab_MinKomp[MS Office (Excel)],MATCH($B153,tab_MinKomp[[Stanowisko / Position ]:[Stanowisko / Position ]],0))="n/a","n/a",EY153-INDEX(tab_MinKomp[MS Office (Excel)],MATCH($B153,tab_MinKomp[[Stanowisko / Position ]:[Stanowisko / Position ]],0)))</f>
        <v>0</v>
      </c>
      <c r="EZ154" s="315">
        <f>IF(INDEX(tab_MinKomp[MS Office (Word)],MATCH($B153,tab_MinKomp[[Stanowisko / Position ]:[Stanowisko / Position ]],0))="n/a","n/a",EZ153-INDEX(tab_MinKomp[MS Office (Word)],MATCH($B153,tab_MinKomp[[Stanowisko / Position ]:[Stanowisko / Position ]],0)))</f>
        <v>0</v>
      </c>
      <c r="FA154" s="315">
        <f>IF(INDEX(tab_MinKomp[MS Office (Power Point)],MATCH($B153,tab_MinKomp[[Stanowisko / Position ]:[Stanowisko / Position ]],0))="n/a","n/a",FA153-INDEX(tab_MinKomp[MS Office (Power Point)],MATCH($B153,tab_MinKomp[[Stanowisko / Position ]:[Stanowisko / Position ]],0)))</f>
        <v>-1</v>
      </c>
      <c r="FB154" s="315">
        <f>IF(INDEX(tab_MinKomp[Język angielski / Englisch],MATCH($B153,tab_MinKomp[[Stanowisko / Position ]:[Stanowisko / Position ]],0))="n/a","n/a",FB153-INDEX(tab_MinKomp[Język angielski / Englisch],MATCH($B153,tab_MinKomp[[Stanowisko / Position ]:[Stanowisko / Position ]],0)))</f>
        <v>0</v>
      </c>
      <c r="FC154" s="315">
        <f>IF(INDEX(tab_MinKomp[Język niemiecki / Deutsch],MATCH($B153,tab_MinKomp[[Stanowisko / Position ]:[Stanowisko / Position ]],0))="n/a","n/a",FC153-INDEX(tab_MinKomp[Język niemiecki / Deutsch],MATCH($B153,tab_MinKomp[[Stanowisko / Position ]:[Stanowisko / Position ]],0)))</f>
        <v>0</v>
      </c>
      <c r="FD154" s="315">
        <f>IF(INDEX(tab_MinKomp[Zarządzanie dokumentacją procesową / Process dokumentation management],MATCH($B153,tab_MinKomp[[Stanowisko / Position ]:[Stanowisko / Position ]],0))="n/a","n/a",FD153-INDEX(tab_MinKomp[Zarządzanie dokumentacją procesową / Process dokumentation management],MATCH($B153,tab_MinKomp[[Stanowisko / Position ]:[Stanowisko / Position ]],0)))</f>
        <v>0</v>
      </c>
      <c r="FE154" s="315">
        <f>IF(INDEX(tab_MinKomp[Znajomość procesów z obszaru / Kenntiss der prozesse in dem Bereich],MATCH($B153,tab_MinKomp[[Stanowisko / Position ]:[Stanowisko / Position ]],0))="n/a","n/a",FE153-INDEX(tab_MinKomp[Znajomość procesów z obszaru / Kenntiss der prozesse in dem Bereich],MATCH($B153,tab_MinKomp[[Stanowisko / Position ]:[Stanowisko / Position ]],0)))</f>
        <v>-1</v>
      </c>
      <c r="FF154" s="315">
        <f>IF(INDEX(tab_MinKomp[optymalizacja procesów / Prozessoptymalisierung],MATCH($B153,tab_MinKomp[[Stanowisko / Position ]:[Stanowisko / Position ]],0))="n/a","n/a",FF153-INDEX(tab_MinKomp[optymalizacja procesów / Prozessoptymalisierung],MATCH($B153,tab_MinKomp[[Stanowisko / Position ]:[Stanowisko / Position ]],0)))</f>
        <v>0</v>
      </c>
      <c r="FG154" s="315">
        <f>IF(INDEX(tab_MinKomp[Umiejętności szkoleniowe / Trainingsfähigkeiten],MATCH($B153,tab_MinKomp[[Stanowisko / Position ]:[Stanowisko / Position ]],0))="n/a","n/a",FG153-INDEX(tab_MinKomp[Umiejętności szkoleniowe / Trainingsfähigkeiten],MATCH($B153,tab_MinKomp[[Stanowisko / Position ]:[Stanowisko / Position ]],0)))</f>
        <v>-1</v>
      </c>
      <c r="FH154" s="315">
        <f>IF(INDEX(tab_MinKomp[Analityczne myślenie, podejście / Analitysches Denken, Einstellung],MATCH($B153,tab_MinKomp[[Stanowisko / Position ]:[Stanowisko / Position ]],0))="n/a","n/a",FH153-INDEX(tab_MinKomp[Analityczne myślenie, podejście / Analitysches Denken, Einstellung],MATCH($B153,tab_MinKomp[[Stanowisko / Position ]:[Stanowisko / Position ]],0)))</f>
        <v>-1</v>
      </c>
      <c r="FI154" s="315">
        <f>IF(INDEX(tab_MinKomp[Dokładność, precyzja w dzialaniu / Genauigkeit, Präzision in die Arbeit],MATCH($B153,tab_MinKomp[[Stanowisko / Position ]:[Stanowisko / Position ]],0))="n/a","n/a",FI153-INDEX(tab_MinKomp[Dokładność, precyzja w dzialaniu / Genauigkeit, Präzision in die Arbeit],MATCH($B153,tab_MinKomp[[Stanowisko / Position ]:[Stanowisko / Position ]],0)))</f>
        <v>-1</v>
      </c>
      <c r="FJ154" s="315">
        <f>IF(INDEX(tab_MinKomp[Dyspozycyjność / Verfügbarkeit],MATCH($B153,tab_MinKomp[[Stanowisko / Position ]:[Stanowisko / Position ]],0))="n/a","n/a",FJ153-INDEX(tab_MinKomp[Dyspozycyjność / Verfügbarkeit],MATCH($B153,tab_MinKomp[[Stanowisko / Position ]:[Stanowisko / Position ]],0)))</f>
        <v>0</v>
      </c>
      <c r="FK154" s="315">
        <f>IF(INDEX(tab_MinKomp[Zaangażowanie / 
Engagement],MATCH($B153,tab_MinKomp[[Stanowisko / Position ]:[Stanowisko / Position ]],0))="n/a","n/a",FK153-INDEX(tab_MinKomp[Zaangażowanie / 
Engagement],MATCH($B153,tab_MinKomp[[Stanowisko / Position ]:[Stanowisko / Position ]],0)))</f>
        <v>0</v>
      </c>
      <c r="FL154" s="315">
        <f>IF(INDEX(tab_MinKomp[Planowanie strategiczne / Strategische Planung],MATCH($B153,tab_MinKomp[[Stanowisko / Position ]:[Stanowisko / Position ]],0))="n/a","n/a",FL153-INDEX(tab_MinKomp[Planowanie strategiczne / Strategische Planung],MATCH($B153,tab_MinKomp[[Stanowisko / Position ]:[Stanowisko / Position ]],0)))</f>
        <v>-1</v>
      </c>
      <c r="FM154" s="315">
        <f>IF(INDEX(tab_MinKomp[Konsekwentne i dynamiczne działanie],MATCH($B153,tab_MinKomp[[Stanowisko / Position ]:[Stanowisko / Position ]],0))="n/a","n/a",FM153-INDEX(tab_MinKomp[Konsekwentne i dynamiczne działanie],MATCH($B153,tab_MinKomp[[Stanowisko / Position ]:[Stanowisko / Position ]],0)))</f>
        <v>-1</v>
      </c>
      <c r="FN154" s="315">
        <f>IF(INDEX(tab_MinKomp[Elastyczność w działaniu],MATCH($B153,tab_MinKomp[[Stanowisko / Position ]:[Stanowisko / Position ]],0))="n/a","n/a",FN153-INDEX(tab_MinKomp[Elastyczność w działaniu],MATCH($B153,tab_MinKomp[[Stanowisko / Position ]:[Stanowisko / Position ]],0)))</f>
        <v>0</v>
      </c>
      <c r="FO154" s="315">
        <f>IF(INDEX(tab_MinKomp[Komunikatywność],MATCH($B153,tab_MinKomp[[Stanowisko / Position ]:[Stanowisko / Position ]],0))="n/a","n/a",FO153-INDEX(tab_MinKomp[Komunikatywność],MATCH($B153,tab_MinKomp[[Stanowisko / Position ]:[Stanowisko / Position ]],0)))</f>
        <v>-1</v>
      </c>
      <c r="FP154" s="314">
        <v>1</v>
      </c>
      <c r="FQ154" s="439" t="str">
        <f>IFERROR(IF(INDEX(tab_MinKomp[BRAK / Keine],MATCH($B153,tab_MinKomp[[Stanowisko / Position ]:[Stanowisko / Position ]],0))="n/a","n/a",INDEX(tab_MinKomp[BRAK / Keine],MATCH($B153,tab_MinKomp[[Stanowisko / Position ]:[Stanowisko / Position ]],0))-FQ153),"")</f>
        <v>n/a</v>
      </c>
      <c r="FR154" s="437" t="str">
        <f>IF(INDEX(tab_MinKomp[MINIMUM 1 ROK / min. 1 Jahr],MATCH($B153,tab_MinKomp[[Stanowisko / Position ]:[Stanowisko / Position ]],0))="n/a","n/a",INDEX(tab_MinKomp[MINIMUM 1 ROK / min. 1 Jahr],MATCH($B153,tab_MinKomp[[Stanowisko / Position ]:[Stanowisko / Position ]],0)))</f>
        <v>n/a</v>
      </c>
      <c r="FS154" s="437" t="str">
        <f>IF(INDEX(tab_MinKomp[MINIMUM 2 LATA / min. 2 Jahre],MATCH($B153,tab_MinKomp[[Stanowisko / Position ]:[Stanowisko / Position ]],0))="n/a","n/a",INDEX(tab_MinKomp[MINIMUM 2 LATA / min. 2 Jahre],MATCH($B153,tab_MinKomp[[Stanowisko / Position ]:[Stanowisko / Position ]],0)))</f>
        <v>n/a</v>
      </c>
      <c r="FT154" s="437" t="str">
        <f>IF(INDEX(tab_MinKomp[MINIMUM 3 LATA / min. 3 Jahre],MATCH($B153,tab_MinKomp[[Stanowisko / Position ]:[Stanowisko / Position ]],0))="n/a","n/a",INDEX(tab_MinKomp[MINIMUM 3 LATA / min. 3 Jahre],MATCH($B153,tab_MinKomp[[Stanowisko / Position ]:[Stanowisko / Position ]],0)))</f>
        <v>X</v>
      </c>
      <c r="FU154" s="437" t="str">
        <f>IF(INDEX(tab_MinKomp[MINIMUM 4 LATA / min. 4 Jahre],MATCH($B153,tab_MinKomp[[Stanowisko / Position ]:[Stanowisko / Position ]],0))="n/a","n/a",INDEX(tab_MinKomp[MINIMUM 4 LATA / min. 4 Jahre],MATCH($B153,tab_MinKomp[[Stanowisko / Position ]:[Stanowisko / Position ]],0)))</f>
        <v>n/a</v>
      </c>
      <c r="FV154" s="440" t="str">
        <f>IF(INDEX(tab_MinKomp[MINIMUM 5 LAT / min. 5 Jahre],MATCH($B153,tab_MinKomp[[Stanowisko / Position ]:[Stanowisko / Position ]],0))="n/a","n/a",INDEX(tab_MinKomp[MINIMUM 5 LAT / min. 5 Jahre],MATCH($B153,tab_MinKomp[[Stanowisko / Position ]:[Stanowisko / Position ]],0)))</f>
        <v>n/a</v>
      </c>
      <c r="FW154" s="439" t="str">
        <f>IF(INDEX(tab_MinKomp[BRAK / Keine9],MATCH($B153,tab_MinKomp[[Stanowisko / Position ]:[Stanowisko / Position ]],0))="n/a","n/a",INDEX(tab_MinKomp[BRAK / Keine9],MATCH($B153,tab_MinKomp[[Stanowisko / Position ]:[Stanowisko / Position ]],0)))</f>
        <v>n/a</v>
      </c>
      <c r="FX154" s="437" t="str">
        <f>IF(INDEX(tab_MinKomp[ZAWODOWE / Berufsausbildung],MATCH($B153,tab_MinKomp[[Stanowisko / Position ]:[Stanowisko / Position ]],0))="n/a","n/a",INDEX(tab_MinKomp[ZAWODOWE / Berufsausbildung],MATCH($B153,tab_MinKomp[[Stanowisko / Position ]:[Stanowisko / Position ]],0)))</f>
        <v>n/a</v>
      </c>
      <c r="FY154" s="437" t="str">
        <f>IF(INDEX(tab_MinKomp[ŚREDNIE OGÓLNE / Abitur allgemeine],MATCH($B153,tab_MinKomp[[Stanowisko / Position ]:[Stanowisko / Position ]],0))="n/a","n/a",INDEX(tab_MinKomp[ŚREDNIE OGÓLNE / Abitur allgemeine],MATCH($B153,tab_MinKomp[[Stanowisko / Position ]:[Stanowisko / Position ]],0)))</f>
        <v>n/a</v>
      </c>
      <c r="FZ154" s="437" t="str">
        <f>IF(INDEX(tab_MinKomp[ŚREDNIE KIERUNKOWE / berufliches Gymnasium],MATCH($B153,tab_MinKomp[[Stanowisko / Position ]:[Stanowisko / Position ]],0))="n/a","n/a",INDEX(tab_MinKomp[ŚREDNIE KIERUNKOWE / berufliches Gymnasium],MATCH($B153,tab_MinKomp[[Stanowisko / Position ]:[Stanowisko / Position ]],0)))</f>
        <v>n/a</v>
      </c>
      <c r="GA154" s="437" t="str">
        <f>IF(INDEX(tab_MinKomp[WYŻSZE OGÓLNE / Hochschule allgemeine],MATCH($B153,tab_MinKomp[[Stanowisko / Position ]:[Stanowisko / Position ]],0))="n/a","n/a",INDEX(tab_MinKomp[WYŻSZE OGÓLNE / Hochschule allgemeine],MATCH($B153,tab_MinKomp[[Stanowisko / Position ]:[Stanowisko / Position ]],0)))</f>
        <v>n/a</v>
      </c>
      <c r="GB154" s="440" t="str">
        <f>IF(INDEX(tab_MinKomp[WYŻSZE KIERUNKOWE / Hochschule berufliche],MATCH($B153,tab_MinKomp[[Stanowisko / Position ]:[Stanowisko / Position ]],0))="n/a","n/a",INDEX(tab_MinKomp[WYŻSZE KIERUNKOWE / Hochschule berufliche],MATCH($B153,tab_MinKomp[[Stanowisko / Position ]:[Stanowisko / Position ]],0)))</f>
        <v>X</v>
      </c>
      <c r="GC154" s="439" t="str">
        <f>IF(INDEX(tab_MinKomp[PIERWSZA POMOC / Erste Hilfe],MATCH($B153,tab_MinKomp[[Stanowisko / Position ]:[Stanowisko / Position ]],0))="n/a","n/a",INDEX(tab_MinKomp[PIERWSZA POMOC / Erste Hilfe],MATCH($B153,tab_MinKomp[[Stanowisko / Position ]:[Stanowisko / Position ]],0)))</f>
        <v>n/a</v>
      </c>
      <c r="GD154" s="437" t="str">
        <f>IF(INDEX(tab_MinKomp[Specjalista BHP / BHP Spezialist],MATCH($B153,tab_MinKomp[[Stanowisko / Position ]:[Stanowisko / Position ]],0))="n/a","n/a",INDEX(tab_MinKomp[Specjalista BHP / BHP Spezialist],MATCH($B153,tab_MinKomp[[Stanowisko / Position ]:[Stanowisko / Position ]],0)))</f>
        <v>n/a</v>
      </c>
      <c r="GE154" s="437" t="str">
        <f>IF(INDEX(tab_MinKomp[Inspektor ochrony PPOŻ / Brandschutzinspektor],MATCH($B153,tab_MinKomp[[Stanowisko / Position ]:[Stanowisko / Position ]],0))="n/a","n/a",INDEX(tab_MinKomp[Inspektor ochrony PPOŻ / Brandschutzinspektor],MATCH($B153,tab_MinKomp[[Stanowisko / Position ]:[Stanowisko / Position ]],0)))</f>
        <v>n/a</v>
      </c>
      <c r="GF154" s="437" t="str">
        <f>IF(INDEX(tab_MinKomp[WÓZKI JEZDNIOWE / Gebelstapler],MATCH($B153,tab_MinKomp[[Stanowisko / Position ]:[Stanowisko / Position ]],0))="n/a","n/a",INDEX(tab_MinKomp[WÓZKI JEZDNIOWE / Gebelstapler],MATCH($B153,tab_MinKomp[[Stanowisko / Position ]:[Stanowisko / Position ]],0)))</f>
        <v>n/a</v>
      </c>
      <c r="GG154" s="437" t="str">
        <f>IF(INDEX(tab_MinKomp[SEP],MATCH($B153,tab_MinKomp[[Stanowisko / Position ]:[Stanowisko / Position ]],0))="n/a","n/a",INDEX(tab_MinKomp[SEP],MATCH($B153,tab_MinKomp[[Stanowisko / Position ]:[Stanowisko / Position ]],0)))</f>
        <v>n/a</v>
      </c>
      <c r="GH154" s="437" t="str">
        <f>IF(INDEX(tab_MinKomp[SEP  DOZÓR / SEP Aufsicht],MATCH($B153,tab_MinKomp[[Stanowisko / Position ]:[Stanowisko / Position ]],0))="n/a","n/a",INDEX(tab_MinKomp[SEP  DOZÓR / SEP Aufsicht],MATCH($B153,tab_MinKomp[[Stanowisko / Position ]:[Stanowisko / Position ]],0)))</f>
        <v>n/a</v>
      </c>
      <c r="GI154" s="437" t="str">
        <f>IF(INDEX(tab_MinKomp[PODNOŚNIKI / Hebevorrichtung],MATCH($B153,tab_MinKomp[[Stanowisko / Position ]:[Stanowisko / Position ]],0))="n/a","n/a",INDEX(tab_MinKomp[PODNOŚNIKI / Hebevorrichtung],MATCH($B153,tab_MinKomp[[Stanowisko / Position ]:[Stanowisko / Position ]],0)))</f>
        <v>n/a</v>
      </c>
      <c r="GJ154" s="437" t="str">
        <f>IF(INDEX(tab_MinKomp[SUWNICE / Laufkran],MATCH($B153,tab_MinKomp[[Stanowisko / Position ]:[Stanowisko / Position ]],0))="n/a","n/a",INDEX(tab_MinKomp[SUWNICE / Laufkran],MATCH($B153,tab_MinKomp[[Stanowisko / Position ]:[Stanowisko / Position ]],0)))</f>
        <v>n/a</v>
      </c>
      <c r="GK154" s="440" t="str">
        <f>IF(INDEX(tab_MinKomp[WYSOKOŚCIOWE / Höhenberechtigungen],MATCH($B153,tab_MinKomp[[Stanowisko / Position ]:[Stanowisko / Position ]],0))="n/a","n/a",INDEX(tab_MinKomp[WYSOKOŚCIOWE / Höhenberechtigungen],MATCH($B153,tab_MinKomp[[Stanowisko / Position ]:[Stanowisko / Position ]],0)))</f>
        <v>n/a</v>
      </c>
      <c r="GL154" s="320">
        <f>SUM(G154:FP154)/(GL153-(SUM(G154:FP154)))</f>
        <v>-0.20270270270270271</v>
      </c>
      <c r="GM154" s="132"/>
    </row>
    <row r="155" spans="1:195" s="133" customFormat="1" ht="28.35" customHeight="1" x14ac:dyDescent="0.25">
      <c r="A155" s="135" t="s">
        <v>189</v>
      </c>
      <c r="B155" s="135" t="s">
        <v>221</v>
      </c>
      <c r="C155" s="135" t="s">
        <v>599</v>
      </c>
      <c r="D155" s="135">
        <v>1590</v>
      </c>
      <c r="E155" s="565" t="s">
        <v>636</v>
      </c>
      <c r="F155" s="307" t="s">
        <v>165</v>
      </c>
      <c r="G155" s="308">
        <v>2</v>
      </c>
      <c r="H155" s="308">
        <v>2</v>
      </c>
      <c r="I155" s="308" t="s">
        <v>176</v>
      </c>
      <c r="J155" s="308" t="s">
        <v>176</v>
      </c>
      <c r="K155" s="308" t="s">
        <v>176</v>
      </c>
      <c r="L155" s="308">
        <v>3</v>
      </c>
      <c r="M155" s="308">
        <v>3</v>
      </c>
      <c r="N155" s="308">
        <v>3</v>
      </c>
      <c r="O155" s="308">
        <v>3</v>
      </c>
      <c r="P155" s="308">
        <v>3</v>
      </c>
      <c r="Q155" s="308">
        <v>3</v>
      </c>
      <c r="R155" s="308">
        <v>3</v>
      </c>
      <c r="S155" s="308">
        <v>3</v>
      </c>
      <c r="T155" s="308">
        <v>1</v>
      </c>
      <c r="U155" s="308" t="s">
        <v>176</v>
      </c>
      <c r="V155" s="308" t="s">
        <v>176</v>
      </c>
      <c r="W155" s="308" t="s">
        <v>176</v>
      </c>
      <c r="X155" s="308" t="s">
        <v>176</v>
      </c>
      <c r="Y155" s="308" t="s">
        <v>176</v>
      </c>
      <c r="Z155" s="308" t="s">
        <v>176</v>
      </c>
      <c r="AA155" s="308" t="s">
        <v>176</v>
      </c>
      <c r="AB155" s="308">
        <v>2</v>
      </c>
      <c r="AC155" s="308" t="s">
        <v>176</v>
      </c>
      <c r="AD155" s="308" t="s">
        <v>176</v>
      </c>
      <c r="AE155" s="308" t="s">
        <v>176</v>
      </c>
      <c r="AF155" s="308" t="s">
        <v>176</v>
      </c>
      <c r="AG155" s="308" t="s">
        <v>176</v>
      </c>
      <c r="AH155" s="308" t="s">
        <v>176</v>
      </c>
      <c r="AI155" s="308" t="s">
        <v>176</v>
      </c>
      <c r="AJ155" s="308" t="s">
        <v>176</v>
      </c>
      <c r="AK155" s="308" t="s">
        <v>176</v>
      </c>
      <c r="AL155" s="308">
        <v>2</v>
      </c>
      <c r="AM155" s="308" t="s">
        <v>176</v>
      </c>
      <c r="AN155" s="308" t="s">
        <v>176</v>
      </c>
      <c r="AO155" s="308" t="s">
        <v>176</v>
      </c>
      <c r="AP155" s="308" t="s">
        <v>176</v>
      </c>
      <c r="AQ155" s="308" t="s">
        <v>176</v>
      </c>
      <c r="AR155" s="308" t="s">
        <v>176</v>
      </c>
      <c r="AS155" s="308" t="s">
        <v>176</v>
      </c>
      <c r="AT155" s="308" t="s">
        <v>176</v>
      </c>
      <c r="AU155" s="308" t="s">
        <v>176</v>
      </c>
      <c r="AV155" s="308">
        <v>1</v>
      </c>
      <c r="AW155" s="308"/>
      <c r="AX155" s="308">
        <v>1</v>
      </c>
      <c r="AY155" s="308" t="s">
        <v>176</v>
      </c>
      <c r="AZ155" s="308" t="s">
        <v>176</v>
      </c>
      <c r="BA155" s="308" t="s">
        <v>176</v>
      </c>
      <c r="BB155" s="308" t="s">
        <v>176</v>
      </c>
      <c r="BC155" s="308" t="s">
        <v>176</v>
      </c>
      <c r="BD155" s="308" t="s">
        <v>176</v>
      </c>
      <c r="BE155" s="308" t="s">
        <v>176</v>
      </c>
      <c r="BF155" s="308" t="s">
        <v>176</v>
      </c>
      <c r="BG155" s="308" t="s">
        <v>176</v>
      </c>
      <c r="BH155" s="308" t="s">
        <v>176</v>
      </c>
      <c r="BI155" s="308" t="s">
        <v>176</v>
      </c>
      <c r="BJ155" s="308" t="s">
        <v>176</v>
      </c>
      <c r="BK155" s="308" t="s">
        <v>176</v>
      </c>
      <c r="BL155" s="308" t="s">
        <v>176</v>
      </c>
      <c r="BM155" s="308" t="s">
        <v>176</v>
      </c>
      <c r="BN155" s="308" t="s">
        <v>176</v>
      </c>
      <c r="BO155" s="308" t="s">
        <v>176</v>
      </c>
      <c r="BP155" s="308" t="s">
        <v>176</v>
      </c>
      <c r="BQ155" s="308" t="s">
        <v>176</v>
      </c>
      <c r="BR155" s="308" t="s">
        <v>176</v>
      </c>
      <c r="BS155" s="308" t="s">
        <v>176</v>
      </c>
      <c r="BT155" s="308" t="s">
        <v>176</v>
      </c>
      <c r="BU155" s="308" t="s">
        <v>176</v>
      </c>
      <c r="BV155" s="308" t="s">
        <v>176</v>
      </c>
      <c r="BW155" s="308" t="s">
        <v>176</v>
      </c>
      <c r="BX155" s="308" t="s">
        <v>176</v>
      </c>
      <c r="BY155" s="308" t="s">
        <v>176</v>
      </c>
      <c r="BZ155" s="308" t="s">
        <v>176</v>
      </c>
      <c r="CA155" s="308" t="s">
        <v>176</v>
      </c>
      <c r="CB155" s="308" t="s">
        <v>176</v>
      </c>
      <c r="CC155" s="308" t="s">
        <v>176</v>
      </c>
      <c r="CD155" s="308" t="s">
        <v>176</v>
      </c>
      <c r="CE155" s="308" t="s">
        <v>176</v>
      </c>
      <c r="CF155" s="308" t="s">
        <v>176</v>
      </c>
      <c r="CG155" s="308" t="s">
        <v>176</v>
      </c>
      <c r="CH155" s="308" t="s">
        <v>176</v>
      </c>
      <c r="CI155" s="308">
        <v>2</v>
      </c>
      <c r="CJ155" s="308" t="s">
        <v>176</v>
      </c>
      <c r="CK155" s="308" t="s">
        <v>176</v>
      </c>
      <c r="CL155" s="308" t="s">
        <v>176</v>
      </c>
      <c r="CM155" s="308">
        <v>1</v>
      </c>
      <c r="CN155" s="308">
        <v>1</v>
      </c>
      <c r="CO155" s="308" t="s">
        <v>176</v>
      </c>
      <c r="CP155" s="308" t="s">
        <v>176</v>
      </c>
      <c r="CQ155" s="308" t="s">
        <v>176</v>
      </c>
      <c r="CR155" s="308" t="s">
        <v>176</v>
      </c>
      <c r="CS155" s="308" t="s">
        <v>176</v>
      </c>
      <c r="CT155" s="308" t="s">
        <v>176</v>
      </c>
      <c r="CU155" s="308" t="s">
        <v>176</v>
      </c>
      <c r="CV155" s="308" t="s">
        <v>176</v>
      </c>
      <c r="CW155" s="308" t="s">
        <v>176</v>
      </c>
      <c r="CX155" s="308" t="s">
        <v>176</v>
      </c>
      <c r="CY155" s="308" t="s">
        <v>176</v>
      </c>
      <c r="CZ155" s="308" t="s">
        <v>176</v>
      </c>
      <c r="DA155" s="308" t="s">
        <v>176</v>
      </c>
      <c r="DB155" s="308" t="s">
        <v>176</v>
      </c>
      <c r="DC155" s="308" t="s">
        <v>176</v>
      </c>
      <c r="DD155" s="308" t="s">
        <v>176</v>
      </c>
      <c r="DE155" s="308" t="s">
        <v>176</v>
      </c>
      <c r="DF155" s="308" t="s">
        <v>176</v>
      </c>
      <c r="DG155" s="308" t="s">
        <v>176</v>
      </c>
      <c r="DH155" s="308" t="s">
        <v>176</v>
      </c>
      <c r="DI155" s="308" t="s">
        <v>176</v>
      </c>
      <c r="DJ155" s="308" t="s">
        <v>176</v>
      </c>
      <c r="DK155" s="308" t="s">
        <v>176</v>
      </c>
      <c r="DL155" s="308" t="s">
        <v>176</v>
      </c>
      <c r="DM155" s="308" t="s">
        <v>176</v>
      </c>
      <c r="DN155" s="308" t="s">
        <v>176</v>
      </c>
      <c r="DO155" s="308" t="s">
        <v>176</v>
      </c>
      <c r="DP155" s="308" t="s">
        <v>176</v>
      </c>
      <c r="DQ155" s="308" t="s">
        <v>176</v>
      </c>
      <c r="DR155" s="308" t="s">
        <v>176</v>
      </c>
      <c r="DS155" s="308" t="s">
        <v>176</v>
      </c>
      <c r="DT155" s="308" t="s">
        <v>176</v>
      </c>
      <c r="DU155" s="308" t="s">
        <v>176</v>
      </c>
      <c r="DV155" s="308" t="s">
        <v>176</v>
      </c>
      <c r="DW155" s="308" t="s">
        <v>176</v>
      </c>
      <c r="DX155" s="308" t="s">
        <v>176</v>
      </c>
      <c r="DY155" s="308" t="s">
        <v>176</v>
      </c>
      <c r="DZ155" s="308" t="s">
        <v>176</v>
      </c>
      <c r="EA155" s="308" t="s">
        <v>176</v>
      </c>
      <c r="EB155" s="308" t="s">
        <v>176</v>
      </c>
      <c r="EC155" s="308" t="s">
        <v>176</v>
      </c>
      <c r="ED155" s="308" t="s">
        <v>176</v>
      </c>
      <c r="EE155" s="308" t="s">
        <v>176</v>
      </c>
      <c r="EF155" s="308" t="s">
        <v>176</v>
      </c>
      <c r="EG155" s="308" t="s">
        <v>176</v>
      </c>
      <c r="EH155" s="308" t="s">
        <v>176</v>
      </c>
      <c r="EI155" s="308" t="s">
        <v>176</v>
      </c>
      <c r="EJ155" s="308" t="s">
        <v>176</v>
      </c>
      <c r="EK155" s="308" t="s">
        <v>176</v>
      </c>
      <c r="EL155" s="308" t="s">
        <v>176</v>
      </c>
      <c r="EM155" s="308" t="s">
        <v>176</v>
      </c>
      <c r="EN155" s="308" t="s">
        <v>176</v>
      </c>
      <c r="EO155" s="308" t="s">
        <v>176</v>
      </c>
      <c r="EP155" s="308" t="s">
        <v>176</v>
      </c>
      <c r="EQ155" s="308" t="s">
        <v>176</v>
      </c>
      <c r="ER155" s="308" t="s">
        <v>176</v>
      </c>
      <c r="ES155" s="308" t="s">
        <v>176</v>
      </c>
      <c r="ET155" s="308" t="s">
        <v>176</v>
      </c>
      <c r="EU155" s="308" t="s">
        <v>176</v>
      </c>
      <c r="EV155" s="308" t="s">
        <v>176</v>
      </c>
      <c r="EW155" s="308" t="s">
        <v>176</v>
      </c>
      <c r="EX155" s="308" t="s">
        <v>176</v>
      </c>
      <c r="EY155" s="308">
        <v>2</v>
      </c>
      <c r="EZ155" s="308">
        <v>2</v>
      </c>
      <c r="FA155" s="308">
        <v>2</v>
      </c>
      <c r="FB155" s="308">
        <v>1</v>
      </c>
      <c r="FC155" s="308">
        <v>1</v>
      </c>
      <c r="FD155" s="308">
        <v>3</v>
      </c>
      <c r="FE155" s="308">
        <v>3</v>
      </c>
      <c r="FF155" s="308">
        <v>2</v>
      </c>
      <c r="FG155" s="308">
        <v>2</v>
      </c>
      <c r="FH155" s="308">
        <v>2</v>
      </c>
      <c r="FI155" s="308">
        <v>3</v>
      </c>
      <c r="FJ155" s="308">
        <v>3</v>
      </c>
      <c r="FK155" s="308">
        <v>3</v>
      </c>
      <c r="FL155" s="308">
        <v>2</v>
      </c>
      <c r="FM155" s="308">
        <v>3</v>
      </c>
      <c r="FN155" s="308">
        <v>3</v>
      </c>
      <c r="FO155" s="308">
        <v>1</v>
      </c>
      <c r="FP155" s="308">
        <v>1</v>
      </c>
      <c r="FQ155" s="308" t="s">
        <v>176</v>
      </c>
      <c r="FR155" s="308" t="s">
        <v>176</v>
      </c>
      <c r="FS155" s="308" t="s">
        <v>176</v>
      </c>
      <c r="FT155" s="308" t="s">
        <v>160</v>
      </c>
      <c r="FU155" s="308" t="s">
        <v>176</v>
      </c>
      <c r="FV155" s="308" t="s">
        <v>176</v>
      </c>
      <c r="FW155" s="308" t="s">
        <v>176</v>
      </c>
      <c r="FX155" s="308" t="s">
        <v>176</v>
      </c>
      <c r="FY155" s="308" t="s">
        <v>176</v>
      </c>
      <c r="FZ155" s="308" t="s">
        <v>176</v>
      </c>
      <c r="GA155" s="308" t="s">
        <v>176</v>
      </c>
      <c r="GB155" s="308" t="s">
        <v>160</v>
      </c>
      <c r="GC155" s="308" t="s">
        <v>176</v>
      </c>
      <c r="GD155" s="308" t="s">
        <v>176</v>
      </c>
      <c r="GE155" s="308" t="s">
        <v>176</v>
      </c>
      <c r="GF155" s="308" t="s">
        <v>176</v>
      </c>
      <c r="GG155" s="308" t="s">
        <v>176</v>
      </c>
      <c r="GH155" s="308" t="s">
        <v>176</v>
      </c>
      <c r="GI155" s="308" t="s">
        <v>176</v>
      </c>
      <c r="GJ155" s="308" t="s">
        <v>176</v>
      </c>
      <c r="GK155" s="308" t="s">
        <v>176</v>
      </c>
      <c r="GL155" s="311">
        <f>SUM(G155:FP155)</f>
        <v>78</v>
      </c>
      <c r="GM155" s="132"/>
    </row>
    <row r="156" spans="1:195" s="133" customFormat="1" ht="28.35" customHeight="1" thickBot="1" x14ac:dyDescent="0.3">
      <c r="A156" s="138" t="str">
        <f>A155</f>
        <v>Kadry-HR dep.</v>
      </c>
      <c r="B156" s="138" t="str">
        <f>B155</f>
        <v>Specjalista ds. kadr i płac</v>
      </c>
      <c r="C156" s="138" t="str">
        <f>C155</f>
        <v>MD</v>
      </c>
      <c r="D156" s="138">
        <f>D155</f>
        <v>1590</v>
      </c>
      <c r="E156" s="567" t="str">
        <f>E155</f>
        <v>Szmarowska Katarzyna</v>
      </c>
      <c r="F156" s="331" t="s">
        <v>166</v>
      </c>
      <c r="G156" s="313">
        <f>IF(INDEX(tab_MinKomp[Przepisy BHP / BHP Vorschriften],MATCH($B155,tab_MinKomp[[Stanowisko / Position ]:[Stanowisko / Position ]],0))="n/a","n/a",G155-INDEX(tab_MinKomp[Przepisy BHP / BHP Vorschriften],MATCH($B155,tab_MinKomp[[Stanowisko / Position ]:[Stanowisko / Position ]],0)))</f>
        <v>0</v>
      </c>
      <c r="H156" s="314">
        <f>IF(INDEX(tab_MinKomp[Przepisy PPOŻ / Brandschutzbestimmungen],MATCH($B155,tab_MinKomp[[Stanowisko / Position ]:[Stanowisko / Position ]],0))="n/a","n/a",H155-INDEX(tab_MinKomp[Przepisy PPOŻ / Brandschutzbestimmungen],MATCH($B155,tab_MinKomp[[Stanowisko / Position ]:[Stanowisko / Position ]],0)))</f>
        <v>0</v>
      </c>
      <c r="I156" s="314" t="str">
        <f>IF(INDEX(tab_MinKomp[Ryzyko zawodowe na stanowiskach pracyv/ Berufliche Risiken an Arbeitsstellen],MATCH($B155,tab_MinKomp[[Stanowisko / Position ]:[Stanowisko / Position ]],0))="n/a","n/a",I155-INDEX(tab_MinKomp[Ryzyko zawodowe na stanowiskach pracyv/ Berufliche Risiken an Arbeitsstellen],MATCH($B155,tab_MinKomp[[Stanowisko / Position ]:[Stanowisko / Position ]],0)))</f>
        <v>n/a</v>
      </c>
      <c r="J156" s="314" t="str">
        <f>IF(INDEX(tab_MinKomp[Gospodarka substancjami niebezpiecznymi / Gefahrstoffmanagement],MATCH($B155,tab_MinKomp[[Stanowisko / Position ]:[Stanowisko / Position ]],0))="n/a","n/a",J155-INDEX(tab_MinKomp[Gospodarka substancjami niebezpiecznymi / Gefahrstoffmanagement],MATCH($B155,tab_MinKomp[[Stanowisko / Position ]:[Stanowisko / Position ]],0)))</f>
        <v>n/a</v>
      </c>
      <c r="K156" s="314" t="str">
        <f>IF(INDEX(tab_MinKomp[Gospodarka odpadami / Abfallwirtschaft],MATCH($B155,tab_MinKomp[[Stanowisko / Position ]:[Stanowisko / Position ]],0))="n/a","n/a",K155-INDEX(tab_MinKomp[Gospodarka odpadami / Abfallwirtschaft],MATCH($B155,tab_MinKomp[[Stanowisko / Position ]:[Stanowisko / Position ]],0)))</f>
        <v>n/a</v>
      </c>
      <c r="L156" s="315">
        <f>IF(INDEX(tab_MinKomp[Przepisy kodeksu pracy / Bestimmungen des Arbeitsgesetzes],MATCH($B155,tab_MinKomp[[Stanowisko / Position ]:[Stanowisko / Position ]],0))="n/a","n/a",L155-INDEX(tab_MinKomp[Przepisy kodeksu pracy / Bestimmungen des Arbeitsgesetzes],MATCH($B155,tab_MinKomp[[Stanowisko / Position ]:[Stanowisko / Position ]],0)))</f>
        <v>0</v>
      </c>
      <c r="M156" s="316">
        <f>IF(INDEX(tab_MinKomp[Przepisy o ub.społ. ZUS  / Sozialversicherungsvorschriften],MATCH($B155,tab_MinKomp[[Stanowisko / Position ]:[Stanowisko / Position ]],0))="n/a","n/a",M155-INDEX(tab_MinKomp[Przepisy o ub.społ. ZUS  / Sozialversicherungsvorschriften],MATCH($B155,tab_MinKomp[[Stanowisko / Position ]:[Stanowisko / Position ]],0)))</f>
        <v>0</v>
      </c>
      <c r="N156" s="315">
        <f>IF(INDEX(tab_MinKomp[PRZEPISY O PDOF /persönlich Einkommensteuergesetz ],MATCH($B155,tab_MinKomp[[Stanowisko / Position ]:[Stanowisko / Position ]],0))="n/a","n/a",N155-INDEX(tab_MinKomp[PRZEPISY O PDOF /persönlich Einkommensteuergesetz ],MATCH($B155,tab_MinKomp[[Stanowisko / Position ]:[Stanowisko / Position ]],0)))</f>
        <v>0</v>
      </c>
      <c r="O156" s="315">
        <f>IF(INDEX(tab_MinKomp[Regulamin pracy / Arbeitsordnung],MATCH($B155,tab_MinKomp[[Stanowisko / Position ]:[Stanowisko / Position ]],0))="n/a","n/a",O155-INDEX(tab_MinKomp[Regulamin pracy / Arbeitsordnung],MATCH($B155,tab_MinKomp[[Stanowisko / Position ]:[Stanowisko / Position ]],0)))</f>
        <v>0</v>
      </c>
      <c r="P156" s="315">
        <f>IF(INDEX(tab_MinKomp[Regulamin wynagradzania / Vergütungsordnung],MATCH($B155,tab_MinKomp[[Stanowisko / Position ]:[Stanowisko / Position ]],0))="n/a","n/a",P155-INDEX(tab_MinKomp[Regulamin wynagradzania / Vergütungsordnung],MATCH($B155,tab_MinKomp[[Stanowisko / Position ]:[Stanowisko / Position ]],0)))</f>
        <v>0</v>
      </c>
      <c r="Q156" s="315">
        <f>IF(INDEX(tab_MinKomp[System R2PŁATNIK PRO: Płace / Lohnabrechnung],MATCH($B155,tab_MinKomp[[Stanowisko / Position ]:[Stanowisko / Position ]],0))="n/a","n/a",Q155-INDEX(tab_MinKomp[System R2PŁATNIK PRO: Płace / Lohnabrechnung],MATCH($B155,tab_MinKomp[[Stanowisko / Position ]:[Stanowisko / Position ]],0)))</f>
        <v>0</v>
      </c>
      <c r="R156" s="315">
        <f>IF(INDEX(tab_MinKomp[SystemR2PŁATNIK PRO: KADRY / Personaldaten],MATCH($B155,tab_MinKomp[[Stanowisko / Position ]:[Stanowisko / Position ]],0))="n/a","n/a",R155-INDEX(tab_MinKomp[SystemR2PŁATNIK PRO: KADRY / Personaldaten],MATCH($B155,tab_MinKomp[[Stanowisko / Position ]:[Stanowisko / Position ]],0)))</f>
        <v>1</v>
      </c>
      <c r="S156" s="315">
        <f>IF(INDEX(tab_MinKomp[SYSTEM R2PŁATNIK PRO: zarządzanie pracownikami / Arbeitsverwaltung],MATCH($B155,tab_MinKomp[[Stanowisko / Position ]:[Stanowisko / Position ]],0))="n/a","n/a",S155-INDEX(tab_MinKomp[SYSTEM R2PŁATNIK PRO: zarządzanie pracownikami / Arbeitsverwaltung],MATCH($B155,tab_MinKomp[[Stanowisko / Position ]:[Stanowisko / Position ]],0)))</f>
        <v>1</v>
      </c>
      <c r="T156" s="315">
        <f>IF(INDEX(tab_MinKomp[Doradztwo, wsparcie personalne / Personalberatung und Unterstützung],MATCH($B155,tab_MinKomp[[Stanowisko / Position ]:[Stanowisko / Position ]],0))="n/a","n/a",T155-INDEX(tab_MinKomp[Doradztwo, wsparcie personalne / Personalberatung und Unterstützung],MATCH($B155,tab_MinKomp[[Stanowisko / Position ]:[Stanowisko / Position ]],0)))</f>
        <v>0</v>
      </c>
      <c r="U156" s="315" t="str">
        <f>IF(INDEX(tab_MinKomp[Przepisy o podatku VAT / MwSt.- Gesetz],MATCH($B155,tab_MinKomp[[Stanowisko / Position ]:[Stanowisko / Position ]],0))="n/a","n/a",U155-INDEX(tab_MinKomp[Przepisy o podatku VAT / MwSt.- Gesetz],MATCH($B155,tab_MinKomp[[Stanowisko / Position ]:[Stanowisko / Position ]],0)))</f>
        <v>n/a</v>
      </c>
      <c r="V156" s="315" t="str">
        <f>IF(INDEX(tab_MinKomp[PrzepisyPDOP / geschäftlich Einkommensteuergesetz],MATCH($B155,tab_MinKomp[[Stanowisko / Position ]:[Stanowisko / Position ]],0))="n/a","n/a",V155-INDEX(tab_MinKomp[PrzepisyPDOP / geschäftlich Einkommensteuergesetz],MATCH($B155,tab_MinKomp[[Stanowisko / Position ]:[Stanowisko / Position ]],0)))</f>
        <v>n/a</v>
      </c>
      <c r="W156" s="315" t="str">
        <f>IF(INDEX(tab_MinKomp[System BAAN / FINANSE (FIBU)],MATCH($B155,tab_MinKomp[[Stanowisko / Position ]:[Stanowisko / Position ]],0))="n/a","n/a",W155-INDEX(tab_MinKomp[System BAAN / FINANSE (FIBU)],MATCH($B155,tab_MinKomp[[Stanowisko / Position ]:[Stanowisko / Position ]],0)))</f>
        <v>n/a</v>
      </c>
      <c r="X156" s="315" t="str">
        <f>IF(INDEX(tab_MinKomp[Systemy pomocnicze / Hilfssysteme(STOCKPROGRAM, KALK2000 etc.)],MATCH($B155,tab_MinKomp[[Stanowisko / Position ]:[Stanowisko / Position ]],0))="n/a","n/a",X155-INDEX(tab_MinKomp[Systemy pomocnicze / Hilfssysteme(STOCKPROGRAM, KALK2000 etc.)],MATCH($B155,tab_MinKomp[[Stanowisko / Position ]:[Stanowisko / Position ]],0)))</f>
        <v>n/a</v>
      </c>
      <c r="Y156" s="315" t="str">
        <f>IF(INDEX(tab_MinKomp[Polityka rachunkowości / Buchführungspolitik],MATCH($B155,tab_MinKomp[[Stanowisko / Position ]:[Stanowisko / Position ]],0))="n/a","n/a",Y155-INDEX(tab_MinKomp[Polityka rachunkowości / Buchführungspolitik],MATCH($B155,tab_MinKomp[[Stanowisko / Position ]:[Stanowisko / Position ]],0)))</f>
        <v>n/a</v>
      </c>
      <c r="Z156" s="315" t="str">
        <f>IF(INDEX(tab_MinKomp[Ustawa o rachunkowości / Rechnungslegungsgesetz],MATCH($B155,tab_MinKomp[[Stanowisko / Position ]:[Stanowisko / Position ]],0))="n/a","n/a",Z155-INDEX(tab_MinKomp[Ustawa o rachunkowości / Rechnungslegungsgesetz],MATCH($B155,tab_MinKomp[[Stanowisko / Position ]:[Stanowisko / Position ]],0)))</f>
        <v>n/a</v>
      </c>
      <c r="AA156" s="315" t="str">
        <f>IF(INDEX(tab_MinKomp[WORKFLOW - TS-100],MATCH($B155,tab_MinKomp[[Stanowisko / Position ]:[Stanowisko / Position ]],0))="n/a","n/a",AA155-INDEX(tab_MinKomp[WORKFLOW - TS-100],MATCH($B155,tab_MinKomp[[Stanowisko / Position ]:[Stanowisko / Position ]],0)))</f>
        <v>n/a</v>
      </c>
      <c r="AB156" s="315">
        <f>IF(INDEX(tab_MinKomp[WORKFLOW - SFMS],MATCH($B155,tab_MinKomp[[Stanowisko / Position ]:[Stanowisko / Position ]],0))="n/a","n/a",AB155-INDEX(tab_MinKomp[WORKFLOW - SFMS],MATCH($B155,tab_MinKomp[[Stanowisko / Position ]:[Stanowisko / Position ]],0)))</f>
        <v>0</v>
      </c>
      <c r="AC156" s="315" t="str">
        <f>IF(INDEX(tab_MinKomp[System ISO 9001:2015],MATCH($B155,tab_MinKomp[[Stanowisko / Position ]:[Stanowisko / Position ]],0))="n/a","n/a",AC155-INDEX(tab_MinKomp[System ISO 9001:2015],MATCH($B155,tab_MinKomp[[Stanowisko / Position ]:[Stanowisko / Position ]],0)))</f>
        <v>n/a</v>
      </c>
      <c r="AD156" s="315" t="str">
        <f>IF(INDEX(tab_MinKomp[System IATF 16949:2016],MATCH($B155,tab_MinKomp[[Stanowisko / Position ]:[Stanowisko / Position ]],0))="n/a","n/a",AD155-INDEX(tab_MinKomp[System IATF 16949:2016],MATCH($B155,tab_MinKomp[[Stanowisko / Position ]:[Stanowisko / Position ]],0)))</f>
        <v>n/a</v>
      </c>
      <c r="AE156" s="315" t="str">
        <f>IF(INDEX(tab_MinKomp[System ISO 14001:2015],MATCH($B155,tab_MinKomp[[Stanowisko / Position ]:[Stanowisko / Position ]],0))="n/a","n/a",AE155-INDEX(tab_MinKomp[System ISO 14001:2015],MATCH($B155,tab_MinKomp[[Stanowisko / Position ]:[Stanowisko / Position ]],0)))</f>
        <v>n/a</v>
      </c>
      <c r="AF156" s="315" t="str">
        <f>IF(INDEX(tab_MinKomp[System PN-N 18001:2004 / ISO 45001:2018],MATCH($B155,tab_MinKomp[[Stanowisko / Position ]:[Stanowisko / Position ]],0))="n/a","n/a",AF155-INDEX(tab_MinKomp[System PN-N 18001:2004 / ISO 45001:2018],MATCH($B155,tab_MinKomp[[Stanowisko / Position ]:[Stanowisko / Position ]],0)))</f>
        <v>n/a</v>
      </c>
      <c r="AG156" s="315" t="str">
        <f>IF(INDEX(tab_MinKomp[Wymagania VDA 6.3 Process / Forderungen],MATCH($B155,tab_MinKomp[[Stanowisko / Position ]:[Stanowisko / Position ]],0))="n/a","n/a",AG155-INDEX(tab_MinKomp[Wymagania VDA 6.3 Process / Forderungen],MATCH($B155,tab_MinKomp[[Stanowisko / Position ]:[Stanowisko / Position ]],0)))</f>
        <v>n/a</v>
      </c>
      <c r="AH156" s="315" t="str">
        <f>IF(INDEX(tab_MinKomp[Wymagania VDA 6.5 Product / Forderungen],MATCH($B155,tab_MinKomp[[Stanowisko / Position ]:[Stanowisko / Position ]],0))="n/a","n/a",AH155-INDEX(tab_MinKomp[Wymagania VDA 6.5 Product / Forderungen],MATCH($B155,tab_MinKomp[[Stanowisko / Position ]:[Stanowisko / Position ]],0)))</f>
        <v>n/a</v>
      </c>
      <c r="AI156" s="315" t="str">
        <f>IF(INDEX(tab_MinKomp[PSCR (VW Product Safety &amp; Conformity Representative)],MATCH($B155,tab_MinKomp[[Stanowisko / Position ]:[Stanowisko / Position ]],0))="n/a","n/a",AI155-INDEX(tab_MinKomp[PSCR (VW Product Safety &amp; Conformity Representative)],MATCH($B155,tab_MinKomp[[Stanowisko / Position ]:[Stanowisko / Position ]],0)))</f>
        <v>n/a</v>
      </c>
      <c r="AJ156" s="315" t="str">
        <f>IF(INDEX(tab_MinKomp[Auditor systemu ISO 17025:2018],MATCH($B155,tab_MinKomp[[Stanowisko / Position ]:[Stanowisko / Position ]],0))="n/a","n/a",AJ155-INDEX(tab_MinKomp[Auditor systemu ISO 17025:2018],MATCH($B155,tab_MinKomp[[Stanowisko / Position ]:[Stanowisko / Position ]],0)))</f>
        <v>n/a</v>
      </c>
      <c r="AK156" s="315" t="str">
        <f>IF(INDEX(tab_MinKomp[Pełnomocnik systemu / Systemvertreter],MATCH($B155,tab_MinKomp[[Stanowisko / Position ]:[Stanowisko / Position ]],0))="n/a","n/a",AK155-INDEX(tab_MinKomp[Pełnomocnik systemu / Systemvertreter],MATCH($B155,tab_MinKomp[[Stanowisko / Position ]:[Stanowisko / Position ]],0)))</f>
        <v>n/a</v>
      </c>
      <c r="AL156" s="315">
        <f>IF(INDEX(tab_MinKomp[Polityka Etyczna - Compliance],MATCH($B155,tab_MinKomp[[Stanowisko / Position ]:[Stanowisko / Position ]],0))="n/a","n/a",AL155-INDEX(tab_MinKomp[Polityka Etyczna - Compliance],MATCH($B155,tab_MinKomp[[Stanowisko / Position ]:[Stanowisko / Position ]],0)))</f>
        <v>0</v>
      </c>
      <c r="AM156" s="315" t="str">
        <f>IF(INDEX(tab_MinKomp[WDRAŻANIE NOWYCH PROJEKTÓW/ PROCEDURA CTM],MATCH($B155,tab_MinKomp[[Stanowisko / Position ]:[Stanowisko / Position ]],0))="n/a","n/a",AM155-INDEX(tab_MinKomp[WDRAŻANIE NOWYCH PROJEKTÓW/ PROCEDURA CTM],MATCH($B155,tab_MinKomp[[Stanowisko / Position ]:[Stanowisko / Position ]],0)))</f>
        <v>n/a</v>
      </c>
      <c r="AN156" s="315" t="str">
        <f>IF(INDEX(tab_MinKomp[KAMIENIE MILOWE MSL/PIFF],MATCH($B155,tab_MinKomp[[Stanowisko / Position ]:[Stanowisko / Position ]],0))="n/a","n/a",AN155-INDEX(tab_MinKomp[KAMIENIE MILOWE MSL/PIFF],MATCH($B155,tab_MinKomp[[Stanowisko / Position ]:[Stanowisko / Position ]],0)))</f>
        <v>n/a</v>
      </c>
      <c r="AO156" s="315" t="str">
        <f>IF(INDEX(tab_MinKomp[CP],MATCH($B155,tab_MinKomp[[Stanowisko / Position ]:[Stanowisko / Position ]],0))="n/a","n/a",AO155-INDEX(tab_MinKomp[CP],MATCH($B155,tab_MinKomp[[Stanowisko / Position ]:[Stanowisko / Position ]],0)))</f>
        <v>n/a</v>
      </c>
      <c r="AP156" s="315" t="str">
        <f>IF(INDEX(tab_MinKomp[FMEA],MATCH($B155,tab_MinKomp[[Stanowisko / Position ]:[Stanowisko / Position ]],0))="n/a","n/a",AP155-INDEX(tab_MinKomp[FMEA],MATCH($B155,tab_MinKomp[[Stanowisko / Position ]:[Stanowisko / Position ]],0)))</f>
        <v>n/a</v>
      </c>
      <c r="AQ156" s="315" t="str">
        <f>IF(INDEX(tab_MinKomp[FLOW CHART],MATCH($B155,tab_MinKomp[[Stanowisko / Position ]:[Stanowisko / Position ]],0))="n/a","n/a",AQ155-INDEX(tab_MinKomp[FLOW CHART],MATCH($B155,tab_MinKomp[[Stanowisko / Position ]:[Stanowisko / Position ]],0)))</f>
        <v>n/a</v>
      </c>
      <c r="AR156" s="315" t="str">
        <f>IF(INDEX(tab_MinKomp[APQP],MATCH($B155,tab_MinKomp[[Stanowisko / Position ]:[Stanowisko / Position ]],0))="n/a","n/a",AR155-INDEX(tab_MinKomp[APQP],MATCH($B155,tab_MinKomp[[Stanowisko / Position ]:[Stanowisko / Position ]],0)))</f>
        <v>n/a</v>
      </c>
      <c r="AS156" s="315" t="str">
        <f>IF(INDEX(tab_MinKomp[MSA],MATCH($B155,tab_MinKomp[[Stanowisko / Position ]:[Stanowisko / Position ]],0))="n/a","n/a",AS155-INDEX(tab_MinKomp[MSA],MATCH($B155,tab_MinKomp[[Stanowisko / Position ]:[Stanowisko / Position ]],0)))</f>
        <v>n/a</v>
      </c>
      <c r="AT156" s="315" t="str">
        <f>IF(INDEX(tab_MinKomp[SPC],MATCH($B155,tab_MinKomp[[Stanowisko / Position ]:[Stanowisko / Position ]],0))="n/a","n/a",AT155-INDEX(tab_MinKomp[SPC],MATCH($B155,tab_MinKomp[[Stanowisko / Position ]:[Stanowisko / Position ]],0)))</f>
        <v>n/a</v>
      </c>
      <c r="AU156" s="315" t="str">
        <f>IF(INDEX(tab_MinKomp[CSR (SPECYFICZNE WYMAGANIA KLIENTA)],MATCH($B155,tab_MinKomp[[Stanowisko / Position ]:[Stanowisko / Position ]],0))="n/a","n/a",AU155-INDEX(tab_MinKomp[CSR (SPECYFICZNE WYMAGANIA KLIENTA)],MATCH($B155,tab_MinKomp[[Stanowisko / Position ]:[Stanowisko / Position ]],0)))</f>
        <v>n/a</v>
      </c>
      <c r="AV156" s="315">
        <f>IF(INDEX(tab_MinKomp[5S],MATCH($B155,tab_MinKomp[[Stanowisko / Position ]:[Stanowisko / Position ]],0))="n/a","n/a",AV155-INDEX(tab_MinKomp[5S],MATCH($B155,tab_MinKomp[[Stanowisko / Position ]:[Stanowisko / Position ]],0)))</f>
        <v>0</v>
      </c>
      <c r="AW156" s="315">
        <f>IF(INDEX(tab_MinKomp[LEAN MANAGEMENT],MATCH($B155,tab_MinKomp[[Stanowisko / Position ]:[Stanowisko / Position ]],0))="n/a","n/a",AW155-INDEX(tab_MinKomp[LEAN MANAGEMENT],MATCH($B155,tab_MinKomp[[Stanowisko / Position ]:[Stanowisko / Position ]],0)))</f>
        <v>-1</v>
      </c>
      <c r="AX156" s="315">
        <f>IF(INDEX(tab_MinKomp[5R],MATCH($B155,tab_MinKomp[[Stanowisko / Position ]:[Stanowisko / Position ]],0))="n/a","n/a",AX155-INDEX(tab_MinKomp[5R],MATCH($B155,tab_MinKomp[[Stanowisko / Position ]:[Stanowisko / Position ]],0)))</f>
        <v>0</v>
      </c>
      <c r="AY156" s="315" t="str">
        <f>IF(INDEX(tab_MinKomp[Six Sigma],MATCH($B155,tab_MinKomp[[Stanowisko / Position ]:[Stanowisko / Position ]],0))="n/a","n/a",AY155-INDEX(tab_MinKomp[Six Sigma],MATCH($B155,tab_MinKomp[[Stanowisko / Position ]:[Stanowisko / Position ]],0)))</f>
        <v>n/a</v>
      </c>
      <c r="AZ156" s="315" t="str">
        <f>IF(INDEX(tab_MinKomp[System BAAN / Distribution &amp; Supply Chain],MATCH($B155,tab_MinKomp[[Stanowisko / Position ]:[Stanowisko / Position ]],0))="n/a","n/a",AZ155-INDEX(tab_MinKomp[System BAAN / Distribution &amp; Supply Chain],MATCH($B155,tab_MinKomp[[Stanowisko / Position ]:[Stanowisko / Position ]],0)))</f>
        <v>n/a</v>
      </c>
      <c r="BA156" s="315" t="str">
        <f>IF(INDEX(tab_MinKomp[Gospodarka magazynowa / Lagerverwaltung],MATCH($B155,tab_MinKomp[[Stanowisko / Position ]:[Stanowisko / Position ]],0))="n/a","n/a",BA155-INDEX(tab_MinKomp[Gospodarka magazynowa / Lagerverwaltung],MATCH($B155,tab_MinKomp[[Stanowisko / Position ]:[Stanowisko / Position ]],0)))</f>
        <v>n/a</v>
      </c>
      <c r="BB156" s="315" t="str">
        <f>IF(INDEX(tab_MinKomp[Inwentaryzacja - organizacja i przebieg / Inventurprozess],MATCH($B155,tab_MinKomp[[Stanowisko / Position ]:[Stanowisko / Position ]],0))="n/a","n/a",BB155-INDEX(tab_MinKomp[Inwentaryzacja - organizacja i przebieg / Inventurprozess],MATCH($B155,tab_MinKomp[[Stanowisko / Position ]:[Stanowisko / Position ]],0)))</f>
        <v>n/a</v>
      </c>
      <c r="BC156" s="315" t="str">
        <f>IF(INDEX(tab_MinKomp[Organizacja dostaw / Versorgungsorganisation],MATCH($B155,tab_MinKomp[[Stanowisko / Position ]:[Stanowisko / Position ]],0))="n/a","n/a",BC155-INDEX(tab_MinKomp[Organizacja dostaw / Versorgungsorganisation],MATCH($B155,tab_MinKomp[[Stanowisko / Position ]:[Stanowisko / Position ]],0)))</f>
        <v>n/a</v>
      </c>
      <c r="BD156" s="315" t="str">
        <f>IF(INDEX(tab_MinKomp[Organizacja wysyłek / Organisation von Lieferungen],MATCH($B155,tab_MinKomp[[Stanowisko / Position ]:[Stanowisko / Position ]],0))="n/a","n/a",BD155-INDEX(tab_MinKomp[Organizacja wysyłek / Organisation von Lieferungen],MATCH($B155,tab_MinKomp[[Stanowisko / Position ]:[Stanowisko / Position ]],0)))</f>
        <v>n/a</v>
      </c>
      <c r="BE156" s="315" t="str">
        <f>IF(INDEX(tab_MinKomp[Analiza magazynowa - Program Polen.mdb / Inventuranalyse],MATCH($B155,tab_MinKomp[[Stanowisko / Position ]:[Stanowisko / Position ]],0))="n/a","n/a",BE155-INDEX(tab_MinKomp[Analiza magazynowa - Program Polen.mdb / Inventuranalyse],MATCH($B155,tab_MinKomp[[Stanowisko / Position ]:[Stanowisko / Position ]],0)))</f>
        <v>n/a</v>
      </c>
      <c r="BF156" s="315" t="str">
        <f>IF(INDEX(tab_MinKomp[MMOG (Materials Management Operations Guidelines)],MATCH($B155,tab_MinKomp[[Stanowisko / Position ]:[Stanowisko / Position ]],0))="n/a","n/a",BF155-INDEX(tab_MinKomp[MMOG (Materials Management Operations Guidelines)],MATCH($B155,tab_MinKomp[[Stanowisko / Position ]:[Stanowisko / Position ]],0)))</f>
        <v>n/a</v>
      </c>
      <c r="BG156" s="315" t="str">
        <f>IF(INDEX(tab_MinKomp[DETC],MATCH($B155,tab_MinKomp[[Stanowisko / Position ]:[Stanowisko / Position ]],0))="n/a","n/a",BG155-INDEX(tab_MinKomp[DETC],MATCH($B155,tab_MinKomp[[Stanowisko / Position ]:[Stanowisko / Position ]],0)))</f>
        <v>n/a</v>
      </c>
      <c r="BH156" s="315" t="str">
        <f>IF(INDEX(tab_MinKomp[GPP],MATCH($B155,tab_MinKomp[[Stanowisko / Position ]:[Stanowisko / Position ]],0))="n/a","n/a",BH155-INDEX(tab_MinKomp[GPP],MATCH($B155,tab_MinKomp[[Stanowisko / Position ]:[Stanowisko / Position ]],0)))</f>
        <v>n/a</v>
      </c>
      <c r="BI156" s="315" t="str">
        <f>IF(INDEX(tab_MinKomp[AIAG (Automotive Industry Action Group)],MATCH($B155,tab_MinKomp[[Stanowisko / Position ]:[Stanowisko / Position ]],0))="n/a","n/a",BI155-INDEX(tab_MinKomp[AIAG (Automotive Industry Action Group)],MATCH($B155,tab_MinKomp[[Stanowisko / Position ]:[Stanowisko / Position ]],0)))</f>
        <v>n/a</v>
      </c>
      <c r="BJ156" s="315" t="str">
        <f>IF(INDEX(tab_MinKomp[Super-G disputes],MATCH($B155,tab_MinKomp[[Stanowisko / Position ]:[Stanowisko / Position ]],0))="n/a","n/a",BJ155-INDEX(tab_MinKomp[Super-G disputes],MATCH($B155,tab_MinKomp[[Stanowisko / Position ]:[Stanowisko / Position ]],0)))</f>
        <v>n/a</v>
      </c>
      <c r="BK156" s="315" t="str">
        <f>IF(INDEX(tab_MinKomp[CMMS3/eDDL (Direct Data Link)],MATCH($B155,tab_MinKomp[[Stanowisko / Position ]:[Stanowisko / Position ]],0))="n/a","n/a",BK155-INDEX(tab_MinKomp[CMMS3/eDDL (Direct Data Link)],MATCH($B155,tab_MinKomp[[Stanowisko / Position ]:[Stanowisko / Position ]],0)))</f>
        <v>n/a</v>
      </c>
      <c r="BL156" s="315" t="str">
        <f>IF(INDEX(tab_MinKomp[MP&amp;L (Material Planning and Logistics)],MATCH($B155,tab_MinKomp[[Stanowisko / Position ]:[Stanowisko / Position ]],0))="n/a","n/a",BL155-INDEX(tab_MinKomp[MP&amp;L (Material Planning and Logistics)],MATCH($B155,tab_MinKomp[[Stanowisko / Position ]:[Stanowisko / Position ]],0)))</f>
        <v>n/a</v>
      </c>
      <c r="BM156" s="315" t="str">
        <f>IF(INDEX(tab_MinKomp[Planowanie produkcji / Produktionsplanung],MATCH($B155,tab_MinKomp[[Stanowisko / Position ]:[Stanowisko / Position ]],0))="n/a","n/a",BM155-INDEX(tab_MinKomp[Planowanie produkcji / Produktionsplanung],MATCH($B155,tab_MinKomp[[Stanowisko / Position ]:[Stanowisko / Position ]],0)))</f>
        <v>n/a</v>
      </c>
      <c r="BN156" s="315" t="str">
        <f>IF(INDEX(tab_MinKomp[Obsługa maszyn Engel / Engel Maschinenbedienung],MATCH($B155,tab_MinKomp[[Stanowisko / Position ]:[Stanowisko / Position ]],0))="n/a","n/a",BN155-INDEX(tab_MinKomp[Obsługa maszyn Engel / Engel Maschinenbedienung],MATCH($B155,tab_MinKomp[[Stanowisko / Position ]:[Stanowisko / Position ]],0)))</f>
        <v>n/a</v>
      </c>
      <c r="BO156" s="315" t="str">
        <f>IF(INDEX(tab_MinKomp[Obsługa maszyn Novapax / Novapax Maschinenbedienung],MATCH($B155,tab_MinKomp[[Stanowisko / Position ]:[Stanowisko / Position ]],0))="n/a","n/a",BO155-INDEX(tab_MinKomp[Obsługa maszyn Novapax / Novapax Maschinenbedienung],MATCH($B155,tab_MinKomp[[Stanowisko / Position ]:[Stanowisko / Position ]],0)))</f>
        <v>n/a</v>
      </c>
      <c r="BP156" s="315" t="str">
        <f>IF(INDEX(tab_MinKomp[Obsługa maszyn KVT / KVT Maschinenbedienung],MATCH($B155,tab_MinKomp[[Stanowisko / Position ]:[Stanowisko / Position ]],0))="n/a","n/a",BP155-INDEX(tab_MinKomp[Obsługa maszyn KVT / KVT Maschinenbedienung],MATCH($B155,tab_MinKomp[[Stanowisko / Position ]:[Stanowisko / Position ]],0)))</f>
        <v>n/a</v>
      </c>
      <c r="BQ156" s="315" t="str">
        <f>IF(INDEX(tab_MinKomp[Obsługa maszyn ASL / ASL Maschinenbedienung],MATCH($B155,tab_MinKomp[[Stanowisko / Position ]:[Stanowisko / Position ]],0))="n/a","n/a",BQ155-INDEX(tab_MinKomp[Obsługa maszyn ASL / ASL Maschinenbedienung],MATCH($B155,tab_MinKomp[[Stanowisko / Position ]:[Stanowisko / Position ]],0)))</f>
        <v>n/a</v>
      </c>
      <c r="BR156" s="315" t="str">
        <f>IF(INDEX(tab_MinKomp[Obsługa maszyn Branson / Branson Maschinenbedienung],MATCH($B155,tab_MinKomp[[Stanowisko / Position ]:[Stanowisko / Position ]],0))="n/a","n/a",BR155-INDEX(tab_MinKomp[Obsługa maszyn Branson / Branson Maschinenbedienung],MATCH($B155,tab_MinKomp[[Stanowisko / Position ]:[Stanowisko / Position ]],0)))</f>
        <v>n/a</v>
      </c>
      <c r="BS156" s="315" t="str">
        <f>IF(INDEX(tab_MinKomp[Obsługa maszyn Kamtec / Kamtec Maschinenbedienung],MATCH($B155,tab_MinKomp[[Stanowisko / Position ]:[Stanowisko / Position ]],0))="n/a","n/a",BS155-INDEX(tab_MinKomp[Obsługa maszyn Kamtec / Kamtec Maschinenbedienung],MATCH($B155,tab_MinKomp[[Stanowisko / Position ]:[Stanowisko / Position ]],0)))</f>
        <v>n/a</v>
      </c>
      <c r="BT156" s="315" t="str">
        <f>IF(INDEX(tab_MinKomp[Obsługa maszyn Piovan / Piovan Maschinenbedienung],MATCH($B155,tab_MinKomp[[Stanowisko / Position ]:[Stanowisko / Position ]],0))="n/a","n/a",BT155-INDEX(tab_MinKomp[Obsługa maszyn Piovan / Piovan Maschinenbedienung],MATCH($B155,tab_MinKomp[[Stanowisko / Position ]:[Stanowisko / Position ]],0)))</f>
        <v>n/a</v>
      </c>
      <c r="BU156" s="315" t="str">
        <f>IF(INDEX(tab_MinKomp[Obsługa maszyn REP / REP Maschinenbedienung],MATCH($B155,tab_MinKomp[[Stanowisko / Position ]:[Stanowisko / Position ]],0))="n/a","n/a",BU155-INDEX(tab_MinKomp[Obsługa maszyn REP / REP Maschinenbedienung],MATCH($B155,tab_MinKomp[[Stanowisko / Position ]:[Stanowisko / Position ]],0)))</f>
        <v>n/a</v>
      </c>
      <c r="BV156" s="315" t="str">
        <f>IF(INDEX(tab_MinKomp[Eliminacja awarii / Beseitigung von Ausfällen],MATCH($B155,tab_MinKomp[[Stanowisko / Position ]:[Stanowisko / Position ]],0))="n/a","n/a",BV155-INDEX(tab_MinKomp[Eliminacja awarii / Beseitigung von Ausfällen],MATCH($B155,tab_MinKomp[[Stanowisko / Position ]:[Stanowisko / Position ]],0)))</f>
        <v>n/a</v>
      </c>
      <c r="BW156" s="315" t="str">
        <f>IF(INDEX(tab_MinKomp[Informatyka ogólna (techniczne i systemowe) / Allgemeine IT (Technik und System)],MATCH($B155,tab_MinKomp[[Stanowisko / Position ]:[Stanowisko / Position ]],0))="n/a","n/a",BW155-INDEX(tab_MinKomp[Informatyka ogólna (techniczne i systemowe) / Allgemeine IT (Technik und System)],MATCH($B155,tab_MinKomp[[Stanowisko / Position ]:[Stanowisko / Position ]],0)))</f>
        <v>n/a</v>
      </c>
      <c r="BX156" s="315" t="str">
        <f>IF(INDEX(tab_MinKomp[Sieci komputerowe / Computernetzwerke],MATCH($B155,tab_MinKomp[[Stanowisko / Position ]:[Stanowisko / Position ]],0))="n/a","n/a",BX155-INDEX(tab_MinKomp[Sieci komputerowe / Computernetzwerke],MATCH($B155,tab_MinKomp[[Stanowisko / Position ]:[Stanowisko / Position ]],0)))</f>
        <v>n/a</v>
      </c>
      <c r="BY156" s="315" t="str">
        <f>IF(INDEX(tab_MinKomp[Hardware (komputery PC, drukarki biurowe i etykietowe, telefonia stacjonarna i mobilna) (PC, Drucker, Telefpne, Handys)],MATCH($B155,tab_MinKomp[[Stanowisko / Position ]:[Stanowisko / Position ]],0))="n/a","n/a",BY155-INDEX(tab_MinKomp[Hardware (komputery PC, drukarki biurowe i etykietowe, telefonia stacjonarna i mobilna) (PC, Drucker, Telefpne, Handys)],MATCH($B155,tab_MinKomp[[Stanowisko / Position ]:[Stanowisko / Position ]],0)))</f>
        <v>n/a</v>
      </c>
      <c r="BZ156" s="315" t="str">
        <f>IF(INDEX(tab_MinKomp[Software &amp; Systems (MS Office, MS Remote Desktop)],MATCH($B155,tab_MinKomp[[Stanowisko / Position ]:[Stanowisko / Position ]],0))="n/a","n/a",BZ155-INDEX(tab_MinKomp[Software &amp; Systems (MS Office, MS Remote Desktop)],MATCH($B155,tab_MinKomp[[Stanowisko / Position ]:[Stanowisko / Position ]],0)))</f>
        <v>n/a</v>
      </c>
      <c r="CA156" s="315" t="str">
        <f>IF(INDEX(tab_MinKomp[Programowanie obiektowe (PHP) / Objektprogrammierung],MATCH($B155,tab_MinKomp[[Stanowisko / Position ]:[Stanowisko / Position ]],0))="n/a","n/a",CA155-INDEX(tab_MinKomp[Programowanie obiektowe (PHP) / Objektprogrammierung],MATCH($B155,tab_MinKomp[[Stanowisko / Position ]:[Stanowisko / Position ]],0)))</f>
        <v>n/a</v>
      </c>
      <c r="CB156" s="315" t="str">
        <f>IF(INDEX(tab_MinKomp[Scrum],MATCH($B155,tab_MinKomp[[Stanowisko / Position ]:[Stanowisko / Position ]],0))="n/a","n/a",CB155-INDEX(tab_MinKomp[Scrum],MATCH($B155,tab_MinKomp[[Stanowisko / Position ]:[Stanowisko / Position ]],0)))</f>
        <v>n/a</v>
      </c>
      <c r="CC156" s="315" t="str">
        <f>IF(INDEX(tab_MinKomp[SQL (MySQL)],MATCH($B155,tab_MinKomp[[Stanowisko / Position ]:[Stanowisko / Position ]],0))="n/a","n/a",CC155-INDEX(tab_MinKomp[SQL (MySQL)],MATCH($B155,tab_MinKomp[[Stanowisko / Position ]:[Stanowisko / Position ]],0)))</f>
        <v>n/a</v>
      </c>
      <c r="CD156" s="315" t="str">
        <f>IF(INDEX(tab_MinKomp[Javascript],MATCH($B155,tab_MinKomp[[Stanowisko / Position ]:[Stanowisko / Position ]],0))="n/a","n/a",CD155-INDEX(tab_MinKomp[Javascript],MATCH($B155,tab_MinKomp[[Stanowisko / Position ]:[Stanowisko / Position ]],0)))</f>
        <v>n/a</v>
      </c>
      <c r="CE156" s="315" t="str">
        <f>IF(INDEX(tab_MinKomp[Joomla],MATCH($B155,tab_MinKomp[[Stanowisko / Position ]:[Stanowisko / Position ]],0))="n/a","n/a",CE155-INDEX(tab_MinKomp[Joomla],MATCH($B155,tab_MinKomp[[Stanowisko / Position ]:[Stanowisko / Position ]],0)))</f>
        <v>n/a</v>
      </c>
      <c r="CF156" s="315" t="str">
        <f>IF(INDEX(tab_MinKomp[Bash],MATCH($B155,tab_MinKomp[[Stanowisko / Position ]:[Stanowisko / Position ]],0))="n/a","n/a",CF155-INDEX(tab_MinKomp[Bash],MATCH($B155,tab_MinKomp[[Stanowisko / Position ]:[Stanowisko / Position ]],0)))</f>
        <v>n/a</v>
      </c>
      <c r="CG156" s="315" t="str">
        <f>IF(INDEX(tab_MinKomp[Systemy MES (HYDRA / SFMS)],MATCH($B155,tab_MinKomp[[Stanowisko / Position ]:[Stanowisko / Position ]],0))="n/a","n/a",CG155-INDEX(tab_MinKomp[Systemy MES (HYDRA / SFMS)],MATCH($B155,tab_MinKomp[[Stanowisko / Position ]:[Stanowisko / Position ]],0)))</f>
        <v>n/a</v>
      </c>
      <c r="CH156" s="315" t="str">
        <f>IF(INDEX(tab_MinKomp[HTML / CSS],MATCH($B155,tab_MinKomp[[Stanowisko / Position ]:[Stanowisko / Position ]],0))="n/a","n/a",CH155-INDEX(tab_MinKomp[HTML / CSS],MATCH($B155,tab_MinKomp[[Stanowisko / Position ]:[Stanowisko / Position ]],0)))</f>
        <v>n/a</v>
      </c>
      <c r="CI156" s="315">
        <f>IF(INDEX(tab_MinKomp[SYSTEM PR],MATCH($B155,tab_MinKomp[[Stanowisko / Position ]:[Stanowisko / Position ]],0))="n/a","n/a",CI155-INDEX(tab_MinKomp[SYSTEM PR],MATCH($B155,tab_MinKomp[[Stanowisko / Position ]:[Stanowisko / Position ]],0)))</f>
        <v>0</v>
      </c>
      <c r="CJ156" s="315" t="str">
        <f>IF(INDEX(tab_MinKomp[System Einkauf XP / EBA],MATCH($B155,tab_MinKomp[[Stanowisko / Position ]:[Stanowisko / Position ]],0))="n/a","n/a",CJ155-INDEX(tab_MinKomp[System Einkauf XP / EBA],MATCH($B155,tab_MinKomp[[Stanowisko / Position ]:[Stanowisko / Position ]],0)))</f>
        <v>n/a</v>
      </c>
      <c r="CK156" s="315" t="str">
        <f>IF(INDEX(tab_MinKomp[Techniki negocjacyjne / Verhandlungstechniken],MATCH($B155,tab_MinKomp[[Stanowisko / Position ]:[Stanowisko / Position ]],0))="n/a","n/a",CK155-INDEX(tab_MinKomp[Techniki negocjacyjne / Verhandlungstechniken],MATCH($B155,tab_MinKomp[[Stanowisko / Position ]:[Stanowisko / Position ]],0)))</f>
        <v>n/a</v>
      </c>
      <c r="CL156" s="315" t="str">
        <f>IF(INDEX(tab_MinKomp[Znajomość rynku branżowego / Kenntnis des Industrie Marktes],MATCH($B155,tab_MinKomp[[Stanowisko / Position ]:[Stanowisko / Position ]],0))="n/a","n/a",CL155-INDEX(tab_MinKomp[Znajomość rynku branżowego / Kenntnis des Industrie Marktes],MATCH($B155,tab_MinKomp[[Stanowisko / Position ]:[Stanowisko / Position ]],0)))</f>
        <v>n/a</v>
      </c>
      <c r="CM156" s="315">
        <f>IF(INDEX(tab_MinKomp[RAPORTY 8D / 8D Berichten],MATCH($B155,tab_MinKomp[[Stanowisko / Position ]:[Stanowisko / Position ]],0))="n/a","n/a",CM155-INDEX(tab_MinKomp[RAPORTY 8D / 8D Berichten],MATCH($B155,tab_MinKomp[[Stanowisko / Position ]:[Stanowisko / Position ]],0)))</f>
        <v>0</v>
      </c>
      <c r="CN156" s="315">
        <f>IF(INDEX(tab_MinKomp[NARZĘDZIA JAKOŚCIOWE (5WHY, Ishikawa, etc) / QS-Werkzeuge],MATCH($B155,tab_MinKomp[[Stanowisko / Position ]:[Stanowisko / Position ]],0))="n/a","n/a",CN155-INDEX(tab_MinKomp[NARZĘDZIA JAKOŚCIOWE (5WHY, Ishikawa, etc) / QS-Werkzeuge],MATCH($B155,tab_MinKomp[[Stanowisko / Position ]:[Stanowisko / Position ]],0)))</f>
        <v>0</v>
      </c>
      <c r="CO156" s="315" t="str">
        <f>IF(INDEX(tab_MinKomp[PDCA],MATCH($B155,tab_MinKomp[[Stanowisko / Position ]:[Stanowisko / Position ]],0))="n/a","n/a",CO155-INDEX(tab_MinKomp[PDCA],MATCH($B155,tab_MinKomp[[Stanowisko / Position ]:[Stanowisko / Position ]],0)))</f>
        <v>n/a</v>
      </c>
      <c r="CP156" s="315" t="str">
        <f>IF(INDEX(tab_MinKomp[Pareto],MATCH($B155,tab_MinKomp[[Stanowisko / Position ]:[Stanowisko / Position ]],0))="n/a","n/a",CP155-INDEX(tab_MinKomp[Pareto],MATCH($B155,tab_MinKomp[[Stanowisko / Position ]:[Stanowisko / Position ]],0)))</f>
        <v>n/a</v>
      </c>
      <c r="CQ156" s="315" t="str">
        <f>IF(INDEX(tab_MinKomp[PPAP/PSW],MATCH($B155,tab_MinKomp[[Stanowisko / Position ]:[Stanowisko / Position ]],0))="n/a","n/a",CQ155-INDEX(tab_MinKomp[PPAP/PSW],MATCH($B155,tab_MinKomp[[Stanowisko / Position ]:[Stanowisko / Position ]],0)))</f>
        <v>n/a</v>
      </c>
      <c r="CR156" s="315" t="str">
        <f>IF(INDEX(tab_MinKomp[SUPPLIER MANAGEMENT],MATCH($B155,tab_MinKomp[[Stanowisko / Position ]:[Stanowisko / Position ]],0))="n/a","n/a",CR155-INDEX(tab_MinKomp[SUPPLIER MANAGEMENT],MATCH($B155,tab_MinKomp[[Stanowisko / Position ]:[Stanowisko / Position ]],0)))</f>
        <v>n/a</v>
      </c>
      <c r="CS156" s="315" t="str">
        <f>IF(INDEX(tab_MinKomp[OBSŁUGA PORTALI KLIENTA / Kundenportale],MATCH($B155,tab_MinKomp[[Stanowisko / Position ]:[Stanowisko / Position ]],0))="n/a","n/a",CS155-INDEX(tab_MinKomp[OBSŁUGA PORTALI KLIENTA / Kundenportale],MATCH($B155,tab_MinKomp[[Stanowisko / Position ]:[Stanowisko / Position ]],0)))</f>
        <v>n/a</v>
      </c>
      <c r="CT156" s="315" t="str">
        <f>IF(INDEX(tab_MinKomp[Obsługa systemu BABTECQ / BABTECQ System],MATCH($B155,tab_MinKomp[[Stanowisko / Position ]:[Stanowisko / Position ]],0))="n/a","n/a",CT155-INDEX(tab_MinKomp[Obsługa systemu BABTECQ / BABTECQ System],MATCH($B155,tab_MinKomp[[Stanowisko / Position ]:[Stanowisko / Position ]],0)))</f>
        <v>n/a</v>
      </c>
      <c r="CU156" s="315" t="s">
        <v>176</v>
      </c>
      <c r="CV156" s="315" t="s">
        <v>176</v>
      </c>
      <c r="CW156" s="315" t="s">
        <v>176</v>
      </c>
      <c r="CX156" s="315" t="s">
        <v>176</v>
      </c>
      <c r="CY156" s="315" t="s">
        <v>176</v>
      </c>
      <c r="CZ156" s="315" t="s">
        <v>176</v>
      </c>
      <c r="DA156" s="315" t="s">
        <v>176</v>
      </c>
      <c r="DB156" s="315" t="s">
        <v>176</v>
      </c>
      <c r="DC156" s="315" t="s">
        <v>176</v>
      </c>
      <c r="DD156" s="315" t="s">
        <v>176</v>
      </c>
      <c r="DE156" s="315" t="s">
        <v>176</v>
      </c>
      <c r="DF156" s="315" t="s">
        <v>176</v>
      </c>
      <c r="DG156" s="315" t="s">
        <v>176</v>
      </c>
      <c r="DH156" s="315" t="s">
        <v>176</v>
      </c>
      <c r="DI156" s="315" t="s">
        <v>176</v>
      </c>
      <c r="DJ156" s="315" t="s">
        <v>176</v>
      </c>
      <c r="DK156" s="315" t="s">
        <v>176</v>
      </c>
      <c r="DL156" s="315" t="s">
        <v>176</v>
      </c>
      <c r="DM156" s="315" t="s">
        <v>176</v>
      </c>
      <c r="DN156" s="315" t="s">
        <v>176</v>
      </c>
      <c r="DO156" s="315" t="s">
        <v>176</v>
      </c>
      <c r="DP156" s="315" t="s">
        <v>176</v>
      </c>
      <c r="DQ156" s="315" t="s">
        <v>176</v>
      </c>
      <c r="DR156" s="315" t="s">
        <v>176</v>
      </c>
      <c r="DS156" s="315" t="s">
        <v>176</v>
      </c>
      <c r="DT156" s="315" t="s">
        <v>176</v>
      </c>
      <c r="DU156" s="315" t="s">
        <v>176</v>
      </c>
      <c r="DV156" s="315" t="s">
        <v>176</v>
      </c>
      <c r="DW156" s="315" t="s">
        <v>176</v>
      </c>
      <c r="DX156" s="315" t="s">
        <v>176</v>
      </c>
      <c r="DY156" s="315" t="str">
        <f>IF(INDEX(tab_MinKomp[Konserwacja Rep],MATCH($B155,tab_MinKomp[[Stanowisko / Position ]:[Stanowisko / Position ]],0))="n/a","n/a",DY155-INDEX(tab_MinKomp[Konserwacja Rep],MATCH($B155,tab_MinKomp[[Stanowisko / Position ]:[Stanowisko / Position ]],0)))</f>
        <v>n/a</v>
      </c>
      <c r="DZ156" s="315" t="str">
        <f>IF(INDEX(tab_MinKomp[[Konserwacja Engel ]],MATCH($B155,tab_MinKomp[[Stanowisko / Position ]:[Stanowisko / Position ]],0))="n/a","n/a",DZ155-INDEX(tab_MinKomp[[Konserwacja Engel ]],MATCH($B155,tab_MinKomp[[Stanowisko / Position ]:[Stanowisko / Position ]],0)))</f>
        <v>n/a</v>
      </c>
      <c r="EA156" s="315" t="str">
        <f>IF(INDEX(tab_MinKomp[Konserwacja B 50],MATCH($B155,tab_MinKomp[[Stanowisko / Position ]:[Stanowisko / Position ]],0))="n/a","n/a",EA155-INDEX(tab_MinKomp[Konserwacja B 50],MATCH($B155,tab_MinKomp[[Stanowisko / Position ]:[Stanowisko / Position ]],0)))</f>
        <v>n/a</v>
      </c>
      <c r="EB156" s="315" t="str">
        <f>IF(INDEX(tab_MinKomp[[Konserwacja EOL ]],MATCH($B155,tab_MinKomp[[Stanowisko / Position ]:[Stanowisko / Position ]],0))="n/a","n/a",EB155-INDEX(tab_MinKomp[[Konserwacja EOL ]],MATCH($B155,tab_MinKomp[[Stanowisko / Position ]:[Stanowisko / Position ]],0)))</f>
        <v>n/a</v>
      </c>
      <c r="EC156" s="315" t="str">
        <f>IF(INDEX(tab_MinKomp[Konserwacja Branson],MATCH($B155,tab_MinKomp[[Stanowisko / Position ]:[Stanowisko / Position ]],0))="n/a","n/a",EC155-INDEX(tab_MinKomp[Konserwacja Branson],MATCH($B155,tab_MinKomp[[Stanowisko / Position ]:[Stanowisko / Position ]],0)))</f>
        <v>n/a</v>
      </c>
      <c r="ED156" s="315" t="str">
        <f>IF(INDEX(tab_MinKomp[Konserwacja coolery],MATCH($B155,tab_MinKomp[[Stanowisko / Position ]:[Stanowisko / Position ]],0))="n/a","n/a",ED155-INDEX(tab_MinKomp[Konserwacja coolery],MATCH($B155,tab_MinKomp[[Stanowisko / Position ]:[Stanowisko / Position ]],0)))</f>
        <v>n/a</v>
      </c>
      <c r="EE156" s="315" t="str">
        <f>IF(INDEX(tab_MinKomp[Konserwacja piecy],MATCH($B155,tab_MinKomp[[Stanowisko / Position ]:[Stanowisko / Position ]],0))="n/a","n/a",EE155-INDEX(tab_MinKomp[Konserwacja piecy],MATCH($B155,tab_MinKomp[[Stanowisko / Position ]:[Stanowisko / Position ]],0)))</f>
        <v>n/a</v>
      </c>
      <c r="EF156" s="315" t="str">
        <f>IF(INDEX(tab_MinKomp[Rysunek techniczny- czytanie],MATCH($B155,tab_MinKomp[[Stanowisko / Position ]:[Stanowisko / Position ]],0))="n/a","n/a",EF155-INDEX(tab_MinKomp[Rysunek techniczny- czytanie],MATCH($B155,tab_MinKomp[[Stanowisko / Position ]:[Stanowisko / Position ]],0)))</f>
        <v>n/a</v>
      </c>
      <c r="EG156" s="315" t="str">
        <f>IF(INDEX(tab_MinKomp[Elektryka],MATCH($B155,tab_MinKomp[[Stanowisko / Position ]:[Stanowisko / Position ]],0))="n/a","n/a",EG155-INDEX(tab_MinKomp[Elektryka],MATCH($B155,tab_MinKomp[[Stanowisko / Position ]:[Stanowisko / Position ]],0)))</f>
        <v>n/a</v>
      </c>
      <c r="EH156" s="315" t="str">
        <f>IF(INDEX(tab_MinKomp[Pneumatyka],MATCH($B155,tab_MinKomp[[Stanowisko / Position ]:[Stanowisko / Position ]],0))="n/a","n/a",EH155-INDEX(tab_MinKomp[Pneumatyka],MATCH($B155,tab_MinKomp[[Stanowisko / Position ]:[Stanowisko / Position ]],0)))</f>
        <v>n/a</v>
      </c>
      <c r="EI156" s="315" t="str">
        <f>IF(INDEX(tab_MinKomp[[Hydraulika ]],MATCH($B155,tab_MinKomp[[Stanowisko / Position ]:[Stanowisko / Position ]],0))="n/a","n/a",EI155-INDEX(tab_MinKomp[[Hydraulika ]],MATCH($B155,tab_MinKomp[[Stanowisko / Position ]:[Stanowisko / Position ]],0)))</f>
        <v>n/a</v>
      </c>
      <c r="EJ156" s="315" t="str">
        <f>IF(INDEX(tab_MinKomp[Podciśnienie],MATCH($B155,tab_MinKomp[[Stanowisko / Position ]:[Stanowisko / Position ]],0))="n/a","n/a",EJ155-INDEX(tab_MinKomp[Podciśnienie],MATCH($B155,tab_MinKomp[[Stanowisko / Position ]:[Stanowisko / Position ]],0)))</f>
        <v>n/a</v>
      </c>
      <c r="EK156" s="315" t="str">
        <f>IF(INDEX(tab_MinKomp[Usuwanie awarii],MATCH($B155,tab_MinKomp[[Stanowisko / Position ]:[Stanowisko / Position ]],0))="n/a","n/a",EK155-INDEX(tab_MinKomp[Usuwanie awarii],MATCH($B155,tab_MinKomp[[Stanowisko / Position ]:[Stanowisko / Position ]],0)))</f>
        <v>n/a</v>
      </c>
      <c r="EL156" s="315" t="str">
        <f>IF(INDEX(tab_MinKomp[Obsługa robotów],MATCH($B155,tab_MinKomp[[Stanowisko / Position ]:[Stanowisko / Position ]],0))="n/a","n/a",EL155-INDEX(tab_MinKomp[Obsługa robotów],MATCH($B155,tab_MinKomp[[Stanowisko / Position ]:[Stanowisko / Position ]],0)))</f>
        <v>n/a</v>
      </c>
      <c r="EM156" s="315" t="str">
        <f>IF(INDEX(tab_MinKomp[Obsługa sterowania maszyny],MATCH($B155,tab_MinKomp[[Stanowisko / Position ]:[Stanowisko / Position ]],0))="n/a","n/a",EM155-INDEX(tab_MinKomp[Obsługa sterowania maszyny],MATCH($B155,tab_MinKomp[[Stanowisko / Position ]:[Stanowisko / Position ]],0)))</f>
        <v>n/a</v>
      </c>
      <c r="EN156" s="315" t="str">
        <f>IF(INDEX(tab_MinKomp[Usuwanie przyczyn żródłowych],MATCH($B155,tab_MinKomp[[Stanowisko / Position ]:[Stanowisko / Position ]],0))="n/a","n/a",EN155-INDEX(tab_MinKomp[Usuwanie przyczyn żródłowych],MATCH($B155,tab_MinKomp[[Stanowisko / Position ]:[Stanowisko / Position ]],0)))</f>
        <v>n/a</v>
      </c>
      <c r="EO156" s="315" t="str">
        <f>IF(INDEX(tab_MinKomp[Cmms stosowanie],MATCH($B155,tab_MinKomp[[Stanowisko / Position ]:[Stanowisko / Position ]],0))="n/a","n/a",EO155-INDEX(tab_MinKomp[Cmms stosowanie],MATCH($B155,tab_MinKomp[[Stanowisko / Position ]:[Stanowisko / Position ]],0)))</f>
        <v>n/a</v>
      </c>
      <c r="EP156" s="315" t="str">
        <f>IF(INDEX(tab_MinKomp[[Czyszczenie form gumowych ]],MATCH($B155,tab_MinKomp[[Stanowisko / Position ]:[Stanowisko / Position ]],0))="n/a","n/a",EP155-INDEX(tab_MinKomp[[Czyszczenie form gumowych ]],MATCH($B155,tab_MinKomp[[Stanowisko / Position ]:[Stanowisko / Position ]],0)))</f>
        <v>n/a</v>
      </c>
      <c r="EQ156" s="315" t="str">
        <f>IF(INDEX(tab_MinKomp[Czyszczenie form plastikowych],MATCH($B155,tab_MinKomp[[Stanowisko / Position ]:[Stanowisko / Position ]],0))="n/a","n/a",EQ155-INDEX(tab_MinKomp[Czyszczenie form plastikowych],MATCH($B155,tab_MinKomp[[Stanowisko / Position ]:[Stanowisko / Position ]],0)))</f>
        <v>n/a</v>
      </c>
      <c r="ER156" s="315" t="str">
        <f>IF(INDEX(tab_MinKomp[Wymiana form plastik],MATCH($B155,tab_MinKomp[[Stanowisko / Position ]:[Stanowisko / Position ]],0))="n/a","n/a",ER155-INDEX(tab_MinKomp[Wymiana form plastik],MATCH($B155,tab_MinKomp[[Stanowisko / Position ]:[Stanowisko / Position ]],0)))</f>
        <v>n/a</v>
      </c>
      <c r="ES156" s="315" t="str">
        <f>IF(INDEX(tab_MinKomp[Wymiana form guma],MATCH($B155,tab_MinKomp[[Stanowisko / Position ]:[Stanowisko / Position ]],0))="n/a","n/a",ES155-INDEX(tab_MinKomp[Wymiana form guma],MATCH($B155,tab_MinKomp[[Stanowisko / Position ]:[Stanowisko / Position ]],0)))</f>
        <v>n/a</v>
      </c>
      <c r="ET156" s="315" t="str">
        <f>IF(INDEX(tab_MinKomp[Konserwacja KK],MATCH($B155,tab_MinKomp[[Stanowisko / Position ]:[Stanowisko / Position ]],0))="n/a","n/a",ET155-INDEX(tab_MinKomp[Konserwacja KK],MATCH($B155,tab_MinKomp[[Stanowisko / Position ]:[Stanowisko / Position ]],0)))</f>
        <v>n/a</v>
      </c>
      <c r="EU156" s="315" t="str">
        <f>IF(INDEX(tab_MinKomp[Konserwacja form guma],MATCH($B155,tab_MinKomp[[Stanowisko / Position ]:[Stanowisko / Position ]],0))="n/a","n/a",EU155-INDEX(tab_MinKomp[Konserwacja form guma],MATCH($B155,tab_MinKomp[[Stanowisko / Position ]:[Stanowisko / Position ]],0)))</f>
        <v>n/a</v>
      </c>
      <c r="EV156" s="315" t="str">
        <f>IF(INDEX(tab_MinKomp[Konserwacja form plastiki],MATCH($B155,tab_MinKomp[[Stanowisko / Position ]:[Stanowisko / Position ]],0))="n/a","n/a",EV155-INDEX(tab_MinKomp[Konserwacja form plastiki],MATCH($B155,tab_MinKomp[[Stanowisko / Position ]:[Stanowisko / Position ]],0)))</f>
        <v>n/a</v>
      </c>
      <c r="EW156" s="330" t="str">
        <f>IF(INDEX(tab_MinKomp[Konserwacja form plastiki],MATCH($B155,tab_MinKomp[[Stanowisko / Position ]:[Stanowisko / Position ]],0))="n/a","n/a",EW155-INDEX(tab_MinKomp[Konserwacja form plastiki],MATCH($B155,tab_MinKomp[[Stanowisko / Position ]:[Stanowisko / Position ]],0)))</f>
        <v>n/a</v>
      </c>
      <c r="EX156" s="315" t="str">
        <f>IF(INDEX(tab_MinKomp[Konserwacja Gorącego Kanału],MATCH($B155,tab_MinKomp[[Stanowisko / Position ]:[Stanowisko / Position ]],0))="n/a","n/a",EX155-INDEX(tab_MinKomp[Konserwacja Gorącego Kanału],MATCH($B155,tab_MinKomp[[Stanowisko / Position ]:[Stanowisko / Position ]],0)))</f>
        <v>n/a</v>
      </c>
      <c r="EY156" s="315">
        <f>IF(INDEX(tab_MinKomp[MS Office (Excel)],MATCH($B155,tab_MinKomp[[Stanowisko / Position ]:[Stanowisko / Position ]],0))="n/a","n/a",EY155-INDEX(tab_MinKomp[MS Office (Excel)],MATCH($B155,tab_MinKomp[[Stanowisko / Position ]:[Stanowisko / Position ]],0)))</f>
        <v>0</v>
      </c>
      <c r="EZ156" s="315">
        <f>IF(INDEX(tab_MinKomp[MS Office (Word)],MATCH($B155,tab_MinKomp[[Stanowisko / Position ]:[Stanowisko / Position ]],0))="n/a","n/a",EZ155-INDEX(tab_MinKomp[MS Office (Word)],MATCH($B155,tab_MinKomp[[Stanowisko / Position ]:[Stanowisko / Position ]],0)))</f>
        <v>0</v>
      </c>
      <c r="FA156" s="315">
        <f>IF(INDEX(tab_MinKomp[MS Office (Power Point)],MATCH($B155,tab_MinKomp[[Stanowisko / Position ]:[Stanowisko / Position ]],0))="n/a","n/a",FA155-INDEX(tab_MinKomp[MS Office (Power Point)],MATCH($B155,tab_MinKomp[[Stanowisko / Position ]:[Stanowisko / Position ]],0)))</f>
        <v>0</v>
      </c>
      <c r="FB156" s="315">
        <f>IF(INDEX(tab_MinKomp[Język angielski / Englisch],MATCH($B155,tab_MinKomp[[Stanowisko / Position ]:[Stanowisko / Position ]],0))="n/a","n/a",FB155-INDEX(tab_MinKomp[Język angielski / Englisch],MATCH($B155,tab_MinKomp[[Stanowisko / Position ]:[Stanowisko / Position ]],0)))</f>
        <v>0</v>
      </c>
      <c r="FC156" s="315">
        <f>IF(INDEX(tab_MinKomp[Język niemiecki / Deutsch],MATCH($B155,tab_MinKomp[[Stanowisko / Position ]:[Stanowisko / Position ]],0))="n/a","n/a",FC155-INDEX(tab_MinKomp[Język niemiecki / Deutsch],MATCH($B155,tab_MinKomp[[Stanowisko / Position ]:[Stanowisko / Position ]],0)))</f>
        <v>0</v>
      </c>
      <c r="FD156" s="315">
        <f>IF(INDEX(tab_MinKomp[Zarządzanie dokumentacją procesową / Process dokumentation management],MATCH($B155,tab_MinKomp[[Stanowisko / Position ]:[Stanowisko / Position ]],0))="n/a","n/a",FD155-INDEX(tab_MinKomp[Zarządzanie dokumentacją procesową / Process dokumentation management],MATCH($B155,tab_MinKomp[[Stanowisko / Position ]:[Stanowisko / Position ]],0)))</f>
        <v>1</v>
      </c>
      <c r="FE156" s="315">
        <f>IF(INDEX(tab_MinKomp[Znajomość procesów z obszaru / Kenntiss der prozesse in dem Bereich],MATCH($B155,tab_MinKomp[[Stanowisko / Position ]:[Stanowisko / Position ]],0))="n/a","n/a",FE155-INDEX(tab_MinKomp[Znajomość procesów z obszaru / Kenntiss der prozesse in dem Bereich],MATCH($B155,tab_MinKomp[[Stanowisko / Position ]:[Stanowisko / Position ]],0)))</f>
        <v>0</v>
      </c>
      <c r="FF156" s="315">
        <f>IF(INDEX(tab_MinKomp[optymalizacja procesów / Prozessoptymalisierung],MATCH($B155,tab_MinKomp[[Stanowisko / Position ]:[Stanowisko / Position ]],0))="n/a","n/a",FF155-INDEX(tab_MinKomp[optymalizacja procesów / Prozessoptymalisierung],MATCH($B155,tab_MinKomp[[Stanowisko / Position ]:[Stanowisko / Position ]],0)))</f>
        <v>0</v>
      </c>
      <c r="FG156" s="315">
        <f>IF(INDEX(tab_MinKomp[Umiejętności szkoleniowe / Trainingsfähigkeiten],MATCH($B155,tab_MinKomp[[Stanowisko / Position ]:[Stanowisko / Position ]],0))="n/a","n/a",FG155-INDEX(tab_MinKomp[Umiejętności szkoleniowe / Trainingsfähigkeiten],MATCH($B155,tab_MinKomp[[Stanowisko / Position ]:[Stanowisko / Position ]],0)))</f>
        <v>0</v>
      </c>
      <c r="FH156" s="315">
        <f>IF(INDEX(tab_MinKomp[Analityczne myślenie, podejście / Analitysches Denken, Einstellung],MATCH($B155,tab_MinKomp[[Stanowisko / Position ]:[Stanowisko / Position ]],0))="n/a","n/a",FH155-INDEX(tab_MinKomp[Analityczne myślenie, podejście / Analitysches Denken, Einstellung],MATCH($B155,tab_MinKomp[[Stanowisko / Position ]:[Stanowisko / Position ]],0)))</f>
        <v>0</v>
      </c>
      <c r="FI156" s="315">
        <f>IF(INDEX(tab_MinKomp[Dokładność, precyzja w dzialaniu / Genauigkeit, Präzision in die Arbeit],MATCH($B155,tab_MinKomp[[Stanowisko / Position ]:[Stanowisko / Position ]],0))="n/a","n/a",FI155-INDEX(tab_MinKomp[Dokładność, precyzja w dzialaniu / Genauigkeit, Präzision in die Arbeit],MATCH($B155,tab_MinKomp[[Stanowisko / Position ]:[Stanowisko / Position ]],0)))</f>
        <v>0</v>
      </c>
      <c r="FJ156" s="315">
        <f>IF(INDEX(tab_MinKomp[Dyspozycyjność / Verfügbarkeit],MATCH($B155,tab_MinKomp[[Stanowisko / Position ]:[Stanowisko / Position ]],0))="n/a","n/a",FJ155-INDEX(tab_MinKomp[Dyspozycyjność / Verfügbarkeit],MATCH($B155,tab_MinKomp[[Stanowisko / Position ]:[Stanowisko / Position ]],0)))</f>
        <v>0</v>
      </c>
      <c r="FK156" s="315">
        <f>IF(INDEX(tab_MinKomp[Zaangażowanie / 
Engagement],MATCH($B155,tab_MinKomp[[Stanowisko / Position ]:[Stanowisko / Position ]],0))="n/a","n/a",FK155-INDEX(tab_MinKomp[Zaangażowanie / 
Engagement],MATCH($B155,tab_MinKomp[[Stanowisko / Position ]:[Stanowisko / Position ]],0)))</f>
        <v>0</v>
      </c>
      <c r="FL156" s="315">
        <f>IF(INDEX(tab_MinKomp[Planowanie strategiczne / Strategische Planung],MATCH($B155,tab_MinKomp[[Stanowisko / Position ]:[Stanowisko / Position ]],0))="n/a","n/a",FL155-INDEX(tab_MinKomp[Planowanie strategiczne / Strategische Planung],MATCH($B155,tab_MinKomp[[Stanowisko / Position ]:[Stanowisko / Position ]],0)))</f>
        <v>0</v>
      </c>
      <c r="FM156" s="315">
        <f>IF(INDEX(tab_MinKomp[Konsekwentne i dynamiczne działanie],MATCH($B155,tab_MinKomp[[Stanowisko / Position ]:[Stanowisko / Position ]],0))="n/a","n/a",FM155-INDEX(tab_MinKomp[Konsekwentne i dynamiczne działanie],MATCH($B155,tab_MinKomp[[Stanowisko / Position ]:[Stanowisko / Position ]],0)))</f>
        <v>1</v>
      </c>
      <c r="FN156" s="315">
        <f>IF(INDEX(tab_MinKomp[Elastyczność w działaniu],MATCH($B155,tab_MinKomp[[Stanowisko / Position ]:[Stanowisko / Position ]],0))="n/a","n/a",FN155-INDEX(tab_MinKomp[Elastyczność w działaniu],MATCH($B155,tab_MinKomp[[Stanowisko / Position ]:[Stanowisko / Position ]],0)))</f>
        <v>1</v>
      </c>
      <c r="FO156" s="315">
        <f>IF(INDEX(tab_MinKomp[Komunikatywność],MATCH($B155,tab_MinKomp[[Stanowisko / Position ]:[Stanowisko / Position ]],0))="n/a","n/a",FO155-INDEX(tab_MinKomp[Komunikatywność],MATCH($B155,tab_MinKomp[[Stanowisko / Position ]:[Stanowisko / Position ]],0)))</f>
        <v>-1</v>
      </c>
      <c r="FP156" s="315" t="str">
        <f>IF(INDEX(tab_MinKomp[Motywowanie i budowanie zaangażowania zespołu],MATCH($B155,tab_MinKomp[[Stanowisko / Position ]:[Stanowisko / Position ]],0))="n/a","n/a",FP155-INDEX(tab_MinKomp[Motywowanie i budowanie zaangażowania zespołu],MATCH($B155,tab_MinKomp[[Stanowisko / Position ]:[Stanowisko / Position ]],0)))</f>
        <v>n/a</v>
      </c>
      <c r="FQ156" s="318" t="str">
        <f>IFERROR(IF(INDEX(tab_MinKomp[BRAK / Keine],MATCH($B155,tab_MinKomp[[Stanowisko / Position ]:[Stanowisko / Position ]],0))="n/a","n/a",INDEX(tab_MinKomp[BRAK / Keine],MATCH($B155,tab_MinKomp[[Stanowisko / Position ]:[Stanowisko / Position ]],0))-FQ155),"")</f>
        <v>n/a</v>
      </c>
      <c r="FR156" s="315" t="str">
        <f>IF(INDEX(tab_MinKomp[MINIMUM 1 ROK / min. 1 Jahr],MATCH($B155,tab_MinKomp[[Stanowisko / Position ]:[Stanowisko / Position ]],0))="n/a","n/a",INDEX(tab_MinKomp[MINIMUM 1 ROK / min. 1 Jahr],MATCH($B155,tab_MinKomp[[Stanowisko / Position ]:[Stanowisko / Position ]],0)))</f>
        <v>n/a</v>
      </c>
      <c r="FS156" s="315" t="str">
        <f>IF(INDEX(tab_MinKomp[MINIMUM 2 LATA / min. 2 Jahre],MATCH($B155,tab_MinKomp[[Stanowisko / Position ]:[Stanowisko / Position ]],0))="n/a","n/a",INDEX(tab_MinKomp[MINIMUM 2 LATA / min. 2 Jahre],MATCH($B155,tab_MinKomp[[Stanowisko / Position ]:[Stanowisko / Position ]],0)))</f>
        <v>n/a</v>
      </c>
      <c r="FT156" s="315" t="str">
        <f>IF(INDEX(tab_MinKomp[MINIMUM 3 LATA / min. 3 Jahre],MATCH($B155,tab_MinKomp[[Stanowisko / Position ]:[Stanowisko / Position ]],0))="n/a","n/a",INDEX(tab_MinKomp[MINIMUM 3 LATA / min. 3 Jahre],MATCH($B155,tab_MinKomp[[Stanowisko / Position ]:[Stanowisko / Position ]],0)))</f>
        <v>X</v>
      </c>
      <c r="FU156" s="315" t="str">
        <f>IF(INDEX(tab_MinKomp[MINIMUM 4 LATA / min. 4 Jahre],MATCH($B155,tab_MinKomp[[Stanowisko / Position ]:[Stanowisko / Position ]],0))="n/a","n/a",INDEX(tab_MinKomp[MINIMUM 4 LATA / min. 4 Jahre],MATCH($B155,tab_MinKomp[[Stanowisko / Position ]:[Stanowisko / Position ]],0)))</f>
        <v>n/a</v>
      </c>
      <c r="FV156" s="319" t="str">
        <f>IF(INDEX(tab_MinKomp[MINIMUM 5 LAT / min. 5 Jahre],MATCH($B155,tab_MinKomp[[Stanowisko / Position ]:[Stanowisko / Position ]],0))="n/a","n/a",INDEX(tab_MinKomp[MINIMUM 5 LAT / min. 5 Jahre],MATCH($B155,tab_MinKomp[[Stanowisko / Position ]:[Stanowisko / Position ]],0)))</f>
        <v>n/a</v>
      </c>
      <c r="FW156" s="318" t="str">
        <f>IF(INDEX(tab_MinKomp[BRAK / Keine9],MATCH($B155,tab_MinKomp[[Stanowisko / Position ]:[Stanowisko / Position ]],0))="n/a","n/a",INDEX(tab_MinKomp[BRAK / Keine9],MATCH($B155,tab_MinKomp[[Stanowisko / Position ]:[Stanowisko / Position ]],0)))</f>
        <v>n/a</v>
      </c>
      <c r="FX156" s="315" t="str">
        <f>IF(INDEX(tab_MinKomp[ZAWODOWE / Berufsausbildung],MATCH($B155,tab_MinKomp[[Stanowisko / Position ]:[Stanowisko / Position ]],0))="n/a","n/a",INDEX(tab_MinKomp[ZAWODOWE / Berufsausbildung],MATCH($B155,tab_MinKomp[[Stanowisko / Position ]:[Stanowisko / Position ]],0)))</f>
        <v>n/a</v>
      </c>
      <c r="FY156" s="315" t="str">
        <f>IF(INDEX(tab_MinKomp[ŚREDNIE OGÓLNE / Abitur allgemeine],MATCH($B155,tab_MinKomp[[Stanowisko / Position ]:[Stanowisko / Position ]],0))="n/a","n/a",INDEX(tab_MinKomp[ŚREDNIE OGÓLNE / Abitur allgemeine],MATCH($B155,tab_MinKomp[[Stanowisko / Position ]:[Stanowisko / Position ]],0)))</f>
        <v>n/a</v>
      </c>
      <c r="FZ156" s="315" t="str">
        <f>IF(INDEX(tab_MinKomp[ŚREDNIE KIERUNKOWE / berufliches Gymnasium],MATCH($B155,tab_MinKomp[[Stanowisko / Position ]:[Stanowisko / Position ]],0))="n/a","n/a",INDEX(tab_MinKomp[ŚREDNIE KIERUNKOWE / berufliches Gymnasium],MATCH($B155,tab_MinKomp[[Stanowisko / Position ]:[Stanowisko / Position ]],0)))</f>
        <v>n/a</v>
      </c>
      <c r="GA156" s="315" t="str">
        <f>IF(INDEX(tab_MinKomp[WYŻSZE OGÓLNE / Hochschule allgemeine],MATCH($B155,tab_MinKomp[[Stanowisko / Position ]:[Stanowisko / Position ]],0))="n/a","n/a",INDEX(tab_MinKomp[WYŻSZE OGÓLNE / Hochschule allgemeine],MATCH($B155,tab_MinKomp[[Stanowisko / Position ]:[Stanowisko / Position ]],0)))</f>
        <v>n/a</v>
      </c>
      <c r="GB156" s="319" t="str">
        <f>IF(INDEX(tab_MinKomp[WYŻSZE KIERUNKOWE / Hochschule berufliche],MATCH($B155,tab_MinKomp[[Stanowisko / Position ]:[Stanowisko / Position ]],0))="n/a","n/a",INDEX(tab_MinKomp[WYŻSZE KIERUNKOWE / Hochschule berufliche],MATCH($B155,tab_MinKomp[[Stanowisko / Position ]:[Stanowisko / Position ]],0)))</f>
        <v>X</v>
      </c>
      <c r="GC156" s="318" t="str">
        <f>IF(INDEX(tab_MinKomp[PIERWSZA POMOC / Erste Hilfe],MATCH($B155,tab_MinKomp[[Stanowisko / Position ]:[Stanowisko / Position ]],0))="n/a","n/a",INDEX(tab_MinKomp[PIERWSZA POMOC / Erste Hilfe],MATCH($B155,tab_MinKomp[[Stanowisko / Position ]:[Stanowisko / Position ]],0)))</f>
        <v>n/a</v>
      </c>
      <c r="GD156" s="315" t="str">
        <f>IF(INDEX(tab_MinKomp[Specjalista BHP / BHP Spezialist],MATCH($B155,tab_MinKomp[[Stanowisko / Position ]:[Stanowisko / Position ]],0))="n/a","n/a",INDEX(tab_MinKomp[Specjalista BHP / BHP Spezialist],MATCH($B155,tab_MinKomp[[Stanowisko / Position ]:[Stanowisko / Position ]],0)))</f>
        <v>n/a</v>
      </c>
      <c r="GE156" s="315" t="str">
        <f>IF(INDEX(tab_MinKomp[Inspektor ochrony PPOŻ / Brandschutzinspektor],MATCH($B155,tab_MinKomp[[Stanowisko / Position ]:[Stanowisko / Position ]],0))="n/a","n/a",INDEX(tab_MinKomp[Inspektor ochrony PPOŻ / Brandschutzinspektor],MATCH($B155,tab_MinKomp[[Stanowisko / Position ]:[Stanowisko / Position ]],0)))</f>
        <v>n/a</v>
      </c>
      <c r="GF156" s="315" t="str">
        <f>IF(INDEX(tab_MinKomp[WÓZKI JEZDNIOWE / Gebelstapler],MATCH($B155,tab_MinKomp[[Stanowisko / Position ]:[Stanowisko / Position ]],0))="n/a","n/a",INDEX(tab_MinKomp[WÓZKI JEZDNIOWE / Gebelstapler],MATCH($B155,tab_MinKomp[[Stanowisko / Position ]:[Stanowisko / Position ]],0)))</f>
        <v>n/a</v>
      </c>
      <c r="GG156" s="315" t="str">
        <f>IF(INDEX(tab_MinKomp[SEP],MATCH($B155,tab_MinKomp[[Stanowisko / Position ]:[Stanowisko / Position ]],0))="n/a","n/a",INDEX(tab_MinKomp[SEP],MATCH($B155,tab_MinKomp[[Stanowisko / Position ]:[Stanowisko / Position ]],0)))</f>
        <v>n/a</v>
      </c>
      <c r="GH156" s="315" t="str">
        <f>IF(INDEX(tab_MinKomp[SEP  DOZÓR / SEP Aufsicht],MATCH($B155,tab_MinKomp[[Stanowisko / Position ]:[Stanowisko / Position ]],0))="n/a","n/a",INDEX(tab_MinKomp[SEP  DOZÓR / SEP Aufsicht],MATCH($B155,tab_MinKomp[[Stanowisko / Position ]:[Stanowisko / Position ]],0)))</f>
        <v>n/a</v>
      </c>
      <c r="GI156" s="315" t="str">
        <f>IF(INDEX(tab_MinKomp[PODNOŚNIKI / Hebevorrichtung],MATCH($B155,tab_MinKomp[[Stanowisko / Position ]:[Stanowisko / Position ]],0))="n/a","n/a",INDEX(tab_MinKomp[PODNOŚNIKI / Hebevorrichtung],MATCH($B155,tab_MinKomp[[Stanowisko / Position ]:[Stanowisko / Position ]],0)))</f>
        <v>n/a</v>
      </c>
      <c r="GJ156" s="315" t="str">
        <f>IF(INDEX(tab_MinKomp[SUWNICE / Laufkran],MATCH($B155,tab_MinKomp[[Stanowisko / Position ]:[Stanowisko / Position ]],0))="n/a","n/a",INDEX(tab_MinKomp[SUWNICE / Laufkran],MATCH($B155,tab_MinKomp[[Stanowisko / Position ]:[Stanowisko / Position ]],0)))</f>
        <v>n/a</v>
      </c>
      <c r="GK156" s="319" t="str">
        <f>IF(INDEX(tab_MinKomp[WYSOKOŚCIOWE / Höhenberechtigungen],MATCH($B155,tab_MinKomp[[Stanowisko / Position ]:[Stanowisko / Position ]],0))="n/a","n/a",INDEX(tab_MinKomp[WYSOKOŚCIOWE / Höhenberechtigungen],MATCH($B155,tab_MinKomp[[Stanowisko / Position ]:[Stanowisko / Position ]],0)))</f>
        <v>n/a</v>
      </c>
      <c r="GL156" s="320">
        <f>SUM(G156:FP156)/(GL155-(SUM(G156:FP156)))</f>
        <v>0.04</v>
      </c>
      <c r="GM156" s="132"/>
    </row>
    <row r="157" spans="1:195" s="133" customFormat="1" ht="28.35" customHeight="1" thickBot="1" x14ac:dyDescent="0.3">
      <c r="A157" s="135" t="s">
        <v>14</v>
      </c>
      <c r="B157" s="135" t="s">
        <v>202</v>
      </c>
      <c r="C157" s="135" t="s">
        <v>766</v>
      </c>
      <c r="D157" s="135">
        <v>1568</v>
      </c>
      <c r="E157" s="572" t="s">
        <v>634</v>
      </c>
      <c r="F157" s="307" t="s">
        <v>165</v>
      </c>
      <c r="G157" s="352">
        <v>3</v>
      </c>
      <c r="H157" s="352">
        <v>3</v>
      </c>
      <c r="I157" s="352">
        <v>3</v>
      </c>
      <c r="J157" s="352">
        <v>1</v>
      </c>
      <c r="K157" s="352">
        <v>1</v>
      </c>
      <c r="L157" s="352">
        <v>2</v>
      </c>
      <c r="M157" s="352" t="s">
        <v>176</v>
      </c>
      <c r="N157" s="352" t="s">
        <v>176</v>
      </c>
      <c r="O157" s="352">
        <v>2</v>
      </c>
      <c r="P157" s="352">
        <v>2</v>
      </c>
      <c r="Q157" s="352" t="s">
        <v>176</v>
      </c>
      <c r="R157" s="352" t="s">
        <v>176</v>
      </c>
      <c r="S157" s="352">
        <v>1</v>
      </c>
      <c r="T157" s="352" t="s">
        <v>176</v>
      </c>
      <c r="U157" s="352" t="s">
        <v>176</v>
      </c>
      <c r="V157" s="323" t="s">
        <v>176</v>
      </c>
      <c r="W157" s="323" t="s">
        <v>176</v>
      </c>
      <c r="X157" s="323" t="s">
        <v>176</v>
      </c>
      <c r="Y157" s="323" t="s">
        <v>176</v>
      </c>
      <c r="Z157" s="323" t="s">
        <v>176</v>
      </c>
      <c r="AA157" s="323" t="s">
        <v>176</v>
      </c>
      <c r="AB157" s="323">
        <v>1</v>
      </c>
      <c r="AC157" s="323">
        <v>1</v>
      </c>
      <c r="AD157" s="323">
        <v>1</v>
      </c>
      <c r="AE157" s="323">
        <v>1</v>
      </c>
      <c r="AF157" s="323">
        <v>1</v>
      </c>
      <c r="AG157" s="323" t="s">
        <v>176</v>
      </c>
      <c r="AH157" s="323" t="s">
        <v>176</v>
      </c>
      <c r="AI157" s="323" t="s">
        <v>176</v>
      </c>
      <c r="AJ157" s="323">
        <v>1</v>
      </c>
      <c r="AK157" s="323" t="s">
        <v>176</v>
      </c>
      <c r="AL157" s="323" t="s">
        <v>176</v>
      </c>
      <c r="AM157" s="323" t="s">
        <v>176</v>
      </c>
      <c r="AN157" s="323" t="s">
        <v>176</v>
      </c>
      <c r="AO157" s="323" t="s">
        <v>176</v>
      </c>
      <c r="AP157" s="323">
        <v>1</v>
      </c>
      <c r="AQ157" s="323">
        <v>1</v>
      </c>
      <c r="AR157" s="323" t="s">
        <v>176</v>
      </c>
      <c r="AS157" s="323" t="s">
        <v>176</v>
      </c>
      <c r="AT157" s="323" t="s">
        <v>176</v>
      </c>
      <c r="AU157" s="323" t="s">
        <v>176</v>
      </c>
      <c r="AV157" s="323">
        <v>1</v>
      </c>
      <c r="AW157" s="323" t="s">
        <v>176</v>
      </c>
      <c r="AX157" s="323" t="s">
        <v>176</v>
      </c>
      <c r="AY157" s="323" t="s">
        <v>176</v>
      </c>
      <c r="AZ157" s="323" t="s">
        <v>176</v>
      </c>
      <c r="BA157" s="323" t="s">
        <v>176</v>
      </c>
      <c r="BB157" s="323" t="s">
        <v>176</v>
      </c>
      <c r="BC157" s="323" t="s">
        <v>176</v>
      </c>
      <c r="BD157" s="323" t="s">
        <v>176</v>
      </c>
      <c r="BE157" s="323" t="s">
        <v>176</v>
      </c>
      <c r="BF157" s="323" t="s">
        <v>176</v>
      </c>
      <c r="BG157" s="323" t="s">
        <v>176</v>
      </c>
      <c r="BH157" s="323" t="s">
        <v>176</v>
      </c>
      <c r="BI157" s="323" t="s">
        <v>176</v>
      </c>
      <c r="BJ157" s="323" t="s">
        <v>176</v>
      </c>
      <c r="BK157" s="323" t="s">
        <v>176</v>
      </c>
      <c r="BL157" s="323" t="s">
        <v>176</v>
      </c>
      <c r="BM157" s="323" t="s">
        <v>176</v>
      </c>
      <c r="BN157" s="323" t="s">
        <v>176</v>
      </c>
      <c r="BO157" s="323" t="s">
        <v>176</v>
      </c>
      <c r="BP157" s="323" t="s">
        <v>176</v>
      </c>
      <c r="BQ157" s="323" t="s">
        <v>176</v>
      </c>
      <c r="BR157" s="323" t="s">
        <v>176</v>
      </c>
      <c r="BS157" s="323" t="s">
        <v>176</v>
      </c>
      <c r="BT157" s="323" t="s">
        <v>176</v>
      </c>
      <c r="BU157" s="323" t="s">
        <v>176</v>
      </c>
      <c r="BV157" s="323" t="s">
        <v>176</v>
      </c>
      <c r="BW157" s="323" t="s">
        <v>176</v>
      </c>
      <c r="BX157" s="323" t="s">
        <v>176</v>
      </c>
      <c r="BY157" s="323" t="s">
        <v>176</v>
      </c>
      <c r="BZ157" s="323" t="s">
        <v>176</v>
      </c>
      <c r="CA157" s="323" t="s">
        <v>176</v>
      </c>
      <c r="CB157" s="323" t="s">
        <v>176</v>
      </c>
      <c r="CC157" s="323" t="s">
        <v>176</v>
      </c>
      <c r="CD157" s="323" t="s">
        <v>176</v>
      </c>
      <c r="CE157" s="323" t="s">
        <v>176</v>
      </c>
      <c r="CF157" s="323" t="s">
        <v>176</v>
      </c>
      <c r="CG157" s="323" t="s">
        <v>176</v>
      </c>
      <c r="CH157" s="323" t="s">
        <v>176</v>
      </c>
      <c r="CI157" s="323">
        <v>1</v>
      </c>
      <c r="CJ157" s="323" t="s">
        <v>176</v>
      </c>
      <c r="CK157" s="323" t="s">
        <v>176</v>
      </c>
      <c r="CL157" s="323" t="s">
        <v>176</v>
      </c>
      <c r="CM157" s="323" t="s">
        <v>176</v>
      </c>
      <c r="CN157" s="323">
        <v>1</v>
      </c>
      <c r="CO157" s="323">
        <v>1</v>
      </c>
      <c r="CP157" s="323" t="s">
        <v>176</v>
      </c>
      <c r="CQ157" s="323" t="s">
        <v>176</v>
      </c>
      <c r="CR157" s="323" t="s">
        <v>176</v>
      </c>
      <c r="CS157" s="323" t="s">
        <v>176</v>
      </c>
      <c r="CT157" s="323" t="s">
        <v>176</v>
      </c>
      <c r="CU157" s="308" t="s">
        <v>176</v>
      </c>
      <c r="CV157" s="308" t="s">
        <v>176</v>
      </c>
      <c r="CW157" s="308" t="s">
        <v>176</v>
      </c>
      <c r="CX157" s="308" t="s">
        <v>176</v>
      </c>
      <c r="CY157" s="308" t="s">
        <v>176</v>
      </c>
      <c r="CZ157" s="308" t="s">
        <v>176</v>
      </c>
      <c r="DA157" s="308" t="s">
        <v>176</v>
      </c>
      <c r="DB157" s="308" t="s">
        <v>176</v>
      </c>
      <c r="DC157" s="308" t="s">
        <v>176</v>
      </c>
      <c r="DD157" s="308" t="s">
        <v>176</v>
      </c>
      <c r="DE157" s="308" t="s">
        <v>176</v>
      </c>
      <c r="DF157" s="308" t="s">
        <v>176</v>
      </c>
      <c r="DG157" s="308" t="s">
        <v>176</v>
      </c>
      <c r="DH157" s="308" t="s">
        <v>176</v>
      </c>
      <c r="DI157" s="308" t="s">
        <v>176</v>
      </c>
      <c r="DJ157" s="308" t="s">
        <v>176</v>
      </c>
      <c r="DK157" s="308" t="s">
        <v>176</v>
      </c>
      <c r="DL157" s="308" t="s">
        <v>176</v>
      </c>
      <c r="DM157" s="308" t="s">
        <v>176</v>
      </c>
      <c r="DN157" s="308" t="s">
        <v>176</v>
      </c>
      <c r="DO157" s="308" t="s">
        <v>176</v>
      </c>
      <c r="DP157" s="308" t="s">
        <v>176</v>
      </c>
      <c r="DQ157" s="308" t="s">
        <v>176</v>
      </c>
      <c r="DR157" s="308" t="s">
        <v>176</v>
      </c>
      <c r="DS157" s="308" t="s">
        <v>176</v>
      </c>
      <c r="DT157" s="308" t="s">
        <v>176</v>
      </c>
      <c r="DU157" s="308" t="s">
        <v>176</v>
      </c>
      <c r="DV157" s="308" t="s">
        <v>176</v>
      </c>
      <c r="DW157" s="308" t="s">
        <v>176</v>
      </c>
      <c r="DX157" s="308" t="s">
        <v>176</v>
      </c>
      <c r="DY157" s="323" t="s">
        <v>176</v>
      </c>
      <c r="DZ157" s="323" t="s">
        <v>176</v>
      </c>
      <c r="EA157" s="323" t="s">
        <v>176</v>
      </c>
      <c r="EB157" s="323" t="s">
        <v>176</v>
      </c>
      <c r="EC157" s="323" t="s">
        <v>176</v>
      </c>
      <c r="ED157" s="323" t="s">
        <v>176</v>
      </c>
      <c r="EE157" s="323" t="s">
        <v>176</v>
      </c>
      <c r="EF157" s="323" t="s">
        <v>176</v>
      </c>
      <c r="EG157" s="323" t="s">
        <v>176</v>
      </c>
      <c r="EH157" s="323" t="s">
        <v>176</v>
      </c>
      <c r="EI157" s="323" t="s">
        <v>176</v>
      </c>
      <c r="EJ157" s="323" t="s">
        <v>176</v>
      </c>
      <c r="EK157" s="323" t="s">
        <v>176</v>
      </c>
      <c r="EL157" s="323" t="s">
        <v>176</v>
      </c>
      <c r="EM157" s="323" t="s">
        <v>176</v>
      </c>
      <c r="EN157" s="323" t="s">
        <v>176</v>
      </c>
      <c r="EO157" s="323" t="s">
        <v>176</v>
      </c>
      <c r="EP157" s="323" t="s">
        <v>176</v>
      </c>
      <c r="EQ157" s="323" t="s">
        <v>176</v>
      </c>
      <c r="ER157" s="323" t="s">
        <v>176</v>
      </c>
      <c r="ES157" s="323" t="s">
        <v>176</v>
      </c>
      <c r="ET157" s="323" t="s">
        <v>176</v>
      </c>
      <c r="EU157" s="323" t="s">
        <v>176</v>
      </c>
      <c r="EV157" s="323" t="s">
        <v>176</v>
      </c>
      <c r="EW157" s="308" t="s">
        <v>176</v>
      </c>
      <c r="EX157" s="323" t="s">
        <v>176</v>
      </c>
      <c r="EY157" s="323">
        <v>2</v>
      </c>
      <c r="EZ157" s="323">
        <v>2</v>
      </c>
      <c r="FA157" s="323">
        <v>2</v>
      </c>
      <c r="FB157" s="340">
        <v>2</v>
      </c>
      <c r="FC157" s="309" t="s">
        <v>176</v>
      </c>
      <c r="FD157" s="323">
        <v>1</v>
      </c>
      <c r="FE157" s="323">
        <v>2</v>
      </c>
      <c r="FF157" s="323">
        <v>1</v>
      </c>
      <c r="FG157" s="323">
        <v>3</v>
      </c>
      <c r="FH157" s="323">
        <v>2</v>
      </c>
      <c r="FI157" s="323">
        <v>2</v>
      </c>
      <c r="FJ157" s="323">
        <v>2</v>
      </c>
      <c r="FK157" s="323">
        <v>2</v>
      </c>
      <c r="FL157" s="323">
        <v>1</v>
      </c>
      <c r="FM157" s="323">
        <v>3</v>
      </c>
      <c r="FN157" s="323">
        <v>1</v>
      </c>
      <c r="FO157" s="323">
        <v>2</v>
      </c>
      <c r="FP157" s="323">
        <v>2</v>
      </c>
      <c r="FQ157" s="353" t="s">
        <v>176</v>
      </c>
      <c r="FR157" s="353" t="s">
        <v>176</v>
      </c>
      <c r="FS157" s="353" t="s">
        <v>160</v>
      </c>
      <c r="FT157" s="353" t="s">
        <v>176</v>
      </c>
      <c r="FU157" s="353" t="s">
        <v>176</v>
      </c>
      <c r="FV157" s="353" t="s">
        <v>176</v>
      </c>
      <c r="FW157" s="353" t="s">
        <v>176</v>
      </c>
      <c r="FX157" s="353" t="s">
        <v>176</v>
      </c>
      <c r="FY157" s="353" t="s">
        <v>176</v>
      </c>
      <c r="FZ157" s="353" t="s">
        <v>176</v>
      </c>
      <c r="GA157" s="353" t="s">
        <v>176</v>
      </c>
      <c r="GB157" s="319" t="str">
        <f>IF(INDEX(tab_MinKomp[WYŻSZE KIERUNKOWE / Hochschule berufliche],MATCH($B156,tab_MinKomp[[Stanowisko / Position ]:[Stanowisko / Position ]],0))="n/a","n/a",INDEX(tab_MinKomp[WYŻSZE KIERUNKOWE / Hochschule berufliche],MATCH($B156,tab_MinKomp[[Stanowisko / Position ]:[Stanowisko / Position ]],0)))</f>
        <v>X</v>
      </c>
      <c r="GC157" s="323" t="s">
        <v>160</v>
      </c>
      <c r="GD157" s="323" t="s">
        <v>160</v>
      </c>
      <c r="GE157" s="323" t="s">
        <v>160</v>
      </c>
      <c r="GF157" s="353" t="s">
        <v>176</v>
      </c>
      <c r="GG157" s="353" t="s">
        <v>176</v>
      </c>
      <c r="GH157" s="353" t="s">
        <v>176</v>
      </c>
      <c r="GI157" s="353" t="s">
        <v>176</v>
      </c>
      <c r="GJ157" s="353" t="s">
        <v>176</v>
      </c>
      <c r="GK157" s="353" t="s">
        <v>176</v>
      </c>
      <c r="GL157" s="311">
        <f>SUM(G157:FP157)</f>
        <v>62</v>
      </c>
      <c r="GM157" s="132"/>
    </row>
    <row r="158" spans="1:195" s="133" customFormat="1" ht="28.35" customHeight="1" thickBot="1" x14ac:dyDescent="0.3">
      <c r="A158" s="138" t="str">
        <f>A157</f>
        <v>BHP</v>
      </c>
      <c r="B158" s="138" t="str">
        <f>B157</f>
        <v>Specjalista ds. BHP i PPOŻ</v>
      </c>
      <c r="C158" s="135" t="s">
        <v>766</v>
      </c>
      <c r="D158" s="138">
        <f>D157</f>
        <v>1568</v>
      </c>
      <c r="E158" s="573"/>
      <c r="F158" s="312" t="s">
        <v>166</v>
      </c>
      <c r="G158" s="313">
        <f>IF(INDEX(tab_MinKomp[Przepisy BHP / BHP Vorschriften],MATCH($B157,tab_MinKomp[[Stanowisko / Position ]:[Stanowisko / Position ]],0))="n/a","n/a",G157-INDEX(tab_MinKomp[Przepisy BHP / BHP Vorschriften],MATCH($B157,tab_MinKomp[[Stanowisko / Position ]:[Stanowisko / Position ]],0)))</f>
        <v>0</v>
      </c>
      <c r="H158" s="313">
        <f>IF(INDEX(tab_MinKomp[Przepisy BHP / BHP Vorschriften],MATCH($B157,tab_MinKomp[[Stanowisko / Position ]:[Stanowisko / Position ]],0))="n/a","n/a",H157-INDEX(tab_MinKomp[Przepisy BHP / BHP Vorschriften],MATCH($B157,tab_MinKomp[[Stanowisko / Position ]:[Stanowisko / Position ]],0)))</f>
        <v>0</v>
      </c>
      <c r="I158" s="314">
        <f>IF(INDEX(tab_MinKomp[Ryzyko zawodowe na stanowiskach pracyv/ Berufliche Risiken an Arbeitsstellen],MATCH($B157,tab_MinKomp[[Stanowisko / Position ]:[Stanowisko / Position ]],0))="n/a","n/a",I157-INDEX(tab_MinKomp[Ryzyko zawodowe na stanowiskach pracyv/ Berufliche Risiken an Arbeitsstellen],MATCH($B157,tab_MinKomp[[Stanowisko / Position ]:[Stanowisko / Position ]],0)))</f>
        <v>0</v>
      </c>
      <c r="J158" s="314">
        <f>IF(INDEX(tab_MinKomp[Gospodarka substancjami niebezpiecznymi / Gefahrstoffmanagement],MATCH($B157,tab_MinKomp[[Stanowisko / Position ]:[Stanowisko / Position ]],0))="n/a","n/a",J157-INDEX(tab_MinKomp[Gospodarka substancjami niebezpiecznymi / Gefahrstoffmanagement],MATCH($B157,tab_MinKomp[[Stanowisko / Position ]:[Stanowisko / Position ]],0)))</f>
        <v>-1</v>
      </c>
      <c r="K158" s="314">
        <f>IF(INDEX(tab_MinKomp[Gospodarka odpadami / Abfallwirtschaft],MATCH($B157,tab_MinKomp[[Stanowisko / Position ]:[Stanowisko / Position ]],0))="n/a","n/a",K157-INDEX(tab_MinKomp[Gospodarka odpadami / Abfallwirtschaft],MATCH($B157,tab_MinKomp[[Stanowisko / Position ]:[Stanowisko / Position ]],0)))</f>
        <v>-1</v>
      </c>
      <c r="L158" s="315">
        <f>IF(INDEX(tab_MinKomp[Przepisy kodeksu pracy / Bestimmungen des Arbeitsgesetzes],MATCH($B157,tab_MinKomp[[Stanowisko / Position ]:[Stanowisko / Position ]],0))="n/a","n/a",L157-INDEX(tab_MinKomp[Przepisy kodeksu pracy / Bestimmungen des Arbeitsgesetzes],MATCH($B157,tab_MinKomp[[Stanowisko / Position ]:[Stanowisko / Position ]],0)))</f>
        <v>0</v>
      </c>
      <c r="M158" s="316" t="str">
        <f>IF(INDEX(tab_MinKomp[Przepisy o ub.społ. ZUS  / Sozialversicherungsvorschriften],MATCH($B157,tab_MinKomp[[Stanowisko / Position ]:[Stanowisko / Position ]],0))="n/a","n/a",M157-INDEX(tab_MinKomp[Przepisy o ub.społ. ZUS  / Sozialversicherungsvorschriften],MATCH($B157,tab_MinKomp[[Stanowisko / Position ]:[Stanowisko / Position ]],0)))</f>
        <v>n/a</v>
      </c>
      <c r="N158" s="315" t="str">
        <f>IF(INDEX(tab_MinKomp[PRZEPISY O PDOF /persönlich Einkommensteuergesetz ],MATCH($B157,tab_MinKomp[[Stanowisko / Position ]:[Stanowisko / Position ]],0))="n/a","n/a",N157-INDEX(tab_MinKomp[PRZEPISY O PDOF /persönlich Einkommensteuergesetz ],MATCH($B157,tab_MinKomp[[Stanowisko / Position ]:[Stanowisko / Position ]],0)))</f>
        <v>n/a</v>
      </c>
      <c r="O158" s="315">
        <f>IF(INDEX(tab_MinKomp[Regulamin pracy / Arbeitsordnung],MATCH($B157,tab_MinKomp[[Stanowisko / Position ]:[Stanowisko / Position ]],0))="n/a","n/a",O157-INDEX(tab_MinKomp[Regulamin pracy / Arbeitsordnung],MATCH($B157,tab_MinKomp[[Stanowisko / Position ]:[Stanowisko / Position ]],0)))</f>
        <v>0</v>
      </c>
      <c r="P158" s="315">
        <f>IF(INDEX(tab_MinKomp[Regulamin wynagradzania / Vergütungsordnung],MATCH($B157,tab_MinKomp[[Stanowisko / Position ]:[Stanowisko / Position ]],0))="n/a","n/a",P157-INDEX(tab_MinKomp[Regulamin wynagradzania / Vergütungsordnung],MATCH($B157,tab_MinKomp[[Stanowisko / Position ]:[Stanowisko / Position ]],0)))</f>
        <v>0</v>
      </c>
      <c r="Q158" s="315" t="str">
        <f>IF(INDEX(tab_MinKomp[System R2PŁATNIK PRO: Płace / Lohnabrechnung],MATCH($B157,tab_MinKomp[[Stanowisko / Position ]:[Stanowisko / Position ]],0))="n/a","n/a",Q157-INDEX(tab_MinKomp[System R2PŁATNIK PRO: Płace / Lohnabrechnung],MATCH($B157,tab_MinKomp[[Stanowisko / Position ]:[Stanowisko / Position ]],0)))</f>
        <v>n/a</v>
      </c>
      <c r="R158" s="315" t="str">
        <f>IF(INDEX(tab_MinKomp[SystemR2PŁATNIK PRO: KADRY / Personaldaten],MATCH($B157,tab_MinKomp[[Stanowisko / Position ]:[Stanowisko / Position ]],0))="n/a","n/a",R157-INDEX(tab_MinKomp[SystemR2PŁATNIK PRO: KADRY / Personaldaten],MATCH($B157,tab_MinKomp[[Stanowisko / Position ]:[Stanowisko / Position ]],0)))</f>
        <v>n/a</v>
      </c>
      <c r="S158" s="315">
        <f>IF(INDEX(tab_MinKomp[SYSTEM R2PŁATNIK PRO: zarządzanie pracownikami / Arbeitsverwaltung],MATCH($B157,tab_MinKomp[[Stanowisko / Position ]:[Stanowisko / Position ]],0))="n/a","n/a",S157-INDEX(tab_MinKomp[SYSTEM R2PŁATNIK PRO: zarządzanie pracownikami / Arbeitsverwaltung],MATCH($B157,tab_MinKomp[[Stanowisko / Position ]:[Stanowisko / Position ]],0)))</f>
        <v>0</v>
      </c>
      <c r="T158" s="315" t="str">
        <f>IF(INDEX(tab_MinKomp[Doradztwo, wsparcie personalne / Personalberatung und Unterstützung],MATCH($B157,tab_MinKomp[[Stanowisko / Position ]:[Stanowisko / Position ]],0))="n/a","n/a",T157-INDEX(tab_MinKomp[Doradztwo, wsparcie personalne / Personalberatung und Unterstützung],MATCH($B157,tab_MinKomp[[Stanowisko / Position ]:[Stanowisko / Position ]],0)))</f>
        <v>n/a</v>
      </c>
      <c r="U158" s="315" t="str">
        <f>IF(INDEX(tab_MinKomp[Przepisy o podatku VAT / MwSt.- Gesetz],MATCH($B157,tab_MinKomp[[Stanowisko / Position ]:[Stanowisko / Position ]],0))="n/a","n/a",U157-INDEX(tab_MinKomp[Przepisy o podatku VAT / MwSt.- Gesetz],MATCH($B157,tab_MinKomp[[Stanowisko / Position ]:[Stanowisko / Position ]],0)))</f>
        <v>n/a</v>
      </c>
      <c r="V158" s="315" t="str">
        <f>IF(INDEX(tab_MinKomp[PrzepisyPDOP / geschäftlich Einkommensteuergesetz],MATCH($B157,tab_MinKomp[[Stanowisko / Position ]:[Stanowisko / Position ]],0))="n/a","n/a",V157-INDEX(tab_MinKomp[PrzepisyPDOP / geschäftlich Einkommensteuergesetz],MATCH($B157,tab_MinKomp[[Stanowisko / Position ]:[Stanowisko / Position ]],0)))</f>
        <v>n/a</v>
      </c>
      <c r="W158" s="315" t="str">
        <f>IF(INDEX(tab_MinKomp[System BAAN / FINANSE (FIBU)],MATCH($B157,tab_MinKomp[[Stanowisko / Position ]:[Stanowisko / Position ]],0))="n/a","n/a",W157-INDEX(tab_MinKomp[System BAAN / FINANSE (FIBU)],MATCH($B157,tab_MinKomp[[Stanowisko / Position ]:[Stanowisko / Position ]],0)))</f>
        <v>n/a</v>
      </c>
      <c r="X158" s="315" t="str">
        <f>IF(INDEX(tab_MinKomp[Systemy pomocnicze / Hilfssysteme(STOCKPROGRAM, KALK2000 etc.)],MATCH($B157,tab_MinKomp[[Stanowisko / Position ]:[Stanowisko / Position ]],0))="n/a","n/a",X157-INDEX(tab_MinKomp[Systemy pomocnicze / Hilfssysteme(STOCKPROGRAM, KALK2000 etc.)],MATCH($B157,tab_MinKomp[[Stanowisko / Position ]:[Stanowisko / Position ]],0)))</f>
        <v>n/a</v>
      </c>
      <c r="Y158" s="315" t="str">
        <f>IF(INDEX(tab_MinKomp[Polityka rachunkowości / Buchführungspolitik],MATCH($B157,tab_MinKomp[[Stanowisko / Position ]:[Stanowisko / Position ]],0))="n/a","n/a",Y157-INDEX(tab_MinKomp[Polityka rachunkowości / Buchführungspolitik],MATCH($B157,tab_MinKomp[[Stanowisko / Position ]:[Stanowisko / Position ]],0)))</f>
        <v>n/a</v>
      </c>
      <c r="Z158" s="315" t="str">
        <f>IF(INDEX(tab_MinKomp[Ustawa o rachunkowości / Rechnungslegungsgesetz],MATCH($B157,tab_MinKomp[[Stanowisko / Position ]:[Stanowisko / Position ]],0))="n/a","n/a",Z157-INDEX(tab_MinKomp[Ustawa o rachunkowości / Rechnungslegungsgesetz],MATCH($B157,tab_MinKomp[[Stanowisko / Position ]:[Stanowisko / Position ]],0)))</f>
        <v>n/a</v>
      </c>
      <c r="AA158" s="315" t="str">
        <f>IF(INDEX(tab_MinKomp[WORKFLOW - TS-100],MATCH($B157,tab_MinKomp[[Stanowisko / Position ]:[Stanowisko / Position ]],0))="n/a","n/a",AA157-INDEX(tab_MinKomp[WORKFLOW - TS-100],MATCH($B157,tab_MinKomp[[Stanowisko / Position ]:[Stanowisko / Position ]],0)))</f>
        <v>n/a</v>
      </c>
      <c r="AB158" s="315">
        <f>IF(INDEX(tab_MinKomp[WORKFLOW - SFMS],MATCH($B157,tab_MinKomp[[Stanowisko / Position ]:[Stanowisko / Position ]],0))="n/a","n/a",AB157-INDEX(tab_MinKomp[WORKFLOW - SFMS],MATCH($B157,tab_MinKomp[[Stanowisko / Position ]:[Stanowisko / Position ]],0)))</f>
        <v>0</v>
      </c>
      <c r="AC158" s="315">
        <f>IF(INDEX(tab_MinKomp[System ISO 9001:2015],MATCH($B157,tab_MinKomp[[Stanowisko / Position ]:[Stanowisko / Position ]],0))="n/a","n/a",AC157-INDEX(tab_MinKomp[System ISO 9001:2015],MATCH($B157,tab_MinKomp[[Stanowisko / Position ]:[Stanowisko / Position ]],0)))</f>
        <v>0</v>
      </c>
      <c r="AD158" s="315">
        <f>IF(INDEX(tab_MinKomp[System IATF 16949:2016],MATCH($B157,tab_MinKomp[[Stanowisko / Position ]:[Stanowisko / Position ]],0))="n/a","n/a",AD157-INDEX(tab_MinKomp[System IATF 16949:2016],MATCH($B157,tab_MinKomp[[Stanowisko / Position ]:[Stanowisko / Position ]],0)))</f>
        <v>-1</v>
      </c>
      <c r="AE158" s="315">
        <f>IF(INDEX(tab_MinKomp[System ISO 14001:2015],MATCH($B157,tab_MinKomp[[Stanowisko / Position ]:[Stanowisko / Position ]],0))="n/a","n/a",AE157-INDEX(tab_MinKomp[System ISO 14001:2015],MATCH($B157,tab_MinKomp[[Stanowisko / Position ]:[Stanowisko / Position ]],0)))</f>
        <v>0</v>
      </c>
      <c r="AF158" s="315">
        <f>IF(INDEX(tab_MinKomp[System PN-N 18001:2004 / ISO 45001:2018],MATCH($B157,tab_MinKomp[[Stanowisko / Position ]:[Stanowisko / Position ]],0))="n/a","n/a",AF157-INDEX(tab_MinKomp[System PN-N 18001:2004 / ISO 45001:2018],MATCH($B157,tab_MinKomp[[Stanowisko / Position ]:[Stanowisko / Position ]],0)))</f>
        <v>-1</v>
      </c>
      <c r="AG158" s="315" t="str">
        <f>IF(INDEX(tab_MinKomp[Wymagania VDA 6.3 Process / Forderungen],MATCH($B157,tab_MinKomp[[Stanowisko / Position ]:[Stanowisko / Position ]],0))="n/a","n/a",AG157-INDEX(tab_MinKomp[Wymagania VDA 6.3 Process / Forderungen],MATCH($B157,tab_MinKomp[[Stanowisko / Position ]:[Stanowisko / Position ]],0)))</f>
        <v>n/a</v>
      </c>
      <c r="AH158" s="315" t="str">
        <f>IF(INDEX(tab_MinKomp[Wymagania VDA 6.5 Product / Forderungen],MATCH($B157,tab_MinKomp[[Stanowisko / Position ]:[Stanowisko / Position ]],0))="n/a","n/a",AH157-INDEX(tab_MinKomp[Wymagania VDA 6.5 Product / Forderungen],MATCH($B157,tab_MinKomp[[Stanowisko / Position ]:[Stanowisko / Position ]],0)))</f>
        <v>n/a</v>
      </c>
      <c r="AI158" s="315" t="str">
        <f>IF(INDEX(tab_MinKomp[PSCR (VW Product Safety &amp; Conformity Representative)],MATCH($B157,tab_MinKomp[[Stanowisko / Position ]:[Stanowisko / Position ]],0))="n/a","n/a",AI157-INDEX(tab_MinKomp[PSCR (VW Product Safety &amp; Conformity Representative)],MATCH($B157,tab_MinKomp[[Stanowisko / Position ]:[Stanowisko / Position ]],0)))</f>
        <v>n/a</v>
      </c>
      <c r="AJ158" s="315" t="str">
        <f>IF(INDEX(tab_MinKomp[Auditor systemu ISO 17025:2018],MATCH($B157,tab_MinKomp[[Stanowisko / Position ]:[Stanowisko / Position ]],0))="n/a","n/a",AJ157-INDEX(tab_MinKomp[Auditor systemu ISO 17025:2018],MATCH($B157,tab_MinKomp[[Stanowisko / Position ]:[Stanowisko / Position ]],0)))</f>
        <v>n/a</v>
      </c>
      <c r="AK158" s="315" t="str">
        <f>IF(INDEX(tab_MinKomp[Pełnomocnik systemu / Systemvertreter],MATCH($B157,tab_MinKomp[[Stanowisko / Position ]:[Stanowisko / Position ]],0))="n/a","n/a",AK157-INDEX(tab_MinKomp[Pełnomocnik systemu / Systemvertreter],MATCH($B157,tab_MinKomp[[Stanowisko / Position ]:[Stanowisko / Position ]],0)))</f>
        <v>n/a</v>
      </c>
      <c r="AL158" s="315" t="str">
        <f>IF(INDEX(tab_MinKomp[Polityka Etyczna - Compliance],MATCH($B157,tab_MinKomp[[Stanowisko / Position ]:[Stanowisko / Position ]],0))="n/a","n/a",AL157-INDEX(tab_MinKomp[Polityka Etyczna - Compliance],MATCH($B157,tab_MinKomp[[Stanowisko / Position ]:[Stanowisko / Position ]],0)))</f>
        <v>n/a</v>
      </c>
      <c r="AM158" s="315" t="str">
        <f>IF(INDEX(tab_MinKomp[WDRAŻANIE NOWYCH PROJEKTÓW/ PROCEDURA CTM],MATCH($B157,tab_MinKomp[[Stanowisko / Position ]:[Stanowisko / Position ]],0))="n/a","n/a",AM157-INDEX(tab_MinKomp[WDRAŻANIE NOWYCH PROJEKTÓW/ PROCEDURA CTM],MATCH($B157,tab_MinKomp[[Stanowisko / Position ]:[Stanowisko / Position ]],0)))</f>
        <v>n/a</v>
      </c>
      <c r="AN158" s="315" t="str">
        <f>IF(INDEX(tab_MinKomp[KAMIENIE MILOWE MSL/PIFF],MATCH($B157,tab_MinKomp[[Stanowisko / Position ]:[Stanowisko / Position ]],0))="n/a","n/a",AN157-INDEX(tab_MinKomp[KAMIENIE MILOWE MSL/PIFF],MATCH($B157,tab_MinKomp[[Stanowisko / Position ]:[Stanowisko / Position ]],0)))</f>
        <v>n/a</v>
      </c>
      <c r="AO158" s="315" t="str">
        <f>IF(INDEX(tab_MinKomp[CP],MATCH($B157,tab_MinKomp[[Stanowisko / Position ]:[Stanowisko / Position ]],0))="n/a","n/a",AO157-INDEX(tab_MinKomp[CP],MATCH($B157,tab_MinKomp[[Stanowisko / Position ]:[Stanowisko / Position ]],0)))</f>
        <v>n/a</v>
      </c>
      <c r="AP158" s="315">
        <f>IF(INDEX(tab_MinKomp[FMEA],MATCH($B157,tab_MinKomp[[Stanowisko / Position ]:[Stanowisko / Position ]],0))="n/a","n/a",AP157-INDEX(tab_MinKomp[FMEA],MATCH($B157,tab_MinKomp[[Stanowisko / Position ]:[Stanowisko / Position ]],0)))</f>
        <v>-1</v>
      </c>
      <c r="AQ158" s="315">
        <f>IF(INDEX(tab_MinKomp[FLOW CHART],MATCH($B157,tab_MinKomp[[Stanowisko / Position ]:[Stanowisko / Position ]],0))="n/a","n/a",AQ157-INDEX(tab_MinKomp[FLOW CHART],MATCH($B157,tab_MinKomp[[Stanowisko / Position ]:[Stanowisko / Position ]],0)))</f>
        <v>0</v>
      </c>
      <c r="AR158" s="315" t="str">
        <f>IF(INDEX(tab_MinKomp[APQP],MATCH($B157,tab_MinKomp[[Stanowisko / Position ]:[Stanowisko / Position ]],0))="n/a","n/a",AR157-INDEX(tab_MinKomp[APQP],MATCH($B157,tab_MinKomp[[Stanowisko / Position ]:[Stanowisko / Position ]],0)))</f>
        <v>n/a</v>
      </c>
      <c r="AS158" s="315" t="str">
        <f>IF(INDEX(tab_MinKomp[MSA],MATCH($B157,tab_MinKomp[[Stanowisko / Position ]:[Stanowisko / Position ]],0))="n/a","n/a",AS157-INDEX(tab_MinKomp[MSA],MATCH($B157,tab_MinKomp[[Stanowisko / Position ]:[Stanowisko / Position ]],0)))</f>
        <v>n/a</v>
      </c>
      <c r="AT158" s="315" t="str">
        <f>IF(INDEX(tab_MinKomp[SPC],MATCH($B157,tab_MinKomp[[Stanowisko / Position ]:[Stanowisko / Position ]],0))="n/a","n/a",AT157-INDEX(tab_MinKomp[SPC],MATCH($B157,tab_MinKomp[[Stanowisko / Position ]:[Stanowisko / Position ]],0)))</f>
        <v>n/a</v>
      </c>
      <c r="AU158" s="315" t="str">
        <f>IF(INDEX(tab_MinKomp[CSR (SPECYFICZNE WYMAGANIA KLIENTA)],MATCH($B157,tab_MinKomp[[Stanowisko / Position ]:[Stanowisko / Position ]],0))="n/a","n/a",AU157-INDEX(tab_MinKomp[CSR (SPECYFICZNE WYMAGANIA KLIENTA)],MATCH($B157,tab_MinKomp[[Stanowisko / Position ]:[Stanowisko / Position ]],0)))</f>
        <v>n/a</v>
      </c>
      <c r="AV158" s="315">
        <f>IF(INDEX(tab_MinKomp[5S],MATCH($B157,tab_MinKomp[[Stanowisko / Position ]:[Stanowisko / Position ]],0))="n/a","n/a",AV157-INDEX(tab_MinKomp[5S],MATCH($B157,tab_MinKomp[[Stanowisko / Position ]:[Stanowisko / Position ]],0)))</f>
        <v>-1</v>
      </c>
      <c r="AW158" s="315" t="str">
        <f>IF(INDEX(tab_MinKomp[LEAN MANAGEMENT],MATCH($B157,tab_MinKomp[[Stanowisko / Position ]:[Stanowisko / Position ]],0))="n/a","n/a",AW157-INDEX(tab_MinKomp[LEAN MANAGEMENT],MATCH($B157,tab_MinKomp[[Stanowisko / Position ]:[Stanowisko / Position ]],0)))</f>
        <v>n/a</v>
      </c>
      <c r="AX158" s="315" t="str">
        <f>IF(INDEX(tab_MinKomp[5R],MATCH($B157,tab_MinKomp[[Stanowisko / Position ]:[Stanowisko / Position ]],0))="n/a","n/a",AX157-INDEX(tab_MinKomp[5R],MATCH($B157,tab_MinKomp[[Stanowisko / Position ]:[Stanowisko / Position ]],0)))</f>
        <v>n/a</v>
      </c>
      <c r="AY158" s="315" t="str">
        <f>IF(INDEX(tab_MinKomp[Six Sigma],MATCH($B157,tab_MinKomp[[Stanowisko / Position ]:[Stanowisko / Position ]],0))="n/a","n/a",AY157-INDEX(tab_MinKomp[Six Sigma],MATCH($B157,tab_MinKomp[[Stanowisko / Position ]:[Stanowisko / Position ]],0)))</f>
        <v>n/a</v>
      </c>
      <c r="AZ158" s="315" t="str">
        <f>IF(INDEX(tab_MinKomp[System BAAN / Distribution &amp; Supply Chain],MATCH($B157,tab_MinKomp[[Stanowisko / Position ]:[Stanowisko / Position ]],0))="n/a","n/a",AZ157-INDEX(tab_MinKomp[System BAAN / Distribution &amp; Supply Chain],MATCH($B157,tab_MinKomp[[Stanowisko / Position ]:[Stanowisko / Position ]],0)))</f>
        <v>n/a</v>
      </c>
      <c r="BA158" s="315" t="str">
        <f>IF(INDEX(tab_MinKomp[Gospodarka magazynowa / Lagerverwaltung],MATCH($B157,tab_MinKomp[[Stanowisko / Position ]:[Stanowisko / Position ]],0))="n/a","n/a",BA157-INDEX(tab_MinKomp[Gospodarka magazynowa / Lagerverwaltung],MATCH($B157,tab_MinKomp[[Stanowisko / Position ]:[Stanowisko / Position ]],0)))</f>
        <v>n/a</v>
      </c>
      <c r="BB158" s="315" t="str">
        <f>IF(INDEX(tab_MinKomp[Inwentaryzacja - organizacja i przebieg / Inventurprozess],MATCH($B157,tab_MinKomp[[Stanowisko / Position ]:[Stanowisko / Position ]],0))="n/a","n/a",BB157-INDEX(tab_MinKomp[Inwentaryzacja - organizacja i przebieg / Inventurprozess],MATCH($B157,tab_MinKomp[[Stanowisko / Position ]:[Stanowisko / Position ]],0)))</f>
        <v>n/a</v>
      </c>
      <c r="BC158" s="315" t="str">
        <f>IF(INDEX(tab_MinKomp[Organizacja dostaw / Versorgungsorganisation],MATCH($B157,tab_MinKomp[[Stanowisko / Position ]:[Stanowisko / Position ]],0))="n/a","n/a",BC157-INDEX(tab_MinKomp[Organizacja dostaw / Versorgungsorganisation],MATCH($B157,tab_MinKomp[[Stanowisko / Position ]:[Stanowisko / Position ]],0)))</f>
        <v>n/a</v>
      </c>
      <c r="BD158" s="315" t="str">
        <f>IF(INDEX(tab_MinKomp[Organizacja wysyłek / Organisation von Lieferungen],MATCH($B157,tab_MinKomp[[Stanowisko / Position ]:[Stanowisko / Position ]],0))="n/a","n/a",BD157-INDEX(tab_MinKomp[Organizacja wysyłek / Organisation von Lieferungen],MATCH($B157,tab_MinKomp[[Stanowisko / Position ]:[Stanowisko / Position ]],0)))</f>
        <v>n/a</v>
      </c>
      <c r="BE158" s="315" t="str">
        <f>IF(INDEX(tab_MinKomp[Analiza magazynowa - Program Polen.mdb / Inventuranalyse],MATCH($B157,tab_MinKomp[[Stanowisko / Position ]:[Stanowisko / Position ]],0))="n/a","n/a",BE157-INDEX(tab_MinKomp[Analiza magazynowa - Program Polen.mdb / Inventuranalyse],MATCH($B157,tab_MinKomp[[Stanowisko / Position ]:[Stanowisko / Position ]],0)))</f>
        <v>n/a</v>
      </c>
      <c r="BF158" s="315" t="str">
        <f>IF(INDEX(tab_MinKomp[MMOG (Materials Management Operations Guidelines)],MATCH($B157,tab_MinKomp[[Stanowisko / Position ]:[Stanowisko / Position ]],0))="n/a","n/a",BF157-INDEX(tab_MinKomp[MMOG (Materials Management Operations Guidelines)],MATCH($B157,tab_MinKomp[[Stanowisko / Position ]:[Stanowisko / Position ]],0)))</f>
        <v>n/a</v>
      </c>
      <c r="BG158" s="315" t="str">
        <f>IF(INDEX(tab_MinKomp[GPP],MATCH($B157,tab_MinKomp[[Stanowisko / Position ]:[Stanowisko / Position ]],0))="n/a","n/a",BG157-INDEX(tab_MinKomp[GPP],MATCH($B157,tab_MinKomp[[Stanowisko / Position ]:[Stanowisko / Position ]],0)))</f>
        <v>n/a</v>
      </c>
      <c r="BH158" s="315" t="str">
        <f>IF(INDEX(tab_MinKomp[AIAG (Automotive Industry Action Group)],MATCH($B157,tab_MinKomp[[Stanowisko / Position ]:[Stanowisko / Position ]],0))="n/a","n/a",BH157-INDEX(tab_MinKomp[AIAG (Automotive Industry Action Group)],MATCH($B157,tab_MinKomp[[Stanowisko / Position ]:[Stanowisko / Position ]],0)))</f>
        <v>n/a</v>
      </c>
      <c r="BI158" s="315" t="str">
        <f>IF(INDEX(tab_MinKomp[Super-G disputes],MATCH($B157,tab_MinKomp[[Stanowisko / Position ]:[Stanowisko / Position ]],0))="n/a","n/a",BI157-INDEX(tab_MinKomp[Super-G disputes],MATCH($B157,tab_MinKomp[[Stanowisko / Position ]:[Stanowisko / Position ]],0)))</f>
        <v>n/a</v>
      </c>
      <c r="BJ158" s="315" t="str">
        <f>IF(INDEX(tab_MinKomp[CMMS3/eDDL (Direct Data Link)],MATCH($B157,tab_MinKomp[[Stanowisko / Position ]:[Stanowisko / Position ]],0))="n/a","n/a",BJ157-INDEX(tab_MinKomp[CMMS3/eDDL (Direct Data Link)],MATCH($B157,tab_MinKomp[[Stanowisko / Position ]:[Stanowisko / Position ]],0)))</f>
        <v>n/a</v>
      </c>
      <c r="BK158" s="315" t="str">
        <f>IF(INDEX(tab_MinKomp[MP&amp;L (Material Planning and Logistics)],MATCH($B157,tab_MinKomp[[Stanowisko / Position ]:[Stanowisko / Position ]],0))="n/a","n/a",BK157-INDEX(tab_MinKomp[MP&amp;L (Material Planning and Logistics)],MATCH($B157,tab_MinKomp[[Stanowisko / Position ]:[Stanowisko / Position ]],0)))</f>
        <v>n/a</v>
      </c>
      <c r="BL158" s="315" t="str">
        <f>IF(INDEX(tab_MinKomp[Supplier delivery rating],MATCH($B157,tab_MinKomp[[Stanowisko / Position ]:[Stanowisko / Position ]],0))="n/a","n/a",BL157-INDEX(tab_MinKomp[Supplier delivery rating],MATCH($B157,tab_MinKomp[[Stanowisko / Position ]:[Stanowisko / Position ]],0)))</f>
        <v>n/a</v>
      </c>
      <c r="BM158" s="315" t="str">
        <f>IF(INDEX(tab_MinKomp[Planowanie produkcji / Produktionsplanung],MATCH($B157,tab_MinKomp[[Stanowisko / Position ]:[Stanowisko / Position ]],0))="n/a","n/a",BM157-INDEX(tab_MinKomp[Planowanie produkcji / Produktionsplanung],MATCH($B157,tab_MinKomp[[Stanowisko / Position ]:[Stanowisko / Position ]],0)))</f>
        <v>n/a</v>
      </c>
      <c r="BN158" s="315" t="str">
        <f>IF(INDEX(tab_MinKomp[Obsługa maszyn Engel / Engel Maschinenbedienung],MATCH($B157,tab_MinKomp[[Stanowisko / Position ]:[Stanowisko / Position ]],0))="n/a","n/a",BN157-INDEX(tab_MinKomp[Obsługa maszyn Engel / Engel Maschinenbedienung],MATCH($B157,tab_MinKomp[[Stanowisko / Position ]:[Stanowisko / Position ]],0)))</f>
        <v>n/a</v>
      </c>
      <c r="BO158" s="315" t="str">
        <f>IF(INDEX(tab_MinKomp[Obsługa maszyn Novapax / Novapax Maschinenbedienung],MATCH($B157,tab_MinKomp[[Stanowisko / Position ]:[Stanowisko / Position ]],0))="n/a","n/a",BO157-INDEX(tab_MinKomp[Obsługa maszyn Novapax / Novapax Maschinenbedienung],MATCH($B157,tab_MinKomp[[Stanowisko / Position ]:[Stanowisko / Position ]],0)))</f>
        <v>n/a</v>
      </c>
      <c r="BP158" s="315" t="str">
        <f>IF(INDEX(tab_MinKomp[Obsługa maszyn KVT / KVT Maschinenbedienung],MATCH($B157,tab_MinKomp[[Stanowisko / Position ]:[Stanowisko / Position ]],0))="n/a","n/a",BP157-INDEX(tab_MinKomp[Obsługa maszyn KVT / KVT Maschinenbedienung],MATCH($B157,tab_MinKomp[[Stanowisko / Position ]:[Stanowisko / Position ]],0)))</f>
        <v>n/a</v>
      </c>
      <c r="BQ158" s="315" t="str">
        <f>IF(INDEX(tab_MinKomp[Obsługa maszyn ASL / ASL Maschinenbedienung],MATCH($B157,tab_MinKomp[[Stanowisko / Position ]:[Stanowisko / Position ]],0))="n/a","n/a",BQ157-INDEX(tab_MinKomp[Obsługa maszyn ASL / ASL Maschinenbedienung],MATCH($B157,tab_MinKomp[[Stanowisko / Position ]:[Stanowisko / Position ]],0)))</f>
        <v>n/a</v>
      </c>
      <c r="BR158" s="315" t="str">
        <f>IF(INDEX(tab_MinKomp[Obsługa maszyn Branson / Branson Maschinenbedienung],MATCH($B157,tab_MinKomp[[Stanowisko / Position ]:[Stanowisko / Position ]],0))="n/a","n/a",BR157-INDEX(tab_MinKomp[Obsługa maszyn Branson / Branson Maschinenbedienung],MATCH($B157,tab_MinKomp[[Stanowisko / Position ]:[Stanowisko / Position ]],0)))</f>
        <v>n/a</v>
      </c>
      <c r="BS158" s="315" t="str">
        <f>IF(INDEX(tab_MinKomp[Obsługa maszyn Kamtec / Kamtec Maschinenbedienung],MATCH($B157,tab_MinKomp[[Stanowisko / Position ]:[Stanowisko / Position ]],0))="n/a","n/a",BS157-INDEX(tab_MinKomp[Obsługa maszyn Kamtec / Kamtec Maschinenbedienung],MATCH($B157,tab_MinKomp[[Stanowisko / Position ]:[Stanowisko / Position ]],0)))</f>
        <v>n/a</v>
      </c>
      <c r="BT158" s="315" t="str">
        <f>IF(INDEX(tab_MinKomp[Obsługa maszyn Piovan / Piovan Maschinenbedienung],MATCH($B157,tab_MinKomp[[Stanowisko / Position ]:[Stanowisko / Position ]],0))="n/a","n/a",BT157-INDEX(tab_MinKomp[Obsługa maszyn Piovan / Piovan Maschinenbedienung],MATCH($B157,tab_MinKomp[[Stanowisko / Position ]:[Stanowisko / Position ]],0)))</f>
        <v>n/a</v>
      </c>
      <c r="BU158" s="315" t="str">
        <f>IF(INDEX(tab_MinKomp[Obsługa maszyn REP / REP Maschinenbedienung],MATCH($B157,tab_MinKomp[[Stanowisko / Position ]:[Stanowisko / Position ]],0))="n/a","n/a",BU157-INDEX(tab_MinKomp[Obsługa maszyn REP / REP Maschinenbedienung],MATCH($B157,tab_MinKomp[[Stanowisko / Position ]:[Stanowisko / Position ]],0)))</f>
        <v>n/a</v>
      </c>
      <c r="BV158" s="315" t="str">
        <f>IF(INDEX(tab_MinKomp[Eliminacja awarii / Beseitigung von Ausfällen],MATCH($B157,tab_MinKomp[[Stanowisko / Position ]:[Stanowisko / Position ]],0))="n/a","n/a",BV157-INDEX(tab_MinKomp[Eliminacja awarii / Beseitigung von Ausfällen],MATCH($B157,tab_MinKomp[[Stanowisko / Position ]:[Stanowisko / Position ]],0)))</f>
        <v>n/a</v>
      </c>
      <c r="BW158" s="315" t="str">
        <f>IF(INDEX(tab_MinKomp[Informatyka ogólna (techniczne i systemowe) / Allgemeine IT (Technik und System)],MATCH($B157,tab_MinKomp[[Stanowisko / Position ]:[Stanowisko / Position ]],0))="n/a","n/a",BW157-INDEX(tab_MinKomp[Informatyka ogólna (techniczne i systemowe) / Allgemeine IT (Technik und System)],MATCH($B157,tab_MinKomp[[Stanowisko / Position ]:[Stanowisko / Position ]],0)))</f>
        <v>n/a</v>
      </c>
      <c r="BX158" s="315" t="str">
        <f>IF(INDEX(tab_MinKomp[Sieci komputerowe / Computernetzwerke],MATCH($B157,tab_MinKomp[[Stanowisko / Position ]:[Stanowisko / Position ]],0))="n/a","n/a",BX157-INDEX(tab_MinKomp[Sieci komputerowe / Computernetzwerke],MATCH($B157,tab_MinKomp[[Stanowisko / Position ]:[Stanowisko / Position ]],0)))</f>
        <v>n/a</v>
      </c>
      <c r="BY158" s="315" t="str">
        <f>IF(INDEX(tab_MinKomp[Hardware (komputery PC, drukarki biurowe i etykietowe, telefonia stacjonarna i mobilna) (PC, Drucker, Telefpne, Handys)],MATCH($B157,tab_MinKomp[[Stanowisko / Position ]:[Stanowisko / Position ]],0))="n/a","n/a",BY157-INDEX(tab_MinKomp[Hardware (komputery PC, drukarki biurowe i etykietowe, telefonia stacjonarna i mobilna) (PC, Drucker, Telefpne, Handys)],MATCH($B157,tab_MinKomp[[Stanowisko / Position ]:[Stanowisko / Position ]],0)))</f>
        <v>n/a</v>
      </c>
      <c r="BZ158" s="315" t="str">
        <f>IF(INDEX(tab_MinKomp[Software &amp; Systems (MS Office, MS Remote Desktop)],MATCH($B157,tab_MinKomp[[Stanowisko / Position ]:[Stanowisko / Position ]],0))="n/a","n/a",BZ157-INDEX(tab_MinKomp[Software &amp; Systems (MS Office, MS Remote Desktop)],MATCH($B157,tab_MinKomp[[Stanowisko / Position ]:[Stanowisko / Position ]],0)))</f>
        <v>n/a</v>
      </c>
      <c r="CA158" s="315" t="str">
        <f>IF(INDEX(tab_MinKomp[Programowanie obiektowe (PHP) / Objektprogrammierung],MATCH($B157,tab_MinKomp[[Stanowisko / Position ]:[Stanowisko / Position ]],0))="n/a","n/a",CA157-INDEX(tab_MinKomp[Programowanie obiektowe (PHP) / Objektprogrammierung],MATCH($B157,tab_MinKomp[[Stanowisko / Position ]:[Stanowisko / Position ]],0)))</f>
        <v>n/a</v>
      </c>
      <c r="CB158" s="315" t="str">
        <f>IF(INDEX(tab_MinKomp[Scrum],MATCH($B157,tab_MinKomp[[Stanowisko / Position ]:[Stanowisko / Position ]],0))="n/a","n/a",CB157-INDEX(tab_MinKomp[Scrum],MATCH($B157,tab_MinKomp[[Stanowisko / Position ]:[Stanowisko / Position ]],0)))</f>
        <v>n/a</v>
      </c>
      <c r="CC158" s="315" t="str">
        <f>IF(INDEX(tab_MinKomp[SQL (MySQL)],MATCH($B157,tab_MinKomp[[Stanowisko / Position ]:[Stanowisko / Position ]],0))="n/a","n/a",CC157-INDEX(tab_MinKomp[SQL (MySQL)],MATCH($B157,tab_MinKomp[[Stanowisko / Position ]:[Stanowisko / Position ]],0)))</f>
        <v>n/a</v>
      </c>
      <c r="CD158" s="315" t="str">
        <f>IF(INDEX(tab_MinKomp[Javascript],MATCH($B157,tab_MinKomp[[Stanowisko / Position ]:[Stanowisko / Position ]],0))="n/a","n/a",CD157-INDEX(tab_MinKomp[Javascript],MATCH($B157,tab_MinKomp[[Stanowisko / Position ]:[Stanowisko / Position ]],0)))</f>
        <v>n/a</v>
      </c>
      <c r="CE158" s="315" t="str">
        <f>IF(INDEX(tab_MinKomp[Joomla],MATCH($B157,tab_MinKomp[[Stanowisko / Position ]:[Stanowisko / Position ]],0))="n/a","n/a",CE157-INDEX(tab_MinKomp[Joomla],MATCH($B157,tab_MinKomp[[Stanowisko / Position ]:[Stanowisko / Position ]],0)))</f>
        <v>n/a</v>
      </c>
      <c r="CF158" s="315" t="str">
        <f>IF(INDEX(tab_MinKomp[Bash],MATCH($B157,tab_MinKomp[[Stanowisko / Position ]:[Stanowisko / Position ]],0))="n/a","n/a",CF157-INDEX(tab_MinKomp[Bash],MATCH($B157,tab_MinKomp[[Stanowisko / Position ]:[Stanowisko / Position ]],0)))</f>
        <v>n/a</v>
      </c>
      <c r="CG158" s="315" t="str">
        <f>IF(INDEX(tab_MinKomp[Systemy MES (HYDRA / SFMS)],MATCH($B157,tab_MinKomp[[Stanowisko / Position ]:[Stanowisko / Position ]],0))="n/a","n/a",CG157-INDEX(tab_MinKomp[Systemy MES (HYDRA / SFMS)],MATCH($B157,tab_MinKomp[[Stanowisko / Position ]:[Stanowisko / Position ]],0)))</f>
        <v>n/a</v>
      </c>
      <c r="CH158" s="315" t="str">
        <f>IF(INDEX(tab_MinKomp[HTML / CSS],MATCH($B157,tab_MinKomp[[Stanowisko / Position ]:[Stanowisko / Position ]],0))="n/a","n/a",CH157-INDEX(tab_MinKomp[HTML / CSS],MATCH($B157,tab_MinKomp[[Stanowisko / Position ]:[Stanowisko / Position ]],0)))</f>
        <v>n/a</v>
      </c>
      <c r="CI158" s="315">
        <f>IF(INDEX(tab_MinKomp[SYSTEM PR],MATCH($B157,tab_MinKomp[[Stanowisko / Position ]:[Stanowisko / Position ]],0))="n/a","n/a",CI157-INDEX(tab_MinKomp[SYSTEM PR],MATCH($B157,tab_MinKomp[[Stanowisko / Position ]:[Stanowisko / Position ]],0)))</f>
        <v>-1</v>
      </c>
      <c r="CJ158" s="315" t="str">
        <f>IF(INDEX(tab_MinKomp[System Einkauf XP / EBA],MATCH($B157,tab_MinKomp[[Stanowisko / Position ]:[Stanowisko / Position ]],0))="n/a","n/a",CJ157-INDEX(tab_MinKomp[System Einkauf XP / EBA],MATCH($B157,tab_MinKomp[[Stanowisko / Position ]:[Stanowisko / Position ]],0)))</f>
        <v>n/a</v>
      </c>
      <c r="CK158" s="315" t="str">
        <f>IF(INDEX(tab_MinKomp[Techniki negocjacyjne / Verhandlungstechniken],MATCH($B157,tab_MinKomp[[Stanowisko / Position ]:[Stanowisko / Position ]],0))="n/a","n/a",CK157-INDEX(tab_MinKomp[Techniki negocjacyjne / Verhandlungstechniken],MATCH($B157,tab_MinKomp[[Stanowisko / Position ]:[Stanowisko / Position ]],0)))</f>
        <v>n/a</v>
      </c>
      <c r="CL158" s="315" t="str">
        <f>IF(INDEX(tab_MinKomp[Znajomość rynku branżowego / Kenntnis des Industrie Marktes],MATCH($B157,tab_MinKomp[[Stanowisko / Position ]:[Stanowisko / Position ]],0))="n/a","n/a",CL157-INDEX(tab_MinKomp[Znajomość rynku branżowego / Kenntnis des Industrie Marktes],MATCH($B157,tab_MinKomp[[Stanowisko / Position ]:[Stanowisko / Position ]],0)))</f>
        <v>n/a</v>
      </c>
      <c r="CM158" s="315" t="str">
        <f>IF(INDEX(tab_MinKomp[RAPORTY 8D / 8D Berichten],MATCH($B157,tab_MinKomp[[Stanowisko / Position ]:[Stanowisko / Position ]],0))="n/a","n/a",CM157-INDEX(tab_MinKomp[RAPORTY 8D / 8D Berichten],MATCH($B157,tab_MinKomp[[Stanowisko / Position ]:[Stanowisko / Position ]],0)))</f>
        <v>n/a</v>
      </c>
      <c r="CN158" s="315">
        <f>IF(INDEX(tab_MinKomp[NARZĘDZIA JAKOŚCIOWE (5WHY, Ishikawa, etc) / QS-Werkzeuge],MATCH($B157,tab_MinKomp[[Stanowisko / Position ]:[Stanowisko / Position ]],0))="n/a","n/a",CN157-INDEX(tab_MinKomp[NARZĘDZIA JAKOŚCIOWE (5WHY, Ishikawa, etc) / QS-Werkzeuge],MATCH($B157,tab_MinKomp[[Stanowisko / Position ]:[Stanowisko / Position ]],0)))</f>
        <v>-1</v>
      </c>
      <c r="CO158" s="315">
        <f>IF(INDEX(tab_MinKomp[PDCA],MATCH($B157,tab_MinKomp[[Stanowisko / Position ]:[Stanowisko / Position ]],0))="n/a","n/a",CO157-INDEX(tab_MinKomp[PDCA],MATCH($B157,tab_MinKomp[[Stanowisko / Position ]:[Stanowisko / Position ]],0)))</f>
        <v>-1</v>
      </c>
      <c r="CP158" s="315" t="str">
        <f>IF(INDEX(tab_MinKomp[Pareto],MATCH($B157,tab_MinKomp[[Stanowisko / Position ]:[Stanowisko / Position ]],0))="n/a","n/a",CP157-INDEX(tab_MinKomp[Pareto],MATCH($B157,tab_MinKomp[[Stanowisko / Position ]:[Stanowisko / Position ]],0)))</f>
        <v>n/a</v>
      </c>
      <c r="CQ158" s="315" t="str">
        <f>IF(INDEX(tab_MinKomp[PPAP/PSW],MATCH($B157,tab_MinKomp[[Stanowisko / Position ]:[Stanowisko / Position ]],0))="n/a","n/a",CQ157-INDEX(tab_MinKomp[PPAP/PSW],MATCH($B157,tab_MinKomp[[Stanowisko / Position ]:[Stanowisko / Position ]],0)))</f>
        <v>n/a</v>
      </c>
      <c r="CR158" s="315" t="str">
        <f>IF(INDEX(tab_MinKomp[SUPPLIER MANAGEMENT],MATCH($B157,tab_MinKomp[[Stanowisko / Position ]:[Stanowisko / Position ]],0))="n/a","n/a",CR157-INDEX(tab_MinKomp[SUPPLIER MANAGEMENT],MATCH($B157,tab_MinKomp[[Stanowisko / Position ]:[Stanowisko / Position ]],0)))</f>
        <v>n/a</v>
      </c>
      <c r="CS158" s="315" t="str">
        <f>IF(INDEX(tab_MinKomp[OBSŁUGA PORTALI KLIENTA / Kundenportale],MATCH($B157,tab_MinKomp[[Stanowisko / Position ]:[Stanowisko / Position ]],0))="n/a","n/a",CS157-INDEX(tab_MinKomp[OBSŁUGA PORTALI KLIENTA / Kundenportale],MATCH($B157,tab_MinKomp[[Stanowisko / Position ]:[Stanowisko / Position ]],0)))</f>
        <v>n/a</v>
      </c>
      <c r="CT158" s="315" t="str">
        <f>IF(INDEX(tab_MinKomp[Obsługa systemu BABTECQ / BABTECQ System],MATCH($B157,tab_MinKomp[[Stanowisko / Position ]:[Stanowisko / Position ]],0))="n/a","n/a",CT157-INDEX(tab_MinKomp[Obsługa systemu BABTECQ / BABTECQ System],MATCH($B157,tab_MinKomp[[Stanowisko / Position ]:[Stanowisko / Position ]],0)))</f>
        <v>n/a</v>
      </c>
      <c r="CU158" s="315" t="str">
        <f>IF(INDEX(tab_MinKomp[Rysunek techniczny / technische Zeichnung],MATCH($B157,tab_MinKomp[[Stanowisko / Position ]:[Stanowisko / Position ]],0))="n/a","n/a",CU157-INDEX(tab_MinKomp[Rysunek techniczny / technische Zeichnung],MATCH($B157,tab_MinKomp[[Stanowisko / Position ]:[Stanowisko / Position ]],0)))</f>
        <v>n/a</v>
      </c>
      <c r="CV158" s="315" t="str">
        <f>IF(INDEX(tab_MinKomp[Kalibracja / Kalibrierung],MATCH($B157,tab_MinKomp[[Stanowisko / Position ]:[Stanowisko / Position ]],0))="n/a","n/a",CV157-INDEX(tab_MinKomp[Kalibracja / Kalibrierung],MATCH($B157,tab_MinKomp[[Stanowisko / Position ]:[Stanowisko / Position ]],0)))</f>
        <v>n/a</v>
      </c>
      <c r="CW158" s="315" t="str">
        <f>IF(INDEX(tab_MinKomp[Rekwalifikacja / Requalifizierung],MATCH($B157,tab_MinKomp[[Stanowisko / Position ]:[Stanowisko / Position ]],0))="n/a","n/a",CW157-INDEX(tab_MinKomp[Rekwalifikacja / Requalifizierung],MATCH($B157,tab_MinKomp[[Stanowisko / Position ]:[Stanowisko / Position ]],0)))</f>
        <v>n/a</v>
      </c>
      <c r="CX158" s="315" t="str">
        <f>IF(INDEX(tab_MinKomp[Obsługa mikroskopu optycznego / Bedienung eines optischen Mikroskops],MATCH($B157,tab_MinKomp[[Stanowisko / Position ]:[Stanowisko / Position ]],0))="n/a","n/a",CX157-INDEX(tab_MinKomp[Obsługa mikroskopu optycznego / Bedienung eines optischen Mikroskops],MATCH($B157,tab_MinKomp[[Stanowisko / Position ]:[Stanowisko / Position ]],0)))</f>
        <v>n/a</v>
      </c>
      <c r="CY158" s="315" t="str">
        <f>IF(INDEX(tab_MinKomp[Wykonywanie pomiarów optycznych - ocena wizualna / Optische Messungen durchführen – visuelle Beurteilung],MATCH($B157,tab_MinKomp[[Stanowisko / Position ]:[Stanowisko / Position ]],0))="n/a","n/a",CY157-INDEX(tab_MinKomp[Wykonywanie pomiarów optycznych - ocena wizualna / Optische Messungen durchführen – visuelle Beurteilung],MATCH($B157,tab_MinKomp[[Stanowisko / Position ]:[Stanowisko / Position ]],0)))</f>
        <v>n/a</v>
      </c>
      <c r="CZ158" s="315" t="str">
        <f>IF(INDEX(tab_MinKomp[Obsługa Rheometra / Rheometra-Unterstützung],MATCH($B157,tab_MinKomp[[Stanowisko / Position ]:[Stanowisko / Position ]],0))="n/a","n/a",CZ157-INDEX(tab_MinKomp[Obsługa Rheometra / Rheometra-Unterstützung],MATCH($B157,tab_MinKomp[[Stanowisko / Position ]:[Stanowisko / Position ]],0)))</f>
        <v>n/a</v>
      </c>
      <c r="DA158" s="315" t="str">
        <f>IF(INDEX(tab_MinKomp[Testy właściwości Rheometra mieszanki gumy],MATCH($B157,tab_MinKomp[[Stanowisko / Position ]:[Stanowisko / Position ]],0))="n/a","n/a",DA157-INDEX(tab_MinKomp[Testy właściwości Rheometra mieszanki gumy],MATCH($B157,tab_MinKomp[[Stanowisko / Position ]:[Stanowisko / Position ]],0)))</f>
        <v>n/a</v>
      </c>
      <c r="DB158" s="315" t="str">
        <f>IF(INDEX(tab_MinKomp[CMM - Contura Zeiss],MATCH($B157,tab_MinKomp[[Stanowisko / Position ]:[Stanowisko / Position ]],0))="n/a","n/a",DB157-INDEX(tab_MinKomp[CMM - Contura Zeiss],MATCH($B157,tab_MinKomp[[Stanowisko / Position ]:[Stanowisko / Position ]],0)))</f>
        <v>n/a</v>
      </c>
      <c r="DC158" s="315" t="str">
        <f>IF(INDEX(tab_MinKomp[Wykonywanie precyzyjnych pomiarów metrycznych, pomiary 3D],MATCH($B157,tab_MinKomp[[Stanowisko / Position ]:[Stanowisko / Position ]],0))="n/a","n/a",DC157-INDEX(tab_MinKomp[Wykonywanie precyzyjnych pomiarów metrycznych, pomiary 3D],MATCH($B157,tab_MinKomp[[Stanowisko / Position ]:[Stanowisko / Position ]],0)))</f>
        <v>n/a</v>
      </c>
      <c r="DD158" s="315" t="str">
        <f>IF(INDEX(tab_MinKomp[Pisanie programów / Programme schreiben],MATCH($B157,tab_MinKomp[[Stanowisko / Position ]:[Stanowisko / Position ]],0))="n/a","n/a",DD157-INDEX(tab_MinKomp[Pisanie programów / Programme schreiben],MATCH($B157,tab_MinKomp[[Stanowisko / Position ]:[Stanowisko / Position ]],0)))</f>
        <v>n/a</v>
      </c>
      <c r="DE158" s="315" t="str">
        <f>IF(INDEX(tab_MinKomp[Obsługa wyposażenia do testów czystości (myjka + analizator) / Betrieb von Sauberkeitsprüfgeräten (Waschmaschine + Analysegerät)],MATCH($B157,tab_MinKomp[[Stanowisko / Position ]:[Stanowisko / Position ]],0))="n/a","n/a",DE157-INDEX(tab_MinKomp[Obsługa wyposażenia do testów czystości (myjka + analizator) / Betrieb von Sauberkeitsprüfgeräten (Waschmaschine + Analysegerät)],MATCH($B157,tab_MinKomp[[Stanowisko / Position ]:[Stanowisko / Position ]],0)))</f>
        <v>n/a</v>
      </c>
      <c r="DF158" s="315" t="str">
        <f>IF(INDEX(tab_MinKomp[Testy czystości / Reinheitstests],MATCH($B157,tab_MinKomp[[Stanowisko / Position ]:[Stanowisko / Position ]],0))="n/a","n/a",DF157-INDEX(tab_MinKomp[Testy czystości / Reinheitstests],MATCH($B157,tab_MinKomp[[Stanowisko / Position ]:[Stanowisko / Position ]],0)))</f>
        <v>n/a</v>
      </c>
      <c r="DG158" s="315" t="str">
        <f>IF(INDEX(tab_MinKomp[Obsługa wysokościomierza / Unterstützung für Höhenmesser],MATCH($B157,tab_MinKomp[[Stanowisko / Position ]:[Stanowisko / Position ]],0))="n/a","n/a",DG157-INDEX(tab_MinKomp[Obsługa wysokościomierza / Unterstützung für Höhenmesser],MATCH($B157,tab_MinKomp[[Stanowisko / Position ]:[Stanowisko / Position ]],0)))</f>
        <v>n/a</v>
      </c>
      <c r="DH158" s="315" t="str">
        <f>IF(INDEX(tab_MinKomp[Pomiary wysokości materiału / Materialhöhenmessungen],MATCH($B157,tab_MinKomp[[Stanowisko / Position ]:[Stanowisko / Position ]],0))="n/a","n/a",DH157-INDEX(tab_MinKomp[Pomiary wysokości materiału / Materialhöhenmessungen],MATCH($B157,tab_MinKomp[[Stanowisko / Position ]:[Stanowisko / Position ]],0)))</f>
        <v>n/a</v>
      </c>
      <c r="DI158" s="315" t="str">
        <f>IF(INDEX(tab_MinKomp[Obsługa okrągłościomierza / Unterstützung für Rundheitsmessgeräte],MATCH($B157,tab_MinKomp[[Stanowisko / Position ]:[Stanowisko / Position ]],0))="n/a","n/a",DI157-INDEX(tab_MinKomp[Obsługa okrągłościomierza / Unterstützung für Rundheitsmessgeräte],MATCH($B157,tab_MinKomp[[Stanowisko / Position ]:[Stanowisko / Position ]],0)))</f>
        <v>n/a</v>
      </c>
      <c r="DJ158" s="315" t="str">
        <f>IF(INDEX(tab_MinKomp[Wykonywania pomiarów owalności, srednicy materiału / Messung der Ovalität und des Durchmessers des Materials],MATCH($B157,tab_MinKomp[[Stanowisko / Position ]:[Stanowisko / Position ]],0))="n/a","n/a",DJ157-INDEX(tab_MinKomp[Wykonywania pomiarów owalności, srednicy materiału / Messung der Ovalität und des Durchmessers des Materials],MATCH($B157,tab_MinKomp[[Stanowisko / Position ]:[Stanowisko / Position ]],0)))</f>
        <v>n/a</v>
      </c>
      <c r="DK158" s="315" t="str">
        <f>IF(INDEX(tab_MinKomp[Obsługa urządzenia do pomiarów chropowoatości powierzchni materiału],MATCH($B157,tab_MinKomp[[Stanowisko / Position ]:[Stanowisko / Position ]],0))="n/a","n/a",DK157-INDEX(tab_MinKomp[Obsługa urządzenia do pomiarów chropowoatości powierzchni materiału],MATCH($B157,tab_MinKomp[[Stanowisko / Position ]:[Stanowisko / Position ]],0)))</f>
        <v>n/a</v>
      </c>
      <c r="DL158" s="315" t="str">
        <f>IF(INDEX(tab_MinKomp[Wykonywanie pomiarów chropowatości powierzchni materiału / Durchführung von Messungen der Materialoberflächenrauheit],MATCH($B157,tab_MinKomp[[Stanowisko / Position ]:[Stanowisko / Position ]],0))="n/a","n/a",DL157-INDEX(tab_MinKomp[Wykonywanie pomiarów chropowatości powierzchni materiału / Durchführung von Messungen der Materialoberflächenrauheit],MATCH($B157,tab_MinKomp[[Stanowisko / Position ]:[Stanowisko / Position ]],0)))</f>
        <v>n/a</v>
      </c>
      <c r="DM158" s="315" t="str">
        <f>IF(INDEX(tab_MinKomp[Obsługa urządzenia do pomiaru siły radialnej części - postępowanie z trzpieniami. / Funktionsweise des Geräts zur Messung der Radialkraft von Teilen – Handhabungsstifte.],MATCH($B157,tab_MinKomp[[Stanowisko / Position ]:[Stanowisko / Position ]],0))="n/a","n/a",DM157-INDEX(tab_MinKomp[Obsługa urządzenia do pomiaru siły radialnej części - postępowanie z trzpieniami. / Funktionsweise des Geräts zur Messung der Radialkraft von Teilen – Handhabungsstifte.],MATCH($B157,tab_MinKomp[[Stanowisko / Position ]:[Stanowisko / Position ]],0)))</f>
        <v>n/a</v>
      </c>
      <c r="DN158" s="315" t="str">
        <f>IF(INDEX(tab_MinKomp[Wykonywanie pomiarów siły radialnej części / Führen Sie Radialkraftmessungen an Teilen durch],MATCH($B157,tab_MinKomp[[Stanowisko / Position ]:[Stanowisko / Position ]],0))="n/a","n/a",DN157-INDEX(tab_MinKomp[Wykonywanie pomiarów siły radialnej części / Führen Sie Radialkraftmessungen an Teilen durch],MATCH($B157,tab_MinKomp[[Stanowisko / Position ]:[Stanowisko / Position ]],0)))</f>
        <v>n/a</v>
      </c>
      <c r="DO158" s="315" t="str">
        <f>IF(INDEX(tab_MinKomp[Obsługa komory do testów wybuchwych / Betrieb einer Explosionsprüfkammer],MATCH($B157,tab_MinKomp[[Stanowisko / Position ]:[Stanowisko / Position ]],0))="n/a","n/a",DO157-INDEX(tab_MinKomp[Obsługa komory do testów wybuchwych / Betrieb einer Explosionsprüfkammer],MATCH($B157,tab_MinKomp[[Stanowisko / Position ]:[Stanowisko / Position ]],0)))</f>
        <v>n/a</v>
      </c>
      <c r="DP158" s="315" t="str">
        <f>IF(INDEX(tab_MinKomp[Wykonywanie testów wybuchowych części / Durchführung von Explosionstests an Teilen],MATCH($B157,tab_MinKomp[[Stanowisko / Position ]:[Stanowisko / Position ]],0))="n/a","n/a",DP157-INDEX(tab_MinKomp[Wykonywanie testów wybuchowych części / Durchführung von Explosionstests an Teilen],MATCH($B157,tab_MinKomp[[Stanowisko / Position ]:[Stanowisko / Position ]],0)))</f>
        <v>n/a</v>
      </c>
      <c r="DQ158" s="315" t="str">
        <f>IF(INDEX(tab_MinKomp[Obsługa urządzeń do mierzenia siły trzymania i/lub rozciągania / Betrieb von Geräten zur Messung der Halte- und/oder Dehnkraft],MATCH($B157,tab_MinKomp[[Stanowisko / Position ]:[Stanowisko / Position ]],0))="n/a","n/a",DQ157-INDEX(tab_MinKomp[Obsługa urządzeń do mierzenia siły trzymania i/lub rozciągania / Betrieb von Geräten zur Messung der Halte- und/oder Dehnkraft],MATCH($B157,tab_MinKomp[[Stanowisko / Position ]:[Stanowisko / Position ]],0)))</f>
        <v>n/a</v>
      </c>
      <c r="DR158" s="315" t="str">
        <f>IF(INDEX(tab_MinKomp[Wykonywanie testów mierzenia siły trzymania i/lub rozciągania / Durchführung von Tests zur Messung der Halte- und/oder Streckkraft],MATCH($B157,tab_MinKomp[[Stanowisko / Position ]:[Stanowisko / Position ]],0))="n/a","n/a",DR157-INDEX(tab_MinKomp[Wykonywanie testów mierzenia siły trzymania i/lub rozciągania / Durchführung von Tests zur Messung der Halte- und/oder Streckkraft],MATCH($B157,tab_MinKomp[[Stanowisko / Position ]:[Stanowisko / Position ]],0)))</f>
        <v>n/a</v>
      </c>
      <c r="DS158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Luftstrom)],MATCH($B157,tab_MinKomp[[Stanowisko / Position ]:[Stanowisko / Position ]],0))="n/a","n/a",DS157-INDEX(tab_MinKomp[Obsługa multimetru do pomiarów środowiskowych (temperatura, wilgotność, hałas, oświetlenie, przepływ powietrza) / Betrieb eines Multimeters für Umweltmessungen (Temperatur, Luftfeuchtigkeit, Lärm, Beleuchtung, Luftstrom)],MATCH($B157,tab_MinKomp[[Stanowisko / Position ]:[Stanowisko / Position ]],0)))</f>
        <v>n/a</v>
      </c>
      <c r="DT158" s="315" t="str">
        <f>IF(INDEX(tab_MinKomp[Kontrola warunków środowiskowych pracy (temperatura, wilgotność, hałas, oświetlenie, przepływ powietrza) / Kontrolle der Arbeitsumgebungsbedingungen (Temperatur, Luftfeuchtigkeit, Lärm, Beleuchtung, Luftstrom)],MATCH($B157,tab_MinKomp[[Stanowisko / Position ]:[Stanowisko / Position ]],0))="n/a","n/a",DT157-INDEX(tab_MinKomp[Kontrola warunków środowiskowych pracy (temperatura, wilgotność, hałas, oświetlenie, przepływ powietrza) / Kontrolle der Arbeitsumgebungsbedingungen (Temperatur, Luftfeuchtigkeit, Lärm, Beleuchtung, Luftstrom)],MATCH($B157,tab_MinKomp[[Stanowisko / Position ]:[Stanowisko / Position ]],0)))</f>
        <v>n/a</v>
      </c>
      <c r="DU158" s="315" t="str">
        <f>IF(INDEX(tab_MinKomp[MSA i SPC],MATCH($B157,tab_MinKomp[[Stanowisko / Position ]:[Stanowisko / Position ]],0))="n/a","n/a",DU157-INDEX(tab_MinKomp[MSA i SPC],MATCH($B157,tab_MinKomp[[Stanowisko / Position ]:[Stanowisko / Position ]],0)))</f>
        <v>n/a</v>
      </c>
      <c r="DV158" s="315" t="str">
        <f>IF(INDEX(tab_MinKomp[Kontrola wejściowa komponentów/ Eingangskontrolle],MATCH($B157,tab_MinKomp[[Stanowisko / Position ]:[Stanowisko / Position ]],0))="n/a","n/a",DV157-INDEX(tab_MinKomp[Kontrola wejściowa komponentów/ Eingangskontrolle],MATCH($B157,tab_MinKomp[[Stanowisko / Position ]:[Stanowisko / Position ]],0)))</f>
        <v>n/a</v>
      </c>
      <c r="DW158" s="315" t="str">
        <f>IF(INDEX(tab_MinKomp[Kontrola wyjściowa produktu / Ausgangskontrolle],MATCH($B157,tab_MinKomp[[Stanowisko / Position ]:[Stanowisko / Position ]],0))="n/a","n/a",DW157-INDEX(tab_MinKomp[Kontrola wyjściowa produktu / Ausgangskontrolle],MATCH($B157,tab_MinKomp[[Stanowisko / Position ]:[Stanowisko / Position ]],0)))</f>
        <v>n/a</v>
      </c>
      <c r="DX158" s="315" t="str">
        <f>IF(INDEX(tab_MinKomp[Kontrola codzienna produkcji / Tägliche Produktionskontrolle],MATCH($B157,tab_MinKomp[[Stanowisko / Position ]:[Stanowisko / Position ]],0))="n/a","n/a",DX157-INDEX(tab_MinKomp[Kontrola codzienna produkcji / Tägliche Produktionskontrolle],MATCH($B157,tab_MinKomp[[Stanowisko / Position ]:[Stanowisko / Position ]],0)))</f>
        <v>n/a</v>
      </c>
      <c r="DY158" s="315" t="str">
        <f>IF(INDEX(tab_MinKomp[Konserwacja Rep],MATCH($B157,tab_MinKomp[[Stanowisko / Position ]:[Stanowisko / Position ]],0))="n/a","n/a",DY157-INDEX(tab_MinKomp[Konserwacja Rep],MATCH($B157,tab_MinKomp[[Stanowisko / Position ]:[Stanowisko / Position ]],0)))</f>
        <v>n/a</v>
      </c>
      <c r="DZ158" s="315" t="str">
        <f>IF(INDEX(tab_MinKomp[[Konserwacja Engel ]],MATCH($B157,tab_MinKomp[[Stanowisko / Position ]:[Stanowisko / Position ]],0))="n/a","n/a",DZ157-INDEX(tab_MinKomp[[Konserwacja Engel ]],MATCH($B157,tab_MinKomp[[Stanowisko / Position ]:[Stanowisko / Position ]],0)))</f>
        <v>n/a</v>
      </c>
      <c r="EA158" s="315" t="str">
        <f>IF(INDEX(tab_MinKomp[Konserwacja B 50],MATCH($B157,tab_MinKomp[[Stanowisko / Position ]:[Stanowisko / Position ]],0))="n/a","n/a",EA157-INDEX(tab_MinKomp[Konserwacja B 50],MATCH($B157,tab_MinKomp[[Stanowisko / Position ]:[Stanowisko / Position ]],0)))</f>
        <v>n/a</v>
      </c>
      <c r="EB158" s="315" t="str">
        <f>IF(INDEX(tab_MinKomp[[Konserwacja EOL ]],MATCH($B157,tab_MinKomp[[Stanowisko / Position ]:[Stanowisko / Position ]],0))="n/a","n/a",EB157-INDEX(tab_MinKomp[[Konserwacja EOL ]],MATCH($B157,tab_MinKomp[[Stanowisko / Position ]:[Stanowisko / Position ]],0)))</f>
        <v>n/a</v>
      </c>
      <c r="EC158" s="315" t="str">
        <f>IF(INDEX(tab_MinKomp[Konserwacja Branson],MATCH($B157,tab_MinKomp[[Stanowisko / Position ]:[Stanowisko / Position ]],0))="n/a","n/a",EC157-INDEX(tab_MinKomp[Konserwacja Branson],MATCH($B157,tab_MinKomp[[Stanowisko / Position ]:[Stanowisko / Position ]],0)))</f>
        <v>n/a</v>
      </c>
      <c r="ED158" s="315" t="str">
        <f>IF(INDEX(tab_MinKomp[Konserwacja coolery],MATCH($B157,tab_MinKomp[[Stanowisko / Position ]:[Stanowisko / Position ]],0))="n/a","n/a",ED157-INDEX(tab_MinKomp[Konserwacja coolery],MATCH($B157,tab_MinKomp[[Stanowisko / Position ]:[Stanowisko / Position ]],0)))</f>
        <v>n/a</v>
      </c>
      <c r="EE158" s="315" t="str">
        <f>IF(INDEX(tab_MinKomp[Konserwacja piecy],MATCH($B157,tab_MinKomp[[Stanowisko / Position ]:[Stanowisko / Position ]],0))="n/a","n/a",EE157-INDEX(tab_MinKomp[Konserwacja piecy],MATCH($B157,tab_MinKomp[[Stanowisko / Position ]:[Stanowisko / Position ]],0)))</f>
        <v>n/a</v>
      </c>
      <c r="EF158" s="315" t="str">
        <f>IF(INDEX(tab_MinKomp[Rysunek techniczny- czytanie],MATCH($B157,tab_MinKomp[[Stanowisko / Position ]:[Stanowisko / Position ]],0))="n/a","n/a",EF157-INDEX(tab_MinKomp[Rysunek techniczny- czytanie],MATCH($B157,tab_MinKomp[[Stanowisko / Position ]:[Stanowisko / Position ]],0)))</f>
        <v>n/a</v>
      </c>
      <c r="EG158" s="315" t="str">
        <f>IF(INDEX(tab_MinKomp[Elektryka],MATCH($B157,tab_MinKomp[[Stanowisko / Position ]:[Stanowisko / Position ]],0))="n/a","n/a",EG157-INDEX(tab_MinKomp[Elektryka],MATCH($B157,tab_MinKomp[[Stanowisko / Position ]:[Stanowisko / Position ]],0)))</f>
        <v>n/a</v>
      </c>
      <c r="EH158" s="315" t="str">
        <f>IF(INDEX(tab_MinKomp[Pneumatyka],MATCH($B157,tab_MinKomp[[Stanowisko / Position ]:[Stanowisko / Position ]],0))="n/a","n/a",EH157-INDEX(tab_MinKomp[Pneumatyka],MATCH($B157,tab_MinKomp[[Stanowisko / Position ]:[Stanowisko / Position ]],0)))</f>
        <v>n/a</v>
      </c>
      <c r="EI158" s="315" t="str">
        <f>IF(INDEX(tab_MinKomp[[Hydraulika ]],MATCH($B157,tab_MinKomp[[Stanowisko / Position ]:[Stanowisko / Position ]],0))="n/a","n/a",EI157-INDEX(tab_MinKomp[[Hydraulika ]],MATCH($B157,tab_MinKomp[[Stanowisko / Position ]:[Stanowisko / Position ]],0)))</f>
        <v>n/a</v>
      </c>
      <c r="EJ158" s="315" t="str">
        <f>IF(INDEX(tab_MinKomp[Podciśnienie],MATCH($B157,tab_MinKomp[[Stanowisko / Position ]:[Stanowisko / Position ]],0))="n/a","n/a",EJ157-INDEX(tab_MinKomp[Podciśnienie],MATCH($B157,tab_MinKomp[[Stanowisko / Position ]:[Stanowisko / Position ]],0)))</f>
        <v>n/a</v>
      </c>
      <c r="EK158" s="315" t="str">
        <f>IF(INDEX(tab_MinKomp[Usuwanie awarii],MATCH($B157,tab_MinKomp[[Stanowisko / Position ]:[Stanowisko / Position ]],0))="n/a","n/a",EK157-INDEX(tab_MinKomp[Usuwanie awarii],MATCH($B157,tab_MinKomp[[Stanowisko / Position ]:[Stanowisko / Position ]],0)))</f>
        <v>n/a</v>
      </c>
      <c r="EL158" s="315" t="str">
        <f>IF(INDEX(tab_MinKomp[Obsługa robotów],MATCH($B157,tab_MinKomp[[Stanowisko / Position ]:[Stanowisko / Position ]],0))="n/a","n/a",EL157-INDEX(tab_MinKomp[Obsługa robotów],MATCH($B157,tab_MinKomp[[Stanowisko / Position ]:[Stanowisko / Position ]],0)))</f>
        <v>n/a</v>
      </c>
      <c r="EM158" s="315" t="str">
        <f>IF(INDEX(tab_MinKomp[Obsługa sterowania maszyny],MATCH($B157,tab_MinKomp[[Stanowisko / Position ]:[Stanowisko / Position ]],0))="n/a","n/a",EM157-INDEX(tab_MinKomp[Obsługa sterowania maszyny],MATCH($B157,tab_MinKomp[[Stanowisko / Position ]:[Stanowisko / Position ]],0)))</f>
        <v>n/a</v>
      </c>
      <c r="EN158" s="315" t="str">
        <f>IF(INDEX(tab_MinKomp[Usuwanie przyczyn żródłowych],MATCH($B157,tab_MinKomp[[Stanowisko / Position ]:[Stanowisko / Position ]],0))="n/a","n/a",EN157-INDEX(tab_MinKomp[Usuwanie przyczyn żródłowych],MATCH($B157,tab_MinKomp[[Stanowisko / Position ]:[Stanowisko / Position ]],0)))</f>
        <v>n/a</v>
      </c>
      <c r="EO158" s="315" t="str">
        <f>IF(INDEX(tab_MinKomp[Cmms stosowanie],MATCH($B157,tab_MinKomp[[Stanowisko / Position ]:[Stanowisko / Position ]],0))="n/a","n/a",EO157-INDEX(tab_MinKomp[Cmms stosowanie],MATCH($B157,tab_MinKomp[[Stanowisko / Position ]:[Stanowisko / Position ]],0)))</f>
        <v>n/a</v>
      </c>
      <c r="EP158" s="315" t="str">
        <f>IF(INDEX(tab_MinKomp[[Czyszczenie form gumowych ]],MATCH($B157,tab_MinKomp[[Stanowisko / Position ]:[Stanowisko / Position ]],0))="n/a","n/a",EP157-INDEX(tab_MinKomp[[Czyszczenie form gumowych ]],MATCH($B157,tab_MinKomp[[Stanowisko / Position ]:[Stanowisko / Position ]],0)))</f>
        <v>n/a</v>
      </c>
      <c r="EQ158" s="315" t="str">
        <f>IF(INDEX(tab_MinKomp[Czyszczenie form plastikowych],MATCH($B157,tab_MinKomp[[Stanowisko / Position ]:[Stanowisko / Position ]],0))="n/a","n/a",EQ157-INDEX(tab_MinKomp[Czyszczenie form plastikowych],MATCH($B157,tab_MinKomp[[Stanowisko / Position ]:[Stanowisko / Position ]],0)))</f>
        <v>n/a</v>
      </c>
      <c r="ER158" s="315" t="str">
        <f>IF(INDEX(tab_MinKomp[Wymiana form plastik],MATCH($B157,tab_MinKomp[[Stanowisko / Position ]:[Stanowisko / Position ]],0))="n/a","n/a",ER157-INDEX(tab_MinKomp[Wymiana form plastik],MATCH($B157,tab_MinKomp[[Stanowisko / Position ]:[Stanowisko / Position ]],0)))</f>
        <v>n/a</v>
      </c>
      <c r="ES158" s="315" t="str">
        <f>IF(INDEX(tab_MinKomp[Wymiana form guma],MATCH($B157,tab_MinKomp[[Stanowisko / Position ]:[Stanowisko / Position ]],0))="n/a","n/a",ES157-INDEX(tab_MinKomp[Wymiana form guma],MATCH($B157,tab_MinKomp[[Stanowisko / Position ]:[Stanowisko / Position ]],0)))</f>
        <v>n/a</v>
      </c>
      <c r="ET158" s="315" t="str">
        <f>IF(INDEX(tab_MinKomp[Konserwacja KK],MATCH($B157,tab_MinKomp[[Stanowisko / Position ]:[Stanowisko / Position ]],0))="n/a","n/a",ET157-INDEX(tab_MinKomp[Konserwacja KK],MATCH($B157,tab_MinKomp[[Stanowisko / Position ]:[Stanowisko / Position ]],0)))</f>
        <v>n/a</v>
      </c>
      <c r="EU158" s="315" t="str">
        <f>IF(INDEX(tab_MinKomp[Konserwacja form guma],MATCH($B157,tab_MinKomp[[Stanowisko / Position ]:[Stanowisko / Position ]],0))="n/a","n/a",EU157-INDEX(tab_MinKomp[Konserwacja form guma],MATCH($B157,tab_MinKomp[[Stanowisko / Position ]:[Stanowisko / Position ]],0)))</f>
        <v>n/a</v>
      </c>
      <c r="EV158" s="315" t="str">
        <f>IF(INDEX(tab_MinKomp[Konserwacja form plastiki],MATCH($B157,tab_MinKomp[[Stanowisko / Position ]:[Stanowisko / Position ]],0))="n/a","n/a",EV157-INDEX(tab_MinKomp[Konserwacja form plastiki],MATCH($B157,tab_MinKomp[[Stanowisko / Position ]:[Stanowisko / Position ]],0)))</f>
        <v>n/a</v>
      </c>
      <c r="EW158" s="330" t="str">
        <f>IF(INDEX(tab_MinKomp[Konserwacja form plastiki],MATCH($B157,tab_MinKomp[[Stanowisko / Position ]:[Stanowisko / Position ]],0))="n/a","n/a",EW157-INDEX(tab_MinKomp[Konserwacja form plastiki],MATCH($B157,tab_MinKomp[[Stanowisko / Position ]:[Stanowisko / Position ]],0)))</f>
        <v>n/a</v>
      </c>
      <c r="EX158" s="315" t="str">
        <f>IF(INDEX(tab_MinKomp[Konserwacja Gorącego Kanału],MATCH($B157,tab_MinKomp[[Stanowisko / Position ]:[Stanowisko / Position ]],0))="n/a","n/a",EX157-INDEX(tab_MinKomp[Konserwacja Gorącego Kanału],MATCH($B157,tab_MinKomp[[Stanowisko / Position ]:[Stanowisko / Position ]],0)))</f>
        <v>n/a</v>
      </c>
      <c r="EY158" s="315">
        <f>IF(INDEX(tab_MinKomp[MS Office (Excel)],MATCH($B157,tab_MinKomp[[Stanowisko / Position ]:[Stanowisko / Position ]],0))="n/a","n/a",EY157-INDEX(tab_MinKomp[MS Office (Excel)],MATCH($B157,tab_MinKomp[[Stanowisko / Position ]:[Stanowisko / Position ]],0)))</f>
        <v>0</v>
      </c>
      <c r="EZ158" s="315">
        <f>IF(INDEX(tab_MinKomp[MS Office (Word)],MATCH($B157,tab_MinKomp[[Stanowisko / Position ]:[Stanowisko / Position ]],0))="n/a","n/a",EZ157-INDEX(tab_MinKomp[MS Office (Word)],MATCH($B157,tab_MinKomp[[Stanowisko / Position ]:[Stanowisko / Position ]],0)))</f>
        <v>0</v>
      </c>
      <c r="FA158" s="315">
        <f>IF(INDEX(tab_MinKomp[MS Office (Power Point)],MATCH($B157,tab_MinKomp[[Stanowisko / Position ]:[Stanowisko / Position ]],0))="n/a","n/a",FA157-INDEX(tab_MinKomp[MS Office (Power Point)],MATCH($B157,tab_MinKomp[[Stanowisko / Position ]:[Stanowisko / Position ]],0)))</f>
        <v>0</v>
      </c>
      <c r="FB158" s="315">
        <f>IF(INDEX(tab_MinKomp[Język angielski / Englisch],MATCH($B157,tab_MinKomp[[Stanowisko / Position ]:[Stanowisko / Position ]],0))="n/a","n/a",FB157-INDEX(tab_MinKomp[Język angielski / Englisch],MATCH($B157,tab_MinKomp[[Stanowisko / Position ]:[Stanowisko / Position ]],0)))</f>
        <v>0</v>
      </c>
      <c r="FC158" s="315" t="str">
        <f>IF(INDEX(tab_MinKomp[Język niemiecki / Deutsch],MATCH($B157,tab_MinKomp[[Stanowisko / Position ]:[Stanowisko / Position ]],0))="n/a","n/a",FC157-INDEX(tab_MinKomp[Język niemiecki / Deutsch],MATCH($B157,tab_MinKomp[[Stanowisko / Position ]:[Stanowisko / Position ]],0)))</f>
        <v>n/a</v>
      </c>
      <c r="FD158" s="315">
        <f>IF(INDEX(tab_MinKomp[Zarządzanie dokumentacją procesową / Process dokumentation management],MATCH($B157,tab_MinKomp[[Stanowisko / Position ]:[Stanowisko / Position ]],0))="n/a","n/a",FD157-INDEX(tab_MinKomp[Zarządzanie dokumentacją procesową / Process dokumentation management],MATCH($B157,tab_MinKomp[[Stanowisko / Position ]:[Stanowisko / Position ]],0)))</f>
        <v>-1</v>
      </c>
      <c r="FE158" s="315">
        <f>IF(INDEX(tab_MinKomp[Znajomość procesów z obszaru / Kenntiss der prozesse in dem Bereich],MATCH($B157,tab_MinKomp[[Stanowisko / Position ]:[Stanowisko / Position ]],0))="n/a","n/a",FE157-INDEX(tab_MinKomp[Znajomość procesów z obszaru / Kenntiss der prozesse in dem Bereich],MATCH($B157,tab_MinKomp[[Stanowisko / Position ]:[Stanowisko / Position ]],0)))</f>
        <v>0</v>
      </c>
      <c r="FF158" s="315">
        <f>IF(INDEX(tab_MinKomp[optymalizacja procesów / Prozessoptymalisierung],MATCH($B157,tab_MinKomp[[Stanowisko / Position ]:[Stanowisko / Position ]],0))="n/a","n/a",FF157-INDEX(tab_MinKomp[optymalizacja procesów / Prozessoptymalisierung],MATCH($B157,tab_MinKomp[[Stanowisko / Position ]:[Stanowisko / Position ]],0)))</f>
        <v>-1</v>
      </c>
      <c r="FG158" s="315">
        <f>IF(INDEX(tab_MinKomp[Umiejętności szkoleniowe / Trainingsfähigkeiten],MATCH($B157,tab_MinKomp[[Stanowisko / Position ]:[Stanowisko / Position ]],0))="n/a","n/a",FG157-INDEX(tab_MinKomp[Umiejętności szkoleniowe / Trainingsfähigkeiten],MATCH($B157,tab_MinKomp[[Stanowisko / Position ]:[Stanowisko / Position ]],0)))</f>
        <v>0</v>
      </c>
      <c r="FH158" s="315">
        <f>IF(INDEX(tab_MinKomp[Analityczne myślenie, podejście / Analitysches Denken, Einstellung],MATCH($B157,tab_MinKomp[[Stanowisko / Position ]:[Stanowisko / Position ]],0))="n/a","n/a",FH157-INDEX(tab_MinKomp[Analityczne myślenie, podejście / Analitysches Denken, Einstellung],MATCH($B157,tab_MinKomp[[Stanowisko / Position ]:[Stanowisko / Position ]],0)))</f>
        <v>0</v>
      </c>
      <c r="FI158" s="315">
        <f>IF(INDEX(tab_MinKomp[Dokładność, precyzja w dzialaniu / Genauigkeit, Präzision in die Arbeit],MATCH($B157,tab_MinKomp[[Stanowisko / Position ]:[Stanowisko / Position ]],0))="n/a","n/a",FI157-INDEX(tab_MinKomp[Dokładność, precyzja w dzialaniu / Genauigkeit, Präzision in die Arbeit],MATCH($B157,tab_MinKomp[[Stanowisko / Position ]:[Stanowisko / Position ]],0)))</f>
        <v>0</v>
      </c>
      <c r="FJ158" s="315">
        <f>IF(INDEX(tab_MinKomp[Dyspozycyjność / Verfügbarkeit],MATCH($B157,tab_MinKomp[[Stanowisko / Position ]:[Stanowisko / Position ]],0))="n/a","n/a",FJ157-INDEX(tab_MinKomp[Dyspozycyjność / Verfügbarkeit],MATCH($B157,tab_MinKomp[[Stanowisko / Position ]:[Stanowisko / Position ]],0)))</f>
        <v>0</v>
      </c>
      <c r="FK158" s="315">
        <f>IF(INDEX(tab_MinKomp[Zaangażowanie / 
Engagement],MATCH($B157,tab_MinKomp[[Stanowisko / Position ]:[Stanowisko / Position ]],0))="n/a","n/a",FK157-INDEX(tab_MinKomp[Zaangażowanie / 
Engagement],MATCH($B157,tab_MinKomp[[Stanowisko / Position ]:[Stanowisko / Position ]],0)))</f>
        <v>0</v>
      </c>
      <c r="FL158" s="315">
        <f>IF(INDEX(tab_MinKomp[Planowanie strategiczne / Strategische Planung],MATCH($B157,tab_MinKomp[[Stanowisko / Position ]:[Stanowisko / Position ]],0))="n/a","n/a",FL157-INDEX(tab_MinKomp[Planowanie strategiczne / Strategische Planung],MATCH($B157,tab_MinKomp[[Stanowisko / Position ]:[Stanowisko / Position ]],0)))</f>
        <v>0</v>
      </c>
      <c r="FM158" s="315">
        <f>IF(INDEX(tab_MinKomp[Konsekwentne i dynamiczne działanie],MATCH($B157,tab_MinKomp[[Stanowisko / Position ]:[Stanowisko / Position ]],0))="n/a","n/a",FM157-INDEX(tab_MinKomp[Konsekwentne i dynamiczne działanie],MATCH($B157,tab_MinKomp[[Stanowisko / Position ]:[Stanowisko / Position ]],0)))</f>
        <v>1</v>
      </c>
      <c r="FN158" s="315">
        <f>IF(INDEX(tab_MinKomp[Elastyczność w działaniu],MATCH($B157,tab_MinKomp[[Stanowisko / Position ]:[Stanowisko / Position ]],0))="n/a","n/a",FN157-INDEX(tab_MinKomp[Elastyczność w działaniu],MATCH($B157,tab_MinKomp[[Stanowisko / Position ]:[Stanowisko / Position ]],0)))</f>
        <v>0</v>
      </c>
      <c r="FO158" s="315">
        <f>IF(INDEX(tab_MinKomp[Komunikatywność],MATCH($B157,tab_MinKomp[[Stanowisko / Position ]:[Stanowisko / Position ]],0))="n/a","n/a",FO157-INDEX(tab_MinKomp[Komunikatywność],MATCH($B157,tab_MinKomp[[Stanowisko / Position ]:[Stanowisko / Position ]],0)))</f>
        <v>0</v>
      </c>
      <c r="FP158" s="314">
        <f>IF(INDEX(tab_MinKomp[Motywowanie i budowanie zaangażowania zespołu],MATCH($B157,tab_MinKomp[[Stanowisko / Position ]:[Stanowisko / Position ]],0))="n/a","n/a",FP157-INDEX(tab_MinKomp[Motywowanie i budowanie zaangażowania zespołu],MATCH($B157,tab_MinKomp[[Stanowisko / Position ]:[Stanowisko / Position ]],0)))</f>
        <v>0</v>
      </c>
      <c r="FQ158" s="318" t="str">
        <f>IFERROR(IF(INDEX(tab_MinKomp[BRAK / Keine],MATCH($B157,tab_MinKomp[[Stanowisko / Position ]:[Stanowisko / Position ]],0))="n/a","n/a",INDEX(tab_MinKomp[BRAK / Keine],MATCH($B157,tab_MinKomp[[Stanowisko / Position ]:[Stanowisko / Position ]],0))-FQ157),"")</f>
        <v>n/a</v>
      </c>
      <c r="FR158" s="315" t="str">
        <f>IF(INDEX(tab_MinKomp[MINIMUM 1 ROK / min. 1 Jahr],MATCH($B157,tab_MinKomp[[Stanowisko / Position ]:[Stanowisko / Position ]],0))="n/a","n/a",INDEX(tab_MinKomp[MINIMUM 1 ROK / min. 1 Jahr],MATCH($B157,tab_MinKomp[[Stanowisko / Position ]:[Stanowisko / Position ]],0)))</f>
        <v>n/a</v>
      </c>
      <c r="FS158" s="315" t="str">
        <f>IF(INDEX(tab_MinKomp[MINIMUM 2 LATA / min. 2 Jahre],MATCH($B157,tab_MinKomp[[Stanowisko / Position ]:[Stanowisko / Position ]],0))="n/a","n/a",INDEX(tab_MinKomp[MINIMUM 2 LATA / min. 2 Jahre],MATCH($B157,tab_MinKomp[[Stanowisko / Position ]:[Stanowisko / Position ]],0)))</f>
        <v>X</v>
      </c>
      <c r="FT158" s="315" t="str">
        <f>IF(INDEX(tab_MinKomp[MINIMUM 3 LATA / min. 3 Jahre],MATCH($B157,tab_MinKomp[[Stanowisko / Position ]:[Stanowisko / Position ]],0))="n/a","n/a",INDEX(tab_MinKomp[MINIMUM 3 LATA / min. 3 Jahre],MATCH($B157,tab_MinKomp[[Stanowisko / Position ]:[Stanowisko / Position ]],0)))</f>
        <v>n/a</v>
      </c>
      <c r="FU158" s="315" t="str">
        <f>IF(INDEX(tab_MinKomp[MINIMUM 4 LATA / min. 4 Jahre],MATCH($B157,tab_MinKomp[[Stanowisko / Position ]:[Stanowisko / Position ]],0))="n/a","n/a",INDEX(tab_MinKomp[MINIMUM 4 LATA / min. 4 Jahre],MATCH($B157,tab_MinKomp[[Stanowisko / Position ]:[Stanowisko / Position ]],0)))</f>
        <v>n/a</v>
      </c>
      <c r="FV158" s="319" t="str">
        <f>IF(INDEX(tab_MinKomp[MINIMUM 5 LAT / min. 5 Jahre],MATCH($B157,tab_MinKomp[[Stanowisko / Position ]:[Stanowisko / Position ]],0))="n/a","n/a",INDEX(tab_MinKomp[MINIMUM 5 LAT / min. 5 Jahre],MATCH($B157,tab_MinKomp[[Stanowisko / Position ]:[Stanowisko / Position ]],0)))</f>
        <v>n/a</v>
      </c>
      <c r="FW158" s="318" t="str">
        <f>IF(INDEX(tab_MinKomp[BRAK / Keine9],MATCH($B157,tab_MinKomp[[Stanowisko / Position ]:[Stanowisko / Position ]],0))="n/a","n/a",INDEX(tab_MinKomp[BRAK / Keine9],MATCH($B157,tab_MinKomp[[Stanowisko / Position ]:[Stanowisko / Position ]],0)))</f>
        <v>n/a</v>
      </c>
      <c r="FX158" s="315" t="str">
        <f>IF(INDEX(tab_MinKomp[ZAWODOWE / Berufsausbildung],MATCH($B157,tab_MinKomp[[Stanowisko / Position ]:[Stanowisko / Position ]],0))="n/a","n/a",INDEX(tab_MinKomp[ZAWODOWE / Berufsausbildung],MATCH($B157,tab_MinKomp[[Stanowisko / Position ]:[Stanowisko / Position ]],0)))</f>
        <v>n/a</v>
      </c>
      <c r="FY158" s="315" t="str">
        <f>IF(INDEX(tab_MinKomp[ŚREDNIE OGÓLNE / Abitur allgemeine],MATCH($B157,tab_MinKomp[[Stanowisko / Position ]:[Stanowisko / Position ]],0))="n/a","n/a",INDEX(tab_MinKomp[ŚREDNIE OGÓLNE / Abitur allgemeine],MATCH($B157,tab_MinKomp[[Stanowisko / Position ]:[Stanowisko / Position ]],0)))</f>
        <v>n/a</v>
      </c>
      <c r="FZ158" s="315" t="str">
        <f>IF(INDEX(tab_MinKomp[ŚREDNIE KIERUNKOWE / berufliches Gymnasium],MATCH($B157,tab_MinKomp[[Stanowisko / Position ]:[Stanowisko / Position ]],0))="n/a","n/a",INDEX(tab_MinKomp[ŚREDNIE KIERUNKOWE / berufliches Gymnasium],MATCH($B157,tab_MinKomp[[Stanowisko / Position ]:[Stanowisko / Position ]],0)))</f>
        <v>n/a</v>
      </c>
      <c r="GA158" s="315" t="str">
        <f>IF(INDEX(tab_MinKomp[WYŻSZE OGÓLNE / Hochschule allgemeine],MATCH($B157,tab_MinKomp[[Stanowisko / Position ]:[Stanowisko / Position ]],0))="n/a","n/a",INDEX(tab_MinKomp[WYŻSZE OGÓLNE / Hochschule allgemeine],MATCH($B157,tab_MinKomp[[Stanowisko / Position ]:[Stanowisko / Position ]],0)))</f>
        <v>n/a</v>
      </c>
      <c r="GB158" s="319" t="str">
        <f>IF(INDEX(tab_MinKomp[WYŻSZE KIERUNKOWE / Hochschule berufliche],MATCH($B157,tab_MinKomp[[Stanowisko / Position ]:[Stanowisko / Position ]],0))="n/a","n/a",INDEX(tab_MinKomp[WYŻSZE KIERUNKOWE / Hochschule berufliche],MATCH($B157,tab_MinKomp[[Stanowisko / Position ]:[Stanowisko / Position ]],0)))</f>
        <v>X</v>
      </c>
      <c r="GC158" s="318" t="str">
        <f>IF(INDEX(tab_MinKomp[PIERWSZA POMOC / Erste Hilfe],MATCH($B157,tab_MinKomp[[Stanowisko / Position ]:[Stanowisko / Position ]],0))="n/a","n/a",INDEX(tab_MinKomp[PIERWSZA POMOC / Erste Hilfe],MATCH($B157,tab_MinKomp[[Stanowisko / Position ]:[Stanowisko / Position ]],0)))</f>
        <v>X</v>
      </c>
      <c r="GD158" s="315" t="str">
        <f>IF(INDEX(tab_MinKomp[Specjalista BHP / BHP Spezialist],MATCH($B157,tab_MinKomp[[Stanowisko / Position ]:[Stanowisko / Position ]],0))="n/a","n/a",INDEX(tab_MinKomp[Specjalista BHP / BHP Spezialist],MATCH($B157,tab_MinKomp[[Stanowisko / Position ]:[Stanowisko / Position ]],0)))</f>
        <v>X</v>
      </c>
      <c r="GE158" s="315" t="str">
        <f>IF(INDEX(tab_MinKomp[Inspektor ochrony PPOŻ / Brandschutzinspektor],MATCH($B157,tab_MinKomp[[Stanowisko / Position ]:[Stanowisko / Position ]],0))="n/a","n/a",INDEX(tab_MinKomp[Inspektor ochrony PPOŻ / Brandschutzinspektor],MATCH($B157,tab_MinKomp[[Stanowisko / Position ]:[Stanowisko / Position ]],0)))</f>
        <v>X</v>
      </c>
      <c r="GF158" s="315" t="str">
        <f>IF(INDEX(tab_MinKomp[WÓZKI JEZDNIOWE / Gebelstapler],MATCH($B157,tab_MinKomp[[Stanowisko / Position ]:[Stanowisko / Position ]],0))="n/a","n/a",INDEX(tab_MinKomp[WÓZKI JEZDNIOWE / Gebelstapler],MATCH($B157,tab_MinKomp[[Stanowisko / Position ]:[Stanowisko / Position ]],0)))</f>
        <v>n/a</v>
      </c>
      <c r="GG158" s="315" t="str">
        <f>IF(INDEX(tab_MinKomp[SEP],MATCH($B157,tab_MinKomp[[Stanowisko / Position ]:[Stanowisko / Position ]],0))="n/a","n/a",INDEX(tab_MinKomp[SEP],MATCH($B157,tab_MinKomp[[Stanowisko / Position ]:[Stanowisko / Position ]],0)))</f>
        <v>n/a</v>
      </c>
      <c r="GH158" s="315" t="str">
        <f>IF(INDEX(tab_MinKomp[SEP  DOZÓR / SEP Aufsicht],MATCH($B157,tab_MinKomp[[Stanowisko / Position ]:[Stanowisko / Position ]],0))="n/a","n/a",INDEX(tab_MinKomp[SEP  DOZÓR / SEP Aufsicht],MATCH($B157,tab_MinKomp[[Stanowisko / Position ]:[Stanowisko / Position ]],0)))</f>
        <v>n/a</v>
      </c>
      <c r="GI158" s="315" t="str">
        <f>IF(INDEX(tab_MinKomp[PODNOŚNIKI / Hebevorrichtung],MATCH($B157,tab_MinKomp[[Stanowisko / Position ]:[Stanowisko / Position ]],0))="n/a","n/a",INDEX(tab_MinKomp[PODNOŚNIKI / Hebevorrichtung],MATCH($B157,tab_MinKomp[[Stanowisko / Position ]:[Stanowisko / Position ]],0)))</f>
        <v>n/a</v>
      </c>
      <c r="GJ158" s="315" t="str">
        <f>IF(INDEX(tab_MinKomp[SUWNICE / Laufkran],MATCH($B157,tab_MinKomp[[Stanowisko / Position ]:[Stanowisko / Position ]],0))="n/a","n/a",INDEX(tab_MinKomp[SUWNICE / Laufkran],MATCH($B157,tab_MinKomp[[Stanowisko / Position ]:[Stanowisko / Position ]],0)))</f>
        <v>n/a</v>
      </c>
      <c r="GK158" s="319" t="str">
        <f>IF(INDEX(tab_MinKomp[WYSOKOŚCIOWE / Höhenberechtigungen],MATCH($B157,tab_MinKomp[[Stanowisko / Position ]:[Stanowisko / Position ]],0))="n/a","n/a",INDEX(tab_MinKomp[WYSOKOŚCIOWE / Höhenberechtigungen],MATCH($B157,tab_MinKomp[[Stanowisko / Position ]:[Stanowisko / Position ]],0)))</f>
        <v>n/a</v>
      </c>
      <c r="GL158" s="320">
        <f>SUM(G158:FP158)/(GL157-(SUM(G158:FP158)))</f>
        <v>-0.1388888888888889</v>
      </c>
      <c r="GM158" s="132"/>
    </row>
    <row r="159" spans="1:195" s="197" customFormat="1" ht="28.35" customHeight="1" x14ac:dyDescent="0.25">
      <c r="A159" s="135" t="s">
        <v>181</v>
      </c>
      <c r="B159" s="135" t="s">
        <v>252</v>
      </c>
      <c r="C159" s="135" t="s">
        <v>613</v>
      </c>
      <c r="D159" s="135">
        <v>1584</v>
      </c>
      <c r="E159" s="565" t="s">
        <v>635</v>
      </c>
      <c r="F159" s="307" t="s">
        <v>165</v>
      </c>
      <c r="G159" s="308">
        <v>2</v>
      </c>
      <c r="H159" s="308">
        <v>2</v>
      </c>
      <c r="I159" s="308">
        <v>2</v>
      </c>
      <c r="J159" s="308">
        <v>2</v>
      </c>
      <c r="K159" s="308">
        <v>2</v>
      </c>
      <c r="L159" s="308">
        <v>1</v>
      </c>
      <c r="M159" s="308" t="s">
        <v>176</v>
      </c>
      <c r="N159" s="308" t="s">
        <v>176</v>
      </c>
      <c r="O159" s="308">
        <v>1</v>
      </c>
      <c r="P159" s="308">
        <v>1</v>
      </c>
      <c r="Q159" s="308" t="s">
        <v>176</v>
      </c>
      <c r="R159" s="308" t="s">
        <v>176</v>
      </c>
      <c r="S159" s="308" t="s">
        <v>176</v>
      </c>
      <c r="T159" s="308" t="s">
        <v>176</v>
      </c>
      <c r="U159" s="308" t="s">
        <v>176</v>
      </c>
      <c r="V159" s="308" t="s">
        <v>176</v>
      </c>
      <c r="W159" s="308" t="s">
        <v>176</v>
      </c>
      <c r="X159" s="308" t="s">
        <v>176</v>
      </c>
      <c r="Y159" s="308" t="s">
        <v>176</v>
      </c>
      <c r="Z159" s="308" t="s">
        <v>176</v>
      </c>
      <c r="AA159" s="308" t="s">
        <v>176</v>
      </c>
      <c r="AB159" s="308" t="s">
        <v>176</v>
      </c>
      <c r="AC159" s="308" t="s">
        <v>176</v>
      </c>
      <c r="AD159" s="308" t="s">
        <v>176</v>
      </c>
      <c r="AE159" s="308" t="s">
        <v>176</v>
      </c>
      <c r="AF159" s="308" t="s">
        <v>176</v>
      </c>
      <c r="AG159" s="308" t="s">
        <v>176</v>
      </c>
      <c r="AH159" s="308" t="s">
        <v>176</v>
      </c>
      <c r="AI159" s="308" t="s">
        <v>176</v>
      </c>
      <c r="AJ159" s="308" t="s">
        <v>176</v>
      </c>
      <c r="AK159" s="308" t="s">
        <v>176</v>
      </c>
      <c r="AL159" s="308">
        <v>1</v>
      </c>
      <c r="AM159" s="308" t="s">
        <v>176</v>
      </c>
      <c r="AN159" s="308" t="s">
        <v>176</v>
      </c>
      <c r="AO159" s="308" t="s">
        <v>176</v>
      </c>
      <c r="AP159" s="308" t="s">
        <v>176</v>
      </c>
      <c r="AQ159" s="308" t="s">
        <v>176</v>
      </c>
      <c r="AR159" s="308" t="s">
        <v>176</v>
      </c>
      <c r="AS159" s="308" t="s">
        <v>176</v>
      </c>
      <c r="AT159" s="308" t="s">
        <v>176</v>
      </c>
      <c r="AU159" s="308" t="s">
        <v>176</v>
      </c>
      <c r="AV159" s="308">
        <v>1</v>
      </c>
      <c r="AW159" s="308"/>
      <c r="AX159" s="308"/>
      <c r="AY159" s="308" t="s">
        <v>176</v>
      </c>
      <c r="AZ159" s="308" t="s">
        <v>176</v>
      </c>
      <c r="BA159" s="308" t="s">
        <v>176</v>
      </c>
      <c r="BB159" s="308" t="s">
        <v>176</v>
      </c>
      <c r="BC159" s="308" t="s">
        <v>176</v>
      </c>
      <c r="BD159" s="308" t="s">
        <v>176</v>
      </c>
      <c r="BE159" s="308" t="s">
        <v>176</v>
      </c>
      <c r="BF159" s="308" t="s">
        <v>176</v>
      </c>
      <c r="BG159" s="308" t="s">
        <v>176</v>
      </c>
      <c r="BH159" s="308" t="s">
        <v>176</v>
      </c>
      <c r="BI159" s="308" t="s">
        <v>176</v>
      </c>
      <c r="BJ159" s="308" t="s">
        <v>176</v>
      </c>
      <c r="BK159" s="308" t="s">
        <v>176</v>
      </c>
      <c r="BL159" s="308" t="s">
        <v>176</v>
      </c>
      <c r="BM159" s="308" t="s">
        <v>176</v>
      </c>
      <c r="BN159" s="308">
        <v>1</v>
      </c>
      <c r="BO159" s="308">
        <v>1</v>
      </c>
      <c r="BP159" s="308">
        <v>1</v>
      </c>
      <c r="BQ159" s="308">
        <v>1</v>
      </c>
      <c r="BR159" s="308">
        <v>1</v>
      </c>
      <c r="BS159" s="308">
        <v>1</v>
      </c>
      <c r="BT159" s="308">
        <v>1</v>
      </c>
      <c r="BU159" s="308">
        <v>1</v>
      </c>
      <c r="BV159" s="308">
        <v>2</v>
      </c>
      <c r="BW159" s="308" t="s">
        <v>176</v>
      </c>
      <c r="BX159" s="308" t="s">
        <v>176</v>
      </c>
      <c r="BY159" s="308" t="s">
        <v>176</v>
      </c>
      <c r="BZ159" s="308" t="s">
        <v>176</v>
      </c>
      <c r="CA159" s="308" t="s">
        <v>176</v>
      </c>
      <c r="CB159" s="308" t="s">
        <v>176</v>
      </c>
      <c r="CC159" s="308" t="s">
        <v>176</v>
      </c>
      <c r="CD159" s="308" t="s">
        <v>176</v>
      </c>
      <c r="CE159" s="308" t="s">
        <v>176</v>
      </c>
      <c r="CF159" s="308" t="s">
        <v>176</v>
      </c>
      <c r="CG159" s="308" t="s">
        <v>176</v>
      </c>
      <c r="CH159" s="308" t="s">
        <v>176</v>
      </c>
      <c r="CI159" s="308">
        <v>1</v>
      </c>
      <c r="CJ159" s="308" t="s">
        <v>176</v>
      </c>
      <c r="CK159" s="308" t="s">
        <v>176</v>
      </c>
      <c r="CL159" s="308"/>
      <c r="CM159" s="308" t="s">
        <v>176</v>
      </c>
      <c r="CN159" s="308">
        <v>1</v>
      </c>
      <c r="CO159" s="308">
        <v>1</v>
      </c>
      <c r="CP159" s="308">
        <v>1</v>
      </c>
      <c r="CQ159" s="308" t="s">
        <v>176</v>
      </c>
      <c r="CR159" s="308" t="s">
        <v>176</v>
      </c>
      <c r="CS159" s="308" t="s">
        <v>176</v>
      </c>
      <c r="CT159" s="308" t="s">
        <v>176</v>
      </c>
      <c r="CU159" s="308">
        <v>2</v>
      </c>
      <c r="CV159" s="308" t="s">
        <v>176</v>
      </c>
      <c r="CW159" s="308" t="s">
        <v>176</v>
      </c>
      <c r="CX159" s="308" t="s">
        <v>176</v>
      </c>
      <c r="CY159" s="308" t="s">
        <v>176</v>
      </c>
      <c r="CZ159" s="308" t="s">
        <v>176</v>
      </c>
      <c r="DA159" s="308" t="s">
        <v>176</v>
      </c>
      <c r="DB159" s="308" t="s">
        <v>176</v>
      </c>
      <c r="DC159" s="308" t="s">
        <v>176</v>
      </c>
      <c r="DD159" s="308" t="s">
        <v>176</v>
      </c>
      <c r="DE159" s="308" t="s">
        <v>176</v>
      </c>
      <c r="DF159" s="308" t="s">
        <v>176</v>
      </c>
      <c r="DG159" s="308" t="s">
        <v>176</v>
      </c>
      <c r="DH159" s="308" t="s">
        <v>176</v>
      </c>
      <c r="DI159" s="308" t="s">
        <v>176</v>
      </c>
      <c r="DJ159" s="308" t="s">
        <v>176</v>
      </c>
      <c r="DK159" s="308" t="s">
        <v>176</v>
      </c>
      <c r="DL159" s="308" t="s">
        <v>176</v>
      </c>
      <c r="DM159" s="308" t="s">
        <v>176</v>
      </c>
      <c r="DN159" s="308" t="s">
        <v>176</v>
      </c>
      <c r="DO159" s="308" t="s">
        <v>176</v>
      </c>
      <c r="DP159" s="308" t="s">
        <v>176</v>
      </c>
      <c r="DQ159" s="308" t="s">
        <v>176</v>
      </c>
      <c r="DR159" s="308" t="s">
        <v>176</v>
      </c>
      <c r="DS159" s="308" t="s">
        <v>176</v>
      </c>
      <c r="DT159" s="308" t="s">
        <v>176</v>
      </c>
      <c r="DU159" s="308" t="s">
        <v>176</v>
      </c>
      <c r="DV159" s="308" t="s">
        <v>176</v>
      </c>
      <c r="DW159" s="308" t="s">
        <v>176</v>
      </c>
      <c r="DX159" s="308" t="s">
        <v>176</v>
      </c>
      <c r="DY159" s="308">
        <v>2</v>
      </c>
      <c r="DZ159" s="308">
        <v>1</v>
      </c>
      <c r="EA159" s="308">
        <v>1</v>
      </c>
      <c r="EB159" s="308">
        <v>1</v>
      </c>
      <c r="EC159" s="308">
        <v>1</v>
      </c>
      <c r="ED159" s="308">
        <v>2</v>
      </c>
      <c r="EE159" s="308">
        <v>1</v>
      </c>
      <c r="EF159" s="308">
        <v>2</v>
      </c>
      <c r="EG159" s="308">
        <v>2</v>
      </c>
      <c r="EH159" s="308">
        <v>2</v>
      </c>
      <c r="EI159" s="308">
        <v>1</v>
      </c>
      <c r="EJ159" s="308">
        <v>2</v>
      </c>
      <c r="EK159" s="308">
        <v>1</v>
      </c>
      <c r="EL159" s="308"/>
      <c r="EM159" s="308">
        <v>1</v>
      </c>
      <c r="EN159" s="308">
        <v>1</v>
      </c>
      <c r="EO159" s="308">
        <v>2</v>
      </c>
      <c r="EP159" s="308" t="s">
        <v>176</v>
      </c>
      <c r="EQ159" s="308" t="s">
        <v>176</v>
      </c>
      <c r="ER159" s="308" t="s">
        <v>176</v>
      </c>
      <c r="ES159" s="308" t="s">
        <v>176</v>
      </c>
      <c r="ET159" s="308" t="s">
        <v>176</v>
      </c>
      <c r="EU159" s="308" t="s">
        <v>176</v>
      </c>
      <c r="EV159" s="308" t="s">
        <v>176</v>
      </c>
      <c r="EW159" s="308" t="s">
        <v>176</v>
      </c>
      <c r="EX159" s="308" t="s">
        <v>176</v>
      </c>
      <c r="EY159" s="308">
        <v>1</v>
      </c>
      <c r="EZ159" s="308">
        <v>1</v>
      </c>
      <c r="FA159" s="308"/>
      <c r="FB159" s="308" t="s">
        <v>176</v>
      </c>
      <c r="FC159" s="308" t="s">
        <v>176</v>
      </c>
      <c r="FD159" s="308">
        <v>1</v>
      </c>
      <c r="FE159" s="308">
        <v>1</v>
      </c>
      <c r="FF159" s="308">
        <v>1</v>
      </c>
      <c r="FG159" s="308"/>
      <c r="FH159" s="308">
        <v>1</v>
      </c>
      <c r="FI159" s="308">
        <v>1</v>
      </c>
      <c r="FJ159" s="308">
        <v>2</v>
      </c>
      <c r="FK159" s="308">
        <v>1</v>
      </c>
      <c r="FL159" s="323" t="s">
        <v>176</v>
      </c>
      <c r="FM159" s="308">
        <v>1</v>
      </c>
      <c r="FN159" s="308">
        <v>1</v>
      </c>
      <c r="FO159" s="308">
        <v>1</v>
      </c>
      <c r="FP159" s="308" t="s">
        <v>176</v>
      </c>
      <c r="FQ159" s="308" t="s">
        <v>176</v>
      </c>
      <c r="FR159" s="308" t="s">
        <v>176</v>
      </c>
      <c r="FS159" s="308" t="s">
        <v>176</v>
      </c>
      <c r="FT159" s="308" t="s">
        <v>176</v>
      </c>
      <c r="FU159" s="308" t="s">
        <v>176</v>
      </c>
      <c r="FV159" s="308" t="s">
        <v>176</v>
      </c>
      <c r="FW159" s="308" t="s">
        <v>176</v>
      </c>
      <c r="FX159" s="308" t="s">
        <v>176</v>
      </c>
      <c r="FY159" s="308" t="s">
        <v>176</v>
      </c>
      <c r="FZ159" s="308" t="s">
        <v>176</v>
      </c>
      <c r="GA159" s="308" t="s">
        <v>176</v>
      </c>
      <c r="GB159" s="308" t="s">
        <v>176</v>
      </c>
      <c r="GC159" s="308" t="s">
        <v>176</v>
      </c>
      <c r="GD159" s="308" t="s">
        <v>176</v>
      </c>
      <c r="GE159" s="308" t="s">
        <v>176</v>
      </c>
      <c r="GF159" s="308"/>
      <c r="GG159" s="308"/>
      <c r="GH159" s="308" t="s">
        <v>176</v>
      </c>
      <c r="GI159" s="308"/>
      <c r="GJ159" s="308" t="s">
        <v>176</v>
      </c>
      <c r="GK159" s="308"/>
      <c r="GL159" s="311">
        <f>SUM(G159:FP159)</f>
        <v>67</v>
      </c>
      <c r="GM159" s="132"/>
    </row>
    <row r="160" spans="1:195" s="197" customFormat="1" ht="28.35" customHeight="1" thickBot="1" x14ac:dyDescent="0.3">
      <c r="A160" s="138" t="s">
        <v>181</v>
      </c>
      <c r="B160" s="135" t="s">
        <v>252</v>
      </c>
      <c r="C160" s="138" t="str">
        <f>C159</f>
        <v>KS</v>
      </c>
      <c r="D160" s="138">
        <f>D159</f>
        <v>1584</v>
      </c>
      <c r="E160" s="566" t="str">
        <f>E159</f>
        <v xml:space="preserve">Kazlou Yauhen </v>
      </c>
      <c r="F160" s="312" t="s">
        <v>166</v>
      </c>
      <c r="G160" s="341">
        <f>IF(INDEX(tab_MinKomp[Przepisy BHP / BHP Vorschriften],MATCH($B159,tab_MinKomp[[Stanowisko / Position ]:[Stanowisko / Position ]],0))="n/a","n/a",G159-INDEX(tab_MinKomp[Przepisy BHP / BHP Vorschriften],MATCH($B159,tab_MinKomp[[Stanowisko / Position ]:[Stanowisko / Position ]],0)))</f>
        <v>0</v>
      </c>
      <c r="H160" s="341">
        <f>IF(INDEX(tab_MinKomp[Przepisy PPOŻ / Brandschutzbestimmungen],MATCH($B159,tab_MinKomp[[Stanowisko / Position ]:[Stanowisko / Position ]],0))="n/a","n/a",H159-INDEX(tab_MinKomp[Przepisy PPOŻ / Brandschutzbestimmungen],MATCH($B159,tab_MinKomp[[Stanowisko / Position ]:[Stanowisko / Position ]],0)))</f>
        <v>0</v>
      </c>
      <c r="I160" s="341">
        <f>IF(INDEX(tab_MinKomp[Ryzyko zawodowe na stanowiskach pracyv/ Berufliche Risiken an Arbeitsstellen],MATCH($B159,tab_MinKomp[[Stanowisko / Position ]:[Stanowisko / Position ]],0))="n/a","n/a",I159-INDEX(tab_MinKomp[Ryzyko zawodowe na stanowiskach pracyv/ Berufliche Risiken an Arbeitsstellen],MATCH($B159,tab_MinKomp[[Stanowisko / Position ]:[Stanowisko / Position ]],0)))</f>
        <v>0</v>
      </c>
      <c r="J160" s="341">
        <f>IF(INDEX(tab_MinKomp[Gospodarka substancjami niebezpiecznymi / Gefahrstoffmanagement],MATCH($B159,tab_MinKomp[[Stanowisko / Position ]:[Stanowisko / Position ]],0))="n/a","n/a",J159-INDEX(tab_MinKomp[Gospodarka substancjami niebezpiecznymi / Gefahrstoffmanagement],MATCH($B159,tab_MinKomp[[Stanowisko / Position ]:[Stanowisko / Position ]],0)))</f>
        <v>0</v>
      </c>
      <c r="K160" s="341">
        <f>IF(INDEX(tab_MinKomp[Gospodarka odpadami / Abfallwirtschaft],MATCH($B159,tab_MinKomp[[Stanowisko / Position ]:[Stanowisko / Position ]],0))="n/a","n/a",K159-INDEX(tab_MinKomp[Gospodarka odpadami / Abfallwirtschaft],MATCH($B159,tab_MinKomp[[Stanowisko / Position ]:[Stanowisko / Position ]],0)))</f>
        <v>0</v>
      </c>
      <c r="L160" s="341">
        <f>IF(INDEX(tab_MinKomp[Przepisy kodeksu pracy / Bestimmungen des Arbeitsgesetzes],MATCH($B159,tab_MinKomp[[Stanowisko / Position ]:[Stanowisko / Position ]],0))="n/a","n/a",L159-INDEX(tab_MinKomp[Przepisy kodeksu pracy / Bestimmungen des Arbeitsgesetzes],MATCH($B159,tab_MinKomp[[Stanowisko / Position ]:[Stanowisko / Position ]],0)))</f>
        <v>0</v>
      </c>
      <c r="M160" s="341" t="str">
        <f>IF(INDEX(tab_MinKomp[Przepisy o ub.społ. ZUS  / Sozialversicherungsvorschriften],MATCH($B159,tab_MinKomp[[Stanowisko / Position ]:[Stanowisko / Position ]],0))="n/a","n/a",M159-INDEX(tab_MinKomp[Przepisy o ub.społ. ZUS  / Sozialversicherungsvorschriften],MATCH($B159,tab_MinKomp[[Stanowisko / Position ]:[Stanowisko / Position ]],0)))</f>
        <v>n/a</v>
      </c>
      <c r="N160" s="341" t="str">
        <f>IF(INDEX(tab_MinKomp[PRZEPISY O PDOF /persönlich Einkommensteuergesetz ],MATCH($B159,tab_MinKomp[[Stanowisko / Position ]:[Stanowisko / Position ]],0))="n/a","n/a",N159-INDEX(tab_MinKomp[PRZEPISY O PDOF /persönlich Einkommensteuergesetz ],MATCH($B159,tab_MinKomp[[Stanowisko / Position ]:[Stanowisko / Position ]],0)))</f>
        <v>n/a</v>
      </c>
      <c r="O160" s="341">
        <f>IF(INDEX(tab_MinKomp[Regulamin pracy / Arbeitsordnung],MATCH($B159,tab_MinKomp[[Stanowisko / Position ]:[Stanowisko / Position ]],0))="n/a","n/a",O159-INDEX(tab_MinKomp[Regulamin pracy / Arbeitsordnung],MATCH($B159,tab_MinKomp[[Stanowisko / Position ]:[Stanowisko / Position ]],0)))</f>
        <v>0</v>
      </c>
      <c r="P160" s="341">
        <f>IF(INDEX(tab_MinKomp[Regulamin wynagradzania / Vergütungsordnung],MATCH($B159,tab_MinKomp[[Stanowisko / Position ]:[Stanowisko / Position ]],0))="n/a","n/a",P159-INDEX(tab_MinKomp[Regulamin wynagradzania / Vergütungsordnung],MATCH($B159,tab_MinKomp[[Stanowisko / Position ]:[Stanowisko / Position ]],0)))</f>
        <v>0</v>
      </c>
      <c r="Q160" s="341" t="str">
        <f>IF(INDEX(tab_MinKomp[System R2PŁATNIK PRO: Płace / Lohnabrechnung],MATCH($B159,tab_MinKomp[[Stanowisko / Position ]:[Stanowisko / Position ]],0))="n/a","n/a",Q159-INDEX(tab_MinKomp[System R2PŁATNIK PRO: Płace / Lohnabrechnung],MATCH($B159,tab_MinKomp[[Stanowisko / Position ]:[Stanowisko / Position ]],0)))</f>
        <v>n/a</v>
      </c>
      <c r="R160" s="341" t="str">
        <f>IF(INDEX(tab_MinKomp[SystemR2PŁATNIK PRO: KADRY / Personaldaten],MATCH($B159,tab_MinKomp[[Stanowisko / Position ]:[Stanowisko / Position ]],0))="n/a","n/a",R159-INDEX(tab_MinKomp[SystemR2PŁATNIK PRO: KADRY / Personaldaten],MATCH($B159,tab_MinKomp[[Stanowisko / Position ]:[Stanowisko / Position ]],0)))</f>
        <v>n/a</v>
      </c>
      <c r="S160" s="341" t="str">
        <f>IF(INDEX(tab_MinKomp[SYSTEM R2PŁATNIK PRO: zarządzanie pracownikami / Arbeitsverwaltung],MATCH($B159,tab_MinKomp[[Stanowisko / Position ]:[Stanowisko / Position ]],0))="n/a","n/a",S159-INDEX(tab_MinKomp[SYSTEM R2PŁATNIK PRO: zarządzanie pracownikami / Arbeitsverwaltung],MATCH($B159,tab_MinKomp[[Stanowisko / Position ]:[Stanowisko / Position ]],0)))</f>
        <v>n/a</v>
      </c>
      <c r="T160" s="341" t="str">
        <f>IF(INDEX(tab_MinKomp[Doradztwo, wsparcie personalne / Personalberatung und Unterstützung],MATCH($B159,tab_MinKomp[[Stanowisko / Position ]:[Stanowisko / Position ]],0))="n/a","n/a",T159-INDEX(tab_MinKomp[Doradztwo, wsparcie personalne / Personalberatung und Unterstützung],MATCH($B159,tab_MinKomp[[Stanowisko / Position ]:[Stanowisko / Position ]],0)))</f>
        <v>n/a</v>
      </c>
      <c r="U160" s="341" t="str">
        <f>IF(INDEX(tab_MinKomp[Przepisy o podatku VAT / MwSt.- Gesetz],MATCH($B159,tab_MinKomp[[Stanowisko / Position ]:[Stanowisko / Position ]],0))="n/a","n/a",U159-INDEX(tab_MinKomp[Przepisy o podatku VAT / MwSt.- Gesetz],MATCH($B159,tab_MinKomp[[Stanowisko / Position ]:[Stanowisko / Position ]],0)))</f>
        <v>n/a</v>
      </c>
      <c r="V160" s="341" t="str">
        <f>IF(INDEX(tab_MinKomp[PrzepisyPDOP / geschäftlich Einkommensteuergesetz],MATCH($B159,tab_MinKomp[[Stanowisko / Position ]:[Stanowisko / Position ]],0))="n/a","n/a",V159-INDEX(tab_MinKomp[PrzepisyPDOP / geschäftlich Einkommensteuergesetz],MATCH($B159,tab_MinKomp[[Stanowisko / Position ]:[Stanowisko / Position ]],0)))</f>
        <v>n/a</v>
      </c>
      <c r="W160" s="341" t="str">
        <f>IF(INDEX(tab_MinKomp[System BAAN / FINANSE (FIBU)],MATCH($B159,tab_MinKomp[[Stanowisko / Position ]:[Stanowisko / Position ]],0))="n/a","n/a",W159-INDEX(tab_MinKomp[System BAAN / FINANSE (FIBU)],MATCH($B159,tab_MinKomp[[Stanowisko / Position ]:[Stanowisko / Position ]],0)))</f>
        <v>n/a</v>
      </c>
      <c r="X160" s="341" t="str">
        <f>IF(INDEX(tab_MinKomp[Systemy pomocnicze / Hilfssysteme(STOCKPROGRAM, KALK2000 etc.)],MATCH($B159,tab_MinKomp[[Stanowisko / Position ]:[Stanowisko / Position ]],0))="n/a","n/a",X159-INDEX(tab_MinKomp[Systemy pomocnicze / Hilfssysteme(STOCKPROGRAM, KALK2000 etc.)],MATCH($B159,tab_MinKomp[[Stanowisko / Position ]:[Stanowisko / Position ]],0)))</f>
        <v>n/a</v>
      </c>
      <c r="Y160" s="341" t="str">
        <f>IF(INDEX(tab_MinKomp[Polityka rachunkowości / Buchführungspolitik],MATCH($B159,tab_MinKomp[[Stanowisko / Position ]:[Stanowisko / Position ]],0))="n/a","n/a",Y159-INDEX(tab_MinKomp[Polityka rachunkowości / Buchführungspolitik],MATCH($B159,tab_MinKomp[[Stanowisko / Position ]:[Stanowisko / Position ]],0)))</f>
        <v>n/a</v>
      </c>
      <c r="Z160" s="341" t="str">
        <f>IF(INDEX(tab_MinKomp[Ustawa o rachunkowości / Rechnungslegungsgesetz],MATCH($B159,tab_MinKomp[[Stanowisko / Position ]:[Stanowisko / Position ]],0))="n/a","n/a",Z159-INDEX(tab_MinKomp[Ustawa o rachunkowości / Rechnungslegungsgesetz],MATCH($B159,tab_MinKomp[[Stanowisko / Position ]:[Stanowisko / Position ]],0)))</f>
        <v>n/a</v>
      </c>
      <c r="AA160" s="341" t="str">
        <f>IF(INDEX(tab_MinKomp[WORKFLOW - TS-100],MATCH($B159,tab_MinKomp[[Stanowisko / Position ]:[Stanowisko / Position ]],0))="n/a","n/a",AA159-INDEX(tab_MinKomp[WORKFLOW - TS-100],MATCH($B159,tab_MinKomp[[Stanowisko / Position ]:[Stanowisko / Position ]],0)))</f>
        <v>n/a</v>
      </c>
      <c r="AB160" s="341" t="str">
        <f>IF(INDEX(tab_MinKomp[WORKFLOW - SFMS],MATCH($B159,tab_MinKomp[[Stanowisko / Position ]:[Stanowisko / Position ]],0))="n/a","n/a",AB159-INDEX(tab_MinKomp[WORKFLOW - SFMS],MATCH($B159,tab_MinKomp[[Stanowisko / Position ]:[Stanowisko / Position ]],0)))</f>
        <v>n/a</v>
      </c>
      <c r="AC160" s="341" t="str">
        <f>IF(INDEX(tab_MinKomp[System ISO 9001:2015],MATCH($B159,tab_MinKomp[[Stanowisko / Position ]:[Stanowisko / Position ]],0))="n/a","n/a",AC159-INDEX(tab_MinKomp[System ISO 9001:2015],MATCH($B159,tab_MinKomp[[Stanowisko / Position ]:[Stanowisko / Position ]],0)))</f>
        <v>n/a</v>
      </c>
      <c r="AD160" s="341" t="str">
        <f>IF(INDEX(tab_MinKomp[System IATF 16949:2016],MATCH($B159,tab_MinKomp[[Stanowisko / Position ]:[Stanowisko / Position ]],0))="n/a","n/a",AD159-INDEX(tab_MinKomp[System IATF 16949:2016],MATCH($B159,tab_MinKomp[[Stanowisko / Position ]:[Stanowisko / Position ]],0)))</f>
        <v>n/a</v>
      </c>
      <c r="AE160" s="341" t="str">
        <f>IF(INDEX(tab_MinKomp[System ISO 14001:2015],MATCH($B159,tab_MinKomp[[Stanowisko / Position ]:[Stanowisko / Position ]],0))="n/a","n/a",AE159-INDEX(tab_MinKomp[System ISO 14001:2015],MATCH($B159,tab_MinKomp[[Stanowisko / Position ]:[Stanowisko / Position ]],0)))</f>
        <v>n/a</v>
      </c>
      <c r="AF160" s="341" t="str">
        <f>IF(INDEX(tab_MinKomp[System PN-N 18001:2004 / ISO 45001:2018],MATCH($B159,tab_MinKomp[[Stanowisko / Position ]:[Stanowisko / Position ]],0))="n/a","n/a",AF159-INDEX(tab_MinKomp[System PN-N 18001:2004 / ISO 45001:2018],MATCH($B159,tab_MinKomp[[Stanowisko / Position ]:[Stanowisko / Position ]],0)))</f>
        <v>n/a</v>
      </c>
      <c r="AG160" s="341" t="str">
        <f>IF(INDEX(tab_MinKomp[Wymagania VDA 6.3 Process / Forderungen],MATCH($B159,tab_MinKomp[[Stanowisko / Position ]:[Stanowisko / Position ]],0))="n/a","n/a",AG159-INDEX(tab_MinKomp[Wymagania VDA 6.3 Process / Forderungen],MATCH($B159,tab_MinKomp[[Stanowisko / Position ]:[Stanowisko / Position ]],0)))</f>
        <v>n/a</v>
      </c>
      <c r="AH160" s="341" t="str">
        <f>IF(INDEX(tab_MinKomp[Wymagania VDA 6.5 Product / Forderungen],MATCH($B159,tab_MinKomp[[Stanowisko / Position ]:[Stanowisko / Position ]],0))="n/a","n/a",AH159-INDEX(tab_MinKomp[Wymagania VDA 6.5 Product / Forderungen],MATCH($B159,tab_MinKomp[[Stanowisko / Position ]:[Stanowisko / Position ]],0)))</f>
        <v>n/a</v>
      </c>
      <c r="AI160" s="341" t="str">
        <f>IF(INDEX(tab_MinKomp[PSCR (VW Product Safety &amp; Conformity Representative)],MATCH($B159,tab_MinKomp[[Stanowisko / Position ]:[Stanowisko / Position ]],0))="n/a","n/a",AI159-INDEX(tab_MinKomp[PSCR (VW Product Safety &amp; Conformity Representative)],MATCH($B159,tab_MinKomp[[Stanowisko / Position ]:[Stanowisko / Position ]],0)))</f>
        <v>n/a</v>
      </c>
      <c r="AJ160" s="341" t="str">
        <f>IF(INDEX(tab_MinKomp[Auditor systemu ISO 17025:2018],MATCH($B159,tab_MinKomp[[Stanowisko / Position ]:[Stanowisko / Position ]],0))="n/a","n/a",AJ159-INDEX(tab_MinKomp[Auditor systemu ISO 17025:2018],MATCH($B159,tab_MinKomp[[Stanowisko / Position ]:[Stanowisko / Position ]],0)))</f>
        <v>n/a</v>
      </c>
      <c r="AK160" s="341" t="str">
        <f>IF(INDEX(tab_MinKomp[Pełnomocnik systemu / Systemvertreter],MATCH($B159,tab_MinKomp[[Stanowisko / Position ]:[Stanowisko / Position ]],0))="n/a","n/a",AK159-INDEX(tab_MinKomp[Pełnomocnik systemu / Systemvertreter],MATCH($B159,tab_MinKomp[[Stanowisko / Position ]:[Stanowisko / Position ]],0)))</f>
        <v>n/a</v>
      </c>
      <c r="AL160" s="341">
        <f>IF(INDEX(tab_MinKomp[Polityka Etyczna - Compliance],MATCH($B159,tab_MinKomp[[Stanowisko / Position ]:[Stanowisko / Position ]],0))="n/a","n/a",AL159-INDEX(tab_MinKomp[Polityka Etyczna - Compliance],MATCH($B159,tab_MinKomp[[Stanowisko / Position ]:[Stanowisko / Position ]],0)))</f>
        <v>0</v>
      </c>
      <c r="AM160" s="341" t="str">
        <f>IF(INDEX(tab_MinKomp[WDRAŻANIE NOWYCH PROJEKTÓW/ PROCEDURA CTM],MATCH($B159,tab_MinKomp[[Stanowisko / Position ]:[Stanowisko / Position ]],0))="n/a","n/a",AM159-INDEX(tab_MinKomp[WDRAŻANIE NOWYCH PROJEKTÓW/ PROCEDURA CTM],MATCH($B159,tab_MinKomp[[Stanowisko / Position ]:[Stanowisko / Position ]],0)))</f>
        <v>n/a</v>
      </c>
      <c r="AN160" s="341" t="str">
        <f>IF(INDEX(tab_MinKomp[KAMIENIE MILOWE MSL/PIFF],MATCH($B159,tab_MinKomp[[Stanowisko / Position ]:[Stanowisko / Position ]],0))="n/a","n/a",AN159-INDEX(tab_MinKomp[KAMIENIE MILOWE MSL/PIFF],MATCH($B159,tab_MinKomp[[Stanowisko / Position ]:[Stanowisko / Position ]],0)))</f>
        <v>n/a</v>
      </c>
      <c r="AO160" s="341" t="str">
        <f>IF(INDEX(tab_MinKomp[CP],MATCH($B159,tab_MinKomp[[Stanowisko / Position ]:[Stanowisko / Position ]],0))="n/a","n/a",AO159-INDEX(tab_MinKomp[CP],MATCH($B159,tab_MinKomp[[Stanowisko / Position ]:[Stanowisko / Position ]],0)))</f>
        <v>n/a</v>
      </c>
      <c r="AP160" s="341" t="str">
        <f>IF(INDEX(tab_MinKomp[FMEA],MATCH($B159,tab_MinKomp[[Stanowisko / Position ]:[Stanowisko / Position ]],0))="n/a","n/a",AP159-INDEX(tab_MinKomp[FMEA],MATCH($B159,tab_MinKomp[[Stanowisko / Position ]:[Stanowisko / Position ]],0)))</f>
        <v>n/a</v>
      </c>
      <c r="AQ160" s="341" t="str">
        <f>IF(INDEX(tab_MinKomp[FLOW CHART],MATCH($B159,tab_MinKomp[[Stanowisko / Position ]:[Stanowisko / Position ]],0))="n/a","n/a",AQ159-INDEX(tab_MinKomp[FLOW CHART],MATCH($B159,tab_MinKomp[[Stanowisko / Position ]:[Stanowisko / Position ]],0)))</f>
        <v>n/a</v>
      </c>
      <c r="AR160" s="341" t="str">
        <f>IF(INDEX(tab_MinKomp[APQP],MATCH($B159,tab_MinKomp[[Stanowisko / Position ]:[Stanowisko / Position ]],0))="n/a","n/a",AR159-INDEX(tab_MinKomp[APQP],MATCH($B159,tab_MinKomp[[Stanowisko / Position ]:[Stanowisko / Position ]],0)))</f>
        <v>n/a</v>
      </c>
      <c r="AS160" s="341" t="str">
        <f>IF(INDEX(tab_MinKomp[MSA],MATCH($B159,tab_MinKomp[[Stanowisko / Position ]:[Stanowisko / Position ]],0))="n/a","n/a",AS159-INDEX(tab_MinKomp[MSA],MATCH($B159,tab_MinKomp[[Stanowisko / Position ]:[Stanowisko / Position ]],0)))</f>
        <v>n/a</v>
      </c>
      <c r="AT160" s="341" t="str">
        <f>IF(INDEX(tab_MinKomp[SPC],MATCH($B159,tab_MinKomp[[Stanowisko / Position ]:[Stanowisko / Position ]],0))="n/a","n/a",AT159-INDEX(tab_MinKomp[SPC],MATCH($B159,tab_MinKomp[[Stanowisko / Position ]:[Stanowisko / Position ]],0)))</f>
        <v>n/a</v>
      </c>
      <c r="AU160" s="341" t="str">
        <f>IF(INDEX(tab_MinKomp[CSR (SPECYFICZNE WYMAGANIA KLIENTA)],MATCH($B159,tab_MinKomp[[Stanowisko / Position ]:[Stanowisko / Position ]],0))="n/a","n/a",AU159-INDEX(tab_MinKomp[CSR (SPECYFICZNE WYMAGANIA KLIENTA)],MATCH($B159,tab_MinKomp[[Stanowisko / Position ]:[Stanowisko / Position ]],0)))</f>
        <v>n/a</v>
      </c>
      <c r="AV160" s="341">
        <f>IF(INDEX(tab_MinKomp[5S],MATCH($B159,tab_MinKomp[[Stanowisko / Position ]:[Stanowisko / Position ]],0))="n/a","n/a",AV159-INDEX(tab_MinKomp[5S],MATCH($B159,tab_MinKomp[[Stanowisko / Position ]:[Stanowisko / Position ]],0)))</f>
        <v>-1</v>
      </c>
      <c r="AW160" s="341">
        <f>IF(INDEX(tab_MinKomp[LEAN MANAGEMENT],MATCH($B159,tab_MinKomp[[Stanowisko / Position ]:[Stanowisko / Position ]],0))="n/a","n/a",AW159-INDEX(tab_MinKomp[LEAN MANAGEMENT],MATCH($B159,tab_MinKomp[[Stanowisko / Position ]:[Stanowisko / Position ]],0)))</f>
        <v>-1</v>
      </c>
      <c r="AX160" s="341">
        <f>IF(INDEX(tab_MinKomp[5R],MATCH($B159,tab_MinKomp[[Stanowisko / Position ]:[Stanowisko / Position ]],0))="n/a","n/a",AX159-INDEX(tab_MinKomp[5R],MATCH($B159,tab_MinKomp[[Stanowisko / Position ]:[Stanowisko / Position ]],0)))</f>
        <v>-1</v>
      </c>
      <c r="AY160" s="341" t="str">
        <f>IF(INDEX(tab_MinKomp[Six Sigma],MATCH($B159,tab_MinKomp[[Stanowisko / Position ]:[Stanowisko / Position ]],0))="n/a","n/a",AY159-INDEX(tab_MinKomp[Six Sigma],MATCH($B159,tab_MinKomp[[Stanowisko / Position ]:[Stanowisko / Position ]],0)))</f>
        <v>n/a</v>
      </c>
      <c r="AZ160" s="341" t="str">
        <f>IF(INDEX(tab_MinKomp[System BAAN / Distribution &amp; Supply Chain],MATCH($B159,tab_MinKomp[[Stanowisko / Position ]:[Stanowisko / Position ]],0))="n/a","n/a",AZ159-INDEX(tab_MinKomp[System BAAN / Distribution &amp; Supply Chain],MATCH($B159,tab_MinKomp[[Stanowisko / Position ]:[Stanowisko / Position ]],0)))</f>
        <v>n/a</v>
      </c>
      <c r="BA160" s="341" t="str">
        <f>IF(INDEX(tab_MinKomp[Gospodarka magazynowa / Lagerverwaltung],MATCH($B159,tab_MinKomp[[Stanowisko / Position ]:[Stanowisko / Position ]],0))="n/a","n/a",BA159-INDEX(tab_MinKomp[Gospodarka magazynowa / Lagerverwaltung],MATCH($B159,tab_MinKomp[[Stanowisko / Position ]:[Stanowisko / Position ]],0)))</f>
        <v>n/a</v>
      </c>
      <c r="BB160" s="341" t="str">
        <f>IF(INDEX(tab_MinKomp[Inwentaryzacja - organizacja i przebieg / Inventurprozess],MATCH($B159,tab_MinKomp[[Stanowisko / Position ]:[Stanowisko / Position ]],0))="n/a","n/a",BB159-INDEX(tab_MinKomp[Inwentaryzacja - organizacja i przebieg / Inventurprozess],MATCH($B159,tab_MinKomp[[Stanowisko / Position ]:[Stanowisko / Position ]],0)))</f>
        <v>n/a</v>
      </c>
      <c r="BC160" s="341" t="str">
        <f>IF(INDEX(tab_MinKomp[Organizacja dostaw / Versorgungsorganisation],MATCH($B159,tab_MinKomp[[Stanowisko / Position ]:[Stanowisko / Position ]],0))="n/a","n/a",BC159-INDEX(tab_MinKomp[Organizacja dostaw / Versorgungsorganisation],MATCH($B159,tab_MinKomp[[Stanowisko / Position ]:[Stanowisko / Position ]],0)))</f>
        <v>n/a</v>
      </c>
      <c r="BD160" s="341" t="str">
        <f>IF(INDEX(tab_MinKomp[Organizacja wysyłek / Organisation von Lieferungen],MATCH($B159,tab_MinKomp[[Stanowisko / Position ]:[Stanowisko / Position ]],0))="n/a","n/a",BD159-INDEX(tab_MinKomp[Organizacja wysyłek / Organisation von Lieferungen],MATCH($B159,tab_MinKomp[[Stanowisko / Position ]:[Stanowisko / Position ]],0)))</f>
        <v>n/a</v>
      </c>
      <c r="BE160" s="341" t="str">
        <f>IF(INDEX(tab_MinKomp[Analiza magazynowa - Program Polen.mdb / Inventuranalyse],MATCH($B159,tab_MinKomp[[Stanowisko / Position ]:[Stanowisko / Position ]],0))="n/a","n/a",BE159-INDEX(tab_MinKomp[Analiza magazynowa - Program Polen.mdb / Inventuranalyse],MATCH($B159,tab_MinKomp[[Stanowisko / Position ]:[Stanowisko / Position ]],0)))</f>
        <v>n/a</v>
      </c>
      <c r="BF160" s="341" t="str">
        <f>IF(INDEX(tab_MinKomp[MMOG (Materials Management Operations Guidelines)],MATCH($B159,tab_MinKomp[[Stanowisko / Position ]:[Stanowisko / Position ]],0))="n/a","n/a",BF159-INDEX(tab_MinKomp[MMOG (Materials Management Operations Guidelines)],MATCH($B159,tab_MinKomp[[Stanowisko / Position ]:[Stanowisko / Position ]],0)))</f>
        <v>n/a</v>
      </c>
      <c r="BG160" s="341" t="str">
        <f>IF(INDEX(tab_MinKomp[DETC],MATCH($B159,tab_MinKomp[[Stanowisko / Position ]:[Stanowisko / Position ]],0))="n/a","n/a",BG159-INDEX(tab_MinKomp[DETC],MATCH($B159,tab_MinKomp[[Stanowisko / Position ]:[Stanowisko / Position ]],0)))</f>
        <v>n/a</v>
      </c>
      <c r="BH160" s="341" t="str">
        <f>IF(INDEX(tab_MinKomp[GPP],MATCH($B159,tab_MinKomp[[Stanowisko / Position ]:[Stanowisko / Position ]],0))="n/a","n/a",BH159-INDEX(tab_MinKomp[GPP],MATCH($B159,tab_MinKomp[[Stanowisko / Position ]:[Stanowisko / Position ]],0)))</f>
        <v>n/a</v>
      </c>
      <c r="BI160" s="341" t="str">
        <f>IF(INDEX(tab_MinKomp[AIAG (Automotive Industry Action Group)],MATCH($B159,tab_MinKomp[[Stanowisko / Position ]:[Stanowisko / Position ]],0))="n/a","n/a",BI159-INDEX(tab_MinKomp[AIAG (Automotive Industry Action Group)],MATCH($B159,tab_MinKomp[[Stanowisko / Position ]:[Stanowisko / Position ]],0)))</f>
        <v>n/a</v>
      </c>
      <c r="BJ160" s="341" t="str">
        <f>IF(INDEX(tab_MinKomp[Super-G disputes],MATCH($B159,tab_MinKomp[[Stanowisko / Position ]:[Stanowisko / Position ]],0))="n/a","n/a",BJ159-INDEX(tab_MinKomp[Super-G disputes],MATCH($B159,tab_MinKomp[[Stanowisko / Position ]:[Stanowisko / Position ]],0)))</f>
        <v>n/a</v>
      </c>
      <c r="BK160" s="341" t="str">
        <f>IF(INDEX(tab_MinKomp[CMMS3/eDDL (Direct Data Link)],MATCH($B159,tab_MinKomp[[Stanowisko / Position ]:[Stanowisko / Position ]],0))="n/a","n/a",BK159-INDEX(tab_MinKomp[CMMS3/eDDL (Direct Data Link)],MATCH($B159,tab_MinKomp[[Stanowisko / Position ]:[Stanowisko / Position ]],0)))</f>
        <v>n/a</v>
      </c>
      <c r="BL160" s="341" t="str">
        <f>IF(INDEX(tab_MinKomp[MP&amp;L (Material Planning and Logistics)],MATCH($B159,tab_MinKomp[[Stanowisko / Position ]:[Stanowisko / Position ]],0))="n/a","n/a",BL159-INDEX(tab_MinKomp[MP&amp;L (Material Planning and Logistics)],MATCH($B159,tab_MinKomp[[Stanowisko / Position ]:[Stanowisko / Position ]],0)))</f>
        <v>n/a</v>
      </c>
      <c r="BM160" s="341" t="str">
        <f>IF(INDEX(tab_MinKomp[Planowanie produkcji / Produktionsplanung],MATCH($B159,tab_MinKomp[[Stanowisko / Position ]:[Stanowisko / Position ]],0))="n/a","n/a",BM159-INDEX(tab_MinKomp[Planowanie produkcji / Produktionsplanung],MATCH($B159,tab_MinKomp[[Stanowisko / Position ]:[Stanowisko / Position ]],0)))</f>
        <v>n/a</v>
      </c>
      <c r="BN160" s="341">
        <f>IF(INDEX(tab_MinKomp[Obsługa maszyn Engel / Engel Maschinenbedienung],MATCH($B159,tab_MinKomp[[Stanowisko / Position ]:[Stanowisko / Position ]],0))="n/a","n/a",BN159-INDEX(tab_MinKomp[Obsługa maszyn Engel / Engel Maschinenbedienung],MATCH($B159,tab_MinKomp[[Stanowisko / Position ]:[Stanowisko / Position ]],0)))</f>
        <v>0</v>
      </c>
      <c r="BO160" s="341">
        <f>IF(INDEX(tab_MinKomp[Obsługa maszyn Novapax / Novapax Maschinenbedienung],MATCH($B159,tab_MinKomp[[Stanowisko / Position ]:[Stanowisko / Position ]],0))="n/a","n/a",BO159-INDEX(tab_MinKomp[Obsługa maszyn Novapax / Novapax Maschinenbedienung],MATCH($B159,tab_MinKomp[[Stanowisko / Position ]:[Stanowisko / Position ]],0)))</f>
        <v>0</v>
      </c>
      <c r="BP160" s="341">
        <f>IF(INDEX(tab_MinKomp[Obsługa maszyn KVT / KVT Maschinenbedienung],MATCH($B159,tab_MinKomp[[Stanowisko / Position ]:[Stanowisko / Position ]],0))="n/a","n/a",BP159-INDEX(tab_MinKomp[Obsługa maszyn KVT / KVT Maschinenbedienung],MATCH($B159,tab_MinKomp[[Stanowisko / Position ]:[Stanowisko / Position ]],0)))</f>
        <v>0</v>
      </c>
      <c r="BQ160" s="341">
        <f>IF(INDEX(tab_MinKomp[Obsługa maszyn ASL / ASL Maschinenbedienung],MATCH($B159,tab_MinKomp[[Stanowisko / Position ]:[Stanowisko / Position ]],0))="n/a","n/a",BQ159-INDEX(tab_MinKomp[Obsługa maszyn ASL / ASL Maschinenbedienung],MATCH($B159,tab_MinKomp[[Stanowisko / Position ]:[Stanowisko / Position ]],0)))</f>
        <v>0</v>
      </c>
      <c r="BR160" s="341">
        <f>IF(INDEX(tab_MinKomp[Obsługa maszyn Branson / Branson Maschinenbedienung],MATCH($B159,tab_MinKomp[[Stanowisko / Position ]:[Stanowisko / Position ]],0))="n/a","n/a",BR159-INDEX(tab_MinKomp[Obsługa maszyn Branson / Branson Maschinenbedienung],MATCH($B159,tab_MinKomp[[Stanowisko / Position ]:[Stanowisko / Position ]],0)))</f>
        <v>0</v>
      </c>
      <c r="BS160" s="341">
        <f>IF(INDEX(tab_MinKomp[Obsługa maszyn Kamtec / Kamtec Maschinenbedienung],MATCH($B159,tab_MinKomp[[Stanowisko / Position ]:[Stanowisko / Position ]],0))="n/a","n/a",BS159-INDEX(tab_MinKomp[Obsługa maszyn Kamtec / Kamtec Maschinenbedienung],MATCH($B159,tab_MinKomp[[Stanowisko / Position ]:[Stanowisko / Position ]],0)))</f>
        <v>0</v>
      </c>
      <c r="BT160" s="341">
        <f>IF(INDEX(tab_MinKomp[Obsługa maszyn Piovan / Piovan Maschinenbedienung],MATCH($B159,tab_MinKomp[[Stanowisko / Position ]:[Stanowisko / Position ]],0))="n/a","n/a",BT159-INDEX(tab_MinKomp[Obsługa maszyn Piovan / Piovan Maschinenbedienung],MATCH($B159,tab_MinKomp[[Stanowisko / Position ]:[Stanowisko / Position ]],0)))</f>
        <v>0</v>
      </c>
      <c r="BU160" s="341">
        <f>IF(INDEX(tab_MinKomp[Obsługa maszyn REP / REP Maschinenbedienung],MATCH($B159,tab_MinKomp[[Stanowisko / Position ]:[Stanowisko / Position ]],0))="n/a","n/a",BU159-INDEX(tab_MinKomp[Obsługa maszyn REP / REP Maschinenbedienung],MATCH($B159,tab_MinKomp[[Stanowisko / Position ]:[Stanowisko / Position ]],0)))</f>
        <v>0</v>
      </c>
      <c r="BV160" s="341">
        <f>IF(INDEX(tab_MinKomp[Eliminacja awarii / Beseitigung von Ausfällen],MATCH($B159,tab_MinKomp[[Stanowisko / Position ]:[Stanowisko / Position ]],0))="n/a","n/a",BV159-INDEX(tab_MinKomp[Eliminacja awarii / Beseitigung von Ausfällen],MATCH($B159,tab_MinKomp[[Stanowisko / Position ]:[Stanowisko / Position ]],0)))</f>
        <v>0</v>
      </c>
      <c r="BW160" s="341" t="str">
        <f>IF(INDEX(tab_MinKomp[Informatyka ogólna (techniczne i systemowe) / Allgemeine IT (Technik und System)],MATCH($B159,tab_MinKomp[[Stanowisko / Position ]:[Stanowisko / Position ]],0))="n/a","n/a",BW159-INDEX(tab_MinKomp[Informatyka ogólna (techniczne i systemowe) / Allgemeine IT (Technik und System)],MATCH($B159,tab_MinKomp[[Stanowisko / Position ]:[Stanowisko / Position ]],0)))</f>
        <v>n/a</v>
      </c>
      <c r="BX160" s="341" t="str">
        <f>IF(INDEX(tab_MinKomp[Sieci komputerowe / Computernetzwerke],MATCH($B159,tab_MinKomp[[Stanowisko / Position ]:[Stanowisko / Position ]],0))="n/a","n/a",BX159-INDEX(tab_MinKomp[Sieci komputerowe / Computernetzwerke],MATCH($B159,tab_MinKomp[[Stanowisko / Position ]:[Stanowisko / Position ]],0)))</f>
        <v>n/a</v>
      </c>
      <c r="BY160" s="341" t="str">
        <f>IF(INDEX(tab_MinKomp[Hardware (komputery PC, drukarki biurowe i etykietowe, telefonia stacjonarna i mobilna) (PC, Drucker, Telefpne, Handys)],MATCH($B159,tab_MinKomp[[Stanowisko / Position ]:[Stanowisko / Position ]],0))="n/a","n/a",BY159-INDEX(tab_MinKomp[Hardware (komputery PC, drukarki biurowe i etykietowe, telefonia stacjonarna i mobilna) (PC, Drucker, Telefpne, Handys)],MATCH($B159,tab_MinKomp[[Stanowisko / Position ]:[Stanowisko / Position ]],0)))</f>
        <v>n/a</v>
      </c>
      <c r="BZ160" s="341" t="str">
        <f>IF(INDEX(tab_MinKomp[Software &amp; Systems (MS Office, MS Remote Desktop)],MATCH($B159,tab_MinKomp[[Stanowisko / Position ]:[Stanowisko / Position ]],0))="n/a","n/a",BZ159-INDEX(tab_MinKomp[Software &amp; Systems (MS Office, MS Remote Desktop)],MATCH($B159,tab_MinKomp[[Stanowisko / Position ]:[Stanowisko / Position ]],0)))</f>
        <v>n/a</v>
      </c>
      <c r="CA160" s="341" t="str">
        <f>IF(INDEX(tab_MinKomp[Programowanie obiektowe (PHP) / Objektprogrammierung],MATCH($B159,tab_MinKomp[[Stanowisko / Position ]:[Stanowisko / Position ]],0))="n/a","n/a",CA159-INDEX(tab_MinKomp[Programowanie obiektowe (PHP) / Objektprogrammierung],MATCH($B159,tab_MinKomp[[Stanowisko / Position ]:[Stanowisko / Position ]],0)))</f>
        <v>n/a</v>
      </c>
      <c r="CB160" s="341" t="str">
        <f>IF(INDEX(tab_MinKomp[Scrum],MATCH($B159,tab_MinKomp[[Stanowisko / Position ]:[Stanowisko / Position ]],0))="n/a","n/a",CB159-INDEX(tab_MinKomp[Scrum],MATCH($B159,tab_MinKomp[[Stanowisko / Position ]:[Stanowisko / Position ]],0)))</f>
        <v>n/a</v>
      </c>
      <c r="CC160" s="341" t="str">
        <f>IF(INDEX(tab_MinKomp[SQL (MySQL)],MATCH($B159,tab_MinKomp[[Stanowisko / Position ]:[Stanowisko / Position ]],0))="n/a","n/a",CC159-INDEX(tab_MinKomp[SQL (MySQL)],MATCH($B159,tab_MinKomp[[Stanowisko / Position ]:[Stanowisko / Position ]],0)))</f>
        <v>n/a</v>
      </c>
      <c r="CD160" s="341" t="str">
        <f>IF(INDEX(tab_MinKomp[Javascript],MATCH($B159,tab_MinKomp[[Stanowisko / Position ]:[Stanowisko / Position ]],0))="n/a","n/a",CD159-INDEX(tab_MinKomp[Javascript],MATCH($B159,tab_MinKomp[[Stanowisko / Position ]:[Stanowisko / Position ]],0)))</f>
        <v>n/a</v>
      </c>
      <c r="CE160" s="341" t="str">
        <f>IF(INDEX(tab_MinKomp[Joomla],MATCH($B159,tab_MinKomp[[Stanowisko / Position ]:[Stanowisko / Position ]],0))="n/a","n/a",CE159-INDEX(tab_MinKomp[Joomla],MATCH($B159,tab_MinKomp[[Stanowisko / Position ]:[Stanowisko / Position ]],0)))</f>
        <v>n/a</v>
      </c>
      <c r="CF160" s="341" t="str">
        <f>IF(INDEX(tab_MinKomp[Bash],MATCH($B159,tab_MinKomp[[Stanowisko / Position ]:[Stanowisko / Position ]],0))="n/a","n/a",CF159-INDEX(tab_MinKomp[Bash],MATCH($B159,tab_MinKomp[[Stanowisko / Position ]:[Stanowisko / Position ]],0)))</f>
        <v>n/a</v>
      </c>
      <c r="CG160" s="341" t="str">
        <f>IF(INDEX(tab_MinKomp[Systemy MES (HYDRA / SFMS)],MATCH($B159,tab_MinKomp[[Stanowisko / Position ]:[Stanowisko / Position ]],0))="n/a","n/a",CG159-INDEX(tab_MinKomp[Systemy MES (HYDRA / SFMS)],MATCH($B159,tab_MinKomp[[Stanowisko / Position ]:[Stanowisko / Position ]],0)))</f>
        <v>n/a</v>
      </c>
      <c r="CH160" s="341" t="str">
        <f>IF(INDEX(tab_MinKomp[HTML / CSS],MATCH($B159,tab_MinKomp[[Stanowisko / Position ]:[Stanowisko / Position ]],0))="n/a","n/a",CH159-INDEX(tab_MinKomp[HTML / CSS],MATCH($B159,tab_MinKomp[[Stanowisko / Position ]:[Stanowisko / Position ]],0)))</f>
        <v>n/a</v>
      </c>
      <c r="CI160" s="341">
        <f>IF(INDEX(tab_MinKomp[SYSTEM PR],MATCH($B159,tab_MinKomp[[Stanowisko / Position ]:[Stanowisko / Position ]],0))="n/a","n/a",CI159-INDEX(tab_MinKomp[SYSTEM PR],MATCH($B159,tab_MinKomp[[Stanowisko / Position ]:[Stanowisko / Position ]],0)))</f>
        <v>0</v>
      </c>
      <c r="CJ160" s="341" t="str">
        <f>IF(INDEX(tab_MinKomp[System Einkauf XP / EBA],MATCH($B159,tab_MinKomp[[Stanowisko / Position ]:[Stanowisko / Position ]],0))="n/a","n/a",CJ159-INDEX(tab_MinKomp[System Einkauf XP / EBA],MATCH($B159,tab_MinKomp[[Stanowisko / Position ]:[Stanowisko / Position ]],0)))</f>
        <v>n/a</v>
      </c>
      <c r="CK160" s="341" t="str">
        <f>IF(INDEX(tab_MinKomp[Techniki negocjacyjne / Verhandlungstechniken],MATCH($B159,tab_MinKomp[[Stanowisko / Position ]:[Stanowisko / Position ]],0))="n/a","n/a",CK159-INDEX(tab_MinKomp[Techniki negocjacyjne / Verhandlungstechniken],MATCH($B159,tab_MinKomp[[Stanowisko / Position ]:[Stanowisko / Position ]],0)))</f>
        <v>n/a</v>
      </c>
      <c r="CL160" s="341">
        <f>IF(INDEX(tab_MinKomp[Znajomość rynku branżowego / Kenntnis des Industrie Marktes],MATCH($B159,tab_MinKomp[[Stanowisko / Position ]:[Stanowisko / Position ]],0))="n/a","n/a",CL159-INDEX(tab_MinKomp[Znajomość rynku branżowego / Kenntnis des Industrie Marktes],MATCH($B159,tab_MinKomp[[Stanowisko / Position ]:[Stanowisko / Position ]],0)))</f>
        <v>-1</v>
      </c>
      <c r="CM160" s="341" t="str">
        <f>IF(INDEX(tab_MinKomp[RAPORTY 8D / 8D Berichten],MATCH($B159,tab_MinKomp[[Stanowisko / Position ]:[Stanowisko / Position ]],0))="n/a","n/a",CM159-INDEX(tab_MinKomp[RAPORTY 8D / 8D Berichten],MATCH($B159,tab_MinKomp[[Stanowisko / Position ]:[Stanowisko / Position ]],0)))</f>
        <v>n/a</v>
      </c>
      <c r="CN160" s="341">
        <f>IF(INDEX(tab_MinKomp[NARZĘDZIA JAKOŚCIOWE (5WHY, Ishikawa, etc) / QS-Werkzeuge],MATCH($B159,tab_MinKomp[[Stanowisko / Position ]:[Stanowisko / Position ]],0))="n/a","n/a",CN159-INDEX(tab_MinKomp[NARZĘDZIA JAKOŚCIOWE (5WHY, Ishikawa, etc) / QS-Werkzeuge],MATCH($B159,tab_MinKomp[[Stanowisko / Position ]:[Stanowisko / Position ]],0)))</f>
        <v>-1</v>
      </c>
      <c r="CO160" s="341">
        <f>IF(INDEX(tab_MinKomp[PDCA],MATCH($B159,tab_MinKomp[[Stanowisko / Position ]:[Stanowisko / Position ]],0))="n/a","n/a",CO159-INDEX(tab_MinKomp[PDCA],MATCH($B159,tab_MinKomp[[Stanowisko / Position ]:[Stanowisko / Position ]],0)))</f>
        <v>-1</v>
      </c>
      <c r="CP160" s="341">
        <f>IF(INDEX(tab_MinKomp[Pareto],MATCH($B159,tab_MinKomp[[Stanowisko / Position ]:[Stanowisko / Position ]],0))="n/a","n/a",CP159-INDEX(tab_MinKomp[Pareto],MATCH($B159,tab_MinKomp[[Stanowisko / Position ]:[Stanowisko / Position ]],0)))</f>
        <v>-1</v>
      </c>
      <c r="CQ160" s="341" t="str">
        <f>IF(INDEX(tab_MinKomp[PPAP/PSW],MATCH($B159,tab_MinKomp[[Stanowisko / Position ]:[Stanowisko / Position ]],0))="n/a","n/a",CQ159-INDEX(tab_MinKomp[PPAP/PSW],MATCH($B159,tab_MinKomp[[Stanowisko / Position ]:[Stanowisko / Position ]],0)))</f>
        <v>n/a</v>
      </c>
      <c r="CR160" s="341" t="str">
        <f>IF(INDEX(tab_MinKomp[SUPPLIER MANAGEMENT],MATCH($B159,tab_MinKomp[[Stanowisko / Position ]:[Stanowisko / Position ]],0))="n/a","n/a",CR159-INDEX(tab_MinKomp[SUPPLIER MANAGEMENT],MATCH($B159,tab_MinKomp[[Stanowisko / Position ]:[Stanowisko / Position ]],0)))</f>
        <v>n/a</v>
      </c>
      <c r="CS160" s="341" t="str">
        <f>IF(INDEX(tab_MinKomp[OBSŁUGA PORTALI KLIENTA / Kundenportale],MATCH($B159,tab_MinKomp[[Stanowisko / Position ]:[Stanowisko / Position ]],0))="n/a","n/a",CS159-INDEX(tab_MinKomp[OBSŁUGA PORTALI KLIENTA / Kundenportale],MATCH($B159,tab_MinKomp[[Stanowisko / Position ]:[Stanowisko / Position ]],0)))</f>
        <v>n/a</v>
      </c>
      <c r="CT160" s="341" t="str">
        <f>IF(INDEX(tab_MinKomp[Obsługa systemu BABTECQ / BABTECQ System],MATCH($B159,tab_MinKomp[[Stanowisko / Position ]:[Stanowisko / Position ]],0))="n/a","n/a",CT159-INDEX(tab_MinKomp[Obsługa systemu BABTECQ / BABTECQ System],MATCH($B159,tab_MinKomp[[Stanowisko / Position ]:[Stanowisko / Position ]],0)))</f>
        <v>n/a</v>
      </c>
      <c r="CU160" s="341">
        <f>IF(INDEX(tab_MinKomp[Rysunek techniczny / technische Zeichnung],MATCH($B159,tab_MinKomp[[Stanowisko / Position ]:[Stanowisko / Position ]],0))="n/a","n/a",CU159-INDEX(tab_MinKomp[Rysunek techniczny / technische Zeichnung],MATCH($B159,tab_MinKomp[[Stanowisko / Position ]:[Stanowisko / Position ]],0)))</f>
        <v>0</v>
      </c>
      <c r="CV160" s="341" t="str">
        <f>IF(INDEX(tab_MinKomp[Kalibracja / Kalibrierung],MATCH($B159,tab_MinKomp[[Stanowisko / Position ]:[Stanowisko / Position ]],0))="n/a","n/a",CV159-INDEX(tab_MinKomp[Kalibracja / Kalibrierung],MATCH($B159,tab_MinKomp[[Stanowisko / Position ]:[Stanowisko / Position ]],0)))</f>
        <v>n/a</v>
      </c>
      <c r="CW160" s="341" t="str">
        <f>IF(INDEX(tab_MinKomp[Rekwalifikacja / Requalifizierung],MATCH($B159,tab_MinKomp[[Stanowisko / Position ]:[Stanowisko / Position ]],0))="n/a","n/a",CW159-INDEX(tab_MinKomp[Rekwalifikacja / Requalifizierung],MATCH($B159,tab_MinKomp[[Stanowisko / Position ]:[Stanowisko / Position ]],0)))</f>
        <v>n/a</v>
      </c>
      <c r="CX160" s="341" t="str">
        <f>IF(INDEX(tab_MinKomp[Obsługa mikroskopu optycznego / Bedienung eines optischen Mikroskops],MATCH($B159,tab_MinKomp[[Stanowisko / Position ]:[Stanowisko / Position ]],0))="n/a","n/a",CX159-INDEX(tab_MinKomp[Obsługa mikroskopu optycznego / Bedienung eines optischen Mikroskops],MATCH($B159,tab_MinKomp[[Stanowisko / Position ]:[Stanowisko / Position ]],0)))</f>
        <v>n/a</v>
      </c>
      <c r="CY160" s="341" t="str">
        <f>IF(INDEX(tab_MinKomp[Wykonywanie pomiarów optycznych - ocena wizualna / Optische Messungen durchführen – visuelle Beurteilung],MATCH($B159,tab_MinKomp[[Stanowisko / Position ]:[Stanowisko / Position ]],0))="n/a","n/a",CY159-INDEX(tab_MinKomp[Wykonywanie pomiarów optycznych - ocena wizualna / Optische Messungen durchführen – visuelle Beurteilung],MATCH($B159,tab_MinKomp[[Stanowisko / Position ]:[Stanowisko / Position ]],0)))</f>
        <v>n/a</v>
      </c>
      <c r="CZ160" s="341" t="str">
        <f>IF(INDEX(tab_MinKomp[Obsługa Rheometra / Rheometra-Unterstützung],MATCH($B159,tab_MinKomp[[Stanowisko / Position ]:[Stanowisko / Position ]],0))="n/a","n/a",CZ159-INDEX(tab_MinKomp[Obsługa Rheometra / Rheometra-Unterstützung],MATCH($B159,tab_MinKomp[[Stanowisko / Position ]:[Stanowisko / Position ]],0)))</f>
        <v>n/a</v>
      </c>
      <c r="DA160" s="341" t="str">
        <f>IF(INDEX(tab_MinKomp[Testy właściwości Rheometra mieszanki gumy],MATCH($B159,tab_MinKomp[[Stanowisko / Position ]:[Stanowisko / Position ]],0))="n/a","n/a",DA159-INDEX(tab_MinKomp[Testy właściwości Rheometra mieszanki gumy],MATCH($B159,tab_MinKomp[[Stanowisko / Position ]:[Stanowisko / Position ]],0)))</f>
        <v>n/a</v>
      </c>
      <c r="DB160" s="341" t="str">
        <f>IF(INDEX(tab_MinKomp[CMM - Contura Zeiss],MATCH($B159,tab_MinKomp[[Stanowisko / Position ]:[Stanowisko / Position ]],0))="n/a","n/a",DB159-INDEX(tab_MinKomp[CMM - Contura Zeiss],MATCH($B159,tab_MinKomp[[Stanowisko / Position ]:[Stanowisko / Position ]],0)))</f>
        <v>n/a</v>
      </c>
      <c r="DC160" s="341" t="str">
        <f>IF(INDEX(tab_MinKomp[Wykonywanie precyzyjnych pomiarów metrycznych, pomiary 3D],MATCH($B159,tab_MinKomp[[Stanowisko / Position ]:[Stanowisko / Position ]],0))="n/a","n/a",DC159-INDEX(tab_MinKomp[Wykonywanie precyzyjnych pomiarów metrycznych, pomiary 3D],MATCH($B159,tab_MinKomp[[Stanowisko / Position ]:[Stanowisko / Position ]],0)))</f>
        <v>n/a</v>
      </c>
      <c r="DD160" s="341" t="str">
        <f>IF(INDEX(tab_MinKomp[Pisanie programów / Programme schreiben],MATCH($B159,tab_MinKomp[[Stanowisko / Position ]:[Stanowisko / Position ]],0))="n/a","n/a",DD159-INDEX(tab_MinKomp[Pisanie programów / Programme schreiben],MATCH($B159,tab_MinKomp[[Stanowisko / Position ]:[Stanowisko / Position ]],0)))</f>
        <v>n/a</v>
      </c>
      <c r="DE160" s="341" t="str">
        <f>IF(INDEX(tab_MinKomp[Obsługa wyposażenia do testów czystości (myjka + analizator) / Betrieb von Sauberkeitsprüfgeräten (Waschmaschine + Analysegerät)],MATCH($B159,tab_MinKomp[[Stanowisko / Position ]:[Stanowisko / Position ]],0))="n/a","n/a",DE159-INDEX(tab_MinKomp[Obsługa wyposażenia do testów czystości (myjka + analizator) / Betrieb von Sauberkeitsprüfgeräten (Waschmaschine + Analysegerät)],MATCH($B159,tab_MinKomp[[Stanowisko / Position ]:[Stanowisko / Position ]],0)))</f>
        <v>n/a</v>
      </c>
      <c r="DF160" s="341" t="str">
        <f>IF(INDEX(tab_MinKomp[Testy czystości / Reinheitstests],MATCH($B159,tab_MinKomp[[Stanowisko / Position ]:[Stanowisko / Position ]],0))="n/a","n/a",DF159-INDEX(tab_MinKomp[Testy czystości / Reinheitstests],MATCH($B159,tab_MinKomp[[Stanowisko / Position ]:[Stanowisko / Position ]],0)))</f>
        <v>n/a</v>
      </c>
      <c r="DG160" s="341" t="str">
        <f>IF(INDEX(tab_MinKomp[Obsługa wysokościomierza / Unterstützung für Höhenmesser],MATCH($B159,tab_MinKomp[[Stanowisko / Position ]:[Stanowisko / Position ]],0))="n/a","n/a",DG159-INDEX(tab_MinKomp[Obsługa wysokościomierza / Unterstützung für Höhenmesser],MATCH($B159,tab_MinKomp[[Stanowisko / Position ]:[Stanowisko / Position ]],0)))</f>
        <v>n/a</v>
      </c>
      <c r="DH160" s="341" t="str">
        <f>IF(INDEX(tab_MinKomp[Pomiary wysokości materiału / Materialhöhenmessungen],MATCH($B159,tab_MinKomp[[Stanowisko / Position ]:[Stanowisko / Position ]],0))="n/a","n/a",DH159-INDEX(tab_MinKomp[Pomiary wysokości materiału / Materialhöhenmessungen],MATCH($B159,tab_MinKomp[[Stanowisko / Position ]:[Stanowisko / Position ]],0)))</f>
        <v>n/a</v>
      </c>
      <c r="DI160" s="341" t="str">
        <f>IF(INDEX(tab_MinKomp[Obsługa okrągłościomierza / Unterstützung für Rundheitsmessgeräte],MATCH($B159,tab_MinKomp[[Stanowisko / Position ]:[Stanowisko / Position ]],0))="n/a","n/a",DI159-INDEX(tab_MinKomp[Obsługa okrągłościomierza / Unterstützung für Rundheitsmessgeräte],MATCH($B159,tab_MinKomp[[Stanowisko / Position ]:[Stanowisko / Position ]],0)))</f>
        <v>n/a</v>
      </c>
      <c r="DJ160" s="341" t="str">
        <f>IF(INDEX(tab_MinKomp[Wykonywania pomiarów owalności, srednicy materiału / Messung der Ovalität und des Durchmessers des Materials],MATCH($B159,tab_MinKomp[[Stanowisko / Position ]:[Stanowisko / Position ]],0))="n/a","n/a",DJ159-INDEX(tab_MinKomp[Wykonywania pomiarów owalności, srednicy materiału / Messung der Ovalität und des Durchmessers des Materials],MATCH($B159,tab_MinKomp[[Stanowisko / Position ]:[Stanowisko / Position ]],0)))</f>
        <v>n/a</v>
      </c>
      <c r="DK160" s="341" t="str">
        <f>IF(INDEX(tab_MinKomp[Obsługa urządzenia do pomiarów chropowoatości powierzchni materiału],MATCH($B159,tab_MinKomp[[Stanowisko / Position ]:[Stanowisko / Position ]],0))="n/a","n/a",DK159-INDEX(tab_MinKomp[Obsługa urządzenia do pomiarów chropowoatości powierzchni materiału],MATCH($B159,tab_MinKomp[[Stanowisko / Position ]:[Stanowisko / Position ]],0)))</f>
        <v>n/a</v>
      </c>
      <c r="DL160" s="341" t="str">
        <f>IF(INDEX(tab_MinKomp[Wykonywanie pomiarów chropowatości powierzchni materiału / Durchführung von Messungen der Materialoberflächenrauheit],MATCH($B159,tab_MinKomp[[Stanowisko / Position ]:[Stanowisko / Position ]],0))="n/a","n/a",DL159-INDEX(tab_MinKomp[Wykonywanie pomiarów chropowatości powierzchni materiału / Durchführung von Messungen der Materialoberflächenrauheit],MATCH($B159,tab_MinKomp[[Stanowisko / Position ]:[Stanowisko / Position ]],0)))</f>
        <v>n/a</v>
      </c>
      <c r="DM160" s="341" t="str">
        <f>IF(INDEX(tab_MinKomp[Obsługa urządzenia do pomiaru siły radialnej części - postępowanie z trzpieniami. / Funktionsweise des Geräts zur Messung der Radialkraft von Teilen – Handhabungsstifte.],MATCH($B159,tab_MinKomp[[Stanowisko / Position ]:[Stanowisko / Position ]],0))="n/a","n/a",DM159-INDEX(tab_MinKomp[Obsługa urządzenia do pomiaru siły radialnej części - postępowanie z trzpieniami. / Funktionsweise des Geräts zur Messung der Radialkraft von Teilen – Handhabungsstifte.],MATCH($B159,tab_MinKomp[[Stanowisko / Position ]:[Stanowisko / Position ]],0)))</f>
        <v>n/a</v>
      </c>
      <c r="DN160" s="341" t="str">
        <f>IF(INDEX(tab_MinKomp[Wykonywanie pomiarów siły radialnej części / Führen Sie Radialkraftmessungen an Teilen durch],MATCH($B159,tab_MinKomp[[Stanowisko / Position ]:[Stanowisko / Position ]],0))="n/a","n/a",DN159-INDEX(tab_MinKomp[Wykonywanie pomiarów siły radialnej części / Führen Sie Radialkraftmessungen an Teilen durch],MATCH($B159,tab_MinKomp[[Stanowisko / Position ]:[Stanowisko / Position ]],0)))</f>
        <v>n/a</v>
      </c>
      <c r="DO160" s="341" t="str">
        <f>IF(INDEX(tab_MinKomp[Obsługa komory do testów wybuchwych / Betrieb einer Explosionsprüfkammer],MATCH($B159,tab_MinKomp[[Stanowisko / Position ]:[Stanowisko / Position ]],0))="n/a","n/a",DO159-INDEX(tab_MinKomp[Obsługa komory do testów wybuchwych / Betrieb einer Explosionsprüfkammer],MATCH($B159,tab_MinKomp[[Stanowisko / Position ]:[Stanowisko / Position ]],0)))</f>
        <v>n/a</v>
      </c>
      <c r="DP160" s="341" t="str">
        <f>IF(INDEX(tab_MinKomp[Wykonywanie testów wybuchowych części / Durchführung von Explosionstests an Teilen],MATCH($B159,tab_MinKomp[[Stanowisko / Position ]:[Stanowisko / Position ]],0))="n/a","n/a",DP159-INDEX(tab_MinKomp[Wykonywanie testów wybuchowych części / Durchführung von Explosionstests an Teilen],MATCH($B159,tab_MinKomp[[Stanowisko / Position ]:[Stanowisko / Position ]],0)))</f>
        <v>n/a</v>
      </c>
      <c r="DQ160" s="341" t="str">
        <f>IF(INDEX(tab_MinKomp[Obsługa urządzeń do mierzenia siły trzymania i/lub rozciągania / Betrieb von Geräten zur Messung der Halte- und/oder Dehnkraft],MATCH($B159,tab_MinKomp[[Stanowisko / Position ]:[Stanowisko / Position ]],0))="n/a","n/a",DQ159-INDEX(tab_MinKomp[Obsługa urządzeń do mierzenia siły trzymania i/lub rozciągania / Betrieb von Geräten zur Messung der Halte- und/oder Dehnkraft],MATCH($B159,tab_MinKomp[[Stanowisko / Position ]:[Stanowisko / Position ]],0)))</f>
        <v>n/a</v>
      </c>
      <c r="DR160" s="341" t="str">
        <f>IF(INDEX(tab_MinKomp[Wykonywanie testów mierzenia siły trzymania i/lub rozciągania / Durchführung von Tests zur Messung der Halte- und/oder Streckkraft],MATCH($B159,tab_MinKomp[[Stanowisko / Position ]:[Stanowisko / Position ]],0))="n/a","n/a",DR159-INDEX(tab_MinKomp[Wykonywanie testów mierzenia siły trzymania i/lub rozciągania / Durchführung von Tests zur Messung der Halte- und/oder Streckkraft],MATCH($B159,tab_MinKomp[[Stanowisko / Position ]:[Stanowisko / Position ]],0)))</f>
        <v>n/a</v>
      </c>
      <c r="DS160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Luftstrom)],MATCH($B159,tab_MinKomp[[Stanowisko / Position ]:[Stanowisko / Position ]],0))="n/a","n/a",DS159-INDEX(tab_MinKomp[Obsługa multimetru do pomiarów środowiskowych (temperatura, wilgotność, hałas, oświetlenie, przepływ powietrza) / Betrieb eines Multimeters für Umweltmessungen (Temperatur, Luftfeuchtigkeit, Lärm, Beleuchtung, Luftstrom)],MATCH($B159,tab_MinKomp[[Stanowisko / Position ]:[Stanowisko / Position ]],0)))</f>
        <v>n/a</v>
      </c>
      <c r="DT160" s="341" t="str">
        <f>IF(INDEX(tab_MinKomp[Kontrola warunków środowiskowych pracy (temperatura, wilgotność, hałas, oświetlenie, przepływ powietrza) / Kontrolle der Arbeitsumgebungsbedingungen (Temperatur, Luftfeuchtigkeit, Lärm, Beleuchtung, Luftstrom)],MATCH($B159,tab_MinKomp[[Stanowisko / Position ]:[Stanowisko / Position ]],0))="n/a","n/a",DT159-INDEX(tab_MinKomp[Kontrola warunków środowiskowych pracy (temperatura, wilgotność, hałas, oświetlenie, przepływ powietrza) / Kontrolle der Arbeitsumgebungsbedingungen (Temperatur, Luftfeuchtigkeit, Lärm, Beleuchtung, Luftstrom)],MATCH($B159,tab_MinKomp[[Stanowisko / Position ]:[Stanowisko / Position ]],0)))</f>
        <v>n/a</v>
      </c>
      <c r="DU160" s="341" t="str">
        <f>IF(INDEX(tab_MinKomp[MSA i SPC],MATCH($B159,tab_MinKomp[[Stanowisko / Position ]:[Stanowisko / Position ]],0))="n/a","n/a",DU159-INDEX(tab_MinKomp[MSA i SPC],MATCH($B159,tab_MinKomp[[Stanowisko / Position ]:[Stanowisko / Position ]],0)))</f>
        <v>n/a</v>
      </c>
      <c r="DV160" s="341" t="str">
        <f>IF(INDEX(tab_MinKomp[Kontrola wejściowa komponentów/ Eingangskontrolle],MATCH($B159,tab_MinKomp[[Stanowisko / Position ]:[Stanowisko / Position ]],0))="n/a","n/a",DV159-INDEX(tab_MinKomp[Kontrola wejściowa komponentów/ Eingangskontrolle],MATCH($B159,tab_MinKomp[[Stanowisko / Position ]:[Stanowisko / Position ]],0)))</f>
        <v>n/a</v>
      </c>
      <c r="DW160" s="341" t="str">
        <f>IF(INDEX(tab_MinKomp[Kontrola wyjściowa produktu / Ausgangskontrolle],MATCH($B159,tab_MinKomp[[Stanowisko / Position ]:[Stanowisko / Position ]],0))="n/a","n/a",DW159-INDEX(tab_MinKomp[Kontrola wyjściowa produktu / Ausgangskontrolle],MATCH($B159,tab_MinKomp[[Stanowisko / Position ]:[Stanowisko / Position ]],0)))</f>
        <v>n/a</v>
      </c>
      <c r="DX160" s="341" t="str">
        <f>IF(INDEX(tab_MinKomp[Kontrola codzienna produkcji / Tägliche Produktionskontrolle],MATCH($B159,tab_MinKomp[[Stanowisko / Position ]:[Stanowisko / Position ]],0))="n/a","n/a",DX159-INDEX(tab_MinKomp[Kontrola codzienna produkcji / Tägliche Produktionskontrolle],MATCH($B159,tab_MinKomp[[Stanowisko / Position ]:[Stanowisko / Position ]],0)))</f>
        <v>n/a</v>
      </c>
      <c r="DY160" s="341">
        <f>IF(INDEX(tab_MinKomp[Konserwacja Rep],MATCH($B159,tab_MinKomp[[Stanowisko / Position ]:[Stanowisko / Position ]],0))="n/a","n/a",DY159-INDEX(tab_MinKomp[Konserwacja Rep],MATCH($B159,tab_MinKomp[[Stanowisko / Position ]:[Stanowisko / Position ]],0)))</f>
        <v>0</v>
      </c>
      <c r="DZ160" s="341">
        <f>IF(INDEX(tab_MinKomp[[Konserwacja Engel ]],MATCH($B159,tab_MinKomp[[Stanowisko / Position ]:[Stanowisko / Position ]],0))="n/a","n/a",DZ159-INDEX(tab_MinKomp[[Konserwacja Engel ]],MATCH($B159,tab_MinKomp[[Stanowisko / Position ]:[Stanowisko / Position ]],0)))</f>
        <v>-1</v>
      </c>
      <c r="EA160" s="341">
        <f>IF(INDEX(tab_MinKomp[Konserwacja B 50],MATCH($B159,tab_MinKomp[[Stanowisko / Position ]:[Stanowisko / Position ]],0))="n/a","n/a",EA159-INDEX(tab_MinKomp[Konserwacja B 50],MATCH($B159,tab_MinKomp[[Stanowisko / Position ]:[Stanowisko / Position ]],0)))</f>
        <v>-1</v>
      </c>
      <c r="EB160" s="341">
        <f>IF(INDEX(tab_MinKomp[[Konserwacja EOL ]],MATCH($B159,tab_MinKomp[[Stanowisko / Position ]:[Stanowisko / Position ]],0))="n/a","n/a",EB159-INDEX(tab_MinKomp[[Konserwacja EOL ]],MATCH($B159,tab_MinKomp[[Stanowisko / Position ]:[Stanowisko / Position ]],0)))</f>
        <v>-1</v>
      </c>
      <c r="EC160" s="341">
        <f>IF(INDEX(tab_MinKomp[Konserwacja Branson],MATCH($B159,tab_MinKomp[[Stanowisko / Position ]:[Stanowisko / Position ]],0))="n/a","n/a",EC159-INDEX(tab_MinKomp[Konserwacja Branson],MATCH($B159,tab_MinKomp[[Stanowisko / Position ]:[Stanowisko / Position ]],0)))</f>
        <v>-1</v>
      </c>
      <c r="ED160" s="341">
        <f>IF(INDEX(tab_MinKomp[Konserwacja coolery],MATCH($B159,tab_MinKomp[[Stanowisko / Position ]:[Stanowisko / Position ]],0))="n/a","n/a",ED159-INDEX(tab_MinKomp[Konserwacja coolery],MATCH($B159,tab_MinKomp[[Stanowisko / Position ]:[Stanowisko / Position ]],0)))</f>
        <v>0</v>
      </c>
      <c r="EE160" s="341">
        <f>IF(INDEX(tab_MinKomp[Konserwacja piecy],MATCH($B159,tab_MinKomp[[Stanowisko / Position ]:[Stanowisko / Position ]],0))="n/a","n/a",EE159-INDEX(tab_MinKomp[Konserwacja piecy],MATCH($B159,tab_MinKomp[[Stanowisko / Position ]:[Stanowisko / Position ]],0)))</f>
        <v>-1</v>
      </c>
      <c r="EF160" s="341">
        <f>IF(INDEX(tab_MinKomp[Rysunek techniczny- czytanie],MATCH($B159,tab_MinKomp[[Stanowisko / Position ]:[Stanowisko / Position ]],0))="n/a","n/a",EF159-INDEX(tab_MinKomp[Rysunek techniczny- czytanie],MATCH($B159,tab_MinKomp[[Stanowisko / Position ]:[Stanowisko / Position ]],0)))</f>
        <v>0</v>
      </c>
      <c r="EG160" s="341">
        <f>IF(INDEX(tab_MinKomp[Elektryka],MATCH($B159,tab_MinKomp[[Stanowisko / Position ]:[Stanowisko / Position ]],0))="n/a","n/a",EG159-INDEX(tab_MinKomp[Elektryka],MATCH($B159,tab_MinKomp[[Stanowisko / Position ]:[Stanowisko / Position ]],0)))</f>
        <v>0</v>
      </c>
      <c r="EH160" s="341">
        <f>IF(INDEX(tab_MinKomp[Pneumatyka],MATCH($B159,tab_MinKomp[[Stanowisko / Position ]:[Stanowisko / Position ]],0))="n/a","n/a",EH159-INDEX(tab_MinKomp[Pneumatyka],MATCH($B159,tab_MinKomp[[Stanowisko / Position ]:[Stanowisko / Position ]],0)))</f>
        <v>0</v>
      </c>
      <c r="EI160" s="341">
        <f>IF(INDEX(tab_MinKomp[[Hydraulika ]],MATCH($B159,tab_MinKomp[[Stanowisko / Position ]:[Stanowisko / Position ]],0))="n/a","n/a",EI159-INDEX(tab_MinKomp[[Hydraulika ]],MATCH($B159,tab_MinKomp[[Stanowisko / Position ]:[Stanowisko / Position ]],0)))</f>
        <v>-1</v>
      </c>
      <c r="EJ160" s="341">
        <f>IF(INDEX(tab_MinKomp[Podciśnienie],MATCH($B159,tab_MinKomp[[Stanowisko / Position ]:[Stanowisko / Position ]],0))="n/a","n/a",EJ159-INDEX(tab_MinKomp[Podciśnienie],MATCH($B159,tab_MinKomp[[Stanowisko / Position ]:[Stanowisko / Position ]],0)))</f>
        <v>0</v>
      </c>
      <c r="EK160" s="341">
        <f>IF(INDEX(tab_MinKomp[Usuwanie awarii],MATCH($B159,tab_MinKomp[[Stanowisko / Position ]:[Stanowisko / Position ]],0))="n/a","n/a",EK159-INDEX(tab_MinKomp[Usuwanie awarii],MATCH($B159,tab_MinKomp[[Stanowisko / Position ]:[Stanowisko / Position ]],0)))</f>
        <v>-1</v>
      </c>
      <c r="EL160" s="341">
        <f>IF(INDEX(tab_MinKomp[Obsługa robotów],MATCH($B159,tab_MinKomp[[Stanowisko / Position ]:[Stanowisko / Position ]],0))="n/a","n/a",EL159-INDEX(tab_MinKomp[Obsługa robotów],MATCH($B159,tab_MinKomp[[Stanowisko / Position ]:[Stanowisko / Position ]],0)))</f>
        <v>-2</v>
      </c>
      <c r="EM160" s="341">
        <f>IF(INDEX(tab_MinKomp[Obsługa sterowania maszyny],MATCH($B159,tab_MinKomp[[Stanowisko / Position ]:[Stanowisko / Position ]],0))="n/a","n/a",EM159-INDEX(tab_MinKomp[Obsługa sterowania maszyny],MATCH($B159,tab_MinKomp[[Stanowisko / Position ]:[Stanowisko / Position ]],0)))</f>
        <v>-1</v>
      </c>
      <c r="EN160" s="341">
        <f>IF(INDEX(tab_MinKomp[Usuwanie przyczyn żródłowych],MATCH($B159,tab_MinKomp[[Stanowisko / Position ]:[Stanowisko / Position ]],0))="n/a","n/a",EN159-INDEX(tab_MinKomp[Usuwanie przyczyn żródłowych],MATCH($B159,tab_MinKomp[[Stanowisko / Position ]:[Stanowisko / Position ]],0)))</f>
        <v>-2</v>
      </c>
      <c r="EO160" s="341">
        <f>IF(INDEX(tab_MinKomp[Cmms stosowanie],MATCH($B159,tab_MinKomp[[Stanowisko / Position ]:[Stanowisko / Position ]],0))="n/a","n/a",EO159-INDEX(tab_MinKomp[Cmms stosowanie],MATCH($B159,tab_MinKomp[[Stanowisko / Position ]:[Stanowisko / Position ]],0)))</f>
        <v>0</v>
      </c>
      <c r="EP160" s="341" t="str">
        <f>IF(INDEX(tab_MinKomp[[Czyszczenie form gumowych ]],MATCH($B159,tab_MinKomp[[Stanowisko / Position ]:[Stanowisko / Position ]],0))="n/a","n/a",EP159-INDEX(tab_MinKomp[[Czyszczenie form gumowych ]],MATCH($B159,tab_MinKomp[[Stanowisko / Position ]:[Stanowisko / Position ]],0)))</f>
        <v>n/a</v>
      </c>
      <c r="EQ160" s="341" t="str">
        <f>IF(INDEX(tab_MinKomp[Czyszczenie form plastikowych],MATCH($B159,tab_MinKomp[[Stanowisko / Position ]:[Stanowisko / Position ]],0))="n/a","n/a",EQ159-INDEX(tab_MinKomp[Czyszczenie form plastikowych],MATCH($B159,tab_MinKomp[[Stanowisko / Position ]:[Stanowisko / Position ]],0)))</f>
        <v>n/a</v>
      </c>
      <c r="ER160" s="341" t="str">
        <f>IF(INDEX(tab_MinKomp[Wymiana form plastik],MATCH($B159,tab_MinKomp[[Stanowisko / Position ]:[Stanowisko / Position ]],0))="n/a","n/a",ER159-INDEX(tab_MinKomp[Wymiana form plastik],MATCH($B159,tab_MinKomp[[Stanowisko / Position ]:[Stanowisko / Position ]],0)))</f>
        <v>n/a</v>
      </c>
      <c r="ES160" s="341" t="str">
        <f>IF(INDEX(tab_MinKomp[Wymiana form guma],MATCH($B159,tab_MinKomp[[Stanowisko / Position ]:[Stanowisko / Position ]],0))="n/a","n/a",ES159-INDEX(tab_MinKomp[Wymiana form guma],MATCH($B159,tab_MinKomp[[Stanowisko / Position ]:[Stanowisko / Position ]],0)))</f>
        <v>n/a</v>
      </c>
      <c r="ET160" s="341" t="str">
        <f>IF(INDEX(tab_MinKomp[Konserwacja KK],MATCH($B159,tab_MinKomp[[Stanowisko / Position ]:[Stanowisko / Position ]],0))="n/a","n/a",ET159-INDEX(tab_MinKomp[Konserwacja KK],MATCH($B159,tab_MinKomp[[Stanowisko / Position ]:[Stanowisko / Position ]],0)))</f>
        <v>n/a</v>
      </c>
      <c r="EU160" s="341" t="str">
        <f>IF(INDEX(tab_MinKomp[Konserwacja form guma],MATCH($B159,tab_MinKomp[[Stanowisko / Position ]:[Stanowisko / Position ]],0))="n/a","n/a",EU159-INDEX(tab_MinKomp[Konserwacja form guma],MATCH($B159,tab_MinKomp[[Stanowisko / Position ]:[Stanowisko / Position ]],0)))</f>
        <v>n/a</v>
      </c>
      <c r="EV160" s="341" t="str">
        <f>IF(INDEX(tab_MinKomp[Konserwacja form plastiki],MATCH($B159,tab_MinKomp[[Stanowisko / Position ]:[Stanowisko / Position ]],0))="n/a","n/a",EV159-INDEX(tab_MinKomp[Konserwacja form plastiki],MATCH($B159,tab_MinKomp[[Stanowisko / Position ]:[Stanowisko / Position ]],0)))</f>
        <v>n/a</v>
      </c>
      <c r="EW160" s="330" t="str">
        <f>IF(INDEX(tab_MinKomp[Konserwacja form plastiki],MATCH($B159,tab_MinKomp[[Stanowisko / Position ]:[Stanowisko / Position ]],0))="n/a","n/a",EW159-INDEX(tab_MinKomp[Konserwacja form plastiki],MATCH($B159,tab_MinKomp[[Stanowisko / Position ]:[Stanowisko / Position ]],0)))</f>
        <v>n/a</v>
      </c>
      <c r="EX160" s="341" t="str">
        <f>IF(INDEX(tab_MinKomp[Konserwacja Gorącego Kanału],MATCH($B159,tab_MinKomp[[Stanowisko / Position ]:[Stanowisko / Position ]],0))="n/a","n/a",EX159-INDEX(tab_MinKomp[Konserwacja Gorącego Kanału],MATCH($B159,tab_MinKomp[[Stanowisko / Position ]:[Stanowisko / Position ]],0)))</f>
        <v>n/a</v>
      </c>
      <c r="EY160" s="341">
        <f>IF(INDEX(tab_MinKomp[MS Office (Excel)],MATCH($B159,tab_MinKomp[[Stanowisko / Position ]:[Stanowisko / Position ]],0))="n/a","n/a",EY159-INDEX(tab_MinKomp[MS Office (Excel)],MATCH($B159,tab_MinKomp[[Stanowisko / Position ]:[Stanowisko / Position ]],0)))</f>
        <v>0</v>
      </c>
      <c r="EZ160" s="341">
        <f>IF(INDEX(tab_MinKomp[MS Office (Word)],MATCH($B159,tab_MinKomp[[Stanowisko / Position ]:[Stanowisko / Position ]],0))="n/a","n/a",EZ159-INDEX(tab_MinKomp[MS Office (Word)],MATCH($B159,tab_MinKomp[[Stanowisko / Position ]:[Stanowisko / Position ]],0)))</f>
        <v>0</v>
      </c>
      <c r="FA160" s="341">
        <f>IF(INDEX(tab_MinKomp[MS Office (Power Point)],MATCH($B159,tab_MinKomp[[Stanowisko / Position ]:[Stanowisko / Position ]],0))="n/a","n/a",FA159-INDEX(tab_MinKomp[MS Office (Power Point)],MATCH($B159,tab_MinKomp[[Stanowisko / Position ]:[Stanowisko / Position ]],0)))</f>
        <v>-1</v>
      </c>
      <c r="FB160" s="341" t="str">
        <f>IF(INDEX(tab_MinKomp[Język angielski / Englisch],MATCH($B159,tab_MinKomp[[Stanowisko / Position ]:[Stanowisko / Position ]],0))="n/a","n/a",FB159-INDEX(tab_MinKomp[Język angielski / Englisch],MATCH($B159,tab_MinKomp[[Stanowisko / Position ]:[Stanowisko / Position ]],0)))</f>
        <v>n/a</v>
      </c>
      <c r="FC160" s="341" t="str">
        <f>IF(INDEX(tab_MinKomp[Język niemiecki / Deutsch],MATCH($B159,tab_MinKomp[[Stanowisko / Position ]:[Stanowisko / Position ]],0))="n/a","n/a",FC159-INDEX(tab_MinKomp[Język niemiecki / Deutsch],MATCH($B159,tab_MinKomp[[Stanowisko / Position ]:[Stanowisko / Position ]],0)))</f>
        <v>n/a</v>
      </c>
      <c r="FD160" s="341">
        <f>IF(INDEX(tab_MinKomp[Zarządzanie dokumentacją procesową / Process dokumentation management],MATCH($B159,tab_MinKomp[[Stanowisko / Position ]:[Stanowisko / Position ]],0))="n/a","n/a",FD159-INDEX(tab_MinKomp[Zarządzanie dokumentacją procesową / Process dokumentation management],MATCH($B159,tab_MinKomp[[Stanowisko / Position ]:[Stanowisko / Position ]],0)))</f>
        <v>0</v>
      </c>
      <c r="FE160" s="341">
        <f>IF(INDEX(tab_MinKomp[Znajomość procesów z obszaru / Kenntiss der prozesse in dem Bereich],MATCH($B159,tab_MinKomp[[Stanowisko / Position ]:[Stanowisko / Position ]],0))="n/a","n/a",FE159-INDEX(tab_MinKomp[Znajomość procesów z obszaru / Kenntiss der prozesse in dem Bereich],MATCH($B159,tab_MinKomp[[Stanowisko / Position ]:[Stanowisko / Position ]],0)))</f>
        <v>-1</v>
      </c>
      <c r="FF160" s="341">
        <f>IF(INDEX(tab_MinKomp[optymalizacja procesów / Prozessoptymalisierung],MATCH($B159,tab_MinKomp[[Stanowisko / Position ]:[Stanowisko / Position ]],0))="n/a","n/a",FF159-INDEX(tab_MinKomp[optymalizacja procesów / Prozessoptymalisierung],MATCH($B159,tab_MinKomp[[Stanowisko / Position ]:[Stanowisko / Position ]],0)))</f>
        <v>-1</v>
      </c>
      <c r="FG160" s="341">
        <f>IF(INDEX(tab_MinKomp[Umiejętności szkoleniowe / Trainingsfähigkeiten],MATCH($B159,tab_MinKomp[[Stanowisko / Position ]:[Stanowisko / Position ]],0))="n/a","n/a",FG159-INDEX(tab_MinKomp[Umiejętności szkoleniowe / Trainingsfähigkeiten],MATCH($B159,tab_MinKomp[[Stanowisko / Position ]:[Stanowisko / Position ]],0)))</f>
        <v>-1</v>
      </c>
      <c r="FH160" s="341">
        <f>IF(INDEX(tab_MinKomp[Analityczne myślenie, podejście / Analitysches Denken, Einstellung],MATCH($B159,tab_MinKomp[[Stanowisko / Position ]:[Stanowisko / Position ]],0))="n/a","n/a",FH159-INDEX(tab_MinKomp[Analityczne myślenie, podejście / Analitysches Denken, Einstellung],MATCH($B159,tab_MinKomp[[Stanowisko / Position ]:[Stanowisko / Position ]],0)))</f>
        <v>-1</v>
      </c>
      <c r="FI160" s="341">
        <f>IF(INDEX(tab_MinKomp[Dokładność, precyzja w dzialaniu / Genauigkeit, Präzision in die Arbeit],MATCH($B159,tab_MinKomp[[Stanowisko / Position ]:[Stanowisko / Position ]],0))="n/a","n/a",FI159-INDEX(tab_MinKomp[Dokładność, precyzja w dzialaniu / Genauigkeit, Präzision in die Arbeit],MATCH($B159,tab_MinKomp[[Stanowisko / Position ]:[Stanowisko / Position ]],0)))</f>
        <v>-1</v>
      </c>
      <c r="FJ160" s="341">
        <f>IF(INDEX(tab_MinKomp[Dyspozycyjność / Verfügbarkeit],MATCH($B159,tab_MinKomp[[Stanowisko / Position ]:[Stanowisko / Position ]],0))="n/a","n/a",FJ159-INDEX(tab_MinKomp[Dyspozycyjność / Verfügbarkeit],MATCH($B159,tab_MinKomp[[Stanowisko / Position ]:[Stanowisko / Position ]],0)))</f>
        <v>0</v>
      </c>
      <c r="FK160" s="341">
        <f>IF(INDEX(tab_MinKomp[Zaangażowanie / 
Engagement],MATCH($B159,tab_MinKomp[[Stanowisko / Position ]:[Stanowisko / Position ]],0))="n/a","n/a",FK159-INDEX(tab_MinKomp[Zaangażowanie / 
Engagement],MATCH($B159,tab_MinKomp[[Stanowisko / Position ]:[Stanowisko / Position ]],0)))</f>
        <v>-1</v>
      </c>
      <c r="FL160" s="341" t="str">
        <f>IF(INDEX(tab_MinKomp[Planowanie strategiczne / Strategische Planung],MATCH($B159,tab_MinKomp[[Stanowisko / Position ]:[Stanowisko / Position ]],0))="n/a","n/a",FL159-INDEX(tab_MinKomp[Planowanie strategiczne / Strategische Planung],MATCH($B159,tab_MinKomp[[Stanowisko / Position ]:[Stanowisko / Position ]],0)))</f>
        <v>n/a</v>
      </c>
      <c r="FM160" s="341">
        <f>IF(INDEX(tab_MinKomp[Konsekwentne i dynamiczne działanie],MATCH($B159,tab_MinKomp[[Stanowisko / Position ]:[Stanowisko / Position ]],0))="n/a","n/a",FM159-INDEX(tab_MinKomp[Konsekwentne i dynamiczne działanie],MATCH($B159,tab_MinKomp[[Stanowisko / Position ]:[Stanowisko / Position ]],0)))</f>
        <v>-1</v>
      </c>
      <c r="FN160" s="341">
        <f>IF(INDEX(tab_MinKomp[Elastyczność w działaniu],MATCH($B159,tab_MinKomp[[Stanowisko / Position ]:[Stanowisko / Position ]],0))="n/a","n/a",FN159-INDEX(tab_MinKomp[Elastyczność w działaniu],MATCH($B159,tab_MinKomp[[Stanowisko / Position ]:[Stanowisko / Position ]],0)))</f>
        <v>-1</v>
      </c>
      <c r="FO160" s="341">
        <f>IF(INDEX(tab_MinKomp[Komunikatywność],MATCH($B159,tab_MinKomp[[Stanowisko / Position ]:[Stanowisko / Position ]],0))="n/a","n/a",FO159-INDEX(tab_MinKomp[Komunikatywność],MATCH($B159,tab_MinKomp[[Stanowisko / Position ]:[Stanowisko / Position ]],0)))</f>
        <v>-1</v>
      </c>
      <c r="FP160" s="341" t="str">
        <f>IF(INDEX(tab_MinKomp[Motywowanie i budowanie zaangażowania zespołu],MATCH($B159,tab_MinKomp[[Stanowisko / Position ]:[Stanowisko / Position ]],0))="n/a","n/a",FP159-INDEX(tab_MinKomp[Motywowanie i budowanie zaangażowania zespołu],MATCH($B159,tab_MinKomp[[Stanowisko / Position ]:[Stanowisko / Position ]],0)))</f>
        <v>n/a</v>
      </c>
      <c r="FQ160" s="346" t="str">
        <f>IFERROR(IF(INDEX(tab_MinKomp[BRAK / Keine],MATCH($B159,tab_MinKomp[[Stanowisko / Position ]:[Stanowisko / Position ]],0))="n/a","n/a",INDEX(tab_MinKomp[BRAK / Keine],MATCH($B159,tab_MinKomp[[Stanowisko / Position ]:[Stanowisko / Position ]],0))-FQ159),"")</f>
        <v>n/a</v>
      </c>
      <c r="FR160" s="343" t="str">
        <f>IF(INDEX(tab_MinKomp[MINIMUM 1 ROK / min. 1 Jahr],MATCH($B159,tab_MinKomp[[Stanowisko / Position ]:[Stanowisko / Position ]],0))="n/a","n/a",INDEX(tab_MinKomp[MINIMUM 1 ROK / min. 1 Jahr],MATCH($B159,tab_MinKomp[[Stanowisko / Position ]:[Stanowisko / Position ]],0)))</f>
        <v>n/a</v>
      </c>
      <c r="FS160" s="343" t="str">
        <f>IF(INDEX(tab_MinKomp[MINIMUM 2 LATA / min. 2 Jahre],MATCH($B159,tab_MinKomp[[Stanowisko / Position ]:[Stanowisko / Position ]],0))="n/a","n/a",INDEX(tab_MinKomp[MINIMUM 2 LATA / min. 2 Jahre],MATCH($B159,tab_MinKomp[[Stanowisko / Position ]:[Stanowisko / Position ]],0)))</f>
        <v>n/a</v>
      </c>
      <c r="FT160" s="343" t="str">
        <f>IF(INDEX(tab_MinKomp[MINIMUM 3 LATA / min. 3 Jahre],MATCH($B159,tab_MinKomp[[Stanowisko / Position ]:[Stanowisko / Position ]],0))="n/a","n/a",INDEX(tab_MinKomp[MINIMUM 3 LATA / min. 3 Jahre],MATCH($B159,tab_MinKomp[[Stanowisko / Position ]:[Stanowisko / Position ]],0)))</f>
        <v>n/a</v>
      </c>
      <c r="FU160" s="343" t="str">
        <f>IF(INDEX(tab_MinKomp[MINIMUM 4 LATA / min. 4 Jahre],MATCH($B159,tab_MinKomp[[Stanowisko / Position ]:[Stanowisko / Position ]],0))="n/a","n/a",INDEX(tab_MinKomp[MINIMUM 4 LATA / min. 4 Jahre],MATCH($B159,tab_MinKomp[[Stanowisko / Position ]:[Stanowisko / Position ]],0)))</f>
        <v>n/a</v>
      </c>
      <c r="FV160" s="347" t="str">
        <f>IF(INDEX(tab_MinKomp[MINIMUM 5 LAT / min. 5 Jahre],MATCH($B159,tab_MinKomp[[Stanowisko / Position ]:[Stanowisko / Position ]],0))="n/a","n/a",INDEX(tab_MinKomp[MINIMUM 5 LAT / min. 5 Jahre],MATCH($B159,tab_MinKomp[[Stanowisko / Position ]:[Stanowisko / Position ]],0)))</f>
        <v>n/a</v>
      </c>
      <c r="FW160" s="346" t="str">
        <f>IF(INDEX(tab_MinKomp[BRAK / Keine9],MATCH($B159,tab_MinKomp[[Stanowisko / Position ]:[Stanowisko / Position ]],0))="n/a","n/a",INDEX(tab_MinKomp[BRAK / Keine9],MATCH($B159,tab_MinKomp[[Stanowisko / Position ]:[Stanowisko / Position ]],0)))</f>
        <v>n/a</v>
      </c>
      <c r="FX160" s="343" t="str">
        <f>IF(INDEX(tab_MinKomp[ZAWODOWE / Berufsausbildung],MATCH($B159,tab_MinKomp[[Stanowisko / Position ]:[Stanowisko / Position ]],0))="n/a","n/a",INDEX(tab_MinKomp[ZAWODOWE / Berufsausbildung],MATCH($B159,tab_MinKomp[[Stanowisko / Position ]:[Stanowisko / Position ]],0)))</f>
        <v>n/a</v>
      </c>
      <c r="FY160" s="343" t="str">
        <f>IF(INDEX(tab_MinKomp[ŚREDNIE OGÓLNE / Abitur allgemeine],MATCH($B159,tab_MinKomp[[Stanowisko / Position ]:[Stanowisko / Position ]],0))="n/a","n/a",INDEX(tab_MinKomp[ŚREDNIE OGÓLNE / Abitur allgemeine],MATCH($B159,tab_MinKomp[[Stanowisko / Position ]:[Stanowisko / Position ]],0)))</f>
        <v>n/a</v>
      </c>
      <c r="FZ160" s="343" t="str">
        <f>IF(INDEX(tab_MinKomp[ŚREDNIE KIERUNKOWE / berufliches Gymnasium],MATCH($B159,tab_MinKomp[[Stanowisko / Position ]:[Stanowisko / Position ]],0))="n/a","n/a",INDEX(tab_MinKomp[ŚREDNIE KIERUNKOWE / berufliches Gymnasium],MATCH($B159,tab_MinKomp[[Stanowisko / Position ]:[Stanowisko / Position ]],0)))</f>
        <v>n/a</v>
      </c>
      <c r="GA160" s="343" t="str">
        <f>IF(INDEX(tab_MinKomp[WYŻSZE OGÓLNE / Hochschule allgemeine],MATCH($B159,tab_MinKomp[[Stanowisko / Position ]:[Stanowisko / Position ]],0))="n/a","n/a",INDEX(tab_MinKomp[WYŻSZE OGÓLNE / Hochschule allgemeine],MATCH($B159,tab_MinKomp[[Stanowisko / Position ]:[Stanowisko / Position ]],0)))</f>
        <v>n/a</v>
      </c>
      <c r="GB160" s="347" t="str">
        <f>IF(INDEX(tab_MinKomp[WYŻSZE KIERUNKOWE / Hochschule berufliche],MATCH($B159,tab_MinKomp[[Stanowisko / Position ]:[Stanowisko / Position ]],0))="n/a","n/a",INDEX(tab_MinKomp[WYŻSZE KIERUNKOWE / Hochschule berufliche],MATCH($B159,tab_MinKomp[[Stanowisko / Position ]:[Stanowisko / Position ]],0)))</f>
        <v>n/a</v>
      </c>
      <c r="GC160" s="346" t="str">
        <f>IF(INDEX(tab_MinKomp[PIERWSZA POMOC / Erste Hilfe],MATCH($B159,tab_MinKomp[[Stanowisko / Position ]:[Stanowisko / Position ]],0))="n/a","n/a",INDEX(tab_MinKomp[PIERWSZA POMOC / Erste Hilfe],MATCH($B159,tab_MinKomp[[Stanowisko / Position ]:[Stanowisko / Position ]],0)))</f>
        <v>n/a</v>
      </c>
      <c r="GD160" s="343" t="str">
        <f>IF(INDEX(tab_MinKomp[Specjalista BHP / BHP Spezialist],MATCH($B159,tab_MinKomp[[Stanowisko / Position ]:[Stanowisko / Position ]],0))="n/a","n/a",INDEX(tab_MinKomp[Specjalista BHP / BHP Spezialist],MATCH($B159,tab_MinKomp[[Stanowisko / Position ]:[Stanowisko / Position ]],0)))</f>
        <v>n/a</v>
      </c>
      <c r="GE160" s="343" t="str">
        <f>IF(INDEX(tab_MinKomp[Inspektor ochrony PPOŻ / Brandschutzinspektor],MATCH($B159,tab_MinKomp[[Stanowisko / Position ]:[Stanowisko / Position ]],0))="n/a","n/a",INDEX(tab_MinKomp[Inspektor ochrony PPOŻ / Brandschutzinspektor],MATCH($B159,tab_MinKomp[[Stanowisko / Position ]:[Stanowisko / Position ]],0)))</f>
        <v>n/a</v>
      </c>
      <c r="GF160" s="343" t="str">
        <f>IF(INDEX(tab_MinKomp[WÓZKI JEZDNIOWE / Gebelstapler],MATCH($B159,tab_MinKomp[[Stanowisko / Position ]:[Stanowisko / Position ]],0))="n/a","n/a",INDEX(tab_MinKomp[WÓZKI JEZDNIOWE / Gebelstapler],MATCH($B159,tab_MinKomp[[Stanowisko / Position ]:[Stanowisko / Position ]],0)))</f>
        <v>x</v>
      </c>
      <c r="GG160" s="343" t="str">
        <f>IF(INDEX(tab_MinKomp[SEP],MATCH($B159,tab_MinKomp[[Stanowisko / Position ]:[Stanowisko / Position ]],0))="n/a","n/a",INDEX(tab_MinKomp[SEP],MATCH($B159,tab_MinKomp[[Stanowisko / Position ]:[Stanowisko / Position ]],0)))</f>
        <v>x</v>
      </c>
      <c r="GH160" s="343" t="str">
        <f>IF(INDEX(tab_MinKomp[SEP  DOZÓR / SEP Aufsicht],MATCH($B159,tab_MinKomp[[Stanowisko / Position ]:[Stanowisko / Position ]],0))="n/a","n/a",INDEX(tab_MinKomp[SEP  DOZÓR / SEP Aufsicht],MATCH($B159,tab_MinKomp[[Stanowisko / Position ]:[Stanowisko / Position ]],0)))</f>
        <v>n/a</v>
      </c>
      <c r="GI160" s="343" t="str">
        <f>IF(INDEX(tab_MinKomp[PODNOŚNIKI / Hebevorrichtung],MATCH($B159,tab_MinKomp[[Stanowisko / Position ]:[Stanowisko / Position ]],0))="n/a","n/a",INDEX(tab_MinKomp[PODNOŚNIKI / Hebevorrichtung],MATCH($B159,tab_MinKomp[[Stanowisko / Position ]:[Stanowisko / Position ]],0)))</f>
        <v>x</v>
      </c>
      <c r="GJ160" s="343" t="str">
        <f>IF(INDEX(tab_MinKomp[SUWNICE / Laufkran],MATCH($B159,tab_MinKomp[[Stanowisko / Position ]:[Stanowisko / Position ]],0))="n/a","n/a",INDEX(tab_MinKomp[SUWNICE / Laufkran],MATCH($B159,tab_MinKomp[[Stanowisko / Position ]:[Stanowisko / Position ]],0)))</f>
        <v>n/a</v>
      </c>
      <c r="GK160" s="347" t="str">
        <f>IF(INDEX(tab_MinKomp[WYSOKOŚCIOWE / Höhenberechtigungen],MATCH($B159,tab_MinKomp[[Stanowisko / Position ]:[Stanowisko / Position ]],0))="n/a","n/a",INDEX(tab_MinKomp[WYSOKOŚCIOWE / Höhenberechtigungen],MATCH($B159,tab_MinKomp[[Stanowisko / Position ]:[Stanowisko / Position ]],0)))</f>
        <v>x</v>
      </c>
      <c r="GL160" s="320">
        <f>SUM(G160:FP160)/(GL159-(SUM(G160:FP160)))</f>
        <v>-0.30208333333333331</v>
      </c>
      <c r="GM160" s="132"/>
    </row>
    <row r="161" spans="1:195" ht="28.35" customHeight="1" thickBot="1" x14ac:dyDescent="0.3">
      <c r="A161" s="135" t="s">
        <v>260</v>
      </c>
      <c r="B161" s="135" t="s">
        <v>642</v>
      </c>
      <c r="C161" s="135" t="s">
        <v>750</v>
      </c>
      <c r="D161" s="135">
        <v>1593</v>
      </c>
      <c r="E161" s="565" t="s">
        <v>637</v>
      </c>
      <c r="F161" s="307" t="s">
        <v>165</v>
      </c>
      <c r="G161" s="328">
        <v>2</v>
      </c>
      <c r="H161" s="328">
        <v>2</v>
      </c>
      <c r="I161" s="328">
        <v>2</v>
      </c>
      <c r="J161" s="328">
        <v>2</v>
      </c>
      <c r="K161" s="328">
        <v>2</v>
      </c>
      <c r="L161" s="328">
        <v>1</v>
      </c>
      <c r="M161" s="328" t="s">
        <v>176</v>
      </c>
      <c r="N161" s="328" t="s">
        <v>176</v>
      </c>
      <c r="O161" s="328">
        <v>1</v>
      </c>
      <c r="P161" s="328">
        <v>1</v>
      </c>
      <c r="Q161" s="328" t="s">
        <v>176</v>
      </c>
      <c r="R161" s="328" t="s">
        <v>176</v>
      </c>
      <c r="S161" s="328" t="s">
        <v>176</v>
      </c>
      <c r="T161" s="328" t="s">
        <v>176</v>
      </c>
      <c r="U161" s="308" t="s">
        <v>176</v>
      </c>
      <c r="V161" s="308" t="s">
        <v>176</v>
      </c>
      <c r="W161" s="308" t="s">
        <v>176</v>
      </c>
      <c r="X161" s="308" t="s">
        <v>176</v>
      </c>
      <c r="Y161" s="308" t="s">
        <v>176</v>
      </c>
      <c r="Z161" s="308" t="s">
        <v>176</v>
      </c>
      <c r="AA161" s="308" t="s">
        <v>176</v>
      </c>
      <c r="AB161" s="308">
        <v>2</v>
      </c>
      <c r="AC161" s="308">
        <v>3</v>
      </c>
      <c r="AD161" s="308">
        <v>3</v>
      </c>
      <c r="AE161" s="308">
        <v>3</v>
      </c>
      <c r="AF161" s="308">
        <v>2</v>
      </c>
      <c r="AG161" s="308">
        <v>3</v>
      </c>
      <c r="AH161" s="308">
        <v>3</v>
      </c>
      <c r="AI161" s="308">
        <v>1</v>
      </c>
      <c r="AJ161" s="308">
        <v>2</v>
      </c>
      <c r="AK161" s="308" t="s">
        <v>176</v>
      </c>
      <c r="AL161" s="308">
        <v>3</v>
      </c>
      <c r="AM161" s="308">
        <v>1</v>
      </c>
      <c r="AN161" s="308" t="s">
        <v>176</v>
      </c>
      <c r="AO161" s="308">
        <v>2</v>
      </c>
      <c r="AP161" s="308">
        <v>2</v>
      </c>
      <c r="AQ161" s="308">
        <v>2</v>
      </c>
      <c r="AR161" s="308">
        <v>2</v>
      </c>
      <c r="AS161" s="308">
        <v>2</v>
      </c>
      <c r="AT161" s="308">
        <v>2</v>
      </c>
      <c r="AU161" s="308">
        <v>3</v>
      </c>
      <c r="AV161" s="308">
        <v>3</v>
      </c>
      <c r="AW161" s="308">
        <v>2</v>
      </c>
      <c r="AX161" s="308">
        <v>2</v>
      </c>
      <c r="AY161" s="308" t="s">
        <v>176</v>
      </c>
      <c r="AZ161" s="308" t="s">
        <v>176</v>
      </c>
      <c r="BA161" s="308" t="s">
        <v>176</v>
      </c>
      <c r="BB161" s="308" t="s">
        <v>176</v>
      </c>
      <c r="BC161" s="308" t="s">
        <v>176</v>
      </c>
      <c r="BD161" s="308" t="s">
        <v>176</v>
      </c>
      <c r="BE161" s="308" t="s">
        <v>176</v>
      </c>
      <c r="BF161" s="308" t="s">
        <v>176</v>
      </c>
      <c r="BG161" s="308" t="s">
        <v>176</v>
      </c>
      <c r="BH161" s="308" t="s">
        <v>176</v>
      </c>
      <c r="BI161" s="308" t="s">
        <v>176</v>
      </c>
      <c r="BJ161" s="308" t="s">
        <v>176</v>
      </c>
      <c r="BK161" s="308" t="s">
        <v>176</v>
      </c>
      <c r="BL161" s="308" t="s">
        <v>176</v>
      </c>
      <c r="BM161" s="308" t="s">
        <v>176</v>
      </c>
      <c r="BN161" s="308" t="s">
        <v>176</v>
      </c>
      <c r="BO161" s="308" t="s">
        <v>176</v>
      </c>
      <c r="BP161" s="308" t="s">
        <v>176</v>
      </c>
      <c r="BQ161" s="308" t="s">
        <v>176</v>
      </c>
      <c r="BR161" s="308" t="s">
        <v>176</v>
      </c>
      <c r="BS161" s="308" t="s">
        <v>176</v>
      </c>
      <c r="BT161" s="308" t="s">
        <v>176</v>
      </c>
      <c r="BU161" s="308" t="s">
        <v>176</v>
      </c>
      <c r="BV161" s="308" t="s">
        <v>176</v>
      </c>
      <c r="BW161" s="308" t="s">
        <v>176</v>
      </c>
      <c r="BX161" s="308" t="s">
        <v>176</v>
      </c>
      <c r="BY161" s="308" t="s">
        <v>176</v>
      </c>
      <c r="BZ161" s="308" t="s">
        <v>176</v>
      </c>
      <c r="CA161" s="308" t="s">
        <v>176</v>
      </c>
      <c r="CB161" s="308" t="s">
        <v>176</v>
      </c>
      <c r="CC161" s="308" t="s">
        <v>176</v>
      </c>
      <c r="CD161" s="308" t="s">
        <v>176</v>
      </c>
      <c r="CE161" s="308" t="s">
        <v>176</v>
      </c>
      <c r="CF161" s="308" t="s">
        <v>176</v>
      </c>
      <c r="CG161" s="308" t="s">
        <v>176</v>
      </c>
      <c r="CH161" s="308" t="s">
        <v>176</v>
      </c>
      <c r="CI161" s="308">
        <v>1</v>
      </c>
      <c r="CJ161" s="308" t="s">
        <v>176</v>
      </c>
      <c r="CK161" s="308" t="s">
        <v>176</v>
      </c>
      <c r="CL161" s="308" t="s">
        <v>176</v>
      </c>
      <c r="CM161" s="308">
        <v>2</v>
      </c>
      <c r="CN161" s="308">
        <v>3</v>
      </c>
      <c r="CO161" s="308">
        <v>3</v>
      </c>
      <c r="CP161" s="308">
        <v>3</v>
      </c>
      <c r="CQ161" s="308">
        <v>1</v>
      </c>
      <c r="CR161" s="308" t="s">
        <v>176</v>
      </c>
      <c r="CS161" s="308">
        <v>1</v>
      </c>
      <c r="CT161" s="308">
        <v>1</v>
      </c>
      <c r="CU161" s="308">
        <v>2</v>
      </c>
      <c r="CV161" s="308">
        <v>1</v>
      </c>
      <c r="CW161" s="308">
        <v>1</v>
      </c>
      <c r="CX161" s="308">
        <v>2</v>
      </c>
      <c r="CY161" s="308">
        <v>2</v>
      </c>
      <c r="CZ161" s="308">
        <v>2</v>
      </c>
      <c r="DA161" s="308">
        <v>2</v>
      </c>
      <c r="DB161" s="308">
        <v>2</v>
      </c>
      <c r="DC161" s="308">
        <v>2</v>
      </c>
      <c r="DD161" s="308">
        <v>1</v>
      </c>
      <c r="DE161" s="308" t="s">
        <v>176</v>
      </c>
      <c r="DF161" s="308">
        <v>1</v>
      </c>
      <c r="DG161" s="308">
        <v>2</v>
      </c>
      <c r="DH161" s="308">
        <v>2</v>
      </c>
      <c r="DI161" s="308">
        <v>2</v>
      </c>
      <c r="DJ161" s="308">
        <v>2</v>
      </c>
      <c r="DK161" s="308">
        <v>1</v>
      </c>
      <c r="DL161" s="308">
        <v>1</v>
      </c>
      <c r="DM161" s="308">
        <v>1</v>
      </c>
      <c r="DN161" s="308">
        <v>1</v>
      </c>
      <c r="DO161" s="308">
        <v>1</v>
      </c>
      <c r="DP161" s="308">
        <v>1</v>
      </c>
      <c r="DQ161" s="308" t="s">
        <v>176</v>
      </c>
      <c r="DR161" s="308" t="s">
        <v>176</v>
      </c>
      <c r="DS161" s="308">
        <v>2</v>
      </c>
      <c r="DT161" s="308">
        <v>2</v>
      </c>
      <c r="DU161" s="308">
        <v>1</v>
      </c>
      <c r="DV161" s="308">
        <v>2</v>
      </c>
      <c r="DW161" s="308">
        <v>2</v>
      </c>
      <c r="DX161" s="308">
        <v>2</v>
      </c>
      <c r="DY161" s="308" t="s">
        <v>176</v>
      </c>
      <c r="DZ161" s="308" t="s">
        <v>176</v>
      </c>
      <c r="EA161" s="308" t="s">
        <v>176</v>
      </c>
      <c r="EB161" s="308" t="s">
        <v>176</v>
      </c>
      <c r="EC161" s="308" t="s">
        <v>176</v>
      </c>
      <c r="ED161" s="308" t="s">
        <v>176</v>
      </c>
      <c r="EE161" s="308" t="s">
        <v>176</v>
      </c>
      <c r="EF161" s="308" t="s">
        <v>176</v>
      </c>
      <c r="EG161" s="308" t="s">
        <v>176</v>
      </c>
      <c r="EH161" s="308" t="s">
        <v>176</v>
      </c>
      <c r="EI161" s="308" t="s">
        <v>176</v>
      </c>
      <c r="EJ161" s="308" t="s">
        <v>176</v>
      </c>
      <c r="EK161" s="308" t="s">
        <v>176</v>
      </c>
      <c r="EL161" s="308" t="s">
        <v>176</v>
      </c>
      <c r="EM161" s="308" t="s">
        <v>176</v>
      </c>
      <c r="EN161" s="308" t="s">
        <v>176</v>
      </c>
      <c r="EO161" s="308" t="s">
        <v>176</v>
      </c>
      <c r="EP161" s="308" t="s">
        <v>176</v>
      </c>
      <c r="EQ161" s="308" t="s">
        <v>176</v>
      </c>
      <c r="ER161" s="308" t="s">
        <v>176</v>
      </c>
      <c r="ES161" s="308" t="s">
        <v>176</v>
      </c>
      <c r="ET161" s="308" t="s">
        <v>176</v>
      </c>
      <c r="EU161" s="308" t="s">
        <v>176</v>
      </c>
      <c r="EV161" s="308" t="s">
        <v>176</v>
      </c>
      <c r="EW161" s="308" t="s">
        <v>176</v>
      </c>
      <c r="EX161" s="308" t="s">
        <v>176</v>
      </c>
      <c r="EY161" s="308">
        <v>2</v>
      </c>
      <c r="EZ161" s="308">
        <v>2</v>
      </c>
      <c r="FA161" s="308">
        <v>2</v>
      </c>
      <c r="FB161" s="323">
        <v>2</v>
      </c>
      <c r="FC161" s="308" t="s">
        <v>176</v>
      </c>
      <c r="FD161" s="308">
        <v>3</v>
      </c>
      <c r="FE161" s="308">
        <v>2</v>
      </c>
      <c r="FF161" s="308">
        <v>2</v>
      </c>
      <c r="FG161" s="308">
        <v>2</v>
      </c>
      <c r="FH161" s="308">
        <v>2</v>
      </c>
      <c r="FI161" s="308">
        <v>1</v>
      </c>
      <c r="FJ161" s="308">
        <v>2</v>
      </c>
      <c r="FK161" s="308">
        <v>2</v>
      </c>
      <c r="FL161" s="308">
        <v>2</v>
      </c>
      <c r="FM161" s="323">
        <v>1</v>
      </c>
      <c r="FN161" s="323">
        <v>2</v>
      </c>
      <c r="FO161" s="323">
        <v>2</v>
      </c>
      <c r="FP161" s="323">
        <v>1</v>
      </c>
      <c r="FQ161" s="308" t="s">
        <v>176</v>
      </c>
      <c r="FR161" s="308" t="s">
        <v>160</v>
      </c>
      <c r="FS161" s="308" t="s">
        <v>176</v>
      </c>
      <c r="FT161" s="308" t="s">
        <v>176</v>
      </c>
      <c r="FU161" s="308" t="s">
        <v>176</v>
      </c>
      <c r="FV161" s="308" t="s">
        <v>176</v>
      </c>
      <c r="FW161" s="308" t="s">
        <v>176</v>
      </c>
      <c r="FX161" s="308" t="s">
        <v>176</v>
      </c>
      <c r="FY161" s="308" t="s">
        <v>176</v>
      </c>
      <c r="FZ161" s="308" t="s">
        <v>176</v>
      </c>
      <c r="GA161" s="308" t="s">
        <v>176</v>
      </c>
      <c r="GB161" s="319" t="s">
        <v>160</v>
      </c>
      <c r="GC161" s="308" t="s">
        <v>176</v>
      </c>
      <c r="GD161" s="308" t="s">
        <v>176</v>
      </c>
      <c r="GE161" s="308" t="s">
        <v>176</v>
      </c>
      <c r="GF161" s="308" t="s">
        <v>176</v>
      </c>
      <c r="GG161" s="308" t="s">
        <v>176</v>
      </c>
      <c r="GH161" s="308" t="s">
        <v>176</v>
      </c>
      <c r="GI161" s="308" t="s">
        <v>176</v>
      </c>
      <c r="GJ161" s="308" t="s">
        <v>176</v>
      </c>
      <c r="GK161" s="308" t="s">
        <v>176</v>
      </c>
      <c r="GL161" s="311">
        <f>SUM(G161:FP161)</f>
        <v>151</v>
      </c>
    </row>
    <row r="162" spans="1:195" ht="28.35" customHeight="1" thickBot="1" x14ac:dyDescent="0.3">
      <c r="A162" s="138" t="str">
        <f>A161</f>
        <v>Jakość-Quality Labor</v>
      </c>
      <c r="B162" s="138" t="str">
        <f>B161</f>
        <v xml:space="preserve">Specjalista ds. zapewnienia jakości </v>
      </c>
      <c r="C162" s="135" t="s">
        <v>750</v>
      </c>
      <c r="D162" s="138">
        <f>D161</f>
        <v>1593</v>
      </c>
      <c r="E162" s="566" t="str">
        <f>E161</f>
        <v>Świder Sebastian</v>
      </c>
      <c r="F162" s="442" t="s">
        <v>166</v>
      </c>
      <c r="G162" s="473">
        <f>IF(INDEX(tab_MinKomp[Przepisy BHP / BHP Vorschriften],MATCH($B161,tab_MinKomp[[Stanowisko / Position ]:[Stanowisko / Position ]],0))="n/a","n/a",G161-INDEX(tab_MinKomp[Przepisy BHP / BHP Vorschriften],MATCH($B161,tab_MinKomp[[Stanowisko / Position ]:[Stanowisko / Position ]],0)))</f>
        <v>0</v>
      </c>
      <c r="H162" s="473">
        <f>IF(INDEX(tab_MinKomp[Przepisy PPOŻ / Brandschutzbestimmungen],MATCH($B161,tab_MinKomp[[Stanowisko / Position ]:[Stanowisko / Position ]],0))="n/a","n/a",H161-INDEX(tab_MinKomp[Przepisy PPOŻ / Brandschutzbestimmungen],MATCH($B161,tab_MinKomp[[Stanowisko / Position ]:[Stanowisko / Position ]],0)))</f>
        <v>0</v>
      </c>
      <c r="I162" s="473">
        <f>IF(INDEX(tab_MinKomp[Ryzyko zawodowe na stanowiskach pracyv/ Berufliche Risiken an Arbeitsstellen],MATCH($B161,tab_MinKomp[[Stanowisko / Position ]:[Stanowisko / Position ]],0))="n/a","n/a",I161-INDEX(tab_MinKomp[Ryzyko zawodowe na stanowiskach pracyv/ Berufliche Risiken an Arbeitsstellen],MATCH($B161,tab_MinKomp[[Stanowisko / Position ]:[Stanowisko / Position ]],0)))</f>
        <v>0</v>
      </c>
      <c r="J162" s="473">
        <f>IF(INDEX(tab_MinKomp[Gospodarka substancjami niebezpiecznymi / Gefahrstoffmanagement],MATCH($B161,tab_MinKomp[[Stanowisko / Position ]:[Stanowisko / Position ]],0))="n/a","n/a",J161-INDEX(tab_MinKomp[Gospodarka substancjami niebezpiecznymi / Gefahrstoffmanagement],MATCH($B161,tab_MinKomp[[Stanowisko / Position ]:[Stanowisko / Position ]],0)))</f>
        <v>0</v>
      </c>
      <c r="K162" s="473">
        <f>IF(INDEX(tab_MinKomp[Gospodarka odpadami / Abfallwirtschaft],MATCH($B161,tab_MinKomp[[Stanowisko / Position ]:[Stanowisko / Position ]],0))="n/a","n/a",K161-INDEX(tab_MinKomp[Gospodarka odpadami / Abfallwirtschaft],MATCH($B161,tab_MinKomp[[Stanowisko / Position ]:[Stanowisko / Position ]],0)))</f>
        <v>0</v>
      </c>
      <c r="L162" s="473">
        <f>IF(INDEX(tab_MinKomp[Przepisy kodeksu pracy / Bestimmungen des Arbeitsgesetzes],MATCH($B161,tab_MinKomp[[Stanowisko / Position ]:[Stanowisko / Position ]],0))="n/a","n/a",L161-INDEX(tab_MinKomp[Przepisy kodeksu pracy / Bestimmungen des Arbeitsgesetzes],MATCH($B161,tab_MinKomp[[Stanowisko / Position ]:[Stanowisko / Position ]],0)))</f>
        <v>0</v>
      </c>
      <c r="M162" s="473" t="str">
        <f>IF(INDEX(tab_MinKomp[Przepisy o ub.społ. ZUS  / Sozialversicherungsvorschriften],MATCH($B161,tab_MinKomp[[Stanowisko / Position ]:[Stanowisko / Position ]],0))="n/a","n/a",M161-INDEX(tab_MinKomp[Przepisy o ub.społ. ZUS  / Sozialversicherungsvorschriften],MATCH($B161,tab_MinKomp[[Stanowisko / Position ]:[Stanowisko / Position ]],0)))</f>
        <v>n/a</v>
      </c>
      <c r="N162" s="473" t="str">
        <f>IF(INDEX(tab_MinKomp[PRZEPISY O PDOF /persönlich Einkommensteuergesetz ],MATCH($B161,tab_MinKomp[[Stanowisko / Position ]:[Stanowisko / Position ]],0))="n/a","n/a",N161-INDEX(tab_MinKomp[PRZEPISY O PDOF /persönlich Einkommensteuergesetz ],MATCH($B161,tab_MinKomp[[Stanowisko / Position ]:[Stanowisko / Position ]],0)))</f>
        <v>n/a</v>
      </c>
      <c r="O162" s="473">
        <f>IF(INDEX(tab_MinKomp[Regulamin pracy / Arbeitsordnung],MATCH($B161,tab_MinKomp[[Stanowisko / Position ]:[Stanowisko / Position ]],0))="n/a","n/a",O161-INDEX(tab_MinKomp[Regulamin pracy / Arbeitsordnung],MATCH($B161,tab_MinKomp[[Stanowisko / Position ]:[Stanowisko / Position ]],0)))</f>
        <v>0</v>
      </c>
      <c r="P162" s="473">
        <f>IF(INDEX(tab_MinKomp[Regulamin wynagradzania / Vergütungsordnung],MATCH($B161,tab_MinKomp[[Stanowisko / Position ]:[Stanowisko / Position ]],0))="n/a","n/a",P161-INDEX(tab_MinKomp[Regulamin wynagradzania / Vergütungsordnung],MATCH($B161,tab_MinKomp[[Stanowisko / Position ]:[Stanowisko / Position ]],0)))</f>
        <v>0</v>
      </c>
      <c r="Q162" s="473" t="str">
        <f>IF(INDEX(tab_MinKomp[System R2PŁATNIK PRO: Płace / Lohnabrechnung],MATCH($B161,tab_MinKomp[[Stanowisko / Position ]:[Stanowisko / Position ]],0))="n/a","n/a",Q161-INDEX(tab_MinKomp[System R2PŁATNIK PRO: Płace / Lohnabrechnung],MATCH($B161,tab_MinKomp[[Stanowisko / Position ]:[Stanowisko / Position ]],0)))</f>
        <v>n/a</v>
      </c>
      <c r="R162" s="473" t="str">
        <f>IF(INDEX(tab_MinKomp[SystemR2PŁATNIK PRO: KADRY / Personaldaten],MATCH($B161,tab_MinKomp[[Stanowisko / Position ]:[Stanowisko / Position ]],0))="n/a","n/a",R161-INDEX(tab_MinKomp[SystemR2PŁATNIK PRO: KADRY / Personaldaten],MATCH($B161,tab_MinKomp[[Stanowisko / Position ]:[Stanowisko / Position ]],0)))</f>
        <v>n/a</v>
      </c>
      <c r="S162" s="473" t="str">
        <f>IF(INDEX(tab_MinKomp[SYSTEM R2PŁATNIK PRO: zarządzanie pracownikami / Arbeitsverwaltung],MATCH($B161,tab_MinKomp[[Stanowisko / Position ]:[Stanowisko / Position ]],0))="n/a","n/a",S161-INDEX(tab_MinKomp[SYSTEM R2PŁATNIK PRO: zarządzanie pracownikami / Arbeitsverwaltung],MATCH($B161,tab_MinKomp[[Stanowisko / Position ]:[Stanowisko / Position ]],0)))</f>
        <v>n/a</v>
      </c>
      <c r="T162" s="473" t="str">
        <f>IF(INDEX(tab_MinKomp[Doradztwo, wsparcie personalne / Personalberatung und Unterstützung],MATCH($B161,tab_MinKomp[[Stanowisko / Position ]:[Stanowisko / Position ]],0))="n/a","n/a",T161-INDEX(tab_MinKomp[Doradztwo, wsparcie personalne / Personalberatung und Unterstützung],MATCH($B161,tab_MinKomp[[Stanowisko / Position ]:[Stanowisko / Position ]],0)))</f>
        <v>n/a</v>
      </c>
      <c r="U162" s="472" t="str">
        <f>IF(INDEX(tab_MinKomp[Przepisy o podatku VAT / MwSt.- Gesetz],MATCH($B161,tab_MinKomp[[Stanowisko / Position ]:[Stanowisko / Position ]],0))="n/a","n/a",U161-INDEX(tab_MinKomp[Przepisy o podatku VAT / MwSt.- Gesetz],MATCH($B161,tab_MinKomp[[Stanowisko / Position ]:[Stanowisko / Position ]],0)))</f>
        <v>n/a</v>
      </c>
      <c r="V162" s="315" t="str">
        <f>IF(INDEX(tab_MinKomp[PrzepisyPDOP / geschäftlich Einkommensteuergesetz],MATCH($B161,tab_MinKomp[[Stanowisko / Position ]:[Stanowisko / Position ]],0))="n/a","n/a",V161-INDEX(tab_MinKomp[PrzepisyPDOP / geschäftlich Einkommensteuergesetz],MATCH($B161,tab_MinKomp[[Stanowisko / Position ]:[Stanowisko / Position ]],0)))</f>
        <v>n/a</v>
      </c>
      <c r="W162" s="315" t="str">
        <f>IF(INDEX(tab_MinKomp[System BAAN / FINANSE (FIBU)],MATCH($B161,tab_MinKomp[[Stanowisko / Position ]:[Stanowisko / Position ]],0))="n/a","n/a",W161-INDEX(tab_MinKomp[System BAAN / FINANSE (FIBU)],MATCH($B161,tab_MinKomp[[Stanowisko / Position ]:[Stanowisko / Position ]],0)))</f>
        <v>n/a</v>
      </c>
      <c r="X162" s="315" t="str">
        <f>IF(INDEX(tab_MinKomp[Systemy pomocnicze / Hilfssysteme(STOCKPROGRAM, KALK2000 etc.)],MATCH($B161,tab_MinKomp[[Stanowisko / Position ]:[Stanowisko / Position ]],0))="n/a","n/a",X161-INDEX(tab_MinKomp[Systemy pomocnicze / Hilfssysteme(STOCKPROGRAM, KALK2000 etc.)],MATCH($B161,tab_MinKomp[[Stanowisko / Position ]:[Stanowisko / Position ]],0)))</f>
        <v>n/a</v>
      </c>
      <c r="Y162" s="315" t="str">
        <f>IF(INDEX(tab_MinKomp[Polityka rachunkowości / Buchführungspolitik],MATCH($B161,tab_MinKomp[[Stanowisko / Position ]:[Stanowisko / Position ]],0))="n/a","n/a",Y161-INDEX(tab_MinKomp[Polityka rachunkowości / Buchführungspolitik],MATCH($B161,tab_MinKomp[[Stanowisko / Position ]:[Stanowisko / Position ]],0)))</f>
        <v>n/a</v>
      </c>
      <c r="Z162" s="315" t="str">
        <f>IF(INDEX(tab_MinKomp[Ustawa o rachunkowości / Rechnungslegungsgesetz],MATCH($B161,tab_MinKomp[[Stanowisko / Position ]:[Stanowisko / Position ]],0))="n/a","n/a",Z161-INDEX(tab_MinKomp[Ustawa o rachunkowości / Rechnungslegungsgesetz],MATCH($B161,tab_MinKomp[[Stanowisko / Position ]:[Stanowisko / Position ]],0)))</f>
        <v>n/a</v>
      </c>
      <c r="AA162" s="315" t="str">
        <f>IF(INDEX(tab_MinKomp[WORKFLOW - TS-100],MATCH($B161,tab_MinKomp[[Stanowisko / Position ]:[Stanowisko / Position ]],0))="n/a","n/a",AA161-INDEX(tab_MinKomp[WORKFLOW - TS-100],MATCH($B161,tab_MinKomp[[Stanowisko / Position ]:[Stanowisko / Position ]],0)))</f>
        <v>n/a</v>
      </c>
      <c r="AB162" s="315">
        <f>IF(INDEX(tab_MinKomp[WORKFLOW - SFMS],MATCH($B161,tab_MinKomp[[Stanowisko / Position ]:[Stanowisko / Position ]],0))="n/a","n/a",AB161-INDEX(tab_MinKomp[WORKFLOW - SFMS],MATCH($B161,tab_MinKomp[[Stanowisko / Position ]:[Stanowisko / Position ]],0)))</f>
        <v>0</v>
      </c>
      <c r="AC162" s="315">
        <f>IF(INDEX(tab_MinKomp[System ISO 9001:2015],MATCH($B161,tab_MinKomp[[Stanowisko / Position ]:[Stanowisko / Position ]],0))="n/a","n/a",AC161-INDEX(tab_MinKomp[System ISO 9001:2015],MATCH($B161,tab_MinKomp[[Stanowisko / Position ]:[Stanowisko / Position ]],0)))</f>
        <v>0</v>
      </c>
      <c r="AD162" s="315">
        <f>IF(INDEX(tab_MinKomp[System IATF 16949:2016],MATCH($B161,tab_MinKomp[[Stanowisko / Position ]:[Stanowisko / Position ]],0))="n/a","n/a",AD161-INDEX(tab_MinKomp[System IATF 16949:2016],MATCH($B161,tab_MinKomp[[Stanowisko / Position ]:[Stanowisko / Position ]],0)))</f>
        <v>0</v>
      </c>
      <c r="AE162" s="315">
        <f>IF(INDEX(tab_MinKomp[System ISO 14001:2015],MATCH($B161,tab_MinKomp[[Stanowisko / Position ]:[Stanowisko / Position ]],0))="n/a","n/a",AE161-INDEX(tab_MinKomp[System ISO 14001:2015],MATCH($B161,tab_MinKomp[[Stanowisko / Position ]:[Stanowisko / Position ]],0)))</f>
        <v>1</v>
      </c>
      <c r="AF162" s="315">
        <f>IF(INDEX(tab_MinKomp[System PN-N 18001:2004 / ISO 45001:2018],MATCH($B161,tab_MinKomp[[Stanowisko / Position ]:[Stanowisko / Position ]],0))="n/a","n/a",AF161-INDEX(tab_MinKomp[System PN-N 18001:2004 / ISO 45001:2018],MATCH($B161,tab_MinKomp[[Stanowisko / Position ]:[Stanowisko / Position ]],0)))</f>
        <v>0</v>
      </c>
      <c r="AG162" s="315">
        <f>IF(INDEX(tab_MinKomp[Wymagania VDA 6.3 Process / Forderungen],MATCH($B161,tab_MinKomp[[Stanowisko / Position ]:[Stanowisko / Position ]],0))="n/a","n/a",AG161-INDEX(tab_MinKomp[Wymagania VDA 6.3 Process / Forderungen],MATCH($B161,tab_MinKomp[[Stanowisko / Position ]:[Stanowisko / Position ]],0)))</f>
        <v>0</v>
      </c>
      <c r="AH162" s="315">
        <f>IF(INDEX(tab_MinKomp[Wymagania VDA 6.5 Product / Forderungen],MATCH($B161,tab_MinKomp[[Stanowisko / Position ]:[Stanowisko / Position ]],0))="n/a","n/a",AH161-INDEX(tab_MinKomp[Wymagania VDA 6.5 Product / Forderungen],MATCH($B161,tab_MinKomp[[Stanowisko / Position ]:[Stanowisko / Position ]],0)))</f>
        <v>0</v>
      </c>
      <c r="AI162" s="315">
        <f>IF(INDEX(tab_MinKomp[PSCR (VW Product Safety &amp; Conformity Representative)],MATCH($B161,tab_MinKomp[[Stanowisko / Position ]:[Stanowisko / Position ]],0))="n/a","n/a",AI161-INDEX(tab_MinKomp[PSCR (VW Product Safety &amp; Conformity Representative)],MATCH($B161,tab_MinKomp[[Stanowisko / Position ]:[Stanowisko / Position ]],0)))</f>
        <v>0</v>
      </c>
      <c r="AJ162" s="315">
        <f>IF(INDEX(tab_MinKomp[Auditor systemu ISO 17025:2018],MATCH($B161,tab_MinKomp[[Stanowisko / Position ]:[Stanowisko / Position ]],0))="n/a","n/a",AJ161-INDEX(tab_MinKomp[Auditor systemu ISO 17025:2018],MATCH($B161,tab_MinKomp[[Stanowisko / Position ]:[Stanowisko / Position ]],0)))</f>
        <v>0</v>
      </c>
      <c r="AK162" s="315" t="str">
        <f>IF(INDEX(tab_MinKomp[Pełnomocnik systemu / Systemvertreter],MATCH($B161,tab_MinKomp[[Stanowisko / Position ]:[Stanowisko / Position ]],0))="n/a","n/a",AK161-INDEX(tab_MinKomp[Pełnomocnik systemu / Systemvertreter],MATCH($B161,tab_MinKomp[[Stanowisko / Position ]:[Stanowisko / Position ]],0)))</f>
        <v>n/a</v>
      </c>
      <c r="AL162" s="315">
        <f>IF(INDEX(tab_MinKomp[Polityka Etyczna - Compliance],MATCH($B161,tab_MinKomp[[Stanowisko / Position ]:[Stanowisko / Position ]],0))="n/a","n/a",AL161-INDEX(tab_MinKomp[Polityka Etyczna - Compliance],MATCH($B161,tab_MinKomp[[Stanowisko / Position ]:[Stanowisko / Position ]],0)))</f>
        <v>0</v>
      </c>
      <c r="AM162" s="315">
        <f>IF(INDEX(tab_MinKomp[WDRAŻANIE NOWYCH PROJEKTÓW/ PROCEDURA CTM],MATCH($B161,tab_MinKomp[[Stanowisko / Position ]:[Stanowisko / Position ]],0))="n/a","n/a",AM161-INDEX(tab_MinKomp[WDRAŻANIE NOWYCH PROJEKTÓW/ PROCEDURA CTM],MATCH($B161,tab_MinKomp[[Stanowisko / Position ]:[Stanowisko / Position ]],0)))</f>
        <v>-1</v>
      </c>
      <c r="AN162" s="315" t="str">
        <f>IF(INDEX(tab_MinKomp[KAMIENIE MILOWE MSL/PIFF],MATCH($B161,tab_MinKomp[[Stanowisko / Position ]:[Stanowisko / Position ]],0))="n/a","n/a",AN161-INDEX(tab_MinKomp[KAMIENIE MILOWE MSL/PIFF],MATCH($B161,tab_MinKomp[[Stanowisko / Position ]:[Stanowisko / Position ]],0)))</f>
        <v>n/a</v>
      </c>
      <c r="AO162" s="315">
        <f>IF(INDEX(tab_MinKomp[CP],MATCH($B161,tab_MinKomp[[Stanowisko / Position ]:[Stanowisko / Position ]],0))="n/a","n/a",AO161-INDEX(tab_MinKomp[CP],MATCH($B161,tab_MinKomp[[Stanowisko / Position ]:[Stanowisko / Position ]],0)))</f>
        <v>0</v>
      </c>
      <c r="AP162" s="315">
        <f>IF(INDEX(tab_MinKomp[FMEA],MATCH($B161,tab_MinKomp[[Stanowisko / Position ]:[Stanowisko / Position ]],0))="n/a","n/a",AP161-INDEX(tab_MinKomp[FMEA],MATCH($B161,tab_MinKomp[[Stanowisko / Position ]:[Stanowisko / Position ]],0)))</f>
        <v>0</v>
      </c>
      <c r="AQ162" s="315">
        <f>IF(INDEX(tab_MinKomp[FLOW CHART],MATCH($B161,tab_MinKomp[[Stanowisko / Position ]:[Stanowisko / Position ]],0))="n/a","n/a",AQ161-INDEX(tab_MinKomp[FLOW CHART],MATCH($B161,tab_MinKomp[[Stanowisko / Position ]:[Stanowisko / Position ]],0)))</f>
        <v>0</v>
      </c>
      <c r="AR162" s="315">
        <f>IF(INDEX(tab_MinKomp[APQP],MATCH($B161,tab_MinKomp[[Stanowisko / Position ]:[Stanowisko / Position ]],0))="n/a","n/a",AR161-INDEX(tab_MinKomp[APQP],MATCH($B161,tab_MinKomp[[Stanowisko / Position ]:[Stanowisko / Position ]],0)))</f>
        <v>1</v>
      </c>
      <c r="AS162" s="315">
        <f>IF(INDEX(tab_MinKomp[MSA],MATCH($B161,tab_MinKomp[[Stanowisko / Position ]:[Stanowisko / Position ]],0))="n/a","n/a",AS161-INDEX(tab_MinKomp[MSA],MATCH($B161,tab_MinKomp[[Stanowisko / Position ]:[Stanowisko / Position ]],0)))</f>
        <v>0</v>
      </c>
      <c r="AT162" s="315">
        <f>IF(INDEX(tab_MinKomp[SPC],MATCH($B161,tab_MinKomp[[Stanowisko / Position ]:[Stanowisko / Position ]],0))="n/a","n/a",AT161-INDEX(tab_MinKomp[SPC],MATCH($B161,tab_MinKomp[[Stanowisko / Position ]:[Stanowisko / Position ]],0)))</f>
        <v>0</v>
      </c>
      <c r="AU162" s="315">
        <f>IF(INDEX(tab_MinKomp[CSR (SPECYFICZNE WYMAGANIA KLIENTA)],MATCH($B161,tab_MinKomp[[Stanowisko / Position ]:[Stanowisko / Position ]],0))="n/a","n/a",AU161-INDEX(tab_MinKomp[CSR (SPECYFICZNE WYMAGANIA KLIENTA)],MATCH($B161,tab_MinKomp[[Stanowisko / Position ]:[Stanowisko / Position ]],0)))</f>
        <v>1</v>
      </c>
      <c r="AV162" s="315">
        <f>IF(INDEX(tab_MinKomp[5S],MATCH($B161,tab_MinKomp[[Stanowisko / Position ]:[Stanowisko / Position ]],0))="n/a","n/a",AV161-INDEX(tab_MinKomp[5S],MATCH($B161,tab_MinKomp[[Stanowisko / Position ]:[Stanowisko / Position ]],0)))</f>
        <v>0</v>
      </c>
      <c r="AW162" s="315">
        <f>IF(INDEX(tab_MinKomp[LEAN MANAGEMENT],MATCH($B161,tab_MinKomp[[Stanowisko / Position ]:[Stanowisko / Position ]],0))="n/a","n/a",AW161-INDEX(tab_MinKomp[LEAN MANAGEMENT],MATCH($B161,tab_MinKomp[[Stanowisko / Position ]:[Stanowisko / Position ]],0)))</f>
        <v>1</v>
      </c>
      <c r="AX162" s="315">
        <f>IF(INDEX(tab_MinKomp[5R],MATCH($B161,tab_MinKomp[[Stanowisko / Position ]:[Stanowisko / Position ]],0))="n/a","n/a",AX161-INDEX(tab_MinKomp[5R],MATCH($B161,tab_MinKomp[[Stanowisko / Position ]:[Stanowisko / Position ]],0)))</f>
        <v>0</v>
      </c>
      <c r="AY162" s="315" t="str">
        <f>IF(INDEX(tab_MinKomp[Six Sigma],MATCH($B161,tab_MinKomp[[Stanowisko / Position ]:[Stanowisko / Position ]],0))="n/a","n/a",AY161-INDEX(tab_MinKomp[Six Sigma],MATCH($B161,tab_MinKomp[[Stanowisko / Position ]:[Stanowisko / Position ]],0)))</f>
        <v>n/a</v>
      </c>
      <c r="AZ162" s="315" t="str">
        <f>IF(INDEX(tab_MinKomp[System BAAN / Distribution &amp; Supply Chain],MATCH($B161,tab_MinKomp[[Stanowisko / Position ]:[Stanowisko / Position ]],0))="n/a","n/a",AZ161-INDEX(tab_MinKomp[System BAAN / Distribution &amp; Supply Chain],MATCH($B161,tab_MinKomp[[Stanowisko / Position ]:[Stanowisko / Position ]],0)))</f>
        <v>n/a</v>
      </c>
      <c r="BA162" s="315" t="str">
        <f>IF(INDEX(tab_MinKomp[Gospodarka magazynowa / Lagerverwaltung],MATCH($B161,tab_MinKomp[[Stanowisko / Position ]:[Stanowisko / Position ]],0))="n/a","n/a",BA161-INDEX(tab_MinKomp[Gospodarka magazynowa / Lagerverwaltung],MATCH($B161,tab_MinKomp[[Stanowisko / Position ]:[Stanowisko / Position ]],0)))</f>
        <v>n/a</v>
      </c>
      <c r="BB162" s="315" t="str">
        <f>IF(INDEX(tab_MinKomp[Inwentaryzacja - organizacja i przebieg / Inventurprozess],MATCH($B161,tab_MinKomp[[Stanowisko / Position ]:[Stanowisko / Position ]],0))="n/a","n/a",BB161-INDEX(tab_MinKomp[Inwentaryzacja - organizacja i przebieg / Inventurprozess],MATCH($B161,tab_MinKomp[[Stanowisko / Position ]:[Stanowisko / Position ]],0)))</f>
        <v>n/a</v>
      </c>
      <c r="BC162" s="315" t="str">
        <f>IF(INDEX(tab_MinKomp[Organizacja dostaw / Versorgungsorganisation],MATCH($B161,tab_MinKomp[[Stanowisko / Position ]:[Stanowisko / Position ]],0))="n/a","n/a",BC161-INDEX(tab_MinKomp[Organizacja dostaw / Versorgungsorganisation],MATCH($B161,tab_MinKomp[[Stanowisko / Position ]:[Stanowisko / Position ]],0)))</f>
        <v>n/a</v>
      </c>
      <c r="BD162" s="315" t="str">
        <f>IF(INDEX(tab_MinKomp[Organizacja wysyłek / Organisation von Lieferungen],MATCH($B161,tab_MinKomp[[Stanowisko / Position ]:[Stanowisko / Position ]],0))="n/a","n/a",BD161-INDEX(tab_MinKomp[Organizacja wysyłek / Organisation von Lieferungen],MATCH($B161,tab_MinKomp[[Stanowisko / Position ]:[Stanowisko / Position ]],0)))</f>
        <v>n/a</v>
      </c>
      <c r="BE162" s="315" t="str">
        <f>IF(INDEX(tab_MinKomp[Analiza magazynowa - Program Polen.mdb / Inventuranalyse],MATCH($B161,tab_MinKomp[[Stanowisko / Position ]:[Stanowisko / Position ]],0))="n/a","n/a",BE161-INDEX(tab_MinKomp[Analiza magazynowa - Program Polen.mdb / Inventuranalyse],MATCH($B161,tab_MinKomp[[Stanowisko / Position ]:[Stanowisko / Position ]],0)))</f>
        <v>n/a</v>
      </c>
      <c r="BF162" s="315" t="str">
        <f>IF(INDEX(tab_MinKomp[MMOG (Materials Management Operations Guidelines)],MATCH($B161,tab_MinKomp[[Stanowisko / Position ]:[Stanowisko / Position ]],0))="n/a","n/a",BF161-INDEX(tab_MinKomp[MMOG (Materials Management Operations Guidelines)],MATCH($B161,tab_MinKomp[[Stanowisko / Position ]:[Stanowisko / Position ]],0)))</f>
        <v>n/a</v>
      </c>
      <c r="BG162" s="315" t="str">
        <f>IF(INDEX(tab_MinKomp[DETC],MATCH($B161,tab_MinKomp[[Stanowisko / Position ]:[Stanowisko / Position ]],0))="n/a","n/a",BG161-INDEX(tab_MinKomp[DETC],MATCH($B161,tab_MinKomp[[Stanowisko / Position ]:[Stanowisko / Position ]],0)))</f>
        <v>n/a</v>
      </c>
      <c r="BH162" s="315" t="str">
        <f>IF(INDEX(tab_MinKomp[GPP],MATCH($B161,tab_MinKomp[[Stanowisko / Position ]:[Stanowisko / Position ]],0))="n/a","n/a",BH161-INDEX(tab_MinKomp[GPP],MATCH($B161,tab_MinKomp[[Stanowisko / Position ]:[Stanowisko / Position ]],0)))</f>
        <v>n/a</v>
      </c>
      <c r="BI162" s="315" t="str">
        <f>IF(INDEX(tab_MinKomp[AIAG (Automotive Industry Action Group)],MATCH($B161,tab_MinKomp[[Stanowisko / Position ]:[Stanowisko / Position ]],0))="n/a","n/a",BI161-INDEX(tab_MinKomp[AIAG (Automotive Industry Action Group)],MATCH($B161,tab_MinKomp[[Stanowisko / Position ]:[Stanowisko / Position ]],0)))</f>
        <v>n/a</v>
      </c>
      <c r="BJ162" s="315" t="str">
        <f>IF(INDEX(tab_MinKomp[Super-G disputes],MATCH($B161,tab_MinKomp[[Stanowisko / Position ]:[Stanowisko / Position ]],0))="n/a","n/a",BJ161-INDEX(tab_MinKomp[Super-G disputes],MATCH($B161,tab_MinKomp[[Stanowisko / Position ]:[Stanowisko / Position ]],0)))</f>
        <v>n/a</v>
      </c>
      <c r="BK162" s="315" t="str">
        <f>IF(INDEX(tab_MinKomp[CMMS3/eDDL (Direct Data Link)],MATCH($B161,tab_MinKomp[[Stanowisko / Position ]:[Stanowisko / Position ]],0))="n/a","n/a",BK161-INDEX(tab_MinKomp[CMMS3/eDDL (Direct Data Link)],MATCH($B161,tab_MinKomp[[Stanowisko / Position ]:[Stanowisko / Position ]],0)))</f>
        <v>n/a</v>
      </c>
      <c r="BL162" s="315" t="str">
        <f>IF(INDEX(tab_MinKomp[MP&amp;L (Material Planning and Logistics)],MATCH($B161,tab_MinKomp[[Stanowisko / Position ]:[Stanowisko / Position ]],0))="n/a","n/a",BL161-INDEX(tab_MinKomp[MP&amp;L (Material Planning and Logistics)],MATCH($B161,tab_MinKomp[[Stanowisko / Position ]:[Stanowisko / Position ]],0)))</f>
        <v>n/a</v>
      </c>
      <c r="BM162" s="315" t="str">
        <f>IF(INDEX(tab_MinKomp[Supplier delivery rating],MATCH($B161,tab_MinKomp[[Stanowisko / Position ]:[Stanowisko / Position ]],0))="n/a","n/a",BM161-INDEX(tab_MinKomp[Supplier delivery rating],MATCH($B161,tab_MinKomp[[Stanowisko / Position ]:[Stanowisko / Position ]],0)))</f>
        <v>n/a</v>
      </c>
      <c r="BN162" s="315" t="str">
        <f>IF(INDEX(tab_MinKomp[Planowanie produkcji / Produktionsplanung],MATCH($B161,tab_MinKomp[[Stanowisko / Position ]:[Stanowisko / Position ]],0))="n/a","n/a",BN161-INDEX(tab_MinKomp[Planowanie produkcji / Produktionsplanung],MATCH($B161,tab_MinKomp[[Stanowisko / Position ]:[Stanowisko / Position ]],0)))</f>
        <v>n/a</v>
      </c>
      <c r="BO162" s="315" t="str">
        <f>IF(INDEX(tab_MinKomp[Obsługa maszyn Engel / Engel Maschinenbedienung],MATCH($B161,tab_MinKomp[[Stanowisko / Position ]:[Stanowisko / Position ]],0))="n/a","n/a",BO161-INDEX(tab_MinKomp[Obsługa maszyn Engel / Engel Maschinenbedienung],MATCH($B161,tab_MinKomp[[Stanowisko / Position ]:[Stanowisko / Position ]],0)))</f>
        <v>n/a</v>
      </c>
      <c r="BP162" s="315" t="str">
        <f>IF(INDEX(tab_MinKomp[Obsługa maszyn Novapax / Novapax Maschinenbedienung],MATCH($B161,tab_MinKomp[[Stanowisko / Position ]:[Stanowisko / Position ]],0))="n/a","n/a",BP161-INDEX(tab_MinKomp[Obsługa maszyn Novapax / Novapax Maschinenbedienung],MATCH($B161,tab_MinKomp[[Stanowisko / Position ]:[Stanowisko / Position ]],0)))</f>
        <v>n/a</v>
      </c>
      <c r="BQ162" s="315" t="str">
        <f>IF(INDEX(tab_MinKomp[Obsługa maszyn KVT / KVT Maschinenbedienung],MATCH($B161,tab_MinKomp[[Stanowisko / Position ]:[Stanowisko / Position ]],0))="n/a","n/a",BQ161-INDEX(tab_MinKomp[Obsługa maszyn KVT / KVT Maschinenbedienung],MATCH($B161,tab_MinKomp[[Stanowisko / Position ]:[Stanowisko / Position ]],0)))</f>
        <v>n/a</v>
      </c>
      <c r="BR162" s="315" t="str">
        <f>IF(INDEX(tab_MinKomp[Obsługa maszyn ASL / ASL Maschinenbedienung],MATCH($B161,tab_MinKomp[[Stanowisko / Position ]:[Stanowisko / Position ]],0))="n/a","n/a",BR161-INDEX(tab_MinKomp[Obsługa maszyn ASL / ASL Maschinenbedienung],MATCH($B161,tab_MinKomp[[Stanowisko / Position ]:[Stanowisko / Position ]],0)))</f>
        <v>n/a</v>
      </c>
      <c r="BS162" s="315" t="str">
        <f>IF(INDEX(tab_MinKomp[Obsługa maszyn Branson / Branson Maschinenbedienung],MATCH($B161,tab_MinKomp[[Stanowisko / Position ]:[Stanowisko / Position ]],0))="n/a","n/a",BS161-INDEX(tab_MinKomp[Obsługa maszyn Branson / Branson Maschinenbedienung],MATCH($B161,tab_MinKomp[[Stanowisko / Position ]:[Stanowisko / Position ]],0)))</f>
        <v>n/a</v>
      </c>
      <c r="BT162" s="315" t="str">
        <f>IF(INDEX(tab_MinKomp[Obsługa maszyn Kamtec / Kamtec Maschinenbedienung],MATCH($B161,tab_MinKomp[[Stanowisko / Position ]:[Stanowisko / Position ]],0))="n/a","n/a",BT161-INDEX(tab_MinKomp[Obsługa maszyn Kamtec / Kamtec Maschinenbedienung],MATCH($B161,tab_MinKomp[[Stanowisko / Position ]:[Stanowisko / Position ]],0)))</f>
        <v>n/a</v>
      </c>
      <c r="BU162" s="315" t="str">
        <f>IF(INDEX(tab_MinKomp[Obsługa maszyn Piovan / Piovan Maschinenbedienung],MATCH($B161,tab_MinKomp[[Stanowisko / Position ]:[Stanowisko / Position ]],0))="n/a","n/a",BU161-INDEX(tab_MinKomp[Obsługa maszyn Piovan / Piovan Maschinenbedienung],MATCH($B161,tab_MinKomp[[Stanowisko / Position ]:[Stanowisko / Position ]],0)))</f>
        <v>n/a</v>
      </c>
      <c r="BV162" s="315" t="str">
        <f>IF(INDEX(tab_MinKomp[Obsługa maszyn REP / REP Maschinenbedienung],MATCH($B161,tab_MinKomp[[Stanowisko / Position ]:[Stanowisko / Position ]],0))="n/a","n/a",BV161-INDEX(tab_MinKomp[Obsługa maszyn REP / REP Maschinenbedienung],MATCH($B161,tab_MinKomp[[Stanowisko / Position ]:[Stanowisko / Position ]],0)))</f>
        <v>n/a</v>
      </c>
      <c r="BW162" s="315" t="str">
        <f>IF(INDEX(tab_MinKomp[Informatyka ogólna (techniczne i systemowe) / Allgemeine IT (Technik und System)],MATCH($B161,tab_MinKomp[[Stanowisko / Position ]:[Stanowisko / Position ]],0))="n/a","n/a",BW161-INDEX(tab_MinKomp[Informatyka ogólna (techniczne i systemowe) / Allgemeine IT (Technik und System)],MATCH($B161,tab_MinKomp[[Stanowisko / Position ]:[Stanowisko / Position ]],0)))</f>
        <v>n/a</v>
      </c>
      <c r="BX162" s="315" t="str">
        <f>IF(INDEX(tab_MinKomp[Sieci komputerowe / Computernetzwerke],MATCH($B161,tab_MinKomp[[Stanowisko / Position ]:[Stanowisko / Position ]],0))="n/a","n/a",BX161-INDEX(tab_MinKomp[Sieci komputerowe / Computernetzwerke],MATCH($B161,tab_MinKomp[[Stanowisko / Position ]:[Stanowisko / Position ]],0)))</f>
        <v>n/a</v>
      </c>
      <c r="BY162" s="315" t="str">
        <f>IF(INDEX(tab_MinKomp[Hardware (komputery PC, drukarki biurowe i etykietowe, telefonia stacjonarna i mobilna) (PC, Drucker, Telefpne, Handys)],MATCH($B161,tab_MinKomp[[Stanowisko / Position ]:[Stanowisko / Position ]],0))="n/a","n/a",BY161-INDEX(tab_MinKomp[Hardware (komputery PC, drukarki biurowe i etykietowe, telefonia stacjonarna i mobilna) (PC, Drucker, Telefpne, Handys)],MATCH($B161,tab_MinKomp[[Stanowisko / Position ]:[Stanowisko / Position ]],0)))</f>
        <v>n/a</v>
      </c>
      <c r="BZ162" s="315" t="str">
        <f>IF(INDEX(tab_MinKomp[Software &amp; Systems (MS Office, MS Remote Desktop)],MATCH($B161,tab_MinKomp[[Stanowisko / Position ]:[Stanowisko / Position ]],0))="n/a","n/a",BZ161-INDEX(tab_MinKomp[Software &amp; Systems (MS Office, MS Remote Desktop)],MATCH($B161,tab_MinKomp[[Stanowisko / Position ]:[Stanowisko / Position ]],0)))</f>
        <v>n/a</v>
      </c>
      <c r="CA162" s="315" t="str">
        <f>IF(INDEX(tab_MinKomp[Programowanie obiektowe (PHP) / Objektprogrammierung],MATCH($B161,tab_MinKomp[[Stanowisko / Position ]:[Stanowisko / Position ]],0))="n/a","n/a",CA161-INDEX(tab_MinKomp[Programowanie obiektowe (PHP) / Objektprogrammierung],MATCH($B161,tab_MinKomp[[Stanowisko / Position ]:[Stanowisko / Position ]],0)))</f>
        <v>n/a</v>
      </c>
      <c r="CB162" s="315" t="str">
        <f>IF(INDEX(tab_MinKomp[Scrum],MATCH($B161,tab_MinKomp[[Stanowisko / Position ]:[Stanowisko / Position ]],0))="n/a","n/a",CB161-INDEX(tab_MinKomp[Scrum],MATCH($B161,tab_MinKomp[[Stanowisko / Position ]:[Stanowisko / Position ]],0)))</f>
        <v>n/a</v>
      </c>
      <c r="CC162" s="315" t="str">
        <f>IF(INDEX(tab_MinKomp[SQL (MySQL)],MATCH($B161,tab_MinKomp[[Stanowisko / Position ]:[Stanowisko / Position ]],0))="n/a","n/a",CC161-INDEX(tab_MinKomp[SQL (MySQL)],MATCH($B161,tab_MinKomp[[Stanowisko / Position ]:[Stanowisko / Position ]],0)))</f>
        <v>n/a</v>
      </c>
      <c r="CD162" s="315" t="str">
        <f>IF(INDEX(tab_MinKomp[Javascript],MATCH($B161,tab_MinKomp[[Stanowisko / Position ]:[Stanowisko / Position ]],0))="n/a","n/a",CD161-INDEX(tab_MinKomp[Javascript],MATCH($B161,tab_MinKomp[[Stanowisko / Position ]:[Stanowisko / Position ]],0)))</f>
        <v>n/a</v>
      </c>
      <c r="CE162" s="315" t="str">
        <f>IF(INDEX(tab_MinKomp[Joomla],MATCH($B161,tab_MinKomp[[Stanowisko / Position ]:[Stanowisko / Position ]],0))="n/a","n/a",CE161-INDEX(tab_MinKomp[Joomla],MATCH($B161,tab_MinKomp[[Stanowisko / Position ]:[Stanowisko / Position ]],0)))</f>
        <v>n/a</v>
      </c>
      <c r="CF162" s="315" t="str">
        <f>IF(INDEX(tab_MinKomp[Bash],MATCH($B161,tab_MinKomp[[Stanowisko / Position ]:[Stanowisko / Position ]],0))="n/a","n/a",CF161-INDEX(tab_MinKomp[Bash],MATCH($B161,tab_MinKomp[[Stanowisko / Position ]:[Stanowisko / Position ]],0)))</f>
        <v>n/a</v>
      </c>
      <c r="CG162" s="315" t="str">
        <f>IF(INDEX(tab_MinKomp[Systemy MES (HYDRA / SFMS)],MATCH($B161,tab_MinKomp[[Stanowisko / Position ]:[Stanowisko / Position ]],0))="n/a","n/a",CG161-INDEX(tab_MinKomp[Systemy MES (HYDRA / SFMS)],MATCH($B161,tab_MinKomp[[Stanowisko / Position ]:[Stanowisko / Position ]],0)))</f>
        <v>n/a</v>
      </c>
      <c r="CH162" s="315" t="str">
        <f>IF(INDEX(tab_MinKomp[HTML / CSS],MATCH($B161,tab_MinKomp[[Stanowisko / Position ]:[Stanowisko / Position ]],0))="n/a","n/a",CH161-INDEX(tab_MinKomp[HTML / CSS],MATCH($B161,tab_MinKomp[[Stanowisko / Position ]:[Stanowisko / Position ]],0)))</f>
        <v>n/a</v>
      </c>
      <c r="CI162" s="315">
        <f>IF(INDEX(tab_MinKomp[SYSTEM PR],MATCH($B161,tab_MinKomp[[Stanowisko / Position ]:[Stanowisko / Position ]],0))="n/a","n/a",CI161-INDEX(tab_MinKomp[SYSTEM PR],MATCH($B161,tab_MinKomp[[Stanowisko / Position ]:[Stanowisko / Position ]],0)))</f>
        <v>-1</v>
      </c>
      <c r="CJ162" s="315" t="str">
        <f>IF(INDEX(tab_MinKomp[System Einkauf XP / EBA],MATCH($B161,tab_MinKomp[[Stanowisko / Position ]:[Stanowisko / Position ]],0))="n/a","n/a",CJ161-INDEX(tab_MinKomp[System Einkauf XP / EBA],MATCH($B161,tab_MinKomp[[Stanowisko / Position ]:[Stanowisko / Position ]],0)))</f>
        <v>n/a</v>
      </c>
      <c r="CK162" s="315" t="str">
        <f>IF(INDEX(tab_MinKomp[Techniki negocjacyjne / Verhandlungstechniken],MATCH($B161,tab_MinKomp[[Stanowisko / Position ]:[Stanowisko / Position ]],0))="n/a","n/a",CK161-INDEX(tab_MinKomp[Techniki negocjacyjne / Verhandlungstechniken],MATCH($B161,tab_MinKomp[[Stanowisko / Position ]:[Stanowisko / Position ]],0)))</f>
        <v>n/a</v>
      </c>
      <c r="CL162" s="315" t="str">
        <f>IF(INDEX(tab_MinKomp[Znajomość rynku branżowego / Kenntnis des Industrie Marktes],MATCH($B161,tab_MinKomp[[Stanowisko / Position ]:[Stanowisko / Position ]],0))="n/a","n/a",CL161-INDEX(tab_MinKomp[Znajomość rynku branżowego / Kenntnis des Industrie Marktes],MATCH($B161,tab_MinKomp[[Stanowisko / Position ]:[Stanowisko / Position ]],0)))</f>
        <v>n/a</v>
      </c>
      <c r="CM162" s="315">
        <f>IF(INDEX(tab_MinKomp[RAPORTY 8D / 8D Berichten],MATCH($B161,tab_MinKomp[[Stanowisko / Position ]:[Stanowisko / Position ]],0))="n/a","n/a",CM161-INDEX(tab_MinKomp[RAPORTY 8D / 8D Berichten],MATCH($B161,tab_MinKomp[[Stanowisko / Position ]:[Stanowisko / Position ]],0)))</f>
        <v>0</v>
      </c>
      <c r="CN162" s="315">
        <f>IF(INDEX(tab_MinKomp[NARZĘDZIA JAKOŚCIOWE (5WHY, Ishikawa, etc) / QS-Werkzeuge],MATCH($B161,tab_MinKomp[[Stanowisko / Position ]:[Stanowisko / Position ]],0))="n/a","n/a",CN161-INDEX(tab_MinKomp[NARZĘDZIA JAKOŚCIOWE (5WHY, Ishikawa, etc) / QS-Werkzeuge],MATCH($B161,tab_MinKomp[[Stanowisko / Position ]:[Stanowisko / Position ]],0)))</f>
        <v>0</v>
      </c>
      <c r="CO162" s="315">
        <f>IF(INDEX(tab_MinKomp[PDCA],MATCH($B161,tab_MinKomp[[Stanowisko / Position ]:[Stanowisko / Position ]],0))="n/a","n/a",CO161-INDEX(tab_MinKomp[PDCA],MATCH($B161,tab_MinKomp[[Stanowisko / Position ]:[Stanowisko / Position ]],0)))</f>
        <v>0</v>
      </c>
      <c r="CP162" s="315">
        <f>IF(INDEX(tab_MinKomp[Pareto],MATCH($B161,tab_MinKomp[[Stanowisko / Position ]:[Stanowisko / Position ]],0))="n/a","n/a",CP161-INDEX(tab_MinKomp[Pareto],MATCH($B161,tab_MinKomp[[Stanowisko / Position ]:[Stanowisko / Position ]],0)))</f>
        <v>0</v>
      </c>
      <c r="CQ162" s="315">
        <f>IF(INDEX(tab_MinKomp[PPAP/PSW],MATCH($B161,tab_MinKomp[[Stanowisko / Position ]:[Stanowisko / Position ]],0))="n/a","n/a",CQ161-INDEX(tab_MinKomp[PPAP/PSW],MATCH($B161,tab_MinKomp[[Stanowisko / Position ]:[Stanowisko / Position ]],0)))</f>
        <v>-1</v>
      </c>
      <c r="CR162" s="315" t="str">
        <f>IF(INDEX(tab_MinKomp[SUPPLIER MANAGEMENT],MATCH($B161,tab_MinKomp[[Stanowisko / Position ]:[Stanowisko / Position ]],0))="n/a","n/a",CR161-INDEX(tab_MinKomp[SUPPLIER MANAGEMENT],MATCH($B161,tab_MinKomp[[Stanowisko / Position ]:[Stanowisko / Position ]],0)))</f>
        <v>n/a</v>
      </c>
      <c r="CS162" s="315">
        <f>IF(INDEX(tab_MinKomp[OBSŁUGA PORTALI KLIENTA / Kundenportale],MATCH($B161,tab_MinKomp[[Stanowisko / Position ]:[Stanowisko / Position ]],0))="n/a","n/a",CS161-INDEX(tab_MinKomp[OBSŁUGA PORTALI KLIENTA / Kundenportale],MATCH($B161,tab_MinKomp[[Stanowisko / Position ]:[Stanowisko / Position ]],0)))</f>
        <v>-1</v>
      </c>
      <c r="CT162" s="315">
        <f>IF(INDEX(tab_MinKomp[Obsługa systemu BABTECQ / BABTECQ System],MATCH($B161,tab_MinKomp[[Stanowisko / Position ]:[Stanowisko / Position ]],0))="n/a","n/a",CT161-INDEX(tab_MinKomp[Obsługa systemu BABTECQ / BABTECQ System],MATCH($B161,tab_MinKomp[[Stanowisko / Position ]:[Stanowisko / Position ]],0)))</f>
        <v>0</v>
      </c>
      <c r="CU162" s="315">
        <f>IF(INDEX(tab_MinKomp[Rysunek techniczny / technische Zeichnung],MATCH($B161,tab_MinKomp[[Stanowisko / Position ]:[Stanowisko / Position ]],0))="n/a","n/a",CU161-INDEX(tab_MinKomp[Rysunek techniczny / technische Zeichnung],MATCH($B161,tab_MinKomp[[Stanowisko / Position ]:[Stanowisko / Position ]],0)))</f>
        <v>1</v>
      </c>
      <c r="CV162" s="315" t="str">
        <f>IF(INDEX(tab_MinKomp[Kalibracja / Kalibrierung],MATCH($B161,tab_MinKomp[[Stanowisko / Position ]:[Stanowisko / Position ]],0))="n/a","n/a",CV161-INDEX(tab_MinKomp[Kalibracja / Kalibrierung],MATCH($B161,tab_MinKomp[[Stanowisko / Position ]:[Stanowisko / Position ]],0)))</f>
        <v>n/a</v>
      </c>
      <c r="CW162" s="315">
        <f>IF(INDEX(tab_MinKomp[Rekwalifikacja / Requalifizierung],MATCH($B161,tab_MinKomp[[Stanowisko / Position ]:[Stanowisko / Position ]],0))="n/a","n/a",CW161-INDEX(tab_MinKomp[Rekwalifikacja / Requalifizierung],MATCH($B161,tab_MinKomp[[Stanowisko / Position ]:[Stanowisko / Position ]],0)))</f>
        <v>0</v>
      </c>
      <c r="CX162" s="315" t="str">
        <f>IF(INDEX(tab_MinKomp[Obsługa mikroskopu optycznego / Bedienung eines optischen Mikroskops],MATCH($B161,tab_MinKomp[[Stanowisko / Position ]:[Stanowisko / Position ]],0))="n/a","n/a",CX161-INDEX(tab_MinKomp[Obsługa mikroskopu optycznego / Bedienung eines optischen Mikroskops],MATCH($B161,tab_MinKomp[[Stanowisko / Position ]:[Stanowisko / Position ]],0)))</f>
        <v>n/a</v>
      </c>
      <c r="CY162" s="315" t="str">
        <f>IF(INDEX(tab_MinKomp[Wykonywanie pomiarów optycznych - ocena wizualna / Optische Messungen durchführen – visuelle Beurteilung],MATCH($B161,tab_MinKomp[[Stanowisko / Position ]:[Stanowisko / Position ]],0))="n/a","n/a",CY161-INDEX(tab_MinKomp[Wykonywanie pomiarów optycznych - ocena wizualna / Optische Messungen durchführen – visuelle Beurteilung],MATCH($B161,tab_MinKomp[[Stanowisko / Position ]:[Stanowisko / Position ]],0)))</f>
        <v>n/a</v>
      </c>
      <c r="CZ162" s="315" t="str">
        <f>IF(INDEX(tab_MinKomp[Obsługa Rheometra / Rheometra-Unterstützung],MATCH($B161,tab_MinKomp[[Stanowisko / Position ]:[Stanowisko / Position ]],0))="n/a","n/a",CZ161-INDEX(tab_MinKomp[Obsługa Rheometra / Rheometra-Unterstützung],MATCH($B161,tab_MinKomp[[Stanowisko / Position ]:[Stanowisko / Position ]],0)))</f>
        <v>n/a</v>
      </c>
      <c r="DA162" s="315" t="str">
        <f>IF(INDEX(tab_MinKomp[Testy właściwości Rheometra mieszanki gumy],MATCH($B161,tab_MinKomp[[Stanowisko / Position ]:[Stanowisko / Position ]],0))="n/a","n/a",DA161-INDEX(tab_MinKomp[Testy właściwości Rheometra mieszanki gumy],MATCH($B161,tab_MinKomp[[Stanowisko / Position ]:[Stanowisko / Position ]],0)))</f>
        <v>n/a</v>
      </c>
      <c r="DB162" s="315" t="str">
        <f>IF(INDEX(tab_MinKomp[CMM - Contura Zeiss],MATCH($B161,tab_MinKomp[[Stanowisko / Position ]:[Stanowisko / Position ]],0))="n/a","n/a",DB161-INDEX(tab_MinKomp[CMM - Contura Zeiss],MATCH($B161,tab_MinKomp[[Stanowisko / Position ]:[Stanowisko / Position ]],0)))</f>
        <v>n/a</v>
      </c>
      <c r="DC162" s="315" t="str">
        <f>IF(INDEX(tab_MinKomp[Wykonywanie precyzyjnych pomiarów metrycznych, pomiary 3D],MATCH($B161,tab_MinKomp[[Stanowisko / Position ]:[Stanowisko / Position ]],0))="n/a","n/a",DC161-INDEX(tab_MinKomp[Wykonywanie precyzyjnych pomiarów metrycznych, pomiary 3D],MATCH($B161,tab_MinKomp[[Stanowisko / Position ]:[Stanowisko / Position ]],0)))</f>
        <v>n/a</v>
      </c>
      <c r="DD162" s="315" t="str">
        <f>IF(INDEX(tab_MinKomp[Pisanie programów / Programme schreiben],MATCH($B161,tab_MinKomp[[Stanowisko / Position ]:[Stanowisko / Position ]],0))="n/a","n/a",DD161-INDEX(tab_MinKomp[Pisanie programów / Programme schreiben],MATCH($B161,tab_MinKomp[[Stanowisko / Position ]:[Stanowisko / Position ]],0)))</f>
        <v>n/a</v>
      </c>
      <c r="DE162" s="315" t="str">
        <f>IF(INDEX(tab_MinKomp[Obsługa wyposażenia do testów czystości (myjka + analizator) / Betrieb von Sauberkeitsprüfgeräten (Waschmaschine + Analysegerät)],MATCH($B161,tab_MinKomp[[Stanowisko / Position ]:[Stanowisko / Position ]],0))="n/a","n/a",DE161-INDEX(tab_MinKomp[Obsługa wyposażenia do testów czystości (myjka + analizator) / Betrieb von Sauberkeitsprüfgeräten (Waschmaschine + Analysegerät)],MATCH($B161,tab_MinKomp[[Stanowisko / Position ]:[Stanowisko / Position ]],0)))</f>
        <v>n/a</v>
      </c>
      <c r="DF162" s="315" t="str">
        <f>IF(INDEX(tab_MinKomp[Testy czystości / Reinheitstests],MATCH($B161,tab_MinKomp[[Stanowisko / Position ]:[Stanowisko / Position ]],0))="n/a","n/a",DF161-INDEX(tab_MinKomp[Testy czystości / Reinheitstests],MATCH($B161,tab_MinKomp[[Stanowisko / Position ]:[Stanowisko / Position ]],0)))</f>
        <v>n/a</v>
      </c>
      <c r="DG162" s="315" t="str">
        <f>IF(INDEX(tab_MinKomp[Obsługa wysokościomierza / Unterstützung für Höhenmesser],MATCH($B161,tab_MinKomp[[Stanowisko / Position ]:[Stanowisko / Position ]],0))="n/a","n/a",DG161-INDEX(tab_MinKomp[Obsługa wysokościomierza / Unterstützung für Höhenmesser],MATCH($B161,tab_MinKomp[[Stanowisko / Position ]:[Stanowisko / Position ]],0)))</f>
        <v>n/a</v>
      </c>
      <c r="DH162" s="315" t="str">
        <f>IF(INDEX(tab_MinKomp[Pomiary wysokości materiału / Materialhöhenmessungen],MATCH($B161,tab_MinKomp[[Stanowisko / Position ]:[Stanowisko / Position ]],0))="n/a","n/a",DH161-INDEX(tab_MinKomp[Pomiary wysokości materiału / Materialhöhenmessungen],MATCH($B161,tab_MinKomp[[Stanowisko / Position ]:[Stanowisko / Position ]],0)))</f>
        <v>n/a</v>
      </c>
      <c r="DI162" s="315" t="str">
        <f>IF(INDEX(tab_MinKomp[Obsługa okrągłościomierza / Unterstützung für Rundheitsmessgeräte],MATCH($B161,tab_MinKomp[[Stanowisko / Position ]:[Stanowisko / Position ]],0))="n/a","n/a",DI161-INDEX(tab_MinKomp[Obsługa okrągłościomierza / Unterstützung für Rundheitsmessgeräte],MATCH($B161,tab_MinKomp[[Stanowisko / Position ]:[Stanowisko / Position ]],0)))</f>
        <v>n/a</v>
      </c>
      <c r="DJ162" s="315" t="str">
        <f>IF(INDEX(tab_MinKomp[Wykonywania pomiarów owalności, srednicy materiału / Messung der Ovalität und des Durchmessers des Materials],MATCH($B161,tab_MinKomp[[Stanowisko / Position ]:[Stanowisko / Position ]],0))="n/a","n/a",DJ161-INDEX(tab_MinKomp[Wykonywania pomiarów owalności, srednicy materiału / Messung der Ovalität und des Durchmessers des Materials],MATCH($B161,tab_MinKomp[[Stanowisko / Position ]:[Stanowisko / Position ]],0)))</f>
        <v>n/a</v>
      </c>
      <c r="DK162" s="315" t="str">
        <f>IF(INDEX(tab_MinKomp[Obsługa urządzenia do pomiarów chropowoatości powierzchni materiału],MATCH($B161,tab_MinKomp[[Stanowisko / Position ]:[Stanowisko / Position ]],0))="n/a","n/a",DK161-INDEX(tab_MinKomp[Obsługa urządzenia do pomiarów chropowoatości powierzchni materiału],MATCH($B161,tab_MinKomp[[Stanowisko / Position ]:[Stanowisko / Position ]],0)))</f>
        <v>n/a</v>
      </c>
      <c r="DL162" s="315" t="str">
        <f>IF(INDEX(tab_MinKomp[Wykonywanie pomiarów chropowatości powierzchni materiału / Durchführung von Messungen der Materialoberflächenrauheit],MATCH($B161,tab_MinKomp[[Stanowisko / Position ]:[Stanowisko / Position ]],0))="n/a","n/a",DL161-INDEX(tab_MinKomp[Wykonywanie pomiarów chropowatości powierzchni materiału / Durchführung von Messungen der Materialoberflächenrauheit],MATCH($B161,tab_MinKomp[[Stanowisko / Position ]:[Stanowisko / Position ]],0)))</f>
        <v>n/a</v>
      </c>
      <c r="DM162" s="315" t="str">
        <f>IF(INDEX(tab_MinKomp[Obsługa urządzenia do pomiaru siły radialnej części - postępowanie z trzpieniami. / Funktionsweise des Geräts zur Messung der Radialkraft von Teilen – Handhabungsstifte.],MATCH($B161,tab_MinKomp[[Stanowisko / Position ]:[Stanowisko / Position ]],0))="n/a","n/a",DM161-INDEX(tab_MinKomp[Obsługa urządzenia do pomiaru siły radialnej części - postępowanie z trzpieniami. / Funktionsweise des Geräts zur Messung der Radialkraft von Teilen – Handhabungsstifte.],MATCH($B161,tab_MinKomp[[Stanowisko / Position ]:[Stanowisko / Position ]],0)))</f>
        <v>n/a</v>
      </c>
      <c r="DN162" s="315" t="str">
        <f>IF(INDEX(tab_MinKomp[Wykonywanie pomiarów siły radialnej części / Führen Sie Radialkraftmessungen an Teilen durch],MATCH($B161,tab_MinKomp[[Stanowisko / Position ]:[Stanowisko / Position ]],0))="n/a","n/a",DN161-INDEX(tab_MinKomp[Wykonywanie pomiarów siły radialnej części / Führen Sie Radialkraftmessungen an Teilen durch],MATCH($B161,tab_MinKomp[[Stanowisko / Position ]:[Stanowisko / Position ]],0)))</f>
        <v>n/a</v>
      </c>
      <c r="DO162" s="315" t="str">
        <f>IF(INDEX(tab_MinKomp[Obsługa komory do testów wybuchwych / Betrieb einer Explosionsprüfkammer],MATCH($B161,tab_MinKomp[[Stanowisko / Position ]:[Stanowisko / Position ]],0))="n/a","n/a",DO161-INDEX(tab_MinKomp[Obsługa komory do testów wybuchwych / Betrieb einer Explosionsprüfkammer],MATCH($B161,tab_MinKomp[[Stanowisko / Position ]:[Stanowisko / Position ]],0)))</f>
        <v>n/a</v>
      </c>
      <c r="DP162" s="315" t="str">
        <f>IF(INDEX(tab_MinKomp[Wykonywanie testów wybuchowych części / Durchführung von Explosionstests an Teilen],MATCH($B161,tab_MinKomp[[Stanowisko / Position ]:[Stanowisko / Position ]],0))="n/a","n/a",DP161-INDEX(tab_MinKomp[Wykonywanie testów wybuchowych części / Durchführung von Explosionstests an Teilen],MATCH($B161,tab_MinKomp[[Stanowisko / Position ]:[Stanowisko / Position ]],0)))</f>
        <v>n/a</v>
      </c>
      <c r="DQ162" s="315" t="str">
        <f>IF(INDEX(tab_MinKomp[Obsługa urządzeń do mierzenia siły trzymania i/lub rozciągania / Betrieb von Geräten zur Messung der Halte- und/oder Dehnkraft],MATCH($B161,tab_MinKomp[[Stanowisko / Position ]:[Stanowisko / Position ]],0))="n/a","n/a",DQ161-INDEX(tab_MinKomp[Obsługa urządzeń do mierzenia siły trzymania i/lub rozciągania / Betrieb von Geräten zur Messung der Halte- und/oder Dehnkraft],MATCH($B161,tab_MinKomp[[Stanowisko / Position ]:[Stanowisko / Position ]],0)))</f>
        <v>n/a</v>
      </c>
      <c r="DR162" s="315" t="str">
        <f>IF(INDEX(tab_MinKomp[Wykonywanie testów mierzenia siły trzymania i/lub rozciągania / Durchführung von Tests zur Messung der Halte- und/oder Streckkraft],MATCH($B161,tab_MinKomp[[Stanowisko / Position ]:[Stanowisko / Position ]],0))="n/a","n/a",DR161-INDEX(tab_MinKomp[Wykonywanie testów mierzenia siły trzymania i/lub rozciągania / Durchführung von Tests zur Messung der Halte- und/oder Streckkraft],MATCH($B161,tab_MinKomp[[Stanowisko / Position ]:[Stanowisko / Position ]],0)))</f>
        <v>n/a</v>
      </c>
      <c r="DS162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Luftstrom)],MATCH($B161,tab_MinKomp[[Stanowisko / Position ]:[Stanowisko / Position ]],0))="n/a","n/a",DS161-INDEX(tab_MinKomp[Obsługa multimetru do pomiarów środowiskowych (temperatura, wilgotność, hałas, oświetlenie, przepływ powietrza) / Betrieb eines Multimeters für Umweltmessungen (Temperatur, Luftfeuchtigkeit, Lärm, Beleuchtung, Luftstrom)],MATCH($B161,tab_MinKomp[[Stanowisko / Position ]:[Stanowisko / Position ]],0)))</f>
        <v>n/a</v>
      </c>
      <c r="DT162" s="315" t="str">
        <f>IF(INDEX(tab_MinKomp[Kontrola warunków środowiskowych pracy (temperatura, wilgotność, hałas, oświetlenie, przepływ powietrza) / Kontrolle der Arbeitsumgebungsbedingungen (Temperatur, Luftfeuchtigkeit, Lärm, Beleuchtung, Luftstrom)],MATCH($B161,tab_MinKomp[[Stanowisko / Position ]:[Stanowisko / Position ]],0))="n/a","n/a",DT161-INDEX(tab_MinKomp[Kontrola warunków środowiskowych pracy (temperatura, wilgotność, hałas, oświetlenie, przepływ powietrza) / Kontrolle der Arbeitsumgebungsbedingungen (Temperatur, Luftfeuchtigkeit, Lärm, Beleuchtung, Luftstrom)],MATCH($B161,tab_MinKomp[[Stanowisko / Position ]:[Stanowisko / Position ]],0)))</f>
        <v>n/a</v>
      </c>
      <c r="DU162" s="315" t="str">
        <f>IF(INDEX(tab_MinKomp[MSA i SPC],MATCH($B161,tab_MinKomp[[Stanowisko / Position ]:[Stanowisko / Position ]],0))="n/a","n/a",DU161-INDEX(tab_MinKomp[MSA i SPC],MATCH($B161,tab_MinKomp[[Stanowisko / Position ]:[Stanowisko / Position ]],0)))</f>
        <v>n/a</v>
      </c>
      <c r="DV162" s="315" t="str">
        <f>IF(INDEX(tab_MinKomp[Kontrola wejściowa komponentów/ Eingangskontrolle],MATCH($B161,tab_MinKomp[[Stanowisko / Position ]:[Stanowisko / Position ]],0))="n/a","n/a",DV161-INDEX(tab_MinKomp[Kontrola wejściowa komponentów/ Eingangskontrolle],MATCH($B161,tab_MinKomp[[Stanowisko / Position ]:[Stanowisko / Position ]],0)))</f>
        <v>n/a</v>
      </c>
      <c r="DW162" s="315" t="str">
        <f>IF(INDEX(tab_MinKomp[Kontrola wyjściowa produktu / Ausgangskontrolle],MATCH($B161,tab_MinKomp[[Stanowisko / Position ]:[Stanowisko / Position ]],0))="n/a","n/a",DW161-INDEX(tab_MinKomp[Kontrola wyjściowa produktu / Ausgangskontrolle],MATCH($B161,tab_MinKomp[[Stanowisko / Position ]:[Stanowisko / Position ]],0)))</f>
        <v>n/a</v>
      </c>
      <c r="DX162" s="315" t="str">
        <f>IF(INDEX(tab_MinKomp[Kontrola codzienna produkcji / Tägliche Produktionskontrolle],MATCH($B161,tab_MinKomp[[Stanowisko / Position ]:[Stanowisko / Position ]],0))="n/a","n/a",DX161-INDEX(tab_MinKomp[Kontrola codzienna produkcji / Tägliche Produktionskontrolle],MATCH($B161,tab_MinKomp[[Stanowisko / Position ]:[Stanowisko / Position ]],0)))</f>
        <v>n/a</v>
      </c>
      <c r="DY162" s="315" t="str">
        <f>IF(INDEX(tab_MinKomp[Konserwacja Rep],MATCH($B161,tab_MinKomp[[Stanowisko / Position ]:[Stanowisko / Position ]],0))="n/a","n/a",DY161-INDEX(tab_MinKomp[Konserwacja Rep],MATCH($B161,tab_MinKomp[[Stanowisko / Position ]:[Stanowisko / Position ]],0)))</f>
        <v>n/a</v>
      </c>
      <c r="DZ162" s="315" t="str">
        <f>IF(INDEX(tab_MinKomp[[Konserwacja Engel ]],MATCH($B161,tab_MinKomp[[Stanowisko / Position ]:[Stanowisko / Position ]],0))="n/a","n/a",DZ161-INDEX(tab_MinKomp[[Konserwacja Engel ]],MATCH($B161,tab_MinKomp[[Stanowisko / Position ]:[Stanowisko / Position ]],0)))</f>
        <v>n/a</v>
      </c>
      <c r="EA162" s="315" t="str">
        <f>IF(INDEX(tab_MinKomp[Konserwacja B 50],MATCH($B161,tab_MinKomp[[Stanowisko / Position ]:[Stanowisko / Position ]],0))="n/a","n/a",EA161-INDEX(tab_MinKomp[Konserwacja B 50],MATCH($B161,tab_MinKomp[[Stanowisko / Position ]:[Stanowisko / Position ]],0)))</f>
        <v>n/a</v>
      </c>
      <c r="EB162" s="315" t="str">
        <f>IF(INDEX(tab_MinKomp[[Konserwacja EOL ]],MATCH($B161,tab_MinKomp[[Stanowisko / Position ]:[Stanowisko / Position ]],0))="n/a","n/a",EB161-INDEX(tab_MinKomp[[Konserwacja EOL ]],MATCH($B161,tab_MinKomp[[Stanowisko / Position ]:[Stanowisko / Position ]],0)))</f>
        <v>n/a</v>
      </c>
      <c r="EC162" s="315" t="str">
        <f>IF(INDEX(tab_MinKomp[Konserwacja Branson],MATCH($B161,tab_MinKomp[[Stanowisko / Position ]:[Stanowisko / Position ]],0))="n/a","n/a",EC161-INDEX(tab_MinKomp[Konserwacja Branson],MATCH($B161,tab_MinKomp[[Stanowisko / Position ]:[Stanowisko / Position ]],0)))</f>
        <v>n/a</v>
      </c>
      <c r="ED162" s="315" t="str">
        <f>IF(INDEX(tab_MinKomp[Konserwacja coolery],MATCH($B161,tab_MinKomp[[Stanowisko / Position ]:[Stanowisko / Position ]],0))="n/a","n/a",ED161-INDEX(tab_MinKomp[Konserwacja coolery],MATCH($B161,tab_MinKomp[[Stanowisko / Position ]:[Stanowisko / Position ]],0)))</f>
        <v>n/a</v>
      </c>
      <c r="EE162" s="315" t="str">
        <f>IF(INDEX(tab_MinKomp[Konserwacja piecy],MATCH($B161,tab_MinKomp[[Stanowisko / Position ]:[Stanowisko / Position ]],0))="n/a","n/a",EE161-INDEX(tab_MinKomp[Konserwacja piecy],MATCH($B161,tab_MinKomp[[Stanowisko / Position ]:[Stanowisko / Position ]],0)))</f>
        <v>n/a</v>
      </c>
      <c r="EF162" s="315" t="str">
        <f>IF(INDEX(tab_MinKomp[Rysunek techniczny- czytanie],MATCH($B161,tab_MinKomp[[Stanowisko / Position ]:[Stanowisko / Position ]],0))="n/a","n/a",EF161-INDEX(tab_MinKomp[Rysunek techniczny- czytanie],MATCH($B161,tab_MinKomp[[Stanowisko / Position ]:[Stanowisko / Position ]],0)))</f>
        <v>n/a</v>
      </c>
      <c r="EG162" s="315" t="str">
        <f>IF(INDEX(tab_MinKomp[Elektryka],MATCH($B161,tab_MinKomp[[Stanowisko / Position ]:[Stanowisko / Position ]],0))="n/a","n/a",EG161-INDEX(tab_MinKomp[Elektryka],MATCH($B161,tab_MinKomp[[Stanowisko / Position ]:[Stanowisko / Position ]],0)))</f>
        <v>n/a</v>
      </c>
      <c r="EH162" s="315" t="str">
        <f>IF(INDEX(tab_MinKomp[Pneumatyka],MATCH($B161,tab_MinKomp[[Stanowisko / Position ]:[Stanowisko / Position ]],0))="n/a","n/a",EH161-INDEX(tab_MinKomp[Pneumatyka],MATCH($B161,tab_MinKomp[[Stanowisko / Position ]:[Stanowisko / Position ]],0)))</f>
        <v>n/a</v>
      </c>
      <c r="EI162" s="315" t="str">
        <f>IF(INDEX(tab_MinKomp[[Hydraulika ]],MATCH($B161,tab_MinKomp[[Stanowisko / Position ]:[Stanowisko / Position ]],0))="n/a","n/a",EI161-INDEX(tab_MinKomp[[Hydraulika ]],MATCH($B161,tab_MinKomp[[Stanowisko / Position ]:[Stanowisko / Position ]],0)))</f>
        <v>n/a</v>
      </c>
      <c r="EJ162" s="315" t="str">
        <f>IF(INDEX(tab_MinKomp[Podciśnienie],MATCH($B161,tab_MinKomp[[Stanowisko / Position ]:[Stanowisko / Position ]],0))="n/a","n/a",EJ161-INDEX(tab_MinKomp[Podciśnienie],MATCH($B161,tab_MinKomp[[Stanowisko / Position ]:[Stanowisko / Position ]],0)))</f>
        <v>n/a</v>
      </c>
      <c r="EK162" s="315" t="str">
        <f>IF(INDEX(tab_MinKomp[Usuwanie awarii],MATCH($B161,tab_MinKomp[[Stanowisko / Position ]:[Stanowisko / Position ]],0))="n/a","n/a",EK161-INDEX(tab_MinKomp[Usuwanie awarii],MATCH($B161,tab_MinKomp[[Stanowisko / Position ]:[Stanowisko / Position ]],0)))</f>
        <v>n/a</v>
      </c>
      <c r="EL162" s="315" t="str">
        <f>IF(INDEX(tab_MinKomp[Obsługa robotów],MATCH($B161,tab_MinKomp[[Stanowisko / Position ]:[Stanowisko / Position ]],0))="n/a","n/a",EL161-INDEX(tab_MinKomp[Obsługa robotów],MATCH($B161,tab_MinKomp[[Stanowisko / Position ]:[Stanowisko / Position ]],0)))</f>
        <v>n/a</v>
      </c>
      <c r="EM162" s="315" t="str">
        <f>IF(INDEX(tab_MinKomp[Obsługa sterowania maszyny],MATCH($B161,tab_MinKomp[[Stanowisko / Position ]:[Stanowisko / Position ]],0))="n/a","n/a",EM161-INDEX(tab_MinKomp[Obsługa sterowania maszyny],MATCH($B161,tab_MinKomp[[Stanowisko / Position ]:[Stanowisko / Position ]],0)))</f>
        <v>n/a</v>
      </c>
      <c r="EN162" s="315" t="str">
        <f>IF(INDEX(tab_MinKomp[Usuwanie przyczyn żródłowych],MATCH($B161,tab_MinKomp[[Stanowisko / Position ]:[Stanowisko / Position ]],0))="n/a","n/a",EN161-INDEX(tab_MinKomp[Usuwanie przyczyn żródłowych],MATCH($B161,tab_MinKomp[[Stanowisko / Position ]:[Stanowisko / Position ]],0)))</f>
        <v>n/a</v>
      </c>
      <c r="EO162" s="315" t="str">
        <f>IF(INDEX(tab_MinKomp[Cmms stosowanie],MATCH($B161,tab_MinKomp[[Stanowisko / Position ]:[Stanowisko / Position ]],0))="n/a","n/a",EO161-INDEX(tab_MinKomp[Cmms stosowanie],MATCH($B161,tab_MinKomp[[Stanowisko / Position ]:[Stanowisko / Position ]],0)))</f>
        <v>n/a</v>
      </c>
      <c r="EP162" s="315" t="str">
        <f>IF(INDEX(tab_MinKomp[[Czyszczenie form gumowych ]],MATCH($B161,tab_MinKomp[[Stanowisko / Position ]:[Stanowisko / Position ]],0))="n/a","n/a",EP161-INDEX(tab_MinKomp[[Czyszczenie form gumowych ]],MATCH($B161,tab_MinKomp[[Stanowisko / Position ]:[Stanowisko / Position ]],0)))</f>
        <v>n/a</v>
      </c>
      <c r="EQ162" s="315" t="str">
        <f>IF(INDEX(tab_MinKomp[Czyszczenie form plastikowych],MATCH($B161,tab_MinKomp[[Stanowisko / Position ]:[Stanowisko / Position ]],0))="n/a","n/a",EQ161-INDEX(tab_MinKomp[Czyszczenie form plastikowych],MATCH($B161,tab_MinKomp[[Stanowisko / Position ]:[Stanowisko / Position ]],0)))</f>
        <v>n/a</v>
      </c>
      <c r="ER162" s="315" t="str">
        <f>IF(INDEX(tab_MinKomp[Wymiana form plastik],MATCH($B161,tab_MinKomp[[Stanowisko / Position ]:[Stanowisko / Position ]],0))="n/a","n/a",ER161-INDEX(tab_MinKomp[Wymiana form plastik],MATCH($B161,tab_MinKomp[[Stanowisko / Position ]:[Stanowisko / Position ]],0)))</f>
        <v>n/a</v>
      </c>
      <c r="ES162" s="315" t="str">
        <f>IF(INDEX(tab_MinKomp[Wymiana form guma],MATCH($B161,tab_MinKomp[[Stanowisko / Position ]:[Stanowisko / Position ]],0))="n/a","n/a",ES161-INDEX(tab_MinKomp[Wymiana form guma],MATCH($B161,tab_MinKomp[[Stanowisko / Position ]:[Stanowisko / Position ]],0)))</f>
        <v>n/a</v>
      </c>
      <c r="ET162" s="315" t="str">
        <f>IF(INDEX(tab_MinKomp[Konserwacja KK],MATCH($B161,tab_MinKomp[[Stanowisko / Position ]:[Stanowisko / Position ]],0))="n/a","n/a",ET161-INDEX(tab_MinKomp[Konserwacja KK],MATCH($B161,tab_MinKomp[[Stanowisko / Position ]:[Stanowisko / Position ]],0)))</f>
        <v>n/a</v>
      </c>
      <c r="EU162" s="315" t="str">
        <f>IF(INDEX(tab_MinKomp[Konserwacja form guma],MATCH($B161,tab_MinKomp[[Stanowisko / Position ]:[Stanowisko / Position ]],0))="n/a","n/a",EU161-INDEX(tab_MinKomp[Konserwacja form guma],MATCH($B161,tab_MinKomp[[Stanowisko / Position ]:[Stanowisko / Position ]],0)))</f>
        <v>n/a</v>
      </c>
      <c r="EV162" s="315" t="str">
        <f>IF(INDEX(tab_MinKomp[Konserwacja form plastiki],MATCH($B161,tab_MinKomp[[Stanowisko / Position ]:[Stanowisko / Position ]],0))="n/a","n/a",EV161-INDEX(tab_MinKomp[Konserwacja form plastiki],MATCH($B161,tab_MinKomp[[Stanowisko / Position ]:[Stanowisko / Position ]],0)))</f>
        <v>n/a</v>
      </c>
      <c r="EW162" s="330" t="str">
        <f>IF(INDEX(tab_MinKomp[Konserwacja form plastiki],MATCH($B161,tab_MinKomp[[Stanowisko / Position ]:[Stanowisko / Position ]],0))="n/a","n/a",EW161-INDEX(tab_MinKomp[Konserwacja form plastiki],MATCH($B161,tab_MinKomp[[Stanowisko / Position ]:[Stanowisko / Position ]],0)))</f>
        <v>n/a</v>
      </c>
      <c r="EX162" s="315" t="str">
        <f>IF(INDEX(tab_MinKomp[Konserwacja Gorącego Kanału],MATCH($B161,tab_MinKomp[[Stanowisko / Position ]:[Stanowisko / Position ]],0))="n/a","n/a",EX161-INDEX(tab_MinKomp[Konserwacja Gorącego Kanału],MATCH($B161,tab_MinKomp[[Stanowisko / Position ]:[Stanowisko / Position ]],0)))</f>
        <v>n/a</v>
      </c>
      <c r="EY162" s="315">
        <f>IF(INDEX(tab_MinKomp[MS Office (Excel)],MATCH($B161,tab_MinKomp[[Stanowisko / Position ]:[Stanowisko / Position ]],0))="n/a","n/a",EY161-INDEX(tab_MinKomp[MS Office (Excel)],MATCH($B161,tab_MinKomp[[Stanowisko / Position ]:[Stanowisko / Position ]],0)))</f>
        <v>0</v>
      </c>
      <c r="EZ162" s="315">
        <f>IF(INDEX(tab_MinKomp[MS Office (Word)],MATCH($B161,tab_MinKomp[[Stanowisko / Position ]:[Stanowisko / Position ]],0))="n/a","n/a",EZ161-INDEX(tab_MinKomp[MS Office (Word)],MATCH($B161,tab_MinKomp[[Stanowisko / Position ]:[Stanowisko / Position ]],0)))</f>
        <v>0</v>
      </c>
      <c r="FA162" s="315">
        <f>IF(INDEX(tab_MinKomp[MS Office (Power Point)],MATCH($B161,tab_MinKomp[[Stanowisko / Position ]:[Stanowisko / Position ]],0))="n/a","n/a",FA161-INDEX(tab_MinKomp[MS Office (Power Point)],MATCH($B161,tab_MinKomp[[Stanowisko / Position ]:[Stanowisko / Position ]],0)))</f>
        <v>0</v>
      </c>
      <c r="FB162" s="315">
        <f>IF(INDEX(tab_MinKomp[Język angielski / Englisch],MATCH($B161,tab_MinKomp[[Stanowisko / Position ]:[Stanowisko / Position ]],0))="n/a","n/a",FB161-INDEX(tab_MinKomp[Język angielski / Englisch],MATCH($B161,tab_MinKomp[[Stanowisko / Position ]:[Stanowisko / Position ]],0)))</f>
        <v>0</v>
      </c>
      <c r="FC162" s="315" t="str">
        <f>IF(INDEX(tab_MinKomp[Język niemiecki / Deutsch],MATCH($B161,tab_MinKomp[[Stanowisko / Position ]:[Stanowisko / Position ]],0))="n/a","n/a",FC161-INDEX(tab_MinKomp[Język niemiecki / Deutsch],MATCH($B161,tab_MinKomp[[Stanowisko / Position ]:[Stanowisko / Position ]],0)))</f>
        <v>n/a</v>
      </c>
      <c r="FD162" s="315">
        <f>IF(INDEX(tab_MinKomp[Zarządzanie dokumentacją procesową / Process dokumentation management],MATCH($B161,tab_MinKomp[[Stanowisko / Position ]:[Stanowisko / Position ]],0))="n/a","n/a",FD161-INDEX(tab_MinKomp[Zarządzanie dokumentacją procesową / Process dokumentation management],MATCH($B161,tab_MinKomp[[Stanowisko / Position ]:[Stanowisko / Position ]],0)))</f>
        <v>1</v>
      </c>
      <c r="FE162" s="315">
        <f>IF(INDEX(tab_MinKomp[Znajomość procesów z obszaru / Kenntiss der prozesse in dem Bereich],MATCH($B161,tab_MinKomp[[Stanowisko / Position ]:[Stanowisko / Position ]],0))="n/a","n/a",FE161-INDEX(tab_MinKomp[Znajomość procesów z obszaru / Kenntiss der prozesse in dem Bereich],MATCH($B161,tab_MinKomp[[Stanowisko / Position ]:[Stanowisko / Position ]],0)))</f>
        <v>0</v>
      </c>
      <c r="FF162" s="315">
        <f>IF(INDEX(tab_MinKomp[optymalizacja procesów / Prozessoptymalisierung],MATCH($B161,tab_MinKomp[[Stanowisko / Position ]:[Stanowisko / Position ]],0))="n/a","n/a",FF161-INDEX(tab_MinKomp[optymalizacja procesów / Prozessoptymalisierung],MATCH($B161,tab_MinKomp[[Stanowisko / Position ]:[Stanowisko / Position ]],0)))</f>
        <v>0</v>
      </c>
      <c r="FG162" s="315">
        <f>IF(INDEX(tab_MinKomp[Umiejętności szkoleniowe / Trainingsfähigkeiten],MATCH($B161,tab_MinKomp[[Stanowisko / Position ]:[Stanowisko / Position ]],0))="n/a","n/a",FG161-INDEX(tab_MinKomp[Umiejętności szkoleniowe / Trainingsfähigkeiten],MATCH($B161,tab_MinKomp[[Stanowisko / Position ]:[Stanowisko / Position ]],0)))</f>
        <v>0</v>
      </c>
      <c r="FH162" s="315">
        <f>IF(INDEX(tab_MinKomp[Analityczne myślenie, podejście / Analitysches Denken, Einstellung],MATCH($B161,tab_MinKomp[[Stanowisko / Position ]:[Stanowisko / Position ]],0))="n/a","n/a",FH161-INDEX(tab_MinKomp[Analityczne myślenie, podejście / Analitysches Denken, Einstellung],MATCH($B161,tab_MinKomp[[Stanowisko / Position ]:[Stanowisko / Position ]],0)))</f>
        <v>0</v>
      </c>
      <c r="FI162" s="315">
        <f>IF(INDEX(tab_MinKomp[Dokładność, precyzja w dzialaniu / Genauigkeit, Präzision in die Arbeit],MATCH($B161,tab_MinKomp[[Stanowisko / Position ]:[Stanowisko / Position ]],0))="n/a","n/a",FI161-INDEX(tab_MinKomp[Dokładność, precyzja w dzialaniu / Genauigkeit, Präzision in die Arbeit],MATCH($B161,tab_MinKomp[[Stanowisko / Position ]:[Stanowisko / Position ]],0)))</f>
        <v>-1</v>
      </c>
      <c r="FJ162" s="315">
        <f>IF(INDEX(tab_MinKomp[Dyspozycyjność / Verfügbarkeit],MATCH($B161,tab_MinKomp[[Stanowisko / Position ]:[Stanowisko / Position ]],0))="n/a","n/a",FJ161-INDEX(tab_MinKomp[Dyspozycyjność / Verfügbarkeit],MATCH($B161,tab_MinKomp[[Stanowisko / Position ]:[Stanowisko / Position ]],0)))</f>
        <v>0</v>
      </c>
      <c r="FK162" s="315">
        <f>IF(INDEX(tab_MinKomp[Zaangażowanie / 
Engagement],MATCH($B161,tab_MinKomp[[Stanowisko / Position ]:[Stanowisko / Position ]],0))="n/a","n/a",FK161-INDEX(tab_MinKomp[Zaangażowanie / 
Engagement],MATCH($B161,tab_MinKomp[[Stanowisko / Position ]:[Stanowisko / Position ]],0)))</f>
        <v>0</v>
      </c>
      <c r="FL162" s="315">
        <f>IF(INDEX(tab_MinKomp[Planowanie strategiczne / Strategische Planung],MATCH($B161,tab_MinKomp[[Stanowisko / Position ]:[Stanowisko / Position ]],0))="n/a","n/a",FL161-INDEX(tab_MinKomp[Planowanie strategiczne / Strategische Planung],MATCH($B161,tab_MinKomp[[Stanowisko / Position ]:[Stanowisko / Position ]],0)))</f>
        <v>0</v>
      </c>
      <c r="FM162" s="315">
        <f>IF(INDEX(tab_MinKomp[Konsekwentne i dynamiczne działanie],MATCH($B161,tab_MinKomp[[Stanowisko / Position ]:[Stanowisko / Position ]],0))="n/a","n/a",FM161-INDEX(tab_MinKomp[Konsekwentne i dynamiczne działanie],MATCH($B161,tab_MinKomp[[Stanowisko / Position ]:[Stanowisko / Position ]],0)))</f>
        <v>-1</v>
      </c>
      <c r="FN162" s="315">
        <f>IF(INDEX(tab_MinKomp[Elastyczność w działaniu],MATCH($B161,tab_MinKomp[[Stanowisko / Position ]:[Stanowisko / Position ]],0))="n/a","n/a",FN161-INDEX(tab_MinKomp[Elastyczność w działaniu],MATCH($B161,tab_MinKomp[[Stanowisko / Position ]:[Stanowisko / Position ]],0)))</f>
        <v>0</v>
      </c>
      <c r="FO162" s="315">
        <f>IF(INDEX(tab_MinKomp[Komunikatywność],MATCH($B161,tab_MinKomp[[Stanowisko / Position ]:[Stanowisko / Position ]],0))="n/a","n/a",FO161-INDEX(tab_MinKomp[Komunikatywność],MATCH($B161,tab_MinKomp[[Stanowisko / Position ]:[Stanowisko / Position ]],0)))</f>
        <v>0</v>
      </c>
      <c r="FP162" s="315">
        <f>IF(INDEX(tab_MinKomp[Motywowanie i budowanie zaangażowania zespołu],MATCH($B161,tab_MinKomp[[Stanowisko / Position ]:[Stanowisko / Position ]],0))="n/a","n/a",FP161-INDEX(tab_MinKomp[Motywowanie i budowanie zaangażowania zespołu],MATCH($B161,tab_MinKomp[[Stanowisko / Position ]:[Stanowisko / Position ]],0)))</f>
        <v>-1</v>
      </c>
      <c r="FQ162" s="318" t="str">
        <f>IFERROR(IF(INDEX(tab_MinKomp[BRAK / Keine],MATCH($B161,tab_MinKomp[[Stanowisko / Position ]:[Stanowisko / Position ]],0))="n/a","n/a",INDEX(tab_MinKomp[BRAK / Keine],MATCH($B161,tab_MinKomp[[Stanowisko / Position ]:[Stanowisko / Position ]],0))-FQ161),"")</f>
        <v>n/a</v>
      </c>
      <c r="FR162" s="315" t="str">
        <f>IF(INDEX(tab_MinKomp[MINIMUM 1 ROK / min. 1 Jahr],MATCH($B161,tab_MinKomp[[Stanowisko / Position ]:[Stanowisko / Position ]],0))="n/a","n/a",INDEX(tab_MinKomp[MINIMUM 1 ROK / min. 1 Jahr],MATCH($B161,tab_MinKomp[[Stanowisko / Position ]:[Stanowisko / Position ]],0)))</f>
        <v>X</v>
      </c>
      <c r="FS162" s="315" t="str">
        <f>IF(INDEX(tab_MinKomp[MINIMUM 2 LATA / min. 2 Jahre],MATCH($B161,tab_MinKomp[[Stanowisko / Position ]:[Stanowisko / Position ]],0))="n/a","n/a",INDEX(tab_MinKomp[MINIMUM 2 LATA / min. 2 Jahre],MATCH($B161,tab_MinKomp[[Stanowisko / Position ]:[Stanowisko / Position ]],0)))</f>
        <v>n/a</v>
      </c>
      <c r="FT162" s="315" t="str">
        <f>IF(INDEX(tab_MinKomp[MINIMUM 3 LATA / min. 3 Jahre],MATCH($B161,tab_MinKomp[[Stanowisko / Position ]:[Stanowisko / Position ]],0))="n/a","n/a",INDEX(tab_MinKomp[MINIMUM 3 LATA / min. 3 Jahre],MATCH($B161,tab_MinKomp[[Stanowisko / Position ]:[Stanowisko / Position ]],0)))</f>
        <v>n/a</v>
      </c>
      <c r="FU162" s="315" t="str">
        <f>IF(INDEX(tab_MinKomp[MINIMUM 4 LATA / min. 4 Jahre],MATCH($B161,tab_MinKomp[[Stanowisko / Position ]:[Stanowisko / Position ]],0))="n/a","n/a",INDEX(tab_MinKomp[MINIMUM 4 LATA / min. 4 Jahre],MATCH($B161,tab_MinKomp[[Stanowisko / Position ]:[Stanowisko / Position ]],0)))</f>
        <v>n/a</v>
      </c>
      <c r="FV162" s="319" t="str">
        <f>IF(INDEX(tab_MinKomp[MINIMUM 5 LAT / min. 5 Jahre],MATCH($B161,tab_MinKomp[[Stanowisko / Position ]:[Stanowisko / Position ]],0))="n/a","n/a",INDEX(tab_MinKomp[MINIMUM 5 LAT / min. 5 Jahre],MATCH($B161,tab_MinKomp[[Stanowisko / Position ]:[Stanowisko / Position ]],0)))</f>
        <v>n/a</v>
      </c>
      <c r="FW162" s="318" t="str">
        <f>IF(INDEX(tab_MinKomp[BRAK / Keine9],MATCH($B161,tab_MinKomp[[Stanowisko / Position ]:[Stanowisko / Position ]],0))="n/a","n/a",INDEX(tab_MinKomp[BRAK / Keine9],MATCH($B161,tab_MinKomp[[Stanowisko / Position ]:[Stanowisko / Position ]],0)))</f>
        <v>n/a</v>
      </c>
      <c r="FX162" s="315" t="str">
        <f>IF(INDEX(tab_MinKomp[ZAWODOWE / Berufsausbildung],MATCH($B161,tab_MinKomp[[Stanowisko / Position ]:[Stanowisko / Position ]],0))="n/a","n/a",INDEX(tab_MinKomp[ZAWODOWE / Berufsausbildung],MATCH($B161,tab_MinKomp[[Stanowisko / Position ]:[Stanowisko / Position ]],0)))</f>
        <v>n/a</v>
      </c>
      <c r="FY162" s="315" t="str">
        <f>IF(INDEX(tab_MinKomp[ŚREDNIE OGÓLNE / Abitur allgemeine],MATCH($B161,tab_MinKomp[[Stanowisko / Position ]:[Stanowisko / Position ]],0))="n/a","n/a",INDEX(tab_MinKomp[ŚREDNIE OGÓLNE / Abitur allgemeine],MATCH($B161,tab_MinKomp[[Stanowisko / Position ]:[Stanowisko / Position ]],0)))</f>
        <v>n/a</v>
      </c>
      <c r="FZ162" s="315" t="str">
        <f>IF(INDEX(tab_MinKomp[ŚREDNIE KIERUNKOWE / berufliches Gymnasium],MATCH($B161,tab_MinKomp[[Stanowisko / Position ]:[Stanowisko / Position ]],0))="n/a","n/a",INDEX(tab_MinKomp[ŚREDNIE KIERUNKOWE / berufliches Gymnasium],MATCH($B161,tab_MinKomp[[Stanowisko / Position ]:[Stanowisko / Position ]],0)))</f>
        <v>n/a</v>
      </c>
      <c r="GA162" s="315" t="str">
        <f>IF(INDEX(tab_MinKomp[WYŻSZE OGÓLNE / Hochschule allgemeine],MATCH($B161,tab_MinKomp[[Stanowisko / Position ]:[Stanowisko / Position ]],0))="n/a","n/a",INDEX(tab_MinKomp[WYŻSZE OGÓLNE / Hochschule allgemeine],MATCH($B161,tab_MinKomp[[Stanowisko / Position ]:[Stanowisko / Position ]],0)))</f>
        <v>n/a</v>
      </c>
      <c r="GB162" s="319" t="str">
        <f>IF(INDEX(tab_MinKomp[WYŻSZE KIERUNKOWE / Hochschule berufliche],MATCH($B161,tab_MinKomp[[Stanowisko / Position ]:[Stanowisko / Position ]],0))="n/a","n/a",INDEX(tab_MinKomp[WYŻSZE KIERUNKOWE / Hochschule berufliche],MATCH($B161,tab_MinKomp[[Stanowisko / Position ]:[Stanowisko / Position ]],0)))</f>
        <v>X</v>
      </c>
      <c r="GC162" s="318" t="str">
        <f>IF(INDEX(tab_MinKomp[PIERWSZA POMOC / Erste Hilfe],MATCH($B161,tab_MinKomp[[Stanowisko / Position ]:[Stanowisko / Position ]],0))="n/a","n/a",INDEX(tab_MinKomp[PIERWSZA POMOC / Erste Hilfe],MATCH($B161,tab_MinKomp[[Stanowisko / Position ]:[Stanowisko / Position ]],0)))</f>
        <v>n/a</v>
      </c>
      <c r="GD162" s="315" t="str">
        <f>IF(INDEX(tab_MinKomp[Specjalista BHP / BHP Spezialist],MATCH($B161,tab_MinKomp[[Stanowisko / Position ]:[Stanowisko / Position ]],0))="n/a","n/a",INDEX(tab_MinKomp[Specjalista BHP / BHP Spezialist],MATCH($B161,tab_MinKomp[[Stanowisko / Position ]:[Stanowisko / Position ]],0)))</f>
        <v>n/a</v>
      </c>
      <c r="GE162" s="315" t="str">
        <f>IF(INDEX(tab_MinKomp[Inspektor ochrony PPOŻ / Brandschutzinspektor],MATCH($B161,tab_MinKomp[[Stanowisko / Position ]:[Stanowisko / Position ]],0))="n/a","n/a",INDEX(tab_MinKomp[Inspektor ochrony PPOŻ / Brandschutzinspektor],MATCH($B161,tab_MinKomp[[Stanowisko / Position ]:[Stanowisko / Position ]],0)))</f>
        <v>n/a</v>
      </c>
      <c r="GF162" s="315" t="str">
        <f>IF(INDEX(tab_MinKomp[WÓZKI JEZDNIOWE / Gebelstapler],MATCH($B161,tab_MinKomp[[Stanowisko / Position ]:[Stanowisko / Position ]],0))="n/a","n/a",INDEX(tab_MinKomp[WÓZKI JEZDNIOWE / Gebelstapler],MATCH($B161,tab_MinKomp[[Stanowisko / Position ]:[Stanowisko / Position ]],0)))</f>
        <v>n/a</v>
      </c>
      <c r="GG162" s="315" t="str">
        <f>IF(INDEX(tab_MinKomp[SEP],MATCH($B161,tab_MinKomp[[Stanowisko / Position ]:[Stanowisko / Position ]],0))="n/a","n/a",INDEX(tab_MinKomp[SEP],MATCH($B161,tab_MinKomp[[Stanowisko / Position ]:[Stanowisko / Position ]],0)))</f>
        <v>n/a</v>
      </c>
      <c r="GH162" s="315" t="str">
        <f>IF(INDEX(tab_MinKomp[SEP  DOZÓR / SEP Aufsicht],MATCH($B161,tab_MinKomp[[Stanowisko / Position ]:[Stanowisko / Position ]],0))="n/a","n/a",INDEX(tab_MinKomp[SEP  DOZÓR / SEP Aufsicht],MATCH($B161,tab_MinKomp[[Stanowisko / Position ]:[Stanowisko / Position ]],0)))</f>
        <v>n/a</v>
      </c>
      <c r="GI162" s="315" t="str">
        <f>IF(INDEX(tab_MinKomp[PODNOŚNIKI / Hebevorrichtung],MATCH($B161,tab_MinKomp[[Stanowisko / Position ]:[Stanowisko / Position ]],0))="n/a","n/a",INDEX(tab_MinKomp[PODNOŚNIKI / Hebevorrichtung],MATCH($B161,tab_MinKomp[[Stanowisko / Position ]:[Stanowisko / Position ]],0)))</f>
        <v>n/a</v>
      </c>
      <c r="GJ162" s="315" t="str">
        <f>IF(INDEX(tab_MinKomp[SUWNICE / Laufkran],MATCH($B161,tab_MinKomp[[Stanowisko / Position ]:[Stanowisko / Position ]],0))="n/a","n/a",INDEX(tab_MinKomp[SUWNICE / Laufkran],MATCH($B161,tab_MinKomp[[Stanowisko / Position ]:[Stanowisko / Position ]],0)))</f>
        <v>n/a</v>
      </c>
      <c r="GK162" s="319" t="str">
        <f>IF(INDEX(tab_MinKomp[WYSOKOŚCIOWE / Höhenberechtigungen],MATCH($B161,tab_MinKomp[[Stanowisko / Position ]:[Stanowisko / Position ]],0))="n/a","n/a",INDEX(tab_MinKomp[WYSOKOŚCIOWE / Höhenberechtigungen],MATCH($B161,tab_MinKomp[[Stanowisko / Position ]:[Stanowisko / Position ]],0)))</f>
        <v>n/a</v>
      </c>
      <c r="GL162" s="320">
        <f>SUM(G162:FP162)/(GL161-(SUM(G162:FP162)))</f>
        <v>-6.5789473684210523E-3</v>
      </c>
    </row>
    <row r="163" spans="1:195" ht="31.5" customHeight="1" x14ac:dyDescent="0.25">
      <c r="A163" s="135" t="s">
        <v>180</v>
      </c>
      <c r="B163" s="135" t="s">
        <v>581</v>
      </c>
      <c r="C163" s="135" t="s">
        <v>672</v>
      </c>
      <c r="D163" s="135">
        <v>1431</v>
      </c>
      <c r="E163" s="565" t="s">
        <v>639</v>
      </c>
      <c r="F163" s="307" t="s">
        <v>165</v>
      </c>
      <c r="G163" s="308">
        <v>2</v>
      </c>
      <c r="H163" s="308">
        <v>2</v>
      </c>
      <c r="I163" s="308">
        <v>1</v>
      </c>
      <c r="J163" s="308">
        <v>1</v>
      </c>
      <c r="K163" s="308">
        <v>1</v>
      </c>
      <c r="L163" s="308">
        <v>1</v>
      </c>
      <c r="M163" s="308" t="s">
        <v>176</v>
      </c>
      <c r="N163" s="308" t="s">
        <v>176</v>
      </c>
      <c r="O163" s="308">
        <v>1</v>
      </c>
      <c r="P163" s="308">
        <v>1</v>
      </c>
      <c r="Q163" s="308" t="s">
        <v>176</v>
      </c>
      <c r="R163" s="308" t="s">
        <v>176</v>
      </c>
      <c r="S163" s="308" t="s">
        <v>176</v>
      </c>
      <c r="T163" s="308">
        <v>1</v>
      </c>
      <c r="U163" s="308" t="s">
        <v>176</v>
      </c>
      <c r="V163" s="308" t="s">
        <v>176</v>
      </c>
      <c r="W163" s="308" t="s">
        <v>176</v>
      </c>
      <c r="X163" s="308" t="s">
        <v>176</v>
      </c>
      <c r="Y163" s="308" t="s">
        <v>176</v>
      </c>
      <c r="Z163" s="308" t="s">
        <v>176</v>
      </c>
      <c r="AA163" s="308" t="s">
        <v>176</v>
      </c>
      <c r="AB163" s="308" t="s">
        <v>176</v>
      </c>
      <c r="AC163" s="308" t="s">
        <v>176</v>
      </c>
      <c r="AD163" s="308" t="s">
        <v>176</v>
      </c>
      <c r="AE163" s="308" t="s">
        <v>176</v>
      </c>
      <c r="AF163" s="308" t="s">
        <v>176</v>
      </c>
      <c r="AG163" s="308" t="s">
        <v>176</v>
      </c>
      <c r="AH163" s="308" t="s">
        <v>176</v>
      </c>
      <c r="AI163" s="308" t="s">
        <v>176</v>
      </c>
      <c r="AJ163" s="308" t="s">
        <v>176</v>
      </c>
      <c r="AK163" s="308" t="s">
        <v>176</v>
      </c>
      <c r="AL163" s="308">
        <v>2</v>
      </c>
      <c r="AM163" s="308" t="s">
        <v>176</v>
      </c>
      <c r="AN163" s="308" t="s">
        <v>176</v>
      </c>
      <c r="AO163" s="308">
        <v>1</v>
      </c>
      <c r="AP163" s="308" t="s">
        <v>176</v>
      </c>
      <c r="AQ163" s="308">
        <v>1</v>
      </c>
      <c r="AR163" s="308" t="s">
        <v>176</v>
      </c>
      <c r="AS163" s="308" t="s">
        <v>176</v>
      </c>
      <c r="AT163" s="308" t="s">
        <v>176</v>
      </c>
      <c r="AU163" s="308">
        <v>1</v>
      </c>
      <c r="AV163" s="308">
        <v>1</v>
      </c>
      <c r="AW163" s="308">
        <v>1</v>
      </c>
      <c r="AX163" s="308" t="s">
        <v>176</v>
      </c>
      <c r="AY163" s="308" t="s">
        <v>176</v>
      </c>
      <c r="AZ163" s="308" t="s">
        <v>176</v>
      </c>
      <c r="BA163" s="308">
        <v>1</v>
      </c>
      <c r="BB163" s="308">
        <v>1</v>
      </c>
      <c r="BC163" s="308" t="s">
        <v>176</v>
      </c>
      <c r="BD163" s="308" t="s">
        <v>176</v>
      </c>
      <c r="BE163" s="308" t="s">
        <v>176</v>
      </c>
      <c r="BF163" s="308" t="s">
        <v>176</v>
      </c>
      <c r="BG163" s="308" t="s">
        <v>176</v>
      </c>
      <c r="BH163" s="308" t="s">
        <v>176</v>
      </c>
      <c r="BI163" s="308" t="s">
        <v>176</v>
      </c>
      <c r="BJ163" s="308" t="s">
        <v>176</v>
      </c>
      <c r="BK163" s="308" t="s">
        <v>176</v>
      </c>
      <c r="BL163" s="308" t="s">
        <v>176</v>
      </c>
      <c r="BM163" s="308">
        <v>2</v>
      </c>
      <c r="BN163" s="308" t="s">
        <v>176</v>
      </c>
      <c r="BO163" s="308" t="s">
        <v>176</v>
      </c>
      <c r="BP163" s="308" t="s">
        <v>176</v>
      </c>
      <c r="BQ163" s="308" t="s">
        <v>176</v>
      </c>
      <c r="BR163" s="308" t="s">
        <v>176</v>
      </c>
      <c r="BS163" s="308">
        <v>3</v>
      </c>
      <c r="BT163" s="308" t="s">
        <v>176</v>
      </c>
      <c r="BU163" s="308">
        <v>3</v>
      </c>
      <c r="BV163" s="308">
        <v>2</v>
      </c>
      <c r="BW163" s="308" t="s">
        <v>176</v>
      </c>
      <c r="BX163" s="308" t="s">
        <v>176</v>
      </c>
      <c r="BY163" s="308" t="s">
        <v>176</v>
      </c>
      <c r="BZ163" s="308" t="s">
        <v>176</v>
      </c>
      <c r="CA163" s="308" t="s">
        <v>176</v>
      </c>
      <c r="CB163" s="308" t="s">
        <v>176</v>
      </c>
      <c r="CC163" s="308" t="s">
        <v>176</v>
      </c>
      <c r="CD163" s="308" t="s">
        <v>176</v>
      </c>
      <c r="CE163" s="308" t="s">
        <v>176</v>
      </c>
      <c r="CF163" s="308" t="s">
        <v>176</v>
      </c>
      <c r="CG163" s="308">
        <v>2</v>
      </c>
      <c r="CH163" s="308" t="s">
        <v>176</v>
      </c>
      <c r="CI163" s="308" t="s">
        <v>176</v>
      </c>
      <c r="CJ163" s="308" t="s">
        <v>176</v>
      </c>
      <c r="CK163" s="308" t="s">
        <v>176</v>
      </c>
      <c r="CL163" s="308" t="s">
        <v>176</v>
      </c>
      <c r="CM163" s="308">
        <v>1</v>
      </c>
      <c r="CN163" s="308">
        <v>1</v>
      </c>
      <c r="CO163" s="308">
        <v>1</v>
      </c>
      <c r="CP163" s="308">
        <v>2</v>
      </c>
      <c r="CQ163" s="308" t="s">
        <v>176</v>
      </c>
      <c r="CR163" s="308" t="s">
        <v>176</v>
      </c>
      <c r="CS163" s="308" t="s">
        <v>176</v>
      </c>
      <c r="CT163" s="308" t="s">
        <v>176</v>
      </c>
      <c r="CU163" s="308" t="s">
        <v>176</v>
      </c>
      <c r="CV163" s="308" t="s">
        <v>176</v>
      </c>
      <c r="CW163" s="308" t="s">
        <v>176</v>
      </c>
      <c r="CX163" s="308" t="s">
        <v>176</v>
      </c>
      <c r="CY163" s="308" t="s">
        <v>176</v>
      </c>
      <c r="CZ163" s="308" t="s">
        <v>176</v>
      </c>
      <c r="DA163" s="308" t="s">
        <v>176</v>
      </c>
      <c r="DB163" s="308" t="s">
        <v>176</v>
      </c>
      <c r="DC163" s="308" t="s">
        <v>176</v>
      </c>
      <c r="DD163" s="308" t="s">
        <v>176</v>
      </c>
      <c r="DE163" s="308" t="s">
        <v>176</v>
      </c>
      <c r="DF163" s="308" t="s">
        <v>176</v>
      </c>
      <c r="DG163" s="308" t="s">
        <v>176</v>
      </c>
      <c r="DH163" s="308" t="s">
        <v>176</v>
      </c>
      <c r="DI163" s="308" t="s">
        <v>176</v>
      </c>
      <c r="DJ163" s="308" t="s">
        <v>176</v>
      </c>
      <c r="DK163" s="308" t="s">
        <v>176</v>
      </c>
      <c r="DL163" s="308" t="s">
        <v>176</v>
      </c>
      <c r="DM163" s="308" t="s">
        <v>176</v>
      </c>
      <c r="DN163" s="308" t="s">
        <v>176</v>
      </c>
      <c r="DO163" s="308" t="s">
        <v>176</v>
      </c>
      <c r="DP163" s="308" t="s">
        <v>176</v>
      </c>
      <c r="DQ163" s="308" t="s">
        <v>176</v>
      </c>
      <c r="DR163" s="308" t="s">
        <v>176</v>
      </c>
      <c r="DS163" s="308" t="s">
        <v>176</v>
      </c>
      <c r="DT163" s="308" t="s">
        <v>176</v>
      </c>
      <c r="DU163" s="308" t="s">
        <v>176</v>
      </c>
      <c r="DV163" s="308" t="s">
        <v>176</v>
      </c>
      <c r="DW163" s="308" t="s">
        <v>176</v>
      </c>
      <c r="DX163" s="308" t="s">
        <v>176</v>
      </c>
      <c r="DY163" s="308" t="s">
        <v>176</v>
      </c>
      <c r="DZ163" s="308" t="s">
        <v>176</v>
      </c>
      <c r="EA163" s="308" t="s">
        <v>176</v>
      </c>
      <c r="EB163" s="308" t="s">
        <v>176</v>
      </c>
      <c r="EC163" s="308" t="s">
        <v>176</v>
      </c>
      <c r="ED163" s="308" t="s">
        <v>176</v>
      </c>
      <c r="EE163" s="308" t="s">
        <v>176</v>
      </c>
      <c r="EF163" s="308" t="s">
        <v>176</v>
      </c>
      <c r="EG163" s="308" t="s">
        <v>176</v>
      </c>
      <c r="EH163" s="308" t="s">
        <v>176</v>
      </c>
      <c r="EI163" s="308" t="s">
        <v>176</v>
      </c>
      <c r="EJ163" s="308" t="s">
        <v>176</v>
      </c>
      <c r="EK163" s="308" t="s">
        <v>176</v>
      </c>
      <c r="EL163" s="308" t="s">
        <v>176</v>
      </c>
      <c r="EM163" s="308" t="s">
        <v>176</v>
      </c>
      <c r="EN163" s="308" t="s">
        <v>176</v>
      </c>
      <c r="EO163" s="308" t="s">
        <v>176</v>
      </c>
      <c r="EP163" s="308" t="s">
        <v>176</v>
      </c>
      <c r="EQ163" s="308" t="s">
        <v>176</v>
      </c>
      <c r="ER163" s="308" t="s">
        <v>176</v>
      </c>
      <c r="ES163" s="308" t="s">
        <v>176</v>
      </c>
      <c r="ET163" s="308" t="s">
        <v>176</v>
      </c>
      <c r="EU163" s="308" t="s">
        <v>176</v>
      </c>
      <c r="EV163" s="308" t="s">
        <v>176</v>
      </c>
      <c r="EW163" s="308" t="s">
        <v>176</v>
      </c>
      <c r="EX163" s="308" t="s">
        <v>176</v>
      </c>
      <c r="EY163" s="308">
        <v>1</v>
      </c>
      <c r="EZ163" s="308">
        <v>1</v>
      </c>
      <c r="FA163" s="308">
        <v>1</v>
      </c>
      <c r="FB163" s="308" t="s">
        <v>176</v>
      </c>
      <c r="FC163" s="308" t="s">
        <v>176</v>
      </c>
      <c r="FD163" s="308">
        <v>2</v>
      </c>
      <c r="FE163" s="308">
        <v>3</v>
      </c>
      <c r="FF163" s="308">
        <v>2</v>
      </c>
      <c r="FG163" s="308">
        <v>2</v>
      </c>
      <c r="FH163" s="308">
        <v>2</v>
      </c>
      <c r="FI163" s="308">
        <v>2</v>
      </c>
      <c r="FJ163" s="308">
        <v>2</v>
      </c>
      <c r="FK163" s="308">
        <v>3</v>
      </c>
      <c r="FL163" s="308">
        <v>1</v>
      </c>
      <c r="FM163" s="308">
        <v>2</v>
      </c>
      <c r="FN163" s="308">
        <v>2</v>
      </c>
      <c r="FO163" s="308">
        <v>2</v>
      </c>
      <c r="FP163" s="308">
        <v>2</v>
      </c>
      <c r="FQ163" s="308" t="s">
        <v>176</v>
      </c>
      <c r="FR163" s="308" t="s">
        <v>176</v>
      </c>
      <c r="FS163" s="308" t="s">
        <v>387</v>
      </c>
      <c r="FT163" s="308" t="s">
        <v>176</v>
      </c>
      <c r="FU163" s="308" t="s">
        <v>176</v>
      </c>
      <c r="FV163" s="308" t="s">
        <v>176</v>
      </c>
      <c r="FW163" s="308" t="s">
        <v>176</v>
      </c>
      <c r="FX163" s="308" t="s">
        <v>176</v>
      </c>
      <c r="FY163" s="308" t="s">
        <v>387</v>
      </c>
      <c r="FZ163" s="308" t="s">
        <v>176</v>
      </c>
      <c r="GA163" s="308" t="s">
        <v>176</v>
      </c>
      <c r="GB163" s="308" t="s">
        <v>176</v>
      </c>
      <c r="GC163" s="308" t="s">
        <v>176</v>
      </c>
      <c r="GD163" s="308" t="s">
        <v>387</v>
      </c>
      <c r="GE163" s="308" t="s">
        <v>176</v>
      </c>
      <c r="GF163" s="308" t="s">
        <v>176</v>
      </c>
      <c r="GG163" s="308" t="s">
        <v>387</v>
      </c>
      <c r="GH163" s="308" t="s">
        <v>176</v>
      </c>
      <c r="GI163" s="308" t="s">
        <v>176</v>
      </c>
      <c r="GJ163" s="308" t="s">
        <v>176</v>
      </c>
      <c r="GK163" s="308" t="s">
        <v>176</v>
      </c>
      <c r="GL163" s="311">
        <f>SUM(G163:FP163)</f>
        <v>67</v>
      </c>
    </row>
    <row r="164" spans="1:195" ht="28.5" customHeight="1" thickBot="1" x14ac:dyDescent="0.3">
      <c r="A164" s="138" t="str">
        <f>A163</f>
        <v>Prod.-Q-4</v>
      </c>
      <c r="B164" s="138" t="str">
        <f>B163</f>
        <v>Teamleder zespołu produkcji</v>
      </c>
      <c r="C164" s="138" t="str">
        <f>C163</f>
        <v>CS</v>
      </c>
      <c r="D164" s="138">
        <f>D163</f>
        <v>1431</v>
      </c>
      <c r="E164" s="566" t="str">
        <f>E163</f>
        <v>Banach Krystian</v>
      </c>
      <c r="F164" s="312" t="s">
        <v>166</v>
      </c>
      <c r="G164" s="341">
        <f>IF(INDEX(tab_MinKomp[Przepisy BHP / BHP Vorschriften],MATCH($B163,tab_MinKomp[[Stanowisko / Position ]:[Stanowisko / Position ]],0))="n/a","n/a",G163-INDEX(tab_MinKomp[Przepisy BHP / BHP Vorschriften],MATCH($B163,tab_MinKomp[[Stanowisko / Position ]:[Stanowisko / Position ]],0)))</f>
        <v>0</v>
      </c>
      <c r="H164" s="342">
        <f>IF(INDEX(tab_MinKomp[Przepisy PPOŻ / Brandschutzbestimmungen],MATCH($B163,tab_MinKomp[[Stanowisko / Position ]:[Stanowisko / Position ]],0))="n/a","n/a",H163-INDEX(tab_MinKomp[Przepisy PPOŻ / Brandschutzbestimmungen],MATCH($B163,tab_MinKomp[[Stanowisko / Position ]:[Stanowisko / Position ]],0)))</f>
        <v>0</v>
      </c>
      <c r="I164" s="342">
        <f>IF(INDEX(tab_MinKomp[Ryzyko zawodowe na stanowiskach pracyv/ Berufliche Risiken an Arbeitsstellen],MATCH($B163,tab_MinKomp[[Stanowisko / Position ]:[Stanowisko / Position ]],0))="n/a","n/a",I163-INDEX(tab_MinKomp[Ryzyko zawodowe na stanowiskach pracyv/ Berufliche Risiken an Arbeitsstellen],MATCH($B163,tab_MinKomp[[Stanowisko / Position ]:[Stanowisko / Position ]],0)))</f>
        <v>0</v>
      </c>
      <c r="J164" s="342">
        <f>IF(INDEX(tab_MinKomp[Gospodarka substancjami niebezpiecznymi / Gefahrstoffmanagement],MATCH($B163,tab_MinKomp[[Stanowisko / Position ]:[Stanowisko / Position ]],0))="n/a","n/a",J163-INDEX(tab_MinKomp[Gospodarka substancjami niebezpiecznymi / Gefahrstoffmanagement],MATCH($B163,tab_MinKomp[[Stanowisko / Position ]:[Stanowisko / Position ]],0)))</f>
        <v>0</v>
      </c>
      <c r="K164" s="342">
        <f>IF(INDEX(tab_MinKomp[Gospodarka odpadami / Abfallwirtschaft],MATCH($B163,tab_MinKomp[[Stanowisko / Position ]:[Stanowisko / Position ]],0))="n/a","n/a",K163-INDEX(tab_MinKomp[Gospodarka odpadami / Abfallwirtschaft],MATCH($B163,tab_MinKomp[[Stanowisko / Position ]:[Stanowisko / Position ]],0)))</f>
        <v>0</v>
      </c>
      <c r="L164" s="343">
        <f>IF(INDEX(tab_MinKomp[Przepisy kodeksu pracy / Bestimmungen des Arbeitsgesetzes],MATCH($B163,tab_MinKomp[[Stanowisko / Position ]:[Stanowisko / Position ]],0))="n/a","n/a",L163-INDEX(tab_MinKomp[Przepisy kodeksu pracy / Bestimmungen des Arbeitsgesetzes],MATCH($B163,tab_MinKomp[[Stanowisko / Position ]:[Stanowisko / Position ]],0)))</f>
        <v>0</v>
      </c>
      <c r="M164" s="344" t="str">
        <f>IF(INDEX(tab_MinKomp[Przepisy o ub.społ. ZUS  / Sozialversicherungsvorschriften],MATCH($B163,tab_MinKomp[[Stanowisko / Position ]:[Stanowisko / Position ]],0))="n/a","n/a",M163-INDEX(tab_MinKomp[Przepisy o ub.społ. ZUS  / Sozialversicherungsvorschriften],MATCH($B163,tab_MinKomp[[Stanowisko / Position ]:[Stanowisko / Position ]],0)))</f>
        <v>n/a</v>
      </c>
      <c r="N164" s="343" t="str">
        <f>IF(INDEX(tab_MinKomp[PRZEPISY O PDOF /persönlich Einkommensteuergesetz ],MATCH($B163,tab_MinKomp[[Stanowisko / Position ]:[Stanowisko / Position ]],0))="n/a","n/a",N163-INDEX(tab_MinKomp[PRZEPISY O PDOF /persönlich Einkommensteuergesetz ],MATCH($B163,tab_MinKomp[[Stanowisko / Position ]:[Stanowisko / Position ]],0)))</f>
        <v>n/a</v>
      </c>
      <c r="O164" s="343">
        <f>IF(INDEX(tab_MinKomp[Regulamin pracy / Arbeitsordnung],MATCH($B163,tab_MinKomp[[Stanowisko / Position ]:[Stanowisko / Position ]],0))="n/a","n/a",O163-INDEX(tab_MinKomp[Regulamin pracy / Arbeitsordnung],MATCH($B163,tab_MinKomp[[Stanowisko / Position ]:[Stanowisko / Position ]],0)))</f>
        <v>0</v>
      </c>
      <c r="P164" s="343">
        <f>IF(INDEX(tab_MinKomp[Regulamin wynagradzania / Vergütungsordnung],MATCH($B163,tab_MinKomp[[Stanowisko / Position ]:[Stanowisko / Position ]],0))="n/a","n/a",P163-INDEX(tab_MinKomp[Regulamin wynagradzania / Vergütungsordnung],MATCH($B163,tab_MinKomp[[Stanowisko / Position ]:[Stanowisko / Position ]],0)))</f>
        <v>0</v>
      </c>
      <c r="Q164" s="343" t="str">
        <f>IF(INDEX(tab_MinKomp[System R2PŁATNIK PRO: Płace / Lohnabrechnung],MATCH($B163,tab_MinKomp[[Stanowisko / Position ]:[Stanowisko / Position ]],0))="n/a","n/a",Q163-INDEX(tab_MinKomp[System R2PŁATNIK PRO: Płace / Lohnabrechnung],MATCH($B163,tab_MinKomp[[Stanowisko / Position ]:[Stanowisko / Position ]],0)))</f>
        <v>n/a</v>
      </c>
      <c r="R164" s="343" t="str">
        <f>IF(INDEX(tab_MinKomp[SystemR2PŁATNIK PRO: KADRY / Personaldaten],MATCH($B163,tab_MinKomp[[Stanowisko / Position ]:[Stanowisko / Position ]],0))="n/a","n/a",R163-INDEX(tab_MinKomp[SystemR2PŁATNIK PRO: KADRY / Personaldaten],MATCH($B163,tab_MinKomp[[Stanowisko / Position ]:[Stanowisko / Position ]],0)))</f>
        <v>n/a</v>
      </c>
      <c r="S164" s="343" t="str">
        <f>IF(INDEX(tab_MinKomp[SYSTEM R2PŁATNIK PRO: zarządzanie pracownikami / Arbeitsverwaltung],MATCH($B163,tab_MinKomp[[Stanowisko / Position ]:[Stanowisko / Position ]],0))="n/a","n/a",S163-INDEX(tab_MinKomp[SYSTEM R2PŁATNIK PRO: zarządzanie pracownikami / Arbeitsverwaltung],MATCH($B163,tab_MinKomp[[Stanowisko / Position ]:[Stanowisko / Position ]],0)))</f>
        <v>n/a</v>
      </c>
      <c r="T164" s="343">
        <f>IF(INDEX(tab_MinKomp[Doradztwo, wsparcie personalne / Personalberatung und Unterstützung],MATCH($B163,tab_MinKomp[[Stanowisko / Position ]:[Stanowisko / Position ]],0))="n/a","n/a",T163-INDEX(tab_MinKomp[Doradztwo, wsparcie personalne / Personalberatung und Unterstützung],MATCH($B163,tab_MinKomp[[Stanowisko / Position ]:[Stanowisko / Position ]],0)))</f>
        <v>0</v>
      </c>
      <c r="U164" s="343" t="str">
        <f>IF(INDEX(tab_MinKomp[Przepisy o podatku VAT / MwSt.- Gesetz],MATCH($B163,tab_MinKomp[[Stanowisko / Position ]:[Stanowisko / Position ]],0))="n/a","n/a",U163-INDEX(tab_MinKomp[Przepisy o podatku VAT / MwSt.- Gesetz],MATCH($B163,tab_MinKomp[[Stanowisko / Position ]:[Stanowisko / Position ]],0)))</f>
        <v>n/a</v>
      </c>
      <c r="V164" s="343" t="str">
        <f>IF(INDEX(tab_MinKomp[PrzepisyPDOP / geschäftlich Einkommensteuergesetz],MATCH($B163,tab_MinKomp[[Stanowisko / Position ]:[Stanowisko / Position ]],0))="n/a","n/a",V163-INDEX(tab_MinKomp[PrzepisyPDOP / geschäftlich Einkommensteuergesetz],MATCH($B163,tab_MinKomp[[Stanowisko / Position ]:[Stanowisko / Position ]],0)))</f>
        <v>n/a</v>
      </c>
      <c r="W164" s="343" t="str">
        <f>IF(INDEX(tab_MinKomp[System BAAN / FINANSE (FIBU)],MATCH($B163,tab_MinKomp[[Stanowisko / Position ]:[Stanowisko / Position ]],0))="n/a","n/a",W163-INDEX(tab_MinKomp[System BAAN / FINANSE (FIBU)],MATCH($B163,tab_MinKomp[[Stanowisko / Position ]:[Stanowisko / Position ]],0)))</f>
        <v>n/a</v>
      </c>
      <c r="X164" s="343" t="str">
        <f>IF(INDEX(tab_MinKomp[Systemy pomocnicze / Hilfssysteme(STOCKPROGRAM, KALK2000 etc.)],MATCH($B163,tab_MinKomp[[Stanowisko / Position ]:[Stanowisko / Position ]],0))="n/a","n/a",X163-INDEX(tab_MinKomp[Systemy pomocnicze / Hilfssysteme(STOCKPROGRAM, KALK2000 etc.)],MATCH($B163,tab_MinKomp[[Stanowisko / Position ]:[Stanowisko / Position ]],0)))</f>
        <v>n/a</v>
      </c>
      <c r="Y164" s="343" t="str">
        <f>IF(INDEX(tab_MinKomp[Polityka rachunkowości / Buchführungspolitik],MATCH($B163,tab_MinKomp[[Stanowisko / Position ]:[Stanowisko / Position ]],0))="n/a","n/a",Y163-INDEX(tab_MinKomp[Polityka rachunkowości / Buchführungspolitik],MATCH($B163,tab_MinKomp[[Stanowisko / Position ]:[Stanowisko / Position ]],0)))</f>
        <v>n/a</v>
      </c>
      <c r="Z164" s="343" t="str">
        <f>IF(INDEX(tab_MinKomp[Ustawa o rachunkowości / Rechnungslegungsgesetz],MATCH($B163,tab_MinKomp[[Stanowisko / Position ]:[Stanowisko / Position ]],0))="n/a","n/a",Z163-INDEX(tab_MinKomp[Ustawa o rachunkowości / Rechnungslegungsgesetz],MATCH($B163,tab_MinKomp[[Stanowisko / Position ]:[Stanowisko / Position ]],0)))</f>
        <v>n/a</v>
      </c>
      <c r="AA164" s="343" t="str">
        <f>IF(INDEX(tab_MinKomp[WORKFLOW - TS-100],MATCH($B163,tab_MinKomp[[Stanowisko / Position ]:[Stanowisko / Position ]],0))="n/a","n/a",AA163-INDEX(tab_MinKomp[WORKFLOW - TS-100],MATCH($B163,tab_MinKomp[[Stanowisko / Position ]:[Stanowisko / Position ]],0)))</f>
        <v>n/a</v>
      </c>
      <c r="AB164" s="343" t="str">
        <f>IF(INDEX(tab_MinKomp[WORKFLOW - SFMS],MATCH($B163,tab_MinKomp[[Stanowisko / Position ]:[Stanowisko / Position ]],0))="n/a","n/a",AB163-INDEX(tab_MinKomp[WORKFLOW - SFMS],MATCH($B163,tab_MinKomp[[Stanowisko / Position ]:[Stanowisko / Position ]],0)))</f>
        <v>n/a</v>
      </c>
      <c r="AC164" s="343" t="str">
        <f>IF(INDEX(tab_MinKomp[System ISO 9001:2015],MATCH($B163,tab_MinKomp[[Stanowisko / Position ]:[Stanowisko / Position ]],0))="n/a","n/a",AC163-INDEX(tab_MinKomp[System ISO 9001:2015],MATCH($B163,tab_MinKomp[[Stanowisko / Position ]:[Stanowisko / Position ]],0)))</f>
        <v>n/a</v>
      </c>
      <c r="AD164" s="343" t="str">
        <f>IF(INDEX(tab_MinKomp[System IATF 16949:2016],MATCH($B163,tab_MinKomp[[Stanowisko / Position ]:[Stanowisko / Position ]],0))="n/a","n/a",AD163-INDEX(tab_MinKomp[System IATF 16949:2016],MATCH($B163,tab_MinKomp[[Stanowisko / Position ]:[Stanowisko / Position ]],0)))</f>
        <v>n/a</v>
      </c>
      <c r="AE164" s="343" t="str">
        <f>IF(INDEX(tab_MinKomp[System ISO 14001:2015],MATCH($B163,tab_MinKomp[[Stanowisko / Position ]:[Stanowisko / Position ]],0))="n/a","n/a",AE163-INDEX(tab_MinKomp[System ISO 14001:2015],MATCH($B163,tab_MinKomp[[Stanowisko / Position ]:[Stanowisko / Position ]],0)))</f>
        <v>n/a</v>
      </c>
      <c r="AF164" s="343" t="str">
        <f>IF(INDEX(tab_MinKomp[System PN-N 18001:2004 / ISO 45001:2018],MATCH($B163,tab_MinKomp[[Stanowisko / Position ]:[Stanowisko / Position ]],0))="n/a","n/a",AF163-INDEX(tab_MinKomp[System PN-N 18001:2004 / ISO 45001:2018],MATCH($B163,tab_MinKomp[[Stanowisko / Position ]:[Stanowisko / Position ]],0)))</f>
        <v>n/a</v>
      </c>
      <c r="AG164" s="343" t="str">
        <f>IF(INDEX(tab_MinKomp[Wymagania VDA 6.3 Process / Forderungen],MATCH($B163,tab_MinKomp[[Stanowisko / Position ]:[Stanowisko / Position ]],0))="n/a","n/a",AG163-INDEX(tab_MinKomp[Wymagania VDA 6.3 Process / Forderungen],MATCH($B163,tab_MinKomp[[Stanowisko / Position ]:[Stanowisko / Position ]],0)))</f>
        <v>n/a</v>
      </c>
      <c r="AH164" s="343" t="str">
        <f>IF(INDEX(tab_MinKomp[Wymagania VDA 6.5 Product / Forderungen],MATCH($B163,tab_MinKomp[[Stanowisko / Position ]:[Stanowisko / Position ]],0))="n/a","n/a",AH163-INDEX(tab_MinKomp[Wymagania VDA 6.5 Product / Forderungen],MATCH($B163,tab_MinKomp[[Stanowisko / Position ]:[Stanowisko / Position ]],0)))</f>
        <v>n/a</v>
      </c>
      <c r="AI164" s="343" t="str">
        <f>IF(INDEX(tab_MinKomp[PSCR (VW Product Safety &amp; Conformity Representative)],MATCH($B163,tab_MinKomp[[Stanowisko / Position ]:[Stanowisko / Position ]],0))="n/a","n/a",AI163-INDEX(tab_MinKomp[PSCR (VW Product Safety &amp; Conformity Representative)],MATCH($B163,tab_MinKomp[[Stanowisko / Position ]:[Stanowisko / Position ]],0)))</f>
        <v>n/a</v>
      </c>
      <c r="AJ164" s="343" t="str">
        <f>IF(INDEX(tab_MinKomp[Auditor systemu ISO 17025:2018],MATCH($B163,tab_MinKomp[[Stanowisko / Position ]:[Stanowisko / Position ]],0))="n/a","n/a",AJ163-INDEX(tab_MinKomp[Auditor systemu ISO 17025:2018],MATCH($B163,tab_MinKomp[[Stanowisko / Position ]:[Stanowisko / Position ]],0)))</f>
        <v>n/a</v>
      </c>
      <c r="AK164" s="343" t="str">
        <f>IF(INDEX(tab_MinKomp[Pełnomocnik systemu / Systemvertreter],MATCH($B163,tab_MinKomp[[Stanowisko / Position ]:[Stanowisko / Position ]],0))="n/a","n/a",AK163-INDEX(tab_MinKomp[Pełnomocnik systemu / Systemvertreter],MATCH($B163,tab_MinKomp[[Stanowisko / Position ]:[Stanowisko / Position ]],0)))</f>
        <v>n/a</v>
      </c>
      <c r="AL164" s="343" t="str">
        <f>IF(INDEX(tab_MinKomp[Polityka Etyczna - Compliance],MATCH($B163,tab_MinKomp[[Stanowisko / Position ]:[Stanowisko / Position ]],0))="n/a","n/a",AL163-INDEX(tab_MinKomp[Polityka Etyczna - Compliance],MATCH($B163,tab_MinKomp[[Stanowisko / Position ]:[Stanowisko / Position ]],0)))</f>
        <v>n/a</v>
      </c>
      <c r="AM164" s="343" t="str">
        <f>IF(INDEX(tab_MinKomp[WDRAŻANIE NOWYCH PROJEKTÓW/ PROCEDURA CTM],MATCH($B163,tab_MinKomp[[Stanowisko / Position ]:[Stanowisko / Position ]],0))="n/a","n/a",AM163-INDEX(tab_MinKomp[WDRAŻANIE NOWYCH PROJEKTÓW/ PROCEDURA CTM],MATCH($B163,tab_MinKomp[[Stanowisko / Position ]:[Stanowisko / Position ]],0)))</f>
        <v>n/a</v>
      </c>
      <c r="AN164" s="343" t="str">
        <f>IF(INDEX(tab_MinKomp[KAMIENIE MILOWE MSL/PIFF],MATCH($B163,tab_MinKomp[[Stanowisko / Position ]:[Stanowisko / Position ]],0))="n/a","n/a",AN163-INDEX(tab_MinKomp[KAMIENIE MILOWE MSL/PIFF],MATCH($B163,tab_MinKomp[[Stanowisko / Position ]:[Stanowisko / Position ]],0)))</f>
        <v>n/a</v>
      </c>
      <c r="AO164" s="343">
        <f>IF(INDEX(tab_MinKomp[CP],MATCH($B163,tab_MinKomp[[Stanowisko / Position ]:[Stanowisko / Position ]],0))="n/a","n/a",AO163-INDEX(tab_MinKomp[CP],MATCH($B163,tab_MinKomp[[Stanowisko / Position ]:[Stanowisko / Position ]],0)))</f>
        <v>-1</v>
      </c>
      <c r="AP164" s="343" t="str">
        <f>IF(INDEX(tab_MinKomp[FMEA],MATCH($B163,tab_MinKomp[[Stanowisko / Position ]:[Stanowisko / Position ]],0))="n/a","n/a",AP163-INDEX(tab_MinKomp[FMEA],MATCH($B163,tab_MinKomp[[Stanowisko / Position ]:[Stanowisko / Position ]],0)))</f>
        <v>n/a</v>
      </c>
      <c r="AQ164" s="343">
        <f>IF(INDEX(tab_MinKomp[FLOW CHART],MATCH($B163,tab_MinKomp[[Stanowisko / Position ]:[Stanowisko / Position ]],0))="n/a","n/a",AQ163-INDEX(tab_MinKomp[FLOW CHART],MATCH($B163,tab_MinKomp[[Stanowisko / Position ]:[Stanowisko / Position ]],0)))</f>
        <v>0</v>
      </c>
      <c r="AR164" s="343" t="str">
        <f>IF(INDEX(tab_MinKomp[APQP],MATCH($B163,tab_MinKomp[[Stanowisko / Position ]:[Stanowisko / Position ]],0))="n/a","n/a",AR163-INDEX(tab_MinKomp[APQP],MATCH($B163,tab_MinKomp[[Stanowisko / Position ]:[Stanowisko / Position ]],0)))</f>
        <v>n/a</v>
      </c>
      <c r="AS164" s="343" t="str">
        <f>IF(INDEX(tab_MinKomp[MSA],MATCH($B163,tab_MinKomp[[Stanowisko / Position ]:[Stanowisko / Position ]],0))="n/a","n/a",AS163-INDEX(tab_MinKomp[MSA],MATCH($B163,tab_MinKomp[[Stanowisko / Position ]:[Stanowisko / Position ]],0)))</f>
        <v>n/a</v>
      </c>
      <c r="AT164" s="343" t="str">
        <f>IF(INDEX(tab_MinKomp[SPC],MATCH($B163,tab_MinKomp[[Stanowisko / Position ]:[Stanowisko / Position ]],0))="n/a","n/a",AT163-INDEX(tab_MinKomp[SPC],MATCH($B163,tab_MinKomp[[Stanowisko / Position ]:[Stanowisko / Position ]],0)))</f>
        <v>n/a</v>
      </c>
      <c r="AU164" s="343">
        <f>IF(INDEX(tab_MinKomp[CSR (SPECYFICZNE WYMAGANIA KLIENTA)],MATCH($B163,tab_MinKomp[[Stanowisko / Position ]:[Stanowisko / Position ]],0))="n/a","n/a",AU163-INDEX(tab_MinKomp[CSR (SPECYFICZNE WYMAGANIA KLIENTA)],MATCH($B163,tab_MinKomp[[Stanowisko / Position ]:[Stanowisko / Position ]],0)))</f>
        <v>0</v>
      </c>
      <c r="AV164" s="343">
        <f>IF(INDEX(tab_MinKomp[5S],MATCH($B163,tab_MinKomp[[Stanowisko / Position ]:[Stanowisko / Position ]],0))="n/a","n/a",AV163-INDEX(tab_MinKomp[5S],MATCH($B163,tab_MinKomp[[Stanowisko / Position ]:[Stanowisko / Position ]],0)))</f>
        <v>0</v>
      </c>
      <c r="AW164" s="343">
        <f>IF(INDEX(tab_MinKomp[LEAN MANAGEMENT],MATCH($B163,tab_MinKomp[[Stanowisko / Position ]:[Stanowisko / Position ]],0))="n/a","n/a",AW163-INDEX(tab_MinKomp[LEAN MANAGEMENT],MATCH($B163,tab_MinKomp[[Stanowisko / Position ]:[Stanowisko / Position ]],0)))</f>
        <v>0</v>
      </c>
      <c r="AX164" s="343" t="str">
        <f>IF(INDEX(tab_MinKomp[5R],MATCH($B163,tab_MinKomp[[Stanowisko / Position ]:[Stanowisko / Position ]],0))="n/a","n/a",AX163-INDEX(tab_MinKomp[5R],MATCH($B163,tab_MinKomp[[Stanowisko / Position ]:[Stanowisko / Position ]],0)))</f>
        <v>n/a</v>
      </c>
      <c r="AY164" s="343" t="str">
        <f>IF(INDEX(tab_MinKomp[Six Sigma],MATCH($B163,tab_MinKomp[[Stanowisko / Position ]:[Stanowisko / Position ]],0))="n/a","n/a",AY163-INDEX(tab_MinKomp[Six Sigma],MATCH($B163,tab_MinKomp[[Stanowisko / Position ]:[Stanowisko / Position ]],0)))</f>
        <v>n/a</v>
      </c>
      <c r="AZ164" s="343" t="str">
        <f>IF(INDEX(tab_MinKomp[System BAAN / Distribution &amp; Supply Chain],MATCH($B163,tab_MinKomp[[Stanowisko / Position ]:[Stanowisko / Position ]],0))="n/a","n/a",AZ163-INDEX(tab_MinKomp[System BAAN / Distribution &amp; Supply Chain],MATCH($B163,tab_MinKomp[[Stanowisko / Position ]:[Stanowisko / Position ]],0)))</f>
        <v>n/a</v>
      </c>
      <c r="BA164" s="343">
        <f>IF(INDEX(tab_MinKomp[Gospodarka magazynowa / Lagerverwaltung],MATCH($B163,tab_MinKomp[[Stanowisko / Position ]:[Stanowisko / Position ]],0))="n/a","n/a",BA163-INDEX(tab_MinKomp[Gospodarka magazynowa / Lagerverwaltung],MATCH($B163,tab_MinKomp[[Stanowisko / Position ]:[Stanowisko / Position ]],0)))</f>
        <v>0</v>
      </c>
      <c r="BB164" s="343">
        <f>IF(INDEX(tab_MinKomp[Inwentaryzacja - organizacja i przebieg / Inventurprozess],MATCH($B163,tab_MinKomp[[Stanowisko / Position ]:[Stanowisko / Position ]],0))="n/a","n/a",BB163-INDEX(tab_MinKomp[Inwentaryzacja - organizacja i przebieg / Inventurprozess],MATCH($B163,tab_MinKomp[[Stanowisko / Position ]:[Stanowisko / Position ]],0)))</f>
        <v>0</v>
      </c>
      <c r="BC164" s="343" t="str">
        <f>IF(INDEX(tab_MinKomp[Organizacja dostaw / Versorgungsorganisation],MATCH($B163,tab_MinKomp[[Stanowisko / Position ]:[Stanowisko / Position ]],0))="n/a","n/a",BC163-INDEX(tab_MinKomp[Organizacja dostaw / Versorgungsorganisation],MATCH($B163,tab_MinKomp[[Stanowisko / Position ]:[Stanowisko / Position ]],0)))</f>
        <v>n/a</v>
      </c>
      <c r="BD164" s="343" t="str">
        <f>IF(INDEX(tab_MinKomp[Organizacja wysyłek / Organisation von Lieferungen],MATCH($B163,tab_MinKomp[[Stanowisko / Position ]:[Stanowisko / Position ]],0))="n/a","n/a",BD163-INDEX(tab_MinKomp[Organizacja wysyłek / Organisation von Lieferungen],MATCH($B163,tab_MinKomp[[Stanowisko / Position ]:[Stanowisko / Position ]],0)))</f>
        <v>n/a</v>
      </c>
      <c r="BE164" s="343" t="str">
        <f>IF(INDEX(tab_MinKomp[Analiza magazynowa - Program Polen.mdb / Inventuranalyse],MATCH($B163,tab_MinKomp[[Stanowisko / Position ]:[Stanowisko / Position ]],0))="n/a","n/a",BE163-INDEX(tab_MinKomp[Analiza magazynowa - Program Polen.mdb / Inventuranalyse],MATCH($B163,tab_MinKomp[[Stanowisko / Position ]:[Stanowisko / Position ]],0)))</f>
        <v>n/a</v>
      </c>
      <c r="BF164" s="315" t="str">
        <f>IF(INDEX(tab_MinKomp[MMOG (Materials Management Operations Guidelines)],MATCH($B163,tab_MinKomp[[Stanowisko / Position ]:[Stanowisko / Position ]],0))="n/a","n/a",BF163-INDEX(tab_MinKomp[MMOG (Materials Management Operations Guidelines)],MATCH($B163,tab_MinKomp[[Stanowisko / Position ]:[Stanowisko / Position ]],0)))</f>
        <v>n/a</v>
      </c>
      <c r="BG164" s="315" t="str">
        <f>IF(INDEX(tab_MinKomp[GPP],MATCH($B163,tab_MinKomp[[Stanowisko / Position ]:[Stanowisko / Position ]],0))="n/a","n/a",BG163-INDEX(tab_MinKomp[GPP],MATCH($B163,tab_MinKomp[[Stanowisko / Position ]:[Stanowisko / Position ]],0)))</f>
        <v>n/a</v>
      </c>
      <c r="BH164" s="315" t="str">
        <f>IF(INDEX(tab_MinKomp[AIAG (Automotive Industry Action Group)],MATCH($B163,tab_MinKomp[[Stanowisko / Position ]:[Stanowisko / Position ]],0))="n/a","n/a",BH163-INDEX(tab_MinKomp[AIAG (Automotive Industry Action Group)],MATCH($B163,tab_MinKomp[[Stanowisko / Position ]:[Stanowisko / Position ]],0)))</f>
        <v>n/a</v>
      </c>
      <c r="BI164" s="315" t="str">
        <f>IF(INDEX(tab_MinKomp[Super-G disputes],MATCH($B163,tab_MinKomp[[Stanowisko / Position ]:[Stanowisko / Position ]],0))="n/a","n/a",BI163-INDEX(tab_MinKomp[Super-G disputes],MATCH($B163,tab_MinKomp[[Stanowisko / Position ]:[Stanowisko / Position ]],0)))</f>
        <v>n/a</v>
      </c>
      <c r="BJ164" s="315" t="str">
        <f>IF(INDEX(tab_MinKomp[CMMS3/eDDL (Direct Data Link)],MATCH($B163,tab_MinKomp[[Stanowisko / Position ]:[Stanowisko / Position ]],0))="n/a","n/a",BJ163-INDEX(tab_MinKomp[CMMS3/eDDL (Direct Data Link)],MATCH($B163,tab_MinKomp[[Stanowisko / Position ]:[Stanowisko / Position ]],0)))</f>
        <v>n/a</v>
      </c>
      <c r="BK164" s="315" t="str">
        <f>IF(INDEX(tab_MinKomp[MP&amp;L (Material Planning and Logistics)],MATCH($B163,tab_MinKomp[[Stanowisko / Position ]:[Stanowisko / Position ]],0))="n/a","n/a",BK163-INDEX(tab_MinKomp[MP&amp;L (Material Planning and Logistics)],MATCH($B163,tab_MinKomp[[Stanowisko / Position ]:[Stanowisko / Position ]],0)))</f>
        <v>n/a</v>
      </c>
      <c r="BL164" s="315" t="str">
        <f>IF(INDEX(tab_MinKomp[Supplier delivery rating],MATCH($B163,tab_MinKomp[[Stanowisko / Position ]:[Stanowisko / Position ]],0))="n/a","n/a",BL163-INDEX(tab_MinKomp[Supplier delivery rating],MATCH($B163,tab_MinKomp[[Stanowisko / Position ]:[Stanowisko / Position ]],0)))</f>
        <v>n/a</v>
      </c>
      <c r="BM164" s="343">
        <f>IF(INDEX(tab_MinKomp[Planowanie produkcji / Produktionsplanung],MATCH($B163,tab_MinKomp[[Stanowisko / Position ]:[Stanowisko / Position ]],0))="n/a","n/a",BM163-INDEX(tab_MinKomp[Planowanie produkcji / Produktionsplanung],MATCH($B163,tab_MinKomp[[Stanowisko / Position ]:[Stanowisko / Position ]],0)))</f>
        <v>-1</v>
      </c>
      <c r="BN164" s="343" t="str">
        <f>IF(INDEX(tab_MinKomp[Obsługa maszyn Engel / Engel Maschinenbedienung],MATCH($B163,tab_MinKomp[[Stanowisko / Position ]:[Stanowisko / Position ]],0))="n/a","n/a",BN163-INDEX(tab_MinKomp[Obsługa maszyn Engel / Engel Maschinenbedienung],MATCH($B163,tab_MinKomp[[Stanowisko / Position ]:[Stanowisko / Position ]],0)))</f>
        <v>n/a</v>
      </c>
      <c r="BO164" s="343" t="str">
        <f>IF(INDEX(tab_MinKomp[Obsługa maszyn KVT / KVT Maschinenbedienung],MATCH($B163,tab_MinKomp[[Stanowisko / Position ]:[Stanowisko / Position ]],0))="n/a","n/a",BO163-INDEX(tab_MinKomp[Obsługa maszyn KVT / KVT Maschinenbedienung],MATCH($B163,tab_MinKomp[[Stanowisko / Position ]:[Stanowisko / Position ]],0)))</f>
        <v>n/a</v>
      </c>
      <c r="BP164" s="343" t="str">
        <f>IF(INDEX(tab_MinKomp[Obsługa maszyn KVT / KVT Maschinenbedienung],MATCH($B163,tab_MinKomp[[Stanowisko / Position ]:[Stanowisko / Position ]],0))="n/a","n/a",BP163-INDEX(tab_MinKomp[Obsługa maszyn KVT / KVT Maschinenbedienung],MATCH($B163,tab_MinKomp[[Stanowisko / Position ]:[Stanowisko / Position ]],0)))</f>
        <v>n/a</v>
      </c>
      <c r="BQ164" s="343" t="str">
        <f>IF(INDEX(tab_MinKomp[Obsługa maszyn ASL / ASL Maschinenbedienung],MATCH($B163,tab_MinKomp[[Stanowisko / Position ]:[Stanowisko / Position ]],0))="n/a","n/a",BQ163-INDEX(tab_MinKomp[Obsługa maszyn ASL / ASL Maschinenbedienung],MATCH($B163,tab_MinKomp[[Stanowisko / Position ]:[Stanowisko / Position ]],0)))</f>
        <v>n/a</v>
      </c>
      <c r="BR164" s="343" t="str">
        <f>IF(INDEX(tab_MinKomp[Obsługa maszyn Branson / Branson Maschinenbedienung],MATCH($B163,tab_MinKomp[[Stanowisko / Position ]:[Stanowisko / Position ]],0))="n/a","n/a",BR163-INDEX(tab_MinKomp[Obsługa maszyn Branson / Branson Maschinenbedienung],MATCH($B163,tab_MinKomp[[Stanowisko / Position ]:[Stanowisko / Position ]],0)))</f>
        <v>n/a</v>
      </c>
      <c r="BS164" s="343">
        <f>IF(INDEX(tab_MinKomp[Obsługa maszyn Novapax / Novapax Maschinenbedienung],MATCH($B163,tab_MinKomp[[Stanowisko / Position ]:[Stanowisko / Position ]],0))="n/a","n/a",BS163-INDEX(tab_MinKomp[Obsługa maszyn Novapax / Novapax Maschinenbedienung],MATCH($B163,tab_MinKomp[[Stanowisko / Position ]:[Stanowisko / Position ]],0)))</f>
        <v>0</v>
      </c>
      <c r="BT164" s="343" t="str">
        <f>IF(INDEX(tab_MinKomp[Obsługa maszyn Piovan / Piovan Maschinenbedienung],MATCH($B163,tab_MinKomp[[Stanowisko / Position ]:[Stanowisko / Position ]],0))="n/a","n/a",BT163-INDEX(tab_MinKomp[Obsługa maszyn Piovan / Piovan Maschinenbedienung],MATCH($B163,tab_MinKomp[[Stanowisko / Position ]:[Stanowisko / Position ]],0)))</f>
        <v>n/a</v>
      </c>
      <c r="BU164" s="343">
        <f>IF(INDEX(tab_MinKomp[Obsługa maszyn Novapax / Novapax Maschinenbedienung],MATCH($B163,tab_MinKomp[[Stanowisko / Position ]:[Stanowisko / Position ]],0))="n/a","n/a",BU163-INDEX(tab_MinKomp[Obsługa maszyn Novapax / Novapax Maschinenbedienung],MATCH($B163,tab_MinKomp[[Stanowisko / Position ]:[Stanowisko / Position ]],0)))</f>
        <v>0</v>
      </c>
      <c r="BV164" s="343">
        <f>IF(INDEX(tab_MinKomp[Eliminacja awarii / Beseitigung von Ausfällen],MATCH($B163,tab_MinKomp[[Stanowisko / Position ]:[Stanowisko / Position ]],0))="n/a","n/a",BV163-INDEX(tab_MinKomp[Eliminacja awarii / Beseitigung von Ausfällen],MATCH($B163,tab_MinKomp[[Stanowisko / Position ]:[Stanowisko / Position ]],0)))</f>
        <v>-1</v>
      </c>
      <c r="BW164" s="343" t="str">
        <f>IF(INDEX(tab_MinKomp[Informatyka ogólna (techniczne i systemowe) / Allgemeine IT (Technik und System)],MATCH($B163,tab_MinKomp[[Stanowisko / Position ]:[Stanowisko / Position ]],0))="n/a","n/a",BW163-INDEX(tab_MinKomp[Informatyka ogólna (techniczne i systemowe) / Allgemeine IT (Technik und System)],MATCH($B163,tab_MinKomp[[Stanowisko / Position ]:[Stanowisko / Position ]],0)))</f>
        <v>n/a</v>
      </c>
      <c r="BX164" s="343" t="str">
        <f>IF(INDEX(tab_MinKomp[Sieci komputerowe / Computernetzwerke],MATCH($B163,tab_MinKomp[[Stanowisko / Position ]:[Stanowisko / Position ]],0))="n/a","n/a",BX163-INDEX(tab_MinKomp[Sieci komputerowe / Computernetzwerke],MATCH($B163,tab_MinKomp[[Stanowisko / Position ]:[Stanowisko / Position ]],0)))</f>
        <v>n/a</v>
      </c>
      <c r="BY164" s="343" t="str">
        <f>IF(INDEX(tab_MinKomp[Hardware (komputery PC, drukarki biurowe i etykietowe, telefonia stacjonarna i mobilna) (PC, Drucker, Telefpne, Handys)],MATCH($B163,tab_MinKomp[[Stanowisko / Position ]:[Stanowisko / Position ]],0))="n/a","n/a",BY163-INDEX(tab_MinKomp[Hardware (komputery PC, drukarki biurowe i etykietowe, telefonia stacjonarna i mobilna) (PC, Drucker, Telefpne, Handys)],MATCH($B163,tab_MinKomp[[Stanowisko / Position ]:[Stanowisko / Position ]],0)))</f>
        <v>n/a</v>
      </c>
      <c r="BZ164" s="343" t="str">
        <f>IF(INDEX(tab_MinKomp[Software &amp; Systems (MS Office, MS Remote Desktop)],MATCH($B163,tab_MinKomp[[Stanowisko / Position ]:[Stanowisko / Position ]],0))="n/a","n/a",BZ163-INDEX(tab_MinKomp[Software &amp; Systems (MS Office, MS Remote Desktop)],MATCH($B163,tab_MinKomp[[Stanowisko / Position ]:[Stanowisko / Position ]],0)))</f>
        <v>n/a</v>
      </c>
      <c r="CA164" s="343" t="str">
        <f>IF(INDEX(tab_MinKomp[Programowanie obiektowe (PHP) / Objektprogrammierung],MATCH($B163,tab_MinKomp[[Stanowisko / Position ]:[Stanowisko / Position ]],0))="n/a","n/a",CA163-INDEX(tab_MinKomp[Programowanie obiektowe (PHP) / Objektprogrammierung],MATCH($B163,tab_MinKomp[[Stanowisko / Position ]:[Stanowisko / Position ]],0)))</f>
        <v>n/a</v>
      </c>
      <c r="CB164" s="343" t="str">
        <f>IF(INDEX(tab_MinKomp[Scrum],MATCH($B163,tab_MinKomp[[Stanowisko / Position ]:[Stanowisko / Position ]],0))="n/a","n/a",CB163-INDEX(tab_MinKomp[Scrum],MATCH($B163,tab_MinKomp[[Stanowisko / Position ]:[Stanowisko / Position ]],0)))</f>
        <v>n/a</v>
      </c>
      <c r="CC164" s="343" t="str">
        <f>IF(INDEX(tab_MinKomp[SQL (MySQL)],MATCH($B163,tab_MinKomp[[Stanowisko / Position ]:[Stanowisko / Position ]],0))="n/a","n/a",CC163-INDEX(tab_MinKomp[SQL (MySQL)],MATCH($B163,tab_MinKomp[[Stanowisko / Position ]:[Stanowisko / Position ]],0)))</f>
        <v>n/a</v>
      </c>
      <c r="CD164" s="343" t="str">
        <f>IF(INDEX(tab_MinKomp[Javascript],MATCH($B163,tab_MinKomp[[Stanowisko / Position ]:[Stanowisko / Position ]],0))="n/a","n/a",CD163-INDEX(tab_MinKomp[Javascript],MATCH($B163,tab_MinKomp[[Stanowisko / Position ]:[Stanowisko / Position ]],0)))</f>
        <v>n/a</v>
      </c>
      <c r="CE164" s="343" t="str">
        <f>IF(INDEX(tab_MinKomp[Joomla],MATCH($B163,tab_MinKomp[[Stanowisko / Position ]:[Stanowisko / Position ]],0))="n/a","n/a",CE163-INDEX(tab_MinKomp[Joomla],MATCH($B163,tab_MinKomp[[Stanowisko / Position ]:[Stanowisko / Position ]],0)))</f>
        <v>n/a</v>
      </c>
      <c r="CF164" s="343" t="str">
        <f>IF(INDEX(tab_MinKomp[Bash],MATCH($B163,tab_MinKomp[[Stanowisko / Position ]:[Stanowisko / Position ]],0))="n/a","n/a",CF163-INDEX(tab_MinKomp[Bash],MATCH($B163,tab_MinKomp[[Stanowisko / Position ]:[Stanowisko / Position ]],0)))</f>
        <v>n/a</v>
      </c>
      <c r="CG164" s="343">
        <f>IF(INDEX(tab_MinKomp[Systemy MES (HYDRA / SFMS)],MATCH($B163,tab_MinKomp[[Stanowisko / Position ]:[Stanowisko / Position ]],0))="n/a","n/a",CG163-INDEX(tab_MinKomp[Systemy MES (HYDRA / SFMS)],MATCH($B163,tab_MinKomp[[Stanowisko / Position ]:[Stanowisko / Position ]],0)))</f>
        <v>0</v>
      </c>
      <c r="CH164" s="343" t="str">
        <f>IF(INDEX(tab_MinKomp[HTML / CSS],MATCH($B163,tab_MinKomp[[Stanowisko / Position ]:[Stanowisko / Position ]],0))="n/a","n/a",CH163-INDEX(tab_MinKomp[HTML / CSS],MATCH($B163,tab_MinKomp[[Stanowisko / Position ]:[Stanowisko / Position ]],0)))</f>
        <v>n/a</v>
      </c>
      <c r="CI164" s="343" t="str">
        <f>IF(INDEX(tab_MinKomp[SYSTEM PR],MATCH($B163,tab_MinKomp[[Stanowisko / Position ]:[Stanowisko / Position ]],0))="n/a","n/a",CI163-INDEX(tab_MinKomp[SYSTEM PR],MATCH($B163,tab_MinKomp[[Stanowisko / Position ]:[Stanowisko / Position ]],0)))</f>
        <v>n/a</v>
      </c>
      <c r="CJ164" s="343" t="str">
        <f>IF(INDEX(tab_MinKomp[System Einkauf XP / EBA],MATCH($B163,tab_MinKomp[[Stanowisko / Position ]:[Stanowisko / Position ]],0))="n/a","n/a",CJ163-INDEX(tab_MinKomp[System Einkauf XP / EBA],MATCH($B163,tab_MinKomp[[Stanowisko / Position ]:[Stanowisko / Position ]],0)))</f>
        <v>n/a</v>
      </c>
      <c r="CK164" s="343" t="str">
        <f>IF(INDEX(tab_MinKomp[Techniki negocjacyjne / Verhandlungstechniken],MATCH($B163,tab_MinKomp[[Stanowisko / Position ]:[Stanowisko / Position ]],0))="n/a","n/a",CK163-INDEX(tab_MinKomp[Techniki negocjacyjne / Verhandlungstechniken],MATCH($B163,tab_MinKomp[[Stanowisko / Position ]:[Stanowisko / Position ]],0)))</f>
        <v>n/a</v>
      </c>
      <c r="CL164" s="343" t="str">
        <f>IF(INDEX(tab_MinKomp[Znajomość rynku branżowego / Kenntnis des Industrie Marktes],MATCH($B163,tab_MinKomp[[Stanowisko / Position ]:[Stanowisko / Position ]],0))="n/a","n/a",CL163-INDEX(tab_MinKomp[Znajomość rynku branżowego / Kenntnis des Industrie Marktes],MATCH($B163,tab_MinKomp[[Stanowisko / Position ]:[Stanowisko / Position ]],0)))</f>
        <v>n/a</v>
      </c>
      <c r="CM164" s="343">
        <f>IF(INDEX(tab_MinKomp[RAPORTY 8D / 8D Berichten],MATCH($B163,tab_MinKomp[[Stanowisko / Position ]:[Stanowisko / Position ]],0))="n/a","n/a",CM163-INDEX(tab_MinKomp[RAPORTY 8D / 8D Berichten],MATCH($B163,tab_MinKomp[[Stanowisko / Position ]:[Stanowisko / Position ]],0)))</f>
        <v>0</v>
      </c>
      <c r="CN164" s="343">
        <f>IF(INDEX(tab_MinKomp[NARZĘDZIA JAKOŚCIOWE (5WHY, Ishikawa, etc) / QS-Werkzeuge],MATCH($B163,tab_MinKomp[[Stanowisko / Position ]:[Stanowisko / Position ]],0))="n/a","n/a",CN163-INDEX(tab_MinKomp[NARZĘDZIA JAKOŚCIOWE (5WHY, Ishikawa, etc) / QS-Werkzeuge],MATCH($B163,tab_MinKomp[[Stanowisko / Position ]:[Stanowisko / Position ]],0)))</f>
        <v>0</v>
      </c>
      <c r="CO164" s="343">
        <f>IF(INDEX(tab_MinKomp[PDCA],MATCH($B163,tab_MinKomp[[Stanowisko / Position ]:[Stanowisko / Position ]],0))="n/a","n/a",CO163-INDEX(tab_MinKomp[PDCA],MATCH($B163,tab_MinKomp[[Stanowisko / Position ]:[Stanowisko / Position ]],0)))</f>
        <v>0</v>
      </c>
      <c r="CP164" s="343">
        <f>IF(INDEX(tab_MinKomp[Pareto],MATCH($B163,tab_MinKomp[[Stanowisko / Position ]:[Stanowisko / Position ]],0))="n/a","n/a",CP163-INDEX(tab_MinKomp[Pareto],MATCH($B163,tab_MinKomp[[Stanowisko / Position ]:[Stanowisko / Position ]],0)))</f>
        <v>0</v>
      </c>
      <c r="CQ164" s="343" t="str">
        <f>IF(INDEX(tab_MinKomp[PPAP/PSW],MATCH($B163,tab_MinKomp[[Stanowisko / Position ]:[Stanowisko / Position ]],0))="n/a","n/a",CQ163-INDEX(tab_MinKomp[PPAP/PSW],MATCH($B163,tab_MinKomp[[Stanowisko / Position ]:[Stanowisko / Position ]],0)))</f>
        <v>n/a</v>
      </c>
      <c r="CR164" s="343" t="str">
        <f>IF(INDEX(tab_MinKomp[SUPPLIER MANAGEMENT],MATCH($B163,tab_MinKomp[[Stanowisko / Position ]:[Stanowisko / Position ]],0))="n/a","n/a",CR163-INDEX(tab_MinKomp[SUPPLIER MANAGEMENT],MATCH($B163,tab_MinKomp[[Stanowisko / Position ]:[Stanowisko / Position ]],0)))</f>
        <v>n/a</v>
      </c>
      <c r="CS164" s="343" t="str">
        <f>IF(INDEX(tab_MinKomp[OBSŁUGA PORTALI KLIENTA / Kundenportale],MATCH($B163,tab_MinKomp[[Stanowisko / Position ]:[Stanowisko / Position ]],0))="n/a","n/a",CS163-INDEX(tab_MinKomp[OBSŁUGA PORTALI KLIENTA / Kundenportale],MATCH($B163,tab_MinKomp[[Stanowisko / Position ]:[Stanowisko / Position ]],0)))</f>
        <v>n/a</v>
      </c>
      <c r="CT164" s="343" t="str">
        <f>IF(INDEX(tab_MinKomp[Obsługa systemu BABTECQ / BABTECQ System],MATCH($B163,tab_MinKomp[[Stanowisko / Position ]:[Stanowisko / Position ]],0))="n/a","n/a",CT163-INDEX(tab_MinKomp[Obsługa systemu BABTECQ / BABTECQ System],MATCH($B163,tab_MinKomp[[Stanowisko / Position ]:[Stanowisko / Position ]],0)))</f>
        <v>n/a</v>
      </c>
      <c r="CU164" s="343" t="str">
        <f>IF(INDEX(tab_MinKomp[Rysunek techniczny / technische Zeichnung],MATCH($B163,tab_MinKomp[[Stanowisko / Position ]:[Stanowisko / Position ]],0))="n/a","n/a",CU163-INDEX(tab_MinKomp[Rysunek techniczny / technische Zeichnung],MATCH($B163,tab_MinKomp[[Stanowisko / Position ]:[Stanowisko / Position ]],0)))</f>
        <v>n/a</v>
      </c>
      <c r="CV164" s="343" t="str">
        <f>IF(INDEX(tab_MinKomp[Kalibracja / Kalibrierung],MATCH($B163,tab_MinKomp[[Stanowisko / Position ]:[Stanowisko / Position ]],0))="n/a","n/a",CV163-INDEX(tab_MinKomp[Kalibracja / Kalibrierung],MATCH($B163,tab_MinKomp[[Stanowisko / Position ]:[Stanowisko / Position ]],0)))</f>
        <v>n/a</v>
      </c>
      <c r="CW164" s="343" t="str">
        <f>IF(INDEX(tab_MinKomp[Rekwalifikacja / Requalifizierung],MATCH($B163,tab_MinKomp[[Stanowisko / Position ]:[Stanowisko / Position ]],0))="n/a","n/a",CW163-INDEX(tab_MinKomp[Rekwalifikacja / Requalifizierung],MATCH($B163,tab_MinKomp[[Stanowisko / Position ]:[Stanowisko / Position ]],0)))</f>
        <v>n/a</v>
      </c>
      <c r="CX164" s="315" t="s">
        <v>176</v>
      </c>
      <c r="CY164" s="315" t="s">
        <v>176</v>
      </c>
      <c r="CZ164" s="315" t="s">
        <v>176</v>
      </c>
      <c r="DA164" s="315" t="s">
        <v>176</v>
      </c>
      <c r="DB164" s="315" t="s">
        <v>176</v>
      </c>
      <c r="DC164" s="315" t="s">
        <v>176</v>
      </c>
      <c r="DD164" s="315" t="s">
        <v>176</v>
      </c>
      <c r="DE164" s="315" t="s">
        <v>176</v>
      </c>
      <c r="DF164" s="315" t="s">
        <v>176</v>
      </c>
      <c r="DG164" s="315" t="s">
        <v>176</v>
      </c>
      <c r="DH164" s="315" t="s">
        <v>176</v>
      </c>
      <c r="DI164" s="315" t="s">
        <v>176</v>
      </c>
      <c r="DJ164" s="315" t="s">
        <v>176</v>
      </c>
      <c r="DK164" s="315" t="s">
        <v>176</v>
      </c>
      <c r="DL164" s="315" t="s">
        <v>176</v>
      </c>
      <c r="DM164" s="315" t="s">
        <v>176</v>
      </c>
      <c r="DN164" s="315" t="s">
        <v>176</v>
      </c>
      <c r="DO164" s="315" t="s">
        <v>176</v>
      </c>
      <c r="DP164" s="315" t="s">
        <v>176</v>
      </c>
      <c r="DQ164" s="315" t="s">
        <v>176</v>
      </c>
      <c r="DR164" s="315" t="s">
        <v>176</v>
      </c>
      <c r="DS164" s="315" t="s">
        <v>176</v>
      </c>
      <c r="DT164" s="315" t="s">
        <v>176</v>
      </c>
      <c r="DU164" s="343" t="str">
        <f>IF(INDEX(tab_MinKomp[MSA i SPC],MATCH($B163,tab_MinKomp[[Stanowisko / Position ]:[Stanowisko / Position ]],0))="n/a","n/a",DU163-INDEX(tab_MinKomp[MSA i SPC],MATCH($B163,tab_MinKomp[[Stanowisko / Position ]:[Stanowisko / Position ]],0)))</f>
        <v>n/a</v>
      </c>
      <c r="DV164" s="343" t="str">
        <f>IF(INDEX(tab_MinKomp[Kontrola wejściowa komponentów/ Eingangskontrolle],MATCH($B163,tab_MinKomp[[Stanowisko / Position ]:[Stanowisko / Position ]],0))="n/a","n/a",DV163-INDEX(tab_MinKomp[Kontrola wejściowa komponentów/ Eingangskontrolle],MATCH($B163,tab_MinKomp[[Stanowisko / Position ]:[Stanowisko / Position ]],0)))</f>
        <v>n/a</v>
      </c>
      <c r="DW164" s="343" t="str">
        <f>IF(INDEX(tab_MinKomp[Kontrola wyjściowa produktu / Ausgangskontrolle],MATCH($B163,tab_MinKomp[[Stanowisko / Position ]:[Stanowisko / Position ]],0))="n/a","n/a",DW163-INDEX(tab_MinKomp[Kontrola wyjściowa produktu / Ausgangskontrolle],MATCH($B163,tab_MinKomp[[Stanowisko / Position ]:[Stanowisko / Position ]],0)))</f>
        <v>n/a</v>
      </c>
      <c r="DX164" s="343" t="str">
        <f>IF(INDEX(tab_MinKomp[Kontrola codzienna produkcji / Tägliche Produktionskontrolle],MATCH($B163,tab_MinKomp[[Stanowisko / Position ]:[Stanowisko / Position ]],0))="n/a","n/a",DX163-INDEX(tab_MinKomp[Kontrola codzienna produkcji / Tägliche Produktionskontrolle],MATCH($B163,tab_MinKomp[[Stanowisko / Position ]:[Stanowisko / Position ]],0)))</f>
        <v>n/a</v>
      </c>
      <c r="DY164" s="343" t="str">
        <f>IF(INDEX(tab_MinKomp[Konserwacja Rep],MATCH($B163,tab_MinKomp[[Stanowisko / Position ]:[Stanowisko / Position ]],0))="n/a","n/a",DY163-INDEX(tab_MinKomp[Konserwacja Rep],MATCH($B163,tab_MinKomp[[Stanowisko / Position ]:[Stanowisko / Position ]],0)))</f>
        <v>n/a</v>
      </c>
      <c r="DZ164" s="343" t="str">
        <f>IF(INDEX(tab_MinKomp[[Konserwacja Engel ]],MATCH($B163,tab_MinKomp[[Stanowisko / Position ]:[Stanowisko / Position ]],0))="n/a","n/a",DZ163-INDEX(tab_MinKomp[[Konserwacja Engel ]],MATCH($B163,tab_MinKomp[[Stanowisko / Position ]:[Stanowisko / Position ]],0)))</f>
        <v>n/a</v>
      </c>
      <c r="EA164" s="343" t="str">
        <f>IF(INDEX(tab_MinKomp[Konserwacja B 50],MATCH($B163,tab_MinKomp[[Stanowisko / Position ]:[Stanowisko / Position ]],0))="n/a","n/a",EA163-INDEX(tab_MinKomp[Konserwacja B 50],MATCH($B163,tab_MinKomp[[Stanowisko / Position ]:[Stanowisko / Position ]],0)))</f>
        <v>n/a</v>
      </c>
      <c r="EB164" s="343" t="str">
        <f>IF(INDEX(tab_MinKomp[[Konserwacja EOL ]],MATCH($B163,tab_MinKomp[[Stanowisko / Position ]:[Stanowisko / Position ]],0))="n/a","n/a",EB163-INDEX(tab_MinKomp[[Konserwacja EOL ]],MATCH($B163,tab_MinKomp[[Stanowisko / Position ]:[Stanowisko / Position ]],0)))</f>
        <v>n/a</v>
      </c>
      <c r="EC164" s="343" t="str">
        <f>IF(INDEX(tab_MinKomp[Konserwacja Branson],MATCH($B163,tab_MinKomp[[Stanowisko / Position ]:[Stanowisko / Position ]],0))="n/a","n/a",EC163-INDEX(tab_MinKomp[Konserwacja Branson],MATCH($B163,tab_MinKomp[[Stanowisko / Position ]:[Stanowisko / Position ]],0)))</f>
        <v>n/a</v>
      </c>
      <c r="ED164" s="343" t="str">
        <f>IF(INDEX(tab_MinKomp[Konserwacja coolery],MATCH($B163,tab_MinKomp[[Stanowisko / Position ]:[Stanowisko / Position ]],0))="n/a","n/a",ED163-INDEX(tab_MinKomp[Konserwacja coolery],MATCH($B163,tab_MinKomp[[Stanowisko / Position ]:[Stanowisko / Position ]],0)))</f>
        <v>n/a</v>
      </c>
      <c r="EE164" s="343" t="str">
        <f>IF(INDEX(tab_MinKomp[Konserwacja piecy],MATCH($B163,tab_MinKomp[[Stanowisko / Position ]:[Stanowisko / Position ]],0))="n/a","n/a",EE163-INDEX(tab_MinKomp[Konserwacja piecy],MATCH($B163,tab_MinKomp[[Stanowisko / Position ]:[Stanowisko / Position ]],0)))</f>
        <v>n/a</v>
      </c>
      <c r="EF164" s="343" t="str">
        <f>IF(INDEX(tab_MinKomp[Rysunek techniczny- czytanie],MATCH($B163,tab_MinKomp[[Stanowisko / Position ]:[Stanowisko / Position ]],0))="n/a","n/a",EF163-INDEX(tab_MinKomp[Rysunek techniczny- czytanie],MATCH($B163,tab_MinKomp[[Stanowisko / Position ]:[Stanowisko / Position ]],0)))</f>
        <v>n/a</v>
      </c>
      <c r="EG164" s="343" t="str">
        <f>IF(INDEX(tab_MinKomp[Elektryka],MATCH($B163,tab_MinKomp[[Stanowisko / Position ]:[Stanowisko / Position ]],0))="n/a","n/a",EG163-INDEX(tab_MinKomp[Elektryka],MATCH($B163,tab_MinKomp[[Stanowisko / Position ]:[Stanowisko / Position ]],0)))</f>
        <v>n/a</v>
      </c>
      <c r="EH164" s="343" t="str">
        <f>IF(INDEX(tab_MinKomp[Pneumatyka],MATCH($B163,tab_MinKomp[[Stanowisko / Position ]:[Stanowisko / Position ]],0))="n/a","n/a",EH163-INDEX(tab_MinKomp[Pneumatyka],MATCH($B163,tab_MinKomp[[Stanowisko / Position ]:[Stanowisko / Position ]],0)))</f>
        <v>n/a</v>
      </c>
      <c r="EI164" s="343" t="str">
        <f>IF(INDEX(tab_MinKomp[[Hydraulika ]],MATCH($B163,tab_MinKomp[[Stanowisko / Position ]:[Stanowisko / Position ]],0))="n/a","n/a",EI163-INDEX(tab_MinKomp[[Hydraulika ]],MATCH($B163,tab_MinKomp[[Stanowisko / Position ]:[Stanowisko / Position ]],0)))</f>
        <v>n/a</v>
      </c>
      <c r="EJ164" s="343" t="str">
        <f>IF(INDEX(tab_MinKomp[Podciśnienie],MATCH($B163,tab_MinKomp[[Stanowisko / Position ]:[Stanowisko / Position ]],0))="n/a","n/a",EJ163-INDEX(tab_MinKomp[Podciśnienie],MATCH($B163,tab_MinKomp[[Stanowisko / Position ]:[Stanowisko / Position ]],0)))</f>
        <v>n/a</v>
      </c>
      <c r="EK164" s="343" t="str">
        <f>IF(INDEX(tab_MinKomp[Usuwanie awarii],MATCH($B163,tab_MinKomp[[Stanowisko / Position ]:[Stanowisko / Position ]],0))="n/a","n/a",EK163-INDEX(tab_MinKomp[Usuwanie awarii],MATCH($B163,tab_MinKomp[[Stanowisko / Position ]:[Stanowisko / Position ]],0)))</f>
        <v>n/a</v>
      </c>
      <c r="EL164" s="343" t="str">
        <f>IF(INDEX(tab_MinKomp[Obsługa robotów],MATCH($B163,tab_MinKomp[[Stanowisko / Position ]:[Stanowisko / Position ]],0))="n/a","n/a",EL163-INDEX(tab_MinKomp[Obsługa robotów],MATCH($B163,tab_MinKomp[[Stanowisko / Position ]:[Stanowisko / Position ]],0)))</f>
        <v>n/a</v>
      </c>
      <c r="EM164" s="343" t="str">
        <f>IF(INDEX(tab_MinKomp[Obsługa sterowania maszyny],MATCH($B163,tab_MinKomp[[Stanowisko / Position ]:[Stanowisko / Position ]],0))="n/a","n/a",EM163-INDEX(tab_MinKomp[Obsługa sterowania maszyny],MATCH($B163,tab_MinKomp[[Stanowisko / Position ]:[Stanowisko / Position ]],0)))</f>
        <v>n/a</v>
      </c>
      <c r="EN164" s="343" t="str">
        <f>IF(INDEX(tab_MinKomp[Usuwanie przyczyn żródłowych],MATCH($B163,tab_MinKomp[[Stanowisko / Position ]:[Stanowisko / Position ]],0))="n/a","n/a",EN163-INDEX(tab_MinKomp[Usuwanie przyczyn żródłowych],MATCH($B163,tab_MinKomp[[Stanowisko / Position ]:[Stanowisko / Position ]],0)))</f>
        <v>n/a</v>
      </c>
      <c r="EO164" s="343" t="str">
        <f>IF(INDEX(tab_MinKomp[Cmms stosowanie],MATCH($B163,tab_MinKomp[[Stanowisko / Position ]:[Stanowisko / Position ]],0))="n/a","n/a",EO163-INDEX(tab_MinKomp[Cmms stosowanie],MATCH($B163,tab_MinKomp[[Stanowisko / Position ]:[Stanowisko / Position ]],0)))</f>
        <v>n/a</v>
      </c>
      <c r="EP164" s="343" t="str">
        <f>IF(INDEX(tab_MinKomp[[Czyszczenie form gumowych ]],MATCH($B163,tab_MinKomp[[Stanowisko / Position ]:[Stanowisko / Position ]],0))="n/a","n/a",EP163-INDEX(tab_MinKomp[[Czyszczenie form gumowych ]],MATCH($B163,tab_MinKomp[[Stanowisko / Position ]:[Stanowisko / Position ]],0)))</f>
        <v>n/a</v>
      </c>
      <c r="EQ164" s="343" t="str">
        <f>IF(INDEX(tab_MinKomp[Czyszczenie form plastikowych],MATCH($B163,tab_MinKomp[[Stanowisko / Position ]:[Stanowisko / Position ]],0))="n/a","n/a",EQ163-INDEX(tab_MinKomp[Czyszczenie form plastikowych],MATCH($B163,tab_MinKomp[[Stanowisko / Position ]:[Stanowisko / Position ]],0)))</f>
        <v>n/a</v>
      </c>
      <c r="ER164" s="343" t="str">
        <f>IF(INDEX(tab_MinKomp[Wymiana form plastik],MATCH($B163,tab_MinKomp[[Stanowisko / Position ]:[Stanowisko / Position ]],0))="n/a","n/a",ER163-INDEX(tab_MinKomp[Wymiana form plastik],MATCH($B163,tab_MinKomp[[Stanowisko / Position ]:[Stanowisko / Position ]],0)))</f>
        <v>n/a</v>
      </c>
      <c r="ES164" s="343" t="str">
        <f>IF(INDEX(tab_MinKomp[Wymiana form guma],MATCH($B163,tab_MinKomp[[Stanowisko / Position ]:[Stanowisko / Position ]],0))="n/a","n/a",ES163-INDEX(tab_MinKomp[Wymiana form guma],MATCH($B163,tab_MinKomp[[Stanowisko / Position ]:[Stanowisko / Position ]],0)))</f>
        <v>n/a</v>
      </c>
      <c r="ET164" s="343" t="str">
        <f>IF(INDEX(tab_MinKomp[Konserwacja KK],MATCH($B163,tab_MinKomp[[Stanowisko / Position ]:[Stanowisko / Position ]],0))="n/a","n/a",ET163-INDEX(tab_MinKomp[Konserwacja KK],MATCH($B163,tab_MinKomp[[Stanowisko / Position ]:[Stanowisko / Position ]],0)))</f>
        <v>n/a</v>
      </c>
      <c r="EU164" s="343" t="str">
        <f>IF(INDEX(tab_MinKomp[Konserwacja form guma],MATCH($B163,tab_MinKomp[[Stanowisko / Position ]:[Stanowisko / Position ]],0))="n/a","n/a",EU163-INDEX(tab_MinKomp[Konserwacja form guma],MATCH($B163,tab_MinKomp[[Stanowisko / Position ]:[Stanowisko / Position ]],0)))</f>
        <v>n/a</v>
      </c>
      <c r="EV164" s="343" t="str">
        <f>IF(INDEX(tab_MinKomp[Konserwacja form plastiki],MATCH($B163,tab_MinKomp[[Stanowisko / Position ]:[Stanowisko / Position ]],0))="n/a","n/a",EV163-INDEX(tab_MinKomp[Konserwacja form plastiki],MATCH($B163,tab_MinKomp[[Stanowisko / Position ]:[Stanowisko / Position ]],0)))</f>
        <v>n/a</v>
      </c>
      <c r="EW164" s="330" t="str">
        <f>IF(INDEX(tab_MinKomp[Konserwacja form plastiki],MATCH($B163,tab_MinKomp[[Stanowisko / Position ]:[Stanowisko / Position ]],0))="n/a","n/a",EW163-INDEX(tab_MinKomp[Konserwacja form plastiki],MATCH($B163,tab_MinKomp[[Stanowisko / Position ]:[Stanowisko / Position ]],0)))</f>
        <v>n/a</v>
      </c>
      <c r="EX164" s="343" t="str">
        <f>IF(INDEX(tab_MinKomp[Konserwacja Gorącego Kanału],MATCH($B163,tab_MinKomp[[Stanowisko / Position ]:[Stanowisko / Position ]],0))="n/a","n/a",EX163-INDEX(tab_MinKomp[Konserwacja Gorącego Kanału],MATCH($B163,tab_MinKomp[[Stanowisko / Position ]:[Stanowisko / Position ]],0)))</f>
        <v>n/a</v>
      </c>
      <c r="EY164" s="343">
        <f>IF(INDEX(tab_MinKomp[MS Office (Excel)],MATCH($B163,tab_MinKomp[[Stanowisko / Position ]:[Stanowisko / Position ]],0))="n/a","n/a",EY163-INDEX(tab_MinKomp[MS Office (Excel)],MATCH($B163,tab_MinKomp[[Stanowisko / Position ]:[Stanowisko / Position ]],0)))</f>
        <v>0</v>
      </c>
      <c r="EZ164" s="343">
        <f>IF(INDEX(tab_MinKomp[MS Office (Word)],MATCH($B163,tab_MinKomp[[Stanowisko / Position ]:[Stanowisko / Position ]],0))="n/a","n/a",EZ163-INDEX(tab_MinKomp[MS Office (Word)],MATCH($B163,tab_MinKomp[[Stanowisko / Position ]:[Stanowisko / Position ]],0)))</f>
        <v>0</v>
      </c>
      <c r="FA164" s="343">
        <f>IF(INDEX(tab_MinKomp[MS Office (Power Point)],MATCH($B163,tab_MinKomp[[Stanowisko / Position ]:[Stanowisko / Position ]],0))="n/a","n/a",FA163-INDEX(tab_MinKomp[MS Office (Power Point)],MATCH($B163,tab_MinKomp[[Stanowisko / Position ]:[Stanowisko / Position ]],0)))</f>
        <v>0</v>
      </c>
      <c r="FB164" s="343" t="str">
        <f>IF(INDEX(tab_MinKomp[Język angielski / Englisch],MATCH($B163,tab_MinKomp[[Stanowisko / Position ]:[Stanowisko / Position ]],0))="n/a","n/a",FB163-INDEX(tab_MinKomp[Język angielski / Englisch],MATCH($B163,tab_MinKomp[[Stanowisko / Position ]:[Stanowisko / Position ]],0)))</f>
        <v>n/a</v>
      </c>
      <c r="FC164" s="343" t="str">
        <f>IF(INDEX(tab_MinKomp[Język niemiecki / Deutsch],MATCH($B163,tab_MinKomp[[Stanowisko / Position ]:[Stanowisko / Position ]],0))="n/a","n/a",FC163-INDEX(tab_MinKomp[Język niemiecki / Deutsch],MATCH($B163,tab_MinKomp[[Stanowisko / Position ]:[Stanowisko / Position ]],0)))</f>
        <v>n/a</v>
      </c>
      <c r="FD164" s="343">
        <f>IF(INDEX(tab_MinKomp[Zarządzanie dokumentacją procesową / Process dokumentation management],MATCH($B163,tab_MinKomp[[Stanowisko / Position ]:[Stanowisko / Position ]],0))="n/a","n/a",FD163-INDEX(tab_MinKomp[Zarządzanie dokumentacją procesową / Process dokumentation management],MATCH($B163,tab_MinKomp[[Stanowisko / Position ]:[Stanowisko / Position ]],0)))</f>
        <v>0</v>
      </c>
      <c r="FE164" s="343">
        <f>IF(INDEX(tab_MinKomp[Znajomość procesów z obszaru / Kenntiss der prozesse in dem Bereich],MATCH($B163,tab_MinKomp[[Stanowisko / Position ]:[Stanowisko / Position ]],0))="n/a","n/a",FE163-INDEX(tab_MinKomp[Znajomość procesów z obszaru / Kenntiss der prozesse in dem Bereich],MATCH($B163,tab_MinKomp[[Stanowisko / Position ]:[Stanowisko / Position ]],0)))</f>
        <v>1</v>
      </c>
      <c r="FF164" s="343">
        <f>IF(INDEX(tab_MinKomp[optymalizacja procesów / Prozessoptymalisierung],MATCH($B163,tab_MinKomp[[Stanowisko / Position ]:[Stanowisko / Position ]],0))="n/a","n/a",FF163-INDEX(tab_MinKomp[optymalizacja procesów / Prozessoptymalisierung],MATCH($B163,tab_MinKomp[[Stanowisko / Position ]:[Stanowisko / Position ]],0)))</f>
        <v>0</v>
      </c>
      <c r="FG164" s="343">
        <f>IF(INDEX(tab_MinKomp[Umiejętności szkoleniowe / Trainingsfähigkeiten],MATCH($B163,tab_MinKomp[[Stanowisko / Position ]:[Stanowisko / Position ]],0))="n/a","n/a",FG163-INDEX(tab_MinKomp[Umiejętności szkoleniowe / Trainingsfähigkeiten],MATCH($B163,tab_MinKomp[[Stanowisko / Position ]:[Stanowisko / Position ]],0)))</f>
        <v>0</v>
      </c>
      <c r="FH164" s="343">
        <f>IF(INDEX(tab_MinKomp[Analityczne myślenie, podejście / Analitysches Denken, Einstellung],MATCH($B163,tab_MinKomp[[Stanowisko / Position ]:[Stanowisko / Position ]],0))="n/a","n/a",FH163-INDEX(tab_MinKomp[Analityczne myślenie, podejście / Analitysches Denken, Einstellung],MATCH($B163,tab_MinKomp[[Stanowisko / Position ]:[Stanowisko / Position ]],0)))</f>
        <v>0</v>
      </c>
      <c r="FI164" s="343">
        <f>IF(INDEX(tab_MinKomp[Dokładność, precyzja w dzialaniu / Genauigkeit, Präzision in die Arbeit],MATCH($B163,tab_MinKomp[[Stanowisko / Position ]:[Stanowisko / Position ]],0))="n/a","n/a",FI163-INDEX(tab_MinKomp[Dokładność, precyzja w dzialaniu / Genauigkeit, Präzision in die Arbeit],MATCH($B163,tab_MinKomp[[Stanowisko / Position ]:[Stanowisko / Position ]],0)))</f>
        <v>0</v>
      </c>
      <c r="FJ164" s="343">
        <f>IF(INDEX(tab_MinKomp[Dyspozycyjność / Verfügbarkeit],MATCH($B163,tab_MinKomp[[Stanowisko / Position ]:[Stanowisko / Position ]],0))="n/a","n/a",FJ163-INDEX(tab_MinKomp[Dyspozycyjność / Verfügbarkeit],MATCH($B163,tab_MinKomp[[Stanowisko / Position ]:[Stanowisko / Position ]],0)))</f>
        <v>0</v>
      </c>
      <c r="FK164" s="343">
        <f>IF(INDEX(tab_MinKomp[Zaangażowanie / 
Engagement],MATCH($B163,tab_MinKomp[[Stanowisko / Position ]:[Stanowisko / Position ]],0))="n/a","n/a",FK163-INDEX(tab_MinKomp[Zaangażowanie / 
Engagement],MATCH($B163,tab_MinKomp[[Stanowisko / Position ]:[Stanowisko / Position ]],0)))</f>
        <v>1</v>
      </c>
      <c r="FL164" s="343">
        <f>IF(INDEX(tab_MinKomp[Planowanie strategiczne / Strategische Planung],MATCH($B163,tab_MinKomp[[Stanowisko / Position ]:[Stanowisko / Position ]],0))="n/a","n/a",FL163-INDEX(tab_MinKomp[Planowanie strategiczne / Strategische Planung],MATCH($B163,tab_MinKomp[[Stanowisko / Position ]:[Stanowisko / Position ]],0)))</f>
        <v>-1</v>
      </c>
      <c r="FM164" s="343">
        <f>IF(INDEX(tab_MinKomp[Konsekwentne i dynamiczne działanie],MATCH($B163,tab_MinKomp[[Stanowisko / Position ]:[Stanowisko / Position ]],0))="n/a","n/a",FM163-INDEX(tab_MinKomp[Konsekwentne i dynamiczne działanie],MATCH($B163,tab_MinKomp[[Stanowisko / Position ]:[Stanowisko / Position ]],0)))</f>
        <v>0</v>
      </c>
      <c r="FN164" s="343">
        <f>IF(INDEX(tab_MinKomp[Elastyczność w działaniu],MATCH($B163,tab_MinKomp[[Stanowisko / Position ]:[Stanowisko / Position ]],0))="n/a","n/a",FN163-INDEX(tab_MinKomp[Elastyczność w działaniu],MATCH($B163,tab_MinKomp[[Stanowisko / Position ]:[Stanowisko / Position ]],0)))</f>
        <v>0</v>
      </c>
      <c r="FO164" s="343">
        <f>IF(INDEX(tab_MinKomp[Komunikatywność],MATCH($B163,tab_MinKomp[[Stanowisko / Position ]:[Stanowisko / Position ]],0))="n/a","n/a",FO163-INDEX(tab_MinKomp[Komunikatywność],MATCH($B163,tab_MinKomp[[Stanowisko / Position ]:[Stanowisko / Position ]],0)))</f>
        <v>0</v>
      </c>
      <c r="FP164" s="342">
        <f>IF(INDEX(tab_MinKomp[Motywowanie i budowanie zaangażowania zespołu],MATCH($B163,tab_MinKomp[[Stanowisko / Position ]:[Stanowisko / Position ]],0))="n/a","n/a",FP163-INDEX(tab_MinKomp[Motywowanie i budowanie zaangażowania zespołu],MATCH($B163,tab_MinKomp[[Stanowisko / Position ]:[Stanowisko / Position ]],0)))</f>
        <v>0</v>
      </c>
      <c r="FQ164" s="346" t="str">
        <f>IFERROR(IF(INDEX(tab_MinKomp[BRAK / Keine],MATCH($B163,tab_MinKomp[[Stanowisko / Position ]:[Stanowisko / Position ]],0))="n/a","n/a",INDEX(tab_MinKomp[BRAK / Keine],MATCH($B163,tab_MinKomp[[Stanowisko / Position ]:[Stanowisko / Position ]],0))-FQ163),"")</f>
        <v>n/a</v>
      </c>
      <c r="FR164" s="343" t="str">
        <f>IF(INDEX(tab_MinKomp[MINIMUM 1 ROK / min. 1 Jahr],MATCH($B163,tab_MinKomp[[Stanowisko / Position ]:[Stanowisko / Position ]],0))="n/a","n/a",INDEX(tab_MinKomp[MINIMUM 1 ROK / min. 1 Jahr],MATCH($B163,tab_MinKomp[[Stanowisko / Position ]:[Stanowisko / Position ]],0)))</f>
        <v>x</v>
      </c>
      <c r="FS164" s="343" t="str">
        <f>IF(INDEX(tab_MinKomp[MINIMUM 2 LATA / min. 2 Jahre],MATCH($B163,tab_MinKomp[[Stanowisko / Position ]:[Stanowisko / Position ]],0))="n/a","n/a",INDEX(tab_MinKomp[MINIMUM 2 LATA / min. 2 Jahre],MATCH($B163,tab_MinKomp[[Stanowisko / Position ]:[Stanowisko / Position ]],0)))</f>
        <v>n/a</v>
      </c>
      <c r="FT164" s="343" t="str">
        <f>IF(INDEX(tab_MinKomp[MINIMUM 3 LATA / min. 3 Jahre],MATCH($B163,tab_MinKomp[[Stanowisko / Position ]:[Stanowisko / Position ]],0))="n/a","n/a",INDEX(tab_MinKomp[MINIMUM 3 LATA / min. 3 Jahre],MATCH($B163,tab_MinKomp[[Stanowisko / Position ]:[Stanowisko / Position ]],0)))</f>
        <v>n/a</v>
      </c>
      <c r="FU164" s="343" t="str">
        <f>IF(INDEX(tab_MinKomp[MINIMUM 4 LATA / min. 4 Jahre],MATCH($B163,tab_MinKomp[[Stanowisko / Position ]:[Stanowisko / Position ]],0))="n/a","n/a",INDEX(tab_MinKomp[MINIMUM 4 LATA / min. 4 Jahre],MATCH($B163,tab_MinKomp[[Stanowisko / Position ]:[Stanowisko / Position ]],0)))</f>
        <v>n/a</v>
      </c>
      <c r="FV164" s="347" t="str">
        <f>IF(INDEX(tab_MinKomp[MINIMUM 5 LAT / min. 5 Jahre],MATCH($B163,tab_MinKomp[[Stanowisko / Position ]:[Stanowisko / Position ]],0))="n/a","n/a",INDEX(tab_MinKomp[MINIMUM 5 LAT / min. 5 Jahre],MATCH($B163,tab_MinKomp[[Stanowisko / Position ]:[Stanowisko / Position ]],0)))</f>
        <v>n/a</v>
      </c>
      <c r="FW164" s="346" t="str">
        <f>IF(INDEX(tab_MinKomp[BRAK / Keine9],MATCH($B163,tab_MinKomp[[Stanowisko / Position ]:[Stanowisko / Position ]],0))="n/a","n/a",INDEX(tab_MinKomp[BRAK / Keine9],MATCH($B163,tab_MinKomp[[Stanowisko / Position ]:[Stanowisko / Position ]],0)))</f>
        <v>n/a</v>
      </c>
      <c r="FX164" s="343" t="str">
        <f>IF(INDEX(tab_MinKomp[ZAWODOWE / Berufsausbildung],MATCH($B163,tab_MinKomp[[Stanowisko / Position ]:[Stanowisko / Position ]],0))="n/a","n/a",INDEX(tab_MinKomp[ZAWODOWE / Berufsausbildung],MATCH($B163,tab_MinKomp[[Stanowisko / Position ]:[Stanowisko / Position ]],0)))</f>
        <v>x</v>
      </c>
      <c r="FY164" s="343" t="str">
        <f>IF(INDEX(tab_MinKomp[ŚREDNIE OGÓLNE / Abitur allgemeine],MATCH($B163,tab_MinKomp[[Stanowisko / Position ]:[Stanowisko / Position ]],0))="n/a","n/a",INDEX(tab_MinKomp[ŚREDNIE OGÓLNE / Abitur allgemeine],MATCH($B163,tab_MinKomp[[Stanowisko / Position ]:[Stanowisko / Position ]],0)))</f>
        <v>n/a</v>
      </c>
      <c r="FZ164" s="343" t="str">
        <f>IF(INDEX(tab_MinKomp[ŚREDNIE KIERUNKOWE / berufliches Gymnasium],MATCH($B163,tab_MinKomp[[Stanowisko / Position ]:[Stanowisko / Position ]],0))="n/a","n/a",INDEX(tab_MinKomp[ŚREDNIE KIERUNKOWE / berufliches Gymnasium],MATCH($B163,tab_MinKomp[[Stanowisko / Position ]:[Stanowisko / Position ]],0)))</f>
        <v>n/a</v>
      </c>
      <c r="GA164" s="343" t="str">
        <f>IF(INDEX(tab_MinKomp[WYŻSZE OGÓLNE / Hochschule allgemeine],MATCH($B163,tab_MinKomp[[Stanowisko / Position ]:[Stanowisko / Position ]],0))="n/a","n/a",INDEX(tab_MinKomp[WYŻSZE OGÓLNE / Hochschule allgemeine],MATCH($B163,tab_MinKomp[[Stanowisko / Position ]:[Stanowisko / Position ]],0)))</f>
        <v>n/a</v>
      </c>
      <c r="GB164" s="347" t="str">
        <f>IF(INDEX(tab_MinKomp[WYŻSZE KIERUNKOWE / Hochschule berufliche],MATCH($B163,tab_MinKomp[[Stanowisko / Position ]:[Stanowisko / Position ]],0))="n/a","n/a",INDEX(tab_MinKomp[WYŻSZE KIERUNKOWE / Hochschule berufliche],MATCH($B163,tab_MinKomp[[Stanowisko / Position ]:[Stanowisko / Position ]],0)))</f>
        <v>n/a</v>
      </c>
      <c r="GC164" s="346" t="str">
        <f>IF(INDEX(tab_MinKomp[PIERWSZA POMOC / Erste Hilfe],MATCH($B163,tab_MinKomp[[Stanowisko / Position ]:[Stanowisko / Position ]],0))="n/a","n/a",INDEX(tab_MinKomp[PIERWSZA POMOC / Erste Hilfe],MATCH($B163,tab_MinKomp[[Stanowisko / Position ]:[Stanowisko / Position ]],0)))</f>
        <v>x</v>
      </c>
      <c r="GD164" s="343" t="str">
        <f>IF(INDEX(tab_MinKomp[Specjalista BHP / BHP Spezialist],MATCH($B163,tab_MinKomp[[Stanowisko / Position ]:[Stanowisko / Position ]],0))="n/a","n/a",INDEX(tab_MinKomp[Specjalista BHP / BHP Spezialist],MATCH($B163,tab_MinKomp[[Stanowisko / Position ]:[Stanowisko / Position ]],0)))</f>
        <v>n/a</v>
      </c>
      <c r="GE164" s="343" t="str">
        <f>IF(INDEX(tab_MinKomp[Inspektor ochrony PPOŻ / Brandschutzinspektor],MATCH($B163,tab_MinKomp[[Stanowisko / Position ]:[Stanowisko / Position ]],0))="n/a","n/a",INDEX(tab_MinKomp[Inspektor ochrony PPOŻ / Brandschutzinspektor],MATCH($B163,tab_MinKomp[[Stanowisko / Position ]:[Stanowisko / Position ]],0)))</f>
        <v>n/a</v>
      </c>
      <c r="GF164" s="343" t="str">
        <f>IF(INDEX(tab_MinKomp[WÓZKI JEZDNIOWE / Gebelstapler],MATCH($B163,tab_MinKomp[[Stanowisko / Position ]:[Stanowisko / Position ]],0))="n/a","n/a",INDEX(tab_MinKomp[WÓZKI JEZDNIOWE / Gebelstapler],MATCH($B163,tab_MinKomp[[Stanowisko / Position ]:[Stanowisko / Position ]],0)))</f>
        <v>x</v>
      </c>
      <c r="GG164" s="343" t="str">
        <f>IF(INDEX(tab_MinKomp[SEP],MATCH($B163,tab_MinKomp[[Stanowisko / Position ]:[Stanowisko / Position ]],0))="n/a","n/a",INDEX(tab_MinKomp[SEP],MATCH($B163,tab_MinKomp[[Stanowisko / Position ]:[Stanowisko / Position ]],0)))</f>
        <v>n/a</v>
      </c>
      <c r="GH164" s="343" t="str">
        <f>IF(INDEX(tab_MinKomp[SEP  DOZÓR / SEP Aufsicht],MATCH($B163,tab_MinKomp[[Stanowisko / Position ]:[Stanowisko / Position ]],0))="n/a","n/a",INDEX(tab_MinKomp[SEP  DOZÓR / SEP Aufsicht],MATCH($B163,tab_MinKomp[[Stanowisko / Position ]:[Stanowisko / Position ]],0)))</f>
        <v>n/a</v>
      </c>
      <c r="GI164" s="343" t="str">
        <f>IF(INDEX(tab_MinKomp[PODNOŚNIKI / Hebevorrichtung],MATCH($B163,tab_MinKomp[[Stanowisko / Position ]:[Stanowisko / Position ]],0))="n/a","n/a",INDEX(tab_MinKomp[PODNOŚNIKI / Hebevorrichtung],MATCH($B163,tab_MinKomp[[Stanowisko / Position ]:[Stanowisko / Position ]],0)))</f>
        <v>n/a</v>
      </c>
      <c r="GJ164" s="343" t="str">
        <f>IF(INDEX(tab_MinKomp[SUWNICE / Laufkran],MATCH($B163,tab_MinKomp[[Stanowisko / Position ]:[Stanowisko / Position ]],0))="n/a","n/a",INDEX(tab_MinKomp[SUWNICE / Laufkran],MATCH($B163,tab_MinKomp[[Stanowisko / Position ]:[Stanowisko / Position ]],0)))</f>
        <v>n/a</v>
      </c>
      <c r="GK164" s="347" t="str">
        <f>IF(INDEX(tab_MinKomp[WYSOKOŚCIOWE / Höhenberechtigungen],MATCH($B163,tab_MinKomp[[Stanowisko / Position ]:[Stanowisko / Position ]],0))="n/a","n/a",INDEX(tab_MinKomp[WYSOKOŚCIOWE / Höhenberechtigungen],MATCH($B163,tab_MinKomp[[Stanowisko / Position ]:[Stanowisko / Position ]],0)))</f>
        <v>n/a</v>
      </c>
      <c r="GL164" s="320">
        <f>SUM(G164:FP164)/(GL163-(SUM(G164:FP164)))</f>
        <v>-2.8985507246376812E-2</v>
      </c>
    </row>
    <row r="165" spans="1:195" ht="36.75" customHeight="1" x14ac:dyDescent="0.25">
      <c r="A165" s="135" t="s">
        <v>180</v>
      </c>
      <c r="B165" s="135" t="s">
        <v>581</v>
      </c>
      <c r="C165" s="135" t="s">
        <v>672</v>
      </c>
      <c r="D165" s="135">
        <v>1205</v>
      </c>
      <c r="E165" s="565" t="s">
        <v>640</v>
      </c>
      <c r="F165" s="307" t="s">
        <v>165</v>
      </c>
      <c r="G165" s="308">
        <v>2</v>
      </c>
      <c r="H165" s="308">
        <v>2</v>
      </c>
      <c r="I165" s="308">
        <v>1</v>
      </c>
      <c r="J165" s="308">
        <v>1</v>
      </c>
      <c r="K165" s="308">
        <v>1</v>
      </c>
      <c r="L165" s="308">
        <v>1</v>
      </c>
      <c r="M165" s="308" t="s">
        <v>176</v>
      </c>
      <c r="N165" s="308" t="s">
        <v>176</v>
      </c>
      <c r="O165" s="308">
        <v>1</v>
      </c>
      <c r="P165" s="308">
        <v>1</v>
      </c>
      <c r="Q165" s="308" t="s">
        <v>176</v>
      </c>
      <c r="R165" s="308" t="s">
        <v>176</v>
      </c>
      <c r="S165" s="308" t="s">
        <v>176</v>
      </c>
      <c r="T165" s="308">
        <v>1</v>
      </c>
      <c r="U165" s="308" t="s">
        <v>176</v>
      </c>
      <c r="V165" s="308" t="s">
        <v>176</v>
      </c>
      <c r="W165" s="308" t="s">
        <v>176</v>
      </c>
      <c r="X165" s="308" t="s">
        <v>176</v>
      </c>
      <c r="Y165" s="308" t="s">
        <v>176</v>
      </c>
      <c r="Z165" s="308" t="s">
        <v>176</v>
      </c>
      <c r="AA165" s="308" t="s">
        <v>176</v>
      </c>
      <c r="AB165" s="308" t="s">
        <v>176</v>
      </c>
      <c r="AC165" s="308" t="s">
        <v>176</v>
      </c>
      <c r="AD165" s="308" t="s">
        <v>176</v>
      </c>
      <c r="AE165" s="308" t="s">
        <v>176</v>
      </c>
      <c r="AF165" s="308" t="s">
        <v>176</v>
      </c>
      <c r="AG165" s="308" t="s">
        <v>176</v>
      </c>
      <c r="AH165" s="308" t="s">
        <v>176</v>
      </c>
      <c r="AI165" s="308" t="s">
        <v>176</v>
      </c>
      <c r="AJ165" s="308" t="s">
        <v>176</v>
      </c>
      <c r="AK165" s="308" t="s">
        <v>176</v>
      </c>
      <c r="AL165" s="308"/>
      <c r="AM165" s="308" t="s">
        <v>176</v>
      </c>
      <c r="AN165" s="308" t="s">
        <v>176</v>
      </c>
      <c r="AO165" s="308">
        <v>1</v>
      </c>
      <c r="AP165" s="308" t="s">
        <v>176</v>
      </c>
      <c r="AQ165" s="308">
        <v>1</v>
      </c>
      <c r="AR165" s="308" t="s">
        <v>176</v>
      </c>
      <c r="AS165" s="308" t="s">
        <v>176</v>
      </c>
      <c r="AT165" s="308" t="s">
        <v>176</v>
      </c>
      <c r="AU165" s="308">
        <v>1</v>
      </c>
      <c r="AV165" s="308">
        <v>1</v>
      </c>
      <c r="AW165" s="308">
        <v>1</v>
      </c>
      <c r="AX165" s="308" t="s">
        <v>176</v>
      </c>
      <c r="AY165" s="308" t="s">
        <v>176</v>
      </c>
      <c r="AZ165" s="308" t="s">
        <v>176</v>
      </c>
      <c r="BA165" s="308">
        <v>1</v>
      </c>
      <c r="BB165" s="308">
        <v>1</v>
      </c>
      <c r="BC165" s="308" t="s">
        <v>176</v>
      </c>
      <c r="BD165" s="308" t="s">
        <v>176</v>
      </c>
      <c r="BE165" s="308" t="s">
        <v>176</v>
      </c>
      <c r="BF165" s="308" t="s">
        <v>176</v>
      </c>
      <c r="BG165" s="308" t="s">
        <v>176</v>
      </c>
      <c r="BH165" s="308" t="s">
        <v>176</v>
      </c>
      <c r="BI165" s="308" t="s">
        <v>176</v>
      </c>
      <c r="BJ165" s="308" t="s">
        <v>176</v>
      </c>
      <c r="BK165" s="308" t="s">
        <v>176</v>
      </c>
      <c r="BL165" s="308" t="s">
        <v>176</v>
      </c>
      <c r="BM165" s="308">
        <v>2</v>
      </c>
      <c r="BN165" s="308" t="s">
        <v>176</v>
      </c>
      <c r="BO165" s="308" t="s">
        <v>176</v>
      </c>
      <c r="BP165" s="308" t="s">
        <v>176</v>
      </c>
      <c r="BQ165" s="308" t="s">
        <v>176</v>
      </c>
      <c r="BR165" s="308" t="s">
        <v>176</v>
      </c>
      <c r="BS165" s="308">
        <v>2</v>
      </c>
      <c r="BT165" s="308" t="s">
        <v>176</v>
      </c>
      <c r="BU165" s="308">
        <v>2</v>
      </c>
      <c r="BV165" s="308">
        <v>1</v>
      </c>
      <c r="BW165" s="308" t="s">
        <v>176</v>
      </c>
      <c r="BX165" s="308" t="s">
        <v>176</v>
      </c>
      <c r="BY165" s="308" t="s">
        <v>176</v>
      </c>
      <c r="BZ165" s="308" t="s">
        <v>176</v>
      </c>
      <c r="CA165" s="308" t="s">
        <v>176</v>
      </c>
      <c r="CB165" s="308" t="s">
        <v>176</v>
      </c>
      <c r="CC165" s="308" t="s">
        <v>176</v>
      </c>
      <c r="CD165" s="308" t="s">
        <v>176</v>
      </c>
      <c r="CE165" s="308" t="s">
        <v>176</v>
      </c>
      <c r="CF165" s="308" t="s">
        <v>176</v>
      </c>
      <c r="CG165" s="308">
        <v>2</v>
      </c>
      <c r="CH165" s="308" t="s">
        <v>176</v>
      </c>
      <c r="CI165" s="308" t="s">
        <v>176</v>
      </c>
      <c r="CJ165" s="308" t="s">
        <v>176</v>
      </c>
      <c r="CK165" s="308" t="s">
        <v>176</v>
      </c>
      <c r="CL165" s="308" t="s">
        <v>176</v>
      </c>
      <c r="CM165" s="308">
        <v>1</v>
      </c>
      <c r="CN165" s="308">
        <v>1</v>
      </c>
      <c r="CO165" s="308">
        <v>1</v>
      </c>
      <c r="CP165" s="308">
        <v>1</v>
      </c>
      <c r="CQ165" s="308" t="s">
        <v>176</v>
      </c>
      <c r="CR165" s="308" t="s">
        <v>176</v>
      </c>
      <c r="CS165" s="308" t="s">
        <v>176</v>
      </c>
      <c r="CT165" s="308" t="s">
        <v>176</v>
      </c>
      <c r="CU165" s="308" t="s">
        <v>176</v>
      </c>
      <c r="CV165" s="308" t="s">
        <v>176</v>
      </c>
      <c r="CW165" s="308" t="s">
        <v>176</v>
      </c>
      <c r="CX165" s="308" t="s">
        <v>176</v>
      </c>
      <c r="CY165" s="308" t="s">
        <v>176</v>
      </c>
      <c r="CZ165" s="308" t="s">
        <v>176</v>
      </c>
      <c r="DA165" s="308" t="s">
        <v>176</v>
      </c>
      <c r="DB165" s="308" t="s">
        <v>176</v>
      </c>
      <c r="DC165" s="308" t="s">
        <v>176</v>
      </c>
      <c r="DD165" s="308" t="s">
        <v>176</v>
      </c>
      <c r="DE165" s="308" t="s">
        <v>176</v>
      </c>
      <c r="DF165" s="308" t="s">
        <v>176</v>
      </c>
      <c r="DG165" s="308" t="s">
        <v>176</v>
      </c>
      <c r="DH165" s="308" t="s">
        <v>176</v>
      </c>
      <c r="DI165" s="308" t="s">
        <v>176</v>
      </c>
      <c r="DJ165" s="308" t="s">
        <v>176</v>
      </c>
      <c r="DK165" s="308" t="s">
        <v>176</v>
      </c>
      <c r="DL165" s="308" t="s">
        <v>176</v>
      </c>
      <c r="DM165" s="308" t="s">
        <v>176</v>
      </c>
      <c r="DN165" s="308" t="s">
        <v>176</v>
      </c>
      <c r="DO165" s="308" t="s">
        <v>176</v>
      </c>
      <c r="DP165" s="308" t="s">
        <v>176</v>
      </c>
      <c r="DQ165" s="308" t="s">
        <v>176</v>
      </c>
      <c r="DR165" s="308" t="s">
        <v>176</v>
      </c>
      <c r="DS165" s="308" t="s">
        <v>176</v>
      </c>
      <c r="DT165" s="308" t="s">
        <v>176</v>
      </c>
      <c r="DU165" s="308" t="s">
        <v>176</v>
      </c>
      <c r="DV165" s="308" t="s">
        <v>176</v>
      </c>
      <c r="DW165" s="308" t="s">
        <v>176</v>
      </c>
      <c r="DX165" s="308" t="s">
        <v>176</v>
      </c>
      <c r="DY165" s="308" t="s">
        <v>176</v>
      </c>
      <c r="DZ165" s="308" t="s">
        <v>176</v>
      </c>
      <c r="EA165" s="308" t="s">
        <v>176</v>
      </c>
      <c r="EB165" s="308" t="s">
        <v>176</v>
      </c>
      <c r="EC165" s="308" t="s">
        <v>176</v>
      </c>
      <c r="ED165" s="308" t="s">
        <v>176</v>
      </c>
      <c r="EE165" s="308" t="s">
        <v>176</v>
      </c>
      <c r="EF165" s="308" t="s">
        <v>176</v>
      </c>
      <c r="EG165" s="308" t="s">
        <v>176</v>
      </c>
      <c r="EH165" s="308" t="s">
        <v>176</v>
      </c>
      <c r="EI165" s="308" t="s">
        <v>176</v>
      </c>
      <c r="EJ165" s="308" t="s">
        <v>176</v>
      </c>
      <c r="EK165" s="308" t="s">
        <v>176</v>
      </c>
      <c r="EL165" s="308" t="s">
        <v>176</v>
      </c>
      <c r="EM165" s="308" t="s">
        <v>176</v>
      </c>
      <c r="EN165" s="308" t="s">
        <v>176</v>
      </c>
      <c r="EO165" s="308" t="s">
        <v>176</v>
      </c>
      <c r="EP165" s="308" t="s">
        <v>176</v>
      </c>
      <c r="EQ165" s="308" t="s">
        <v>176</v>
      </c>
      <c r="ER165" s="308" t="s">
        <v>176</v>
      </c>
      <c r="ES165" s="308" t="s">
        <v>176</v>
      </c>
      <c r="ET165" s="308" t="s">
        <v>176</v>
      </c>
      <c r="EU165" s="308" t="s">
        <v>176</v>
      </c>
      <c r="EV165" s="308" t="s">
        <v>176</v>
      </c>
      <c r="EW165" s="308" t="s">
        <v>176</v>
      </c>
      <c r="EX165" s="308" t="s">
        <v>176</v>
      </c>
      <c r="EY165" s="308">
        <v>1</v>
      </c>
      <c r="EZ165" s="308">
        <v>1</v>
      </c>
      <c r="FA165" s="308">
        <v>1</v>
      </c>
      <c r="FB165" s="308" t="s">
        <v>176</v>
      </c>
      <c r="FC165" s="308" t="s">
        <v>176</v>
      </c>
      <c r="FD165" s="308">
        <v>2</v>
      </c>
      <c r="FE165" s="308">
        <v>2</v>
      </c>
      <c r="FF165" s="308">
        <v>1</v>
      </c>
      <c r="FG165" s="308">
        <v>2</v>
      </c>
      <c r="FH165" s="308">
        <v>1</v>
      </c>
      <c r="FI165" s="308">
        <v>1</v>
      </c>
      <c r="FJ165" s="308">
        <v>1</v>
      </c>
      <c r="FK165" s="308">
        <v>1</v>
      </c>
      <c r="FL165" s="308">
        <v>1</v>
      </c>
      <c r="FM165" s="308">
        <v>1</v>
      </c>
      <c r="FN165" s="308">
        <v>1</v>
      </c>
      <c r="FO165" s="308">
        <v>1</v>
      </c>
      <c r="FP165" s="308">
        <v>1</v>
      </c>
      <c r="FQ165" s="308" t="s">
        <v>176</v>
      </c>
      <c r="FR165" s="308" t="s">
        <v>176</v>
      </c>
      <c r="FS165" s="308" t="s">
        <v>387</v>
      </c>
      <c r="FT165" s="308" t="s">
        <v>176</v>
      </c>
      <c r="FU165" s="308" t="s">
        <v>176</v>
      </c>
      <c r="FV165" s="308" t="s">
        <v>176</v>
      </c>
      <c r="FW165" s="308" t="s">
        <v>176</v>
      </c>
      <c r="FX165" s="308" t="s">
        <v>176</v>
      </c>
      <c r="FY165" s="308" t="s">
        <v>387</v>
      </c>
      <c r="FZ165" s="308" t="s">
        <v>176</v>
      </c>
      <c r="GA165" s="308" t="s">
        <v>176</v>
      </c>
      <c r="GB165" s="308" t="s">
        <v>176</v>
      </c>
      <c r="GC165" s="308" t="s">
        <v>176</v>
      </c>
      <c r="GD165" s="308" t="s">
        <v>387</v>
      </c>
      <c r="GE165" s="308" t="s">
        <v>176</v>
      </c>
      <c r="GF165" s="308" t="s">
        <v>176</v>
      </c>
      <c r="GG165" s="308" t="s">
        <v>387</v>
      </c>
      <c r="GH165" s="308" t="s">
        <v>176</v>
      </c>
      <c r="GI165" s="308" t="s">
        <v>176</v>
      </c>
      <c r="GJ165" s="308" t="s">
        <v>176</v>
      </c>
      <c r="GK165" s="308" t="s">
        <v>176</v>
      </c>
      <c r="GL165" s="311">
        <f>SUM(G165:FP165)</f>
        <v>50</v>
      </c>
    </row>
    <row r="166" spans="1:195" ht="36" customHeight="1" thickBot="1" x14ac:dyDescent="0.3">
      <c r="A166" s="138" t="str">
        <f>A165</f>
        <v>Prod.-Q-4</v>
      </c>
      <c r="B166" s="138" t="str">
        <f>B165</f>
        <v>Teamleder zespołu produkcji</v>
      </c>
      <c r="C166" s="138" t="str">
        <f>C165</f>
        <v>CS</v>
      </c>
      <c r="D166" s="138">
        <f>D165</f>
        <v>1205</v>
      </c>
      <c r="E166" s="566" t="str">
        <f>E165</f>
        <v>Kolasa Marta</v>
      </c>
      <c r="F166" s="312" t="s">
        <v>166</v>
      </c>
      <c r="G166" s="341">
        <f>IF(INDEX(tab_MinKomp[Przepisy BHP / BHP Vorschriften],MATCH($B165,tab_MinKomp[[Stanowisko / Position ]:[Stanowisko / Position ]],0))="n/a","n/a",G165-INDEX(tab_MinKomp[Przepisy BHP / BHP Vorschriften],MATCH($B165,tab_MinKomp[[Stanowisko / Position ]:[Stanowisko / Position ]],0)))</f>
        <v>0</v>
      </c>
      <c r="H166" s="342">
        <f>IF(INDEX(tab_MinKomp[Przepisy PPOŻ / Brandschutzbestimmungen],MATCH($B165,tab_MinKomp[[Stanowisko / Position ]:[Stanowisko / Position ]],0))="n/a","n/a",H165-INDEX(tab_MinKomp[Przepisy PPOŻ / Brandschutzbestimmungen],MATCH($B165,tab_MinKomp[[Stanowisko / Position ]:[Stanowisko / Position ]],0)))</f>
        <v>0</v>
      </c>
      <c r="I166" s="342">
        <f>IF(INDEX(tab_MinKomp[Ryzyko zawodowe na stanowiskach pracyv/ Berufliche Risiken an Arbeitsstellen],MATCH($B165,tab_MinKomp[[Stanowisko / Position ]:[Stanowisko / Position ]],0))="n/a","n/a",I165-INDEX(tab_MinKomp[Ryzyko zawodowe na stanowiskach pracyv/ Berufliche Risiken an Arbeitsstellen],MATCH($B165,tab_MinKomp[[Stanowisko / Position ]:[Stanowisko / Position ]],0)))</f>
        <v>0</v>
      </c>
      <c r="J166" s="342">
        <f>IF(INDEX(tab_MinKomp[Gospodarka substancjami niebezpiecznymi / Gefahrstoffmanagement],MATCH($B165,tab_MinKomp[[Stanowisko / Position ]:[Stanowisko / Position ]],0))="n/a","n/a",J165-INDEX(tab_MinKomp[Gospodarka substancjami niebezpiecznymi / Gefahrstoffmanagement],MATCH($B165,tab_MinKomp[[Stanowisko / Position ]:[Stanowisko / Position ]],0)))</f>
        <v>0</v>
      </c>
      <c r="K166" s="342">
        <f>IF(INDEX(tab_MinKomp[Gospodarka odpadami / Abfallwirtschaft],MATCH($B165,tab_MinKomp[[Stanowisko / Position ]:[Stanowisko / Position ]],0))="n/a","n/a",K165-INDEX(tab_MinKomp[Gospodarka odpadami / Abfallwirtschaft],MATCH($B165,tab_MinKomp[[Stanowisko / Position ]:[Stanowisko / Position ]],0)))</f>
        <v>0</v>
      </c>
      <c r="L166" s="343">
        <f>IF(INDEX(tab_MinKomp[Przepisy kodeksu pracy / Bestimmungen des Arbeitsgesetzes],MATCH($B165,tab_MinKomp[[Stanowisko / Position ]:[Stanowisko / Position ]],0))="n/a","n/a",L165-INDEX(tab_MinKomp[Przepisy kodeksu pracy / Bestimmungen des Arbeitsgesetzes],MATCH($B165,tab_MinKomp[[Stanowisko / Position ]:[Stanowisko / Position ]],0)))</f>
        <v>0</v>
      </c>
      <c r="M166" s="344" t="str">
        <f>IF(INDEX(tab_MinKomp[Przepisy o ub.społ. ZUS  / Sozialversicherungsvorschriften],MATCH($B165,tab_MinKomp[[Stanowisko / Position ]:[Stanowisko / Position ]],0))="n/a","n/a",M165-INDEX(tab_MinKomp[Przepisy o ub.społ. ZUS  / Sozialversicherungsvorschriften],MATCH($B165,tab_MinKomp[[Stanowisko / Position ]:[Stanowisko / Position ]],0)))</f>
        <v>n/a</v>
      </c>
      <c r="N166" s="343" t="str">
        <f>IF(INDEX(tab_MinKomp[PRZEPISY O PDOF /persönlich Einkommensteuergesetz ],MATCH($B165,tab_MinKomp[[Stanowisko / Position ]:[Stanowisko / Position ]],0))="n/a","n/a",N165-INDEX(tab_MinKomp[PRZEPISY O PDOF /persönlich Einkommensteuergesetz ],MATCH($B165,tab_MinKomp[[Stanowisko / Position ]:[Stanowisko / Position ]],0)))</f>
        <v>n/a</v>
      </c>
      <c r="O166" s="343">
        <f>IF(INDEX(tab_MinKomp[Regulamin pracy / Arbeitsordnung],MATCH($B165,tab_MinKomp[[Stanowisko / Position ]:[Stanowisko / Position ]],0))="n/a","n/a",O165-INDEX(tab_MinKomp[Regulamin pracy / Arbeitsordnung],MATCH($B165,tab_MinKomp[[Stanowisko / Position ]:[Stanowisko / Position ]],0)))</f>
        <v>0</v>
      </c>
      <c r="P166" s="343">
        <f>IF(INDEX(tab_MinKomp[Regulamin wynagradzania / Vergütungsordnung],MATCH($B165,tab_MinKomp[[Stanowisko / Position ]:[Stanowisko / Position ]],0))="n/a","n/a",P165-INDEX(tab_MinKomp[Regulamin wynagradzania / Vergütungsordnung],MATCH($B165,tab_MinKomp[[Stanowisko / Position ]:[Stanowisko / Position ]],0)))</f>
        <v>0</v>
      </c>
      <c r="Q166" s="343" t="str">
        <f>IF(INDEX(tab_MinKomp[System R2PŁATNIK PRO: Płace / Lohnabrechnung],MATCH($B165,tab_MinKomp[[Stanowisko / Position ]:[Stanowisko / Position ]],0))="n/a","n/a",Q165-INDEX(tab_MinKomp[System R2PŁATNIK PRO: Płace / Lohnabrechnung],MATCH($B165,tab_MinKomp[[Stanowisko / Position ]:[Stanowisko / Position ]],0)))</f>
        <v>n/a</v>
      </c>
      <c r="R166" s="343" t="str">
        <f>IF(INDEX(tab_MinKomp[SystemR2PŁATNIK PRO: KADRY / Personaldaten],MATCH($B165,tab_MinKomp[[Stanowisko / Position ]:[Stanowisko / Position ]],0))="n/a","n/a",R165-INDEX(tab_MinKomp[SystemR2PŁATNIK PRO: KADRY / Personaldaten],MATCH($B165,tab_MinKomp[[Stanowisko / Position ]:[Stanowisko / Position ]],0)))</f>
        <v>n/a</v>
      </c>
      <c r="S166" s="343" t="str">
        <f>IF(INDEX(tab_MinKomp[SYSTEM R2PŁATNIK PRO: zarządzanie pracownikami / Arbeitsverwaltung],MATCH($B165,tab_MinKomp[[Stanowisko / Position ]:[Stanowisko / Position ]],0))="n/a","n/a",S165-INDEX(tab_MinKomp[SYSTEM R2PŁATNIK PRO: zarządzanie pracownikami / Arbeitsverwaltung],MATCH($B165,tab_MinKomp[[Stanowisko / Position ]:[Stanowisko / Position ]],0)))</f>
        <v>n/a</v>
      </c>
      <c r="T166" s="343">
        <f>IF(INDEX(tab_MinKomp[Doradztwo, wsparcie personalne / Personalberatung und Unterstützung],MATCH($B165,tab_MinKomp[[Stanowisko / Position ]:[Stanowisko / Position ]],0))="n/a","n/a",T165-INDEX(tab_MinKomp[Doradztwo, wsparcie personalne / Personalberatung und Unterstützung],MATCH($B165,tab_MinKomp[[Stanowisko / Position ]:[Stanowisko / Position ]],0)))</f>
        <v>0</v>
      </c>
      <c r="U166" s="343" t="str">
        <f>IF(INDEX(tab_MinKomp[Przepisy o podatku VAT / MwSt.- Gesetz],MATCH($B165,tab_MinKomp[[Stanowisko / Position ]:[Stanowisko / Position ]],0))="n/a","n/a",U165-INDEX(tab_MinKomp[Przepisy o podatku VAT / MwSt.- Gesetz],MATCH($B165,tab_MinKomp[[Stanowisko / Position ]:[Stanowisko / Position ]],0)))</f>
        <v>n/a</v>
      </c>
      <c r="V166" s="343" t="str">
        <f>IF(INDEX(tab_MinKomp[PrzepisyPDOP / geschäftlich Einkommensteuergesetz],MATCH($B165,tab_MinKomp[[Stanowisko / Position ]:[Stanowisko / Position ]],0))="n/a","n/a",V165-INDEX(tab_MinKomp[PrzepisyPDOP / geschäftlich Einkommensteuergesetz],MATCH($B165,tab_MinKomp[[Stanowisko / Position ]:[Stanowisko / Position ]],0)))</f>
        <v>n/a</v>
      </c>
      <c r="W166" s="343" t="str">
        <f>IF(INDEX(tab_MinKomp[System BAAN / FINANSE (FIBU)],MATCH($B165,tab_MinKomp[[Stanowisko / Position ]:[Stanowisko / Position ]],0))="n/a","n/a",W165-INDEX(tab_MinKomp[System BAAN / FINANSE (FIBU)],MATCH($B165,tab_MinKomp[[Stanowisko / Position ]:[Stanowisko / Position ]],0)))</f>
        <v>n/a</v>
      </c>
      <c r="X166" s="343" t="str">
        <f>IF(INDEX(tab_MinKomp[Systemy pomocnicze / Hilfssysteme(STOCKPROGRAM, KALK2000 etc.)],MATCH($B165,tab_MinKomp[[Stanowisko / Position ]:[Stanowisko / Position ]],0))="n/a","n/a",X165-INDEX(tab_MinKomp[Systemy pomocnicze / Hilfssysteme(STOCKPROGRAM, KALK2000 etc.)],MATCH($B165,tab_MinKomp[[Stanowisko / Position ]:[Stanowisko / Position ]],0)))</f>
        <v>n/a</v>
      </c>
      <c r="Y166" s="343" t="str">
        <f>IF(INDEX(tab_MinKomp[Polityka rachunkowości / Buchführungspolitik],MATCH($B165,tab_MinKomp[[Stanowisko / Position ]:[Stanowisko / Position ]],0))="n/a","n/a",Y165-INDEX(tab_MinKomp[Polityka rachunkowości / Buchführungspolitik],MATCH($B165,tab_MinKomp[[Stanowisko / Position ]:[Stanowisko / Position ]],0)))</f>
        <v>n/a</v>
      </c>
      <c r="Z166" s="343" t="str">
        <f>IF(INDEX(tab_MinKomp[Ustawa o rachunkowości / Rechnungslegungsgesetz],MATCH($B165,tab_MinKomp[[Stanowisko / Position ]:[Stanowisko / Position ]],0))="n/a","n/a",Z165-INDEX(tab_MinKomp[Ustawa o rachunkowości / Rechnungslegungsgesetz],MATCH($B165,tab_MinKomp[[Stanowisko / Position ]:[Stanowisko / Position ]],0)))</f>
        <v>n/a</v>
      </c>
      <c r="AA166" s="343" t="str">
        <f>IF(INDEX(tab_MinKomp[WORKFLOW - TS-100],MATCH($B165,tab_MinKomp[[Stanowisko / Position ]:[Stanowisko / Position ]],0))="n/a","n/a",AA165-INDEX(tab_MinKomp[WORKFLOW - TS-100],MATCH($B165,tab_MinKomp[[Stanowisko / Position ]:[Stanowisko / Position ]],0)))</f>
        <v>n/a</v>
      </c>
      <c r="AB166" s="343" t="str">
        <f>IF(INDEX(tab_MinKomp[WORKFLOW - SFMS],MATCH($B165,tab_MinKomp[[Stanowisko / Position ]:[Stanowisko / Position ]],0))="n/a","n/a",AB165-INDEX(tab_MinKomp[WORKFLOW - SFMS],MATCH($B165,tab_MinKomp[[Stanowisko / Position ]:[Stanowisko / Position ]],0)))</f>
        <v>n/a</v>
      </c>
      <c r="AC166" s="343" t="str">
        <f>IF(INDEX(tab_MinKomp[System ISO 9001:2015],MATCH($B165,tab_MinKomp[[Stanowisko / Position ]:[Stanowisko / Position ]],0))="n/a","n/a",AC165-INDEX(tab_MinKomp[System ISO 9001:2015],MATCH($B165,tab_MinKomp[[Stanowisko / Position ]:[Stanowisko / Position ]],0)))</f>
        <v>n/a</v>
      </c>
      <c r="AD166" s="343" t="str">
        <f>IF(INDEX(tab_MinKomp[System IATF 16949:2016],MATCH($B165,tab_MinKomp[[Stanowisko / Position ]:[Stanowisko / Position ]],0))="n/a","n/a",AD165-INDEX(tab_MinKomp[System IATF 16949:2016],MATCH($B165,tab_MinKomp[[Stanowisko / Position ]:[Stanowisko / Position ]],0)))</f>
        <v>n/a</v>
      </c>
      <c r="AE166" s="343" t="str">
        <f>IF(INDEX(tab_MinKomp[System ISO 14001:2015],MATCH($B165,tab_MinKomp[[Stanowisko / Position ]:[Stanowisko / Position ]],0))="n/a","n/a",AE165-INDEX(tab_MinKomp[System ISO 14001:2015],MATCH($B165,tab_MinKomp[[Stanowisko / Position ]:[Stanowisko / Position ]],0)))</f>
        <v>n/a</v>
      </c>
      <c r="AF166" s="343" t="str">
        <f>IF(INDEX(tab_MinKomp[System PN-N 18001:2004 / ISO 45001:2018],MATCH($B165,tab_MinKomp[[Stanowisko / Position ]:[Stanowisko / Position ]],0))="n/a","n/a",AF165-INDEX(tab_MinKomp[System PN-N 18001:2004 / ISO 45001:2018],MATCH($B165,tab_MinKomp[[Stanowisko / Position ]:[Stanowisko / Position ]],0)))</f>
        <v>n/a</v>
      </c>
      <c r="AG166" s="343" t="str">
        <f>IF(INDEX(tab_MinKomp[Wymagania VDA 6.3 Process / Forderungen],MATCH($B165,tab_MinKomp[[Stanowisko / Position ]:[Stanowisko / Position ]],0))="n/a","n/a",AG165-INDEX(tab_MinKomp[Wymagania VDA 6.3 Process / Forderungen],MATCH($B165,tab_MinKomp[[Stanowisko / Position ]:[Stanowisko / Position ]],0)))</f>
        <v>n/a</v>
      </c>
      <c r="AH166" s="343" t="str">
        <f>IF(INDEX(tab_MinKomp[Wymagania VDA 6.5 Product / Forderungen],MATCH($B165,tab_MinKomp[[Stanowisko / Position ]:[Stanowisko / Position ]],0))="n/a","n/a",AH165-INDEX(tab_MinKomp[Wymagania VDA 6.5 Product / Forderungen],MATCH($B165,tab_MinKomp[[Stanowisko / Position ]:[Stanowisko / Position ]],0)))</f>
        <v>n/a</v>
      </c>
      <c r="AI166" s="343" t="str">
        <f>IF(INDEX(tab_MinKomp[PSCR (VW Product Safety &amp; Conformity Representative)],MATCH($B165,tab_MinKomp[[Stanowisko / Position ]:[Stanowisko / Position ]],0))="n/a","n/a",AI165-INDEX(tab_MinKomp[PSCR (VW Product Safety &amp; Conformity Representative)],MATCH($B165,tab_MinKomp[[Stanowisko / Position ]:[Stanowisko / Position ]],0)))</f>
        <v>n/a</v>
      </c>
      <c r="AJ166" s="343" t="str">
        <f>IF(INDEX(tab_MinKomp[Auditor systemu ISO 17025:2018],MATCH($B165,tab_MinKomp[[Stanowisko / Position ]:[Stanowisko / Position ]],0))="n/a","n/a",AJ165-INDEX(tab_MinKomp[Auditor systemu ISO 17025:2018],MATCH($B165,tab_MinKomp[[Stanowisko / Position ]:[Stanowisko / Position ]],0)))</f>
        <v>n/a</v>
      </c>
      <c r="AK166" s="343" t="str">
        <f>IF(INDEX(tab_MinKomp[Pełnomocnik systemu / Systemvertreter],MATCH($B165,tab_MinKomp[[Stanowisko / Position ]:[Stanowisko / Position ]],0))="n/a","n/a",AK165-INDEX(tab_MinKomp[Pełnomocnik systemu / Systemvertreter],MATCH($B165,tab_MinKomp[[Stanowisko / Position ]:[Stanowisko / Position ]],0)))</f>
        <v>n/a</v>
      </c>
      <c r="AL166" s="343" t="str">
        <f>IF(INDEX(tab_MinKomp[Polityka Etyczna - Compliance],MATCH($B165,tab_MinKomp[[Stanowisko / Position ]:[Stanowisko / Position ]],0))="n/a","n/a",AL165-INDEX(tab_MinKomp[Polityka Etyczna - Compliance],MATCH($B165,tab_MinKomp[[Stanowisko / Position ]:[Stanowisko / Position ]],0)))</f>
        <v>n/a</v>
      </c>
      <c r="AM166" s="343" t="str">
        <f>IF(INDEX(tab_MinKomp[WDRAŻANIE NOWYCH PROJEKTÓW/ PROCEDURA CTM],MATCH($B165,tab_MinKomp[[Stanowisko / Position ]:[Stanowisko / Position ]],0))="n/a","n/a",AM165-INDEX(tab_MinKomp[WDRAŻANIE NOWYCH PROJEKTÓW/ PROCEDURA CTM],MATCH($B165,tab_MinKomp[[Stanowisko / Position ]:[Stanowisko / Position ]],0)))</f>
        <v>n/a</v>
      </c>
      <c r="AN166" s="343" t="str">
        <f>IF(INDEX(tab_MinKomp[KAMIENIE MILOWE MSL/PIFF],MATCH($B165,tab_MinKomp[[Stanowisko / Position ]:[Stanowisko / Position ]],0))="n/a","n/a",AN165-INDEX(tab_MinKomp[KAMIENIE MILOWE MSL/PIFF],MATCH($B165,tab_MinKomp[[Stanowisko / Position ]:[Stanowisko / Position ]],0)))</f>
        <v>n/a</v>
      </c>
      <c r="AO166" s="343">
        <f>IF(INDEX(tab_MinKomp[CP],MATCH($B165,tab_MinKomp[[Stanowisko / Position ]:[Stanowisko / Position ]],0))="n/a","n/a",AO165-INDEX(tab_MinKomp[CP],MATCH($B165,tab_MinKomp[[Stanowisko / Position ]:[Stanowisko / Position ]],0)))</f>
        <v>-1</v>
      </c>
      <c r="AP166" s="343" t="str">
        <f>IF(INDEX(tab_MinKomp[FMEA],MATCH($B165,tab_MinKomp[[Stanowisko / Position ]:[Stanowisko / Position ]],0))="n/a","n/a",AP165-INDEX(tab_MinKomp[FMEA],MATCH($B165,tab_MinKomp[[Stanowisko / Position ]:[Stanowisko / Position ]],0)))</f>
        <v>n/a</v>
      </c>
      <c r="AQ166" s="343">
        <f>IF(INDEX(tab_MinKomp[FLOW CHART],MATCH($B165,tab_MinKomp[[Stanowisko / Position ]:[Stanowisko / Position ]],0))="n/a","n/a",AQ165-INDEX(tab_MinKomp[FLOW CHART],MATCH($B165,tab_MinKomp[[Stanowisko / Position ]:[Stanowisko / Position ]],0)))</f>
        <v>0</v>
      </c>
      <c r="AR166" s="343" t="str">
        <f>IF(INDEX(tab_MinKomp[APQP],MATCH($B165,tab_MinKomp[[Stanowisko / Position ]:[Stanowisko / Position ]],0))="n/a","n/a",AR165-INDEX(tab_MinKomp[APQP],MATCH($B165,tab_MinKomp[[Stanowisko / Position ]:[Stanowisko / Position ]],0)))</f>
        <v>n/a</v>
      </c>
      <c r="AS166" s="343" t="str">
        <f>IF(INDEX(tab_MinKomp[MSA],MATCH($B165,tab_MinKomp[[Stanowisko / Position ]:[Stanowisko / Position ]],0))="n/a","n/a",AS165-INDEX(tab_MinKomp[MSA],MATCH($B165,tab_MinKomp[[Stanowisko / Position ]:[Stanowisko / Position ]],0)))</f>
        <v>n/a</v>
      </c>
      <c r="AT166" s="343" t="str">
        <f>IF(INDEX(tab_MinKomp[SPC],MATCH($B165,tab_MinKomp[[Stanowisko / Position ]:[Stanowisko / Position ]],0))="n/a","n/a",AT165-INDEX(tab_MinKomp[SPC],MATCH($B165,tab_MinKomp[[Stanowisko / Position ]:[Stanowisko / Position ]],0)))</f>
        <v>n/a</v>
      </c>
      <c r="AU166" s="343">
        <f>IF(INDEX(tab_MinKomp[CSR (SPECYFICZNE WYMAGANIA KLIENTA)],MATCH($B165,tab_MinKomp[[Stanowisko / Position ]:[Stanowisko / Position ]],0))="n/a","n/a",AU165-INDEX(tab_MinKomp[CSR (SPECYFICZNE WYMAGANIA KLIENTA)],MATCH($B165,tab_MinKomp[[Stanowisko / Position ]:[Stanowisko / Position ]],0)))</f>
        <v>0</v>
      </c>
      <c r="AV166" s="343">
        <f>IF(INDEX(tab_MinKomp[5S],MATCH($B165,tab_MinKomp[[Stanowisko / Position ]:[Stanowisko / Position ]],0))="n/a","n/a",AV165-INDEX(tab_MinKomp[5S],MATCH($B165,tab_MinKomp[[Stanowisko / Position ]:[Stanowisko / Position ]],0)))</f>
        <v>0</v>
      </c>
      <c r="AW166" s="343">
        <f>IF(INDEX(tab_MinKomp[LEAN MANAGEMENT],MATCH($B165,tab_MinKomp[[Stanowisko / Position ]:[Stanowisko / Position ]],0))="n/a","n/a",AW165-INDEX(tab_MinKomp[LEAN MANAGEMENT],MATCH($B165,tab_MinKomp[[Stanowisko / Position ]:[Stanowisko / Position ]],0)))</f>
        <v>0</v>
      </c>
      <c r="AX166" s="343" t="str">
        <f>IF(INDEX(tab_MinKomp[5R],MATCH($B165,tab_MinKomp[[Stanowisko / Position ]:[Stanowisko / Position ]],0))="n/a","n/a",AX165-INDEX(tab_MinKomp[5R],MATCH($B165,tab_MinKomp[[Stanowisko / Position ]:[Stanowisko / Position ]],0)))</f>
        <v>n/a</v>
      </c>
      <c r="AY166" s="343" t="str">
        <f>IF(INDEX(tab_MinKomp[Six Sigma],MATCH($B165,tab_MinKomp[[Stanowisko / Position ]:[Stanowisko / Position ]],0))="n/a","n/a",AY165-INDEX(tab_MinKomp[Six Sigma],MATCH($B165,tab_MinKomp[[Stanowisko / Position ]:[Stanowisko / Position ]],0)))</f>
        <v>n/a</v>
      </c>
      <c r="AZ166" s="343" t="str">
        <f>IF(INDEX(tab_MinKomp[System BAAN / Distribution &amp; Supply Chain],MATCH($B165,tab_MinKomp[[Stanowisko / Position ]:[Stanowisko / Position ]],0))="n/a","n/a",AZ165-INDEX(tab_MinKomp[System BAAN / Distribution &amp; Supply Chain],MATCH($B165,tab_MinKomp[[Stanowisko / Position ]:[Stanowisko / Position ]],0)))</f>
        <v>n/a</v>
      </c>
      <c r="BA166" s="343">
        <f>IF(INDEX(tab_MinKomp[Gospodarka magazynowa / Lagerverwaltung],MATCH($B165,tab_MinKomp[[Stanowisko / Position ]:[Stanowisko / Position ]],0))="n/a","n/a",BA165-INDEX(tab_MinKomp[Gospodarka magazynowa / Lagerverwaltung],MATCH($B165,tab_MinKomp[[Stanowisko / Position ]:[Stanowisko / Position ]],0)))</f>
        <v>0</v>
      </c>
      <c r="BB166" s="343">
        <f>IF(INDEX(tab_MinKomp[Inwentaryzacja - organizacja i przebieg / Inventurprozess],MATCH($B165,tab_MinKomp[[Stanowisko / Position ]:[Stanowisko / Position ]],0))="n/a","n/a",BB165-INDEX(tab_MinKomp[Inwentaryzacja - organizacja i przebieg / Inventurprozess],MATCH($B165,tab_MinKomp[[Stanowisko / Position ]:[Stanowisko / Position ]],0)))</f>
        <v>0</v>
      </c>
      <c r="BC166" s="343" t="str">
        <f>IF(INDEX(tab_MinKomp[Organizacja dostaw / Versorgungsorganisation],MATCH($B165,tab_MinKomp[[Stanowisko / Position ]:[Stanowisko / Position ]],0))="n/a","n/a",BC165-INDEX(tab_MinKomp[Organizacja dostaw / Versorgungsorganisation],MATCH($B165,tab_MinKomp[[Stanowisko / Position ]:[Stanowisko / Position ]],0)))</f>
        <v>n/a</v>
      </c>
      <c r="BD166" s="343" t="str">
        <f>IF(INDEX(tab_MinKomp[Organizacja wysyłek / Organisation von Lieferungen],MATCH($B165,tab_MinKomp[[Stanowisko / Position ]:[Stanowisko / Position ]],0))="n/a","n/a",BD165-INDEX(tab_MinKomp[Organizacja wysyłek / Organisation von Lieferungen],MATCH($B165,tab_MinKomp[[Stanowisko / Position ]:[Stanowisko / Position ]],0)))</f>
        <v>n/a</v>
      </c>
      <c r="BE166" s="343" t="str">
        <f>IF(INDEX(tab_MinKomp[Analiza magazynowa - Program Polen.mdb / Inventuranalyse],MATCH($B165,tab_MinKomp[[Stanowisko / Position ]:[Stanowisko / Position ]],0))="n/a","n/a",BE165-INDEX(tab_MinKomp[Analiza magazynowa - Program Polen.mdb / Inventuranalyse],MATCH($B165,tab_MinKomp[[Stanowisko / Position ]:[Stanowisko / Position ]],0)))</f>
        <v>n/a</v>
      </c>
      <c r="BF166" s="315" t="str">
        <f>IF(INDEX(tab_MinKomp[MMOG (Materials Management Operations Guidelines)],MATCH($B165,tab_MinKomp[[Stanowisko / Position ]:[Stanowisko / Position ]],0))="n/a","n/a",BF165-INDEX(tab_MinKomp[MMOG (Materials Management Operations Guidelines)],MATCH($B165,tab_MinKomp[[Stanowisko / Position ]:[Stanowisko / Position ]],0)))</f>
        <v>n/a</v>
      </c>
      <c r="BG166" s="315" t="str">
        <f>IF(INDEX(tab_MinKomp[GPP],MATCH($B165,tab_MinKomp[[Stanowisko / Position ]:[Stanowisko / Position ]],0))="n/a","n/a",BG165-INDEX(tab_MinKomp[GPP],MATCH($B165,tab_MinKomp[[Stanowisko / Position ]:[Stanowisko / Position ]],0)))</f>
        <v>n/a</v>
      </c>
      <c r="BH166" s="315" t="str">
        <f>IF(INDEX(tab_MinKomp[AIAG (Automotive Industry Action Group)],MATCH($B165,tab_MinKomp[[Stanowisko / Position ]:[Stanowisko / Position ]],0))="n/a","n/a",BH165-INDEX(tab_MinKomp[AIAG (Automotive Industry Action Group)],MATCH($B165,tab_MinKomp[[Stanowisko / Position ]:[Stanowisko / Position ]],0)))</f>
        <v>n/a</v>
      </c>
      <c r="BI166" s="315" t="str">
        <f>IF(INDEX(tab_MinKomp[Super-G disputes],MATCH($B165,tab_MinKomp[[Stanowisko / Position ]:[Stanowisko / Position ]],0))="n/a","n/a",BI165-INDEX(tab_MinKomp[Super-G disputes],MATCH($B165,tab_MinKomp[[Stanowisko / Position ]:[Stanowisko / Position ]],0)))</f>
        <v>n/a</v>
      </c>
      <c r="BJ166" s="315" t="str">
        <f>IF(INDEX(tab_MinKomp[CMMS3/eDDL (Direct Data Link)],MATCH($B165,tab_MinKomp[[Stanowisko / Position ]:[Stanowisko / Position ]],0))="n/a","n/a",BJ165-INDEX(tab_MinKomp[CMMS3/eDDL (Direct Data Link)],MATCH($B165,tab_MinKomp[[Stanowisko / Position ]:[Stanowisko / Position ]],0)))</f>
        <v>n/a</v>
      </c>
      <c r="BK166" s="315" t="str">
        <f>IF(INDEX(tab_MinKomp[MP&amp;L (Material Planning and Logistics)],MATCH($B165,tab_MinKomp[[Stanowisko / Position ]:[Stanowisko / Position ]],0))="n/a","n/a",BK165-INDEX(tab_MinKomp[MP&amp;L (Material Planning and Logistics)],MATCH($B165,tab_MinKomp[[Stanowisko / Position ]:[Stanowisko / Position ]],0)))</f>
        <v>n/a</v>
      </c>
      <c r="BL166" s="315" t="str">
        <f>IF(INDEX(tab_MinKomp[Supplier delivery rating],MATCH($B165,tab_MinKomp[[Stanowisko / Position ]:[Stanowisko / Position ]],0))="n/a","n/a",BL165-INDEX(tab_MinKomp[Supplier delivery rating],MATCH($B165,tab_MinKomp[[Stanowisko / Position ]:[Stanowisko / Position ]],0)))</f>
        <v>n/a</v>
      </c>
      <c r="BM166" s="343">
        <f>IF(INDEX(tab_MinKomp[Planowanie produkcji / Produktionsplanung],MATCH($B165,tab_MinKomp[[Stanowisko / Position ]:[Stanowisko / Position ]],0))="n/a","n/a",BM165-INDEX(tab_MinKomp[Planowanie produkcji / Produktionsplanung],MATCH($B165,tab_MinKomp[[Stanowisko / Position ]:[Stanowisko / Position ]],0)))</f>
        <v>-1</v>
      </c>
      <c r="BN166" s="343" t="str">
        <f>IF(INDEX(tab_MinKomp[Obsługa maszyn Engel / Engel Maschinenbedienung],MATCH($B165,tab_MinKomp[[Stanowisko / Position ]:[Stanowisko / Position ]],0))="n/a","n/a",BN165-INDEX(tab_MinKomp[Obsługa maszyn Engel / Engel Maschinenbedienung],MATCH($B165,tab_MinKomp[[Stanowisko / Position ]:[Stanowisko / Position ]],0)))</f>
        <v>n/a</v>
      </c>
      <c r="BO166" s="343" t="str">
        <f>IF(INDEX(tab_MinKomp[Obsługa maszyn KVT / KVT Maschinenbedienung],MATCH($B165,tab_MinKomp[[Stanowisko / Position ]:[Stanowisko / Position ]],0))="n/a","n/a",BO165-INDEX(tab_MinKomp[Obsługa maszyn KVT / KVT Maschinenbedienung],MATCH($B165,tab_MinKomp[[Stanowisko / Position ]:[Stanowisko / Position ]],0)))</f>
        <v>n/a</v>
      </c>
      <c r="BP166" s="343" t="str">
        <f>IF(INDEX(tab_MinKomp[Obsługa maszyn KVT / KVT Maschinenbedienung],MATCH($B165,tab_MinKomp[[Stanowisko / Position ]:[Stanowisko / Position ]],0))="n/a","n/a",BP165-INDEX(tab_MinKomp[Obsługa maszyn KVT / KVT Maschinenbedienung],MATCH($B165,tab_MinKomp[[Stanowisko / Position ]:[Stanowisko / Position ]],0)))</f>
        <v>n/a</v>
      </c>
      <c r="BQ166" s="343" t="str">
        <f>IF(INDEX(tab_MinKomp[Obsługa maszyn ASL / ASL Maschinenbedienung],MATCH($B165,tab_MinKomp[[Stanowisko / Position ]:[Stanowisko / Position ]],0))="n/a","n/a",BQ165-INDEX(tab_MinKomp[Obsługa maszyn ASL / ASL Maschinenbedienung],MATCH($B165,tab_MinKomp[[Stanowisko / Position ]:[Stanowisko / Position ]],0)))</f>
        <v>n/a</v>
      </c>
      <c r="BR166" s="343" t="str">
        <f>IF(INDEX(tab_MinKomp[Obsługa maszyn Branson / Branson Maschinenbedienung],MATCH($B165,tab_MinKomp[[Stanowisko / Position ]:[Stanowisko / Position ]],0))="n/a","n/a",BR165-INDEX(tab_MinKomp[Obsługa maszyn Branson / Branson Maschinenbedienung],MATCH($B165,tab_MinKomp[[Stanowisko / Position ]:[Stanowisko / Position ]],0)))</f>
        <v>n/a</v>
      </c>
      <c r="BS166" s="343">
        <f>IF(INDEX(tab_MinKomp[Obsługa maszyn Novapax / Novapax Maschinenbedienung],MATCH($B165,tab_MinKomp[[Stanowisko / Position ]:[Stanowisko / Position ]],0))="n/a","n/a",BS165-INDEX(tab_MinKomp[Obsługa maszyn Novapax / Novapax Maschinenbedienung],MATCH($B165,tab_MinKomp[[Stanowisko / Position ]:[Stanowisko / Position ]],0)))</f>
        <v>-1</v>
      </c>
      <c r="BT166" s="343" t="str">
        <f>IF(INDEX(tab_MinKomp[Obsługa maszyn Piovan / Piovan Maschinenbedienung],MATCH($B165,tab_MinKomp[[Stanowisko / Position ]:[Stanowisko / Position ]],0))="n/a","n/a",BT165-INDEX(tab_MinKomp[Obsługa maszyn Piovan / Piovan Maschinenbedienung],MATCH($B165,tab_MinKomp[[Stanowisko / Position ]:[Stanowisko / Position ]],0)))</f>
        <v>n/a</v>
      </c>
      <c r="BU166" s="343">
        <f>IF(INDEX(tab_MinKomp[Obsługa maszyn Novapax / Novapax Maschinenbedienung],MATCH($B165,tab_MinKomp[[Stanowisko / Position ]:[Stanowisko / Position ]],0))="n/a","n/a",BU165-INDEX(tab_MinKomp[Obsługa maszyn Novapax / Novapax Maschinenbedienung],MATCH($B165,tab_MinKomp[[Stanowisko / Position ]:[Stanowisko / Position ]],0)))</f>
        <v>-1</v>
      </c>
      <c r="BV166" s="343">
        <f>IF(INDEX(tab_MinKomp[Eliminacja awarii / Beseitigung von Ausfällen],MATCH($B165,tab_MinKomp[[Stanowisko / Position ]:[Stanowisko / Position ]],0))="n/a","n/a",BV165-INDEX(tab_MinKomp[Eliminacja awarii / Beseitigung von Ausfällen],MATCH($B165,tab_MinKomp[[Stanowisko / Position ]:[Stanowisko / Position ]],0)))</f>
        <v>-2</v>
      </c>
      <c r="BW166" s="343" t="str">
        <f>IF(INDEX(tab_MinKomp[Informatyka ogólna (techniczne i systemowe) / Allgemeine IT (Technik und System)],MATCH($B165,tab_MinKomp[[Stanowisko / Position ]:[Stanowisko / Position ]],0))="n/a","n/a",BW165-INDEX(tab_MinKomp[Informatyka ogólna (techniczne i systemowe) / Allgemeine IT (Technik und System)],MATCH($B165,tab_MinKomp[[Stanowisko / Position ]:[Stanowisko / Position ]],0)))</f>
        <v>n/a</v>
      </c>
      <c r="BX166" s="343" t="str">
        <f>IF(INDEX(tab_MinKomp[Sieci komputerowe / Computernetzwerke],MATCH($B165,tab_MinKomp[[Stanowisko / Position ]:[Stanowisko / Position ]],0))="n/a","n/a",BX165-INDEX(tab_MinKomp[Sieci komputerowe / Computernetzwerke],MATCH($B165,tab_MinKomp[[Stanowisko / Position ]:[Stanowisko / Position ]],0)))</f>
        <v>n/a</v>
      </c>
      <c r="BY166" s="343" t="str">
        <f>IF(INDEX(tab_MinKomp[Hardware (komputery PC, drukarki biurowe i etykietowe, telefonia stacjonarna i mobilna) (PC, Drucker, Telefpne, Handys)],MATCH($B165,tab_MinKomp[[Stanowisko / Position ]:[Stanowisko / Position ]],0))="n/a","n/a",BY165-INDEX(tab_MinKomp[Hardware (komputery PC, drukarki biurowe i etykietowe, telefonia stacjonarna i mobilna) (PC, Drucker, Telefpne, Handys)],MATCH($B165,tab_MinKomp[[Stanowisko / Position ]:[Stanowisko / Position ]],0)))</f>
        <v>n/a</v>
      </c>
      <c r="BZ166" s="343" t="str">
        <f>IF(INDEX(tab_MinKomp[Software &amp; Systems (MS Office, MS Remote Desktop)],MATCH($B165,tab_MinKomp[[Stanowisko / Position ]:[Stanowisko / Position ]],0))="n/a","n/a",BZ165-INDEX(tab_MinKomp[Software &amp; Systems (MS Office, MS Remote Desktop)],MATCH($B165,tab_MinKomp[[Stanowisko / Position ]:[Stanowisko / Position ]],0)))</f>
        <v>n/a</v>
      </c>
      <c r="CA166" s="343" t="str">
        <f>IF(INDEX(tab_MinKomp[Programowanie obiektowe (PHP) / Objektprogrammierung],MATCH($B165,tab_MinKomp[[Stanowisko / Position ]:[Stanowisko / Position ]],0))="n/a","n/a",CA165-INDEX(tab_MinKomp[Programowanie obiektowe (PHP) / Objektprogrammierung],MATCH($B165,tab_MinKomp[[Stanowisko / Position ]:[Stanowisko / Position ]],0)))</f>
        <v>n/a</v>
      </c>
      <c r="CB166" s="343" t="str">
        <f>IF(INDEX(tab_MinKomp[Scrum],MATCH($B165,tab_MinKomp[[Stanowisko / Position ]:[Stanowisko / Position ]],0))="n/a","n/a",CB165-INDEX(tab_MinKomp[Scrum],MATCH($B165,tab_MinKomp[[Stanowisko / Position ]:[Stanowisko / Position ]],0)))</f>
        <v>n/a</v>
      </c>
      <c r="CC166" s="343" t="str">
        <f>IF(INDEX(tab_MinKomp[SQL (MySQL)],MATCH($B165,tab_MinKomp[[Stanowisko / Position ]:[Stanowisko / Position ]],0))="n/a","n/a",CC165-INDEX(tab_MinKomp[SQL (MySQL)],MATCH($B165,tab_MinKomp[[Stanowisko / Position ]:[Stanowisko / Position ]],0)))</f>
        <v>n/a</v>
      </c>
      <c r="CD166" s="343" t="str">
        <f>IF(INDEX(tab_MinKomp[Javascript],MATCH($B165,tab_MinKomp[[Stanowisko / Position ]:[Stanowisko / Position ]],0))="n/a","n/a",CD165-INDEX(tab_MinKomp[Javascript],MATCH($B165,tab_MinKomp[[Stanowisko / Position ]:[Stanowisko / Position ]],0)))</f>
        <v>n/a</v>
      </c>
      <c r="CE166" s="343" t="str">
        <f>IF(INDEX(tab_MinKomp[Joomla],MATCH($B165,tab_MinKomp[[Stanowisko / Position ]:[Stanowisko / Position ]],0))="n/a","n/a",CE165-INDEX(tab_MinKomp[Joomla],MATCH($B165,tab_MinKomp[[Stanowisko / Position ]:[Stanowisko / Position ]],0)))</f>
        <v>n/a</v>
      </c>
      <c r="CF166" s="343" t="str">
        <f>IF(INDEX(tab_MinKomp[Bash],MATCH($B165,tab_MinKomp[[Stanowisko / Position ]:[Stanowisko / Position ]],0))="n/a","n/a",CF165-INDEX(tab_MinKomp[Bash],MATCH($B165,tab_MinKomp[[Stanowisko / Position ]:[Stanowisko / Position ]],0)))</f>
        <v>n/a</v>
      </c>
      <c r="CG166" s="343">
        <f>IF(INDEX(tab_MinKomp[Systemy MES (HYDRA / SFMS)],MATCH($B165,tab_MinKomp[[Stanowisko / Position ]:[Stanowisko / Position ]],0))="n/a","n/a",CG165-INDEX(tab_MinKomp[Systemy MES (HYDRA / SFMS)],MATCH($B165,tab_MinKomp[[Stanowisko / Position ]:[Stanowisko / Position ]],0)))</f>
        <v>0</v>
      </c>
      <c r="CH166" s="343" t="str">
        <f>IF(INDEX(tab_MinKomp[HTML / CSS],MATCH($B165,tab_MinKomp[[Stanowisko / Position ]:[Stanowisko / Position ]],0))="n/a","n/a",CH165-INDEX(tab_MinKomp[HTML / CSS],MATCH($B165,tab_MinKomp[[Stanowisko / Position ]:[Stanowisko / Position ]],0)))</f>
        <v>n/a</v>
      </c>
      <c r="CI166" s="343" t="str">
        <f>IF(INDEX(tab_MinKomp[SYSTEM PR],MATCH($B165,tab_MinKomp[[Stanowisko / Position ]:[Stanowisko / Position ]],0))="n/a","n/a",CI165-INDEX(tab_MinKomp[SYSTEM PR],MATCH($B165,tab_MinKomp[[Stanowisko / Position ]:[Stanowisko / Position ]],0)))</f>
        <v>n/a</v>
      </c>
      <c r="CJ166" s="343" t="str">
        <f>IF(INDEX(tab_MinKomp[System Einkauf XP / EBA],MATCH($B165,tab_MinKomp[[Stanowisko / Position ]:[Stanowisko / Position ]],0))="n/a","n/a",CJ165-INDEX(tab_MinKomp[System Einkauf XP / EBA],MATCH($B165,tab_MinKomp[[Stanowisko / Position ]:[Stanowisko / Position ]],0)))</f>
        <v>n/a</v>
      </c>
      <c r="CK166" s="343" t="str">
        <f>IF(INDEX(tab_MinKomp[Techniki negocjacyjne / Verhandlungstechniken],MATCH($B165,tab_MinKomp[[Stanowisko / Position ]:[Stanowisko / Position ]],0))="n/a","n/a",CK165-INDEX(tab_MinKomp[Techniki negocjacyjne / Verhandlungstechniken],MATCH($B165,tab_MinKomp[[Stanowisko / Position ]:[Stanowisko / Position ]],0)))</f>
        <v>n/a</v>
      </c>
      <c r="CL166" s="343" t="str">
        <f>IF(INDEX(tab_MinKomp[Znajomość rynku branżowego / Kenntnis des Industrie Marktes],MATCH($B165,tab_MinKomp[[Stanowisko / Position ]:[Stanowisko / Position ]],0))="n/a","n/a",CL165-INDEX(tab_MinKomp[Znajomość rynku branżowego / Kenntnis des Industrie Marktes],MATCH($B165,tab_MinKomp[[Stanowisko / Position ]:[Stanowisko / Position ]],0)))</f>
        <v>n/a</v>
      </c>
      <c r="CM166" s="343">
        <f>IF(INDEX(tab_MinKomp[RAPORTY 8D / 8D Berichten],MATCH($B165,tab_MinKomp[[Stanowisko / Position ]:[Stanowisko / Position ]],0))="n/a","n/a",CM165-INDEX(tab_MinKomp[RAPORTY 8D / 8D Berichten],MATCH($B165,tab_MinKomp[[Stanowisko / Position ]:[Stanowisko / Position ]],0)))</f>
        <v>0</v>
      </c>
      <c r="CN166" s="343">
        <f>IF(INDEX(tab_MinKomp[NARZĘDZIA JAKOŚCIOWE (5WHY, Ishikawa, etc) / QS-Werkzeuge],MATCH($B165,tab_MinKomp[[Stanowisko / Position ]:[Stanowisko / Position ]],0))="n/a","n/a",CN165-INDEX(tab_MinKomp[NARZĘDZIA JAKOŚCIOWE (5WHY, Ishikawa, etc) / QS-Werkzeuge],MATCH($B165,tab_MinKomp[[Stanowisko / Position ]:[Stanowisko / Position ]],0)))</f>
        <v>0</v>
      </c>
      <c r="CO166" s="343">
        <f>IF(INDEX(tab_MinKomp[PDCA],MATCH($B165,tab_MinKomp[[Stanowisko / Position ]:[Stanowisko / Position ]],0))="n/a","n/a",CO165-INDEX(tab_MinKomp[PDCA],MATCH($B165,tab_MinKomp[[Stanowisko / Position ]:[Stanowisko / Position ]],0)))</f>
        <v>0</v>
      </c>
      <c r="CP166" s="343">
        <f>IF(INDEX(tab_MinKomp[Pareto],MATCH($B165,tab_MinKomp[[Stanowisko / Position ]:[Stanowisko / Position ]],0))="n/a","n/a",CP165-INDEX(tab_MinKomp[Pareto],MATCH($B165,tab_MinKomp[[Stanowisko / Position ]:[Stanowisko / Position ]],0)))</f>
        <v>-1</v>
      </c>
      <c r="CQ166" s="343" t="str">
        <f>IF(INDEX(tab_MinKomp[PPAP/PSW],MATCH($B165,tab_MinKomp[[Stanowisko / Position ]:[Stanowisko / Position ]],0))="n/a","n/a",CQ165-INDEX(tab_MinKomp[PPAP/PSW],MATCH($B165,tab_MinKomp[[Stanowisko / Position ]:[Stanowisko / Position ]],0)))</f>
        <v>n/a</v>
      </c>
      <c r="CR166" s="343" t="str">
        <f>IF(INDEX(tab_MinKomp[SUPPLIER MANAGEMENT],MATCH($B165,tab_MinKomp[[Stanowisko / Position ]:[Stanowisko / Position ]],0))="n/a","n/a",CR165-INDEX(tab_MinKomp[SUPPLIER MANAGEMENT],MATCH($B165,tab_MinKomp[[Stanowisko / Position ]:[Stanowisko / Position ]],0)))</f>
        <v>n/a</v>
      </c>
      <c r="CS166" s="343" t="str">
        <f>IF(INDEX(tab_MinKomp[OBSŁUGA PORTALI KLIENTA / Kundenportale],MATCH($B165,tab_MinKomp[[Stanowisko / Position ]:[Stanowisko / Position ]],0))="n/a","n/a",CS165-INDEX(tab_MinKomp[OBSŁUGA PORTALI KLIENTA / Kundenportale],MATCH($B165,tab_MinKomp[[Stanowisko / Position ]:[Stanowisko / Position ]],0)))</f>
        <v>n/a</v>
      </c>
      <c r="CT166" s="343" t="str">
        <f>IF(INDEX(tab_MinKomp[Obsługa systemu BABTECQ / BABTECQ System],MATCH($B165,tab_MinKomp[[Stanowisko / Position ]:[Stanowisko / Position ]],0))="n/a","n/a",CT165-INDEX(tab_MinKomp[Obsługa systemu BABTECQ / BABTECQ System],MATCH($B165,tab_MinKomp[[Stanowisko / Position ]:[Stanowisko / Position ]],0)))</f>
        <v>n/a</v>
      </c>
      <c r="CU166" s="343" t="str">
        <f>IF(INDEX(tab_MinKomp[Rysunek techniczny / technische Zeichnung],MATCH($B165,tab_MinKomp[[Stanowisko / Position ]:[Stanowisko / Position ]],0))="n/a","n/a",CU165-INDEX(tab_MinKomp[Rysunek techniczny / technische Zeichnung],MATCH($B165,tab_MinKomp[[Stanowisko / Position ]:[Stanowisko / Position ]],0)))</f>
        <v>n/a</v>
      </c>
      <c r="CV166" s="343" t="str">
        <f>IF(INDEX(tab_MinKomp[Kalibracja / Kalibrierung],MATCH($B165,tab_MinKomp[[Stanowisko / Position ]:[Stanowisko / Position ]],0))="n/a","n/a",CV165-INDEX(tab_MinKomp[Kalibracja / Kalibrierung],MATCH($B165,tab_MinKomp[[Stanowisko / Position ]:[Stanowisko / Position ]],0)))</f>
        <v>n/a</v>
      </c>
      <c r="CW166" s="343" t="str">
        <f>IF(INDEX(tab_MinKomp[Rekwalifikacja / Requalifizierung],MATCH($B165,tab_MinKomp[[Stanowisko / Position ]:[Stanowisko / Position ]],0))="n/a","n/a",CW165-INDEX(tab_MinKomp[Rekwalifikacja / Requalifizierung],MATCH($B165,tab_MinKomp[[Stanowisko / Position ]:[Stanowisko / Position ]],0)))</f>
        <v>n/a</v>
      </c>
      <c r="CX166" s="315" t="s">
        <v>176</v>
      </c>
      <c r="CY166" s="315" t="s">
        <v>176</v>
      </c>
      <c r="CZ166" s="315" t="s">
        <v>176</v>
      </c>
      <c r="DA166" s="315" t="s">
        <v>176</v>
      </c>
      <c r="DB166" s="315" t="s">
        <v>176</v>
      </c>
      <c r="DC166" s="315" t="s">
        <v>176</v>
      </c>
      <c r="DD166" s="315" t="s">
        <v>176</v>
      </c>
      <c r="DE166" s="315" t="s">
        <v>176</v>
      </c>
      <c r="DF166" s="315" t="s">
        <v>176</v>
      </c>
      <c r="DG166" s="315" t="s">
        <v>176</v>
      </c>
      <c r="DH166" s="315" t="s">
        <v>176</v>
      </c>
      <c r="DI166" s="315" t="s">
        <v>176</v>
      </c>
      <c r="DJ166" s="315" t="s">
        <v>176</v>
      </c>
      <c r="DK166" s="315" t="s">
        <v>176</v>
      </c>
      <c r="DL166" s="315" t="s">
        <v>176</v>
      </c>
      <c r="DM166" s="315" t="s">
        <v>176</v>
      </c>
      <c r="DN166" s="315" t="s">
        <v>176</v>
      </c>
      <c r="DO166" s="315" t="s">
        <v>176</v>
      </c>
      <c r="DP166" s="315" t="s">
        <v>176</v>
      </c>
      <c r="DQ166" s="315" t="s">
        <v>176</v>
      </c>
      <c r="DR166" s="315" t="s">
        <v>176</v>
      </c>
      <c r="DS166" s="315" t="s">
        <v>176</v>
      </c>
      <c r="DT166" s="315" t="s">
        <v>176</v>
      </c>
      <c r="DU166" s="343" t="str">
        <f>IF(INDEX(tab_MinKomp[MSA i SPC],MATCH($B165,tab_MinKomp[[Stanowisko / Position ]:[Stanowisko / Position ]],0))="n/a","n/a",DU165-INDEX(tab_MinKomp[MSA i SPC],MATCH($B165,tab_MinKomp[[Stanowisko / Position ]:[Stanowisko / Position ]],0)))</f>
        <v>n/a</v>
      </c>
      <c r="DV166" s="343" t="str">
        <f>IF(INDEX(tab_MinKomp[Kontrola wejściowa komponentów/ Eingangskontrolle],MATCH($B165,tab_MinKomp[[Stanowisko / Position ]:[Stanowisko / Position ]],0))="n/a","n/a",DV165-INDEX(tab_MinKomp[Kontrola wejściowa komponentów/ Eingangskontrolle],MATCH($B165,tab_MinKomp[[Stanowisko / Position ]:[Stanowisko / Position ]],0)))</f>
        <v>n/a</v>
      </c>
      <c r="DW166" s="343" t="str">
        <f>IF(INDEX(tab_MinKomp[Kontrola wyjściowa produktu / Ausgangskontrolle],MATCH($B165,tab_MinKomp[[Stanowisko / Position ]:[Stanowisko / Position ]],0))="n/a","n/a",DW165-INDEX(tab_MinKomp[Kontrola wyjściowa produktu / Ausgangskontrolle],MATCH($B165,tab_MinKomp[[Stanowisko / Position ]:[Stanowisko / Position ]],0)))</f>
        <v>n/a</v>
      </c>
      <c r="DX166" s="343" t="str">
        <f>IF(INDEX(tab_MinKomp[Kontrola codzienna produkcji / Tägliche Produktionskontrolle],MATCH($B165,tab_MinKomp[[Stanowisko / Position ]:[Stanowisko / Position ]],0))="n/a","n/a",DX165-INDEX(tab_MinKomp[Kontrola codzienna produkcji / Tägliche Produktionskontrolle],MATCH($B165,tab_MinKomp[[Stanowisko / Position ]:[Stanowisko / Position ]],0)))</f>
        <v>n/a</v>
      </c>
      <c r="DY166" s="343" t="str">
        <f>IF(INDEX(tab_MinKomp[Konserwacja Rep],MATCH($B165,tab_MinKomp[[Stanowisko / Position ]:[Stanowisko / Position ]],0))="n/a","n/a",DY165-INDEX(tab_MinKomp[Konserwacja Rep],MATCH($B165,tab_MinKomp[[Stanowisko / Position ]:[Stanowisko / Position ]],0)))</f>
        <v>n/a</v>
      </c>
      <c r="DZ166" s="343" t="str">
        <f>IF(INDEX(tab_MinKomp[[Konserwacja Engel ]],MATCH($B165,tab_MinKomp[[Stanowisko / Position ]:[Stanowisko / Position ]],0))="n/a","n/a",DZ165-INDEX(tab_MinKomp[[Konserwacja Engel ]],MATCH($B165,tab_MinKomp[[Stanowisko / Position ]:[Stanowisko / Position ]],0)))</f>
        <v>n/a</v>
      </c>
      <c r="EA166" s="343" t="str">
        <f>IF(INDEX(tab_MinKomp[Konserwacja B 50],MATCH($B165,tab_MinKomp[[Stanowisko / Position ]:[Stanowisko / Position ]],0))="n/a","n/a",EA165-INDEX(tab_MinKomp[Konserwacja B 50],MATCH($B165,tab_MinKomp[[Stanowisko / Position ]:[Stanowisko / Position ]],0)))</f>
        <v>n/a</v>
      </c>
      <c r="EB166" s="343" t="str">
        <f>IF(INDEX(tab_MinKomp[[Konserwacja EOL ]],MATCH($B165,tab_MinKomp[[Stanowisko / Position ]:[Stanowisko / Position ]],0))="n/a","n/a",EB165-INDEX(tab_MinKomp[[Konserwacja EOL ]],MATCH($B165,tab_MinKomp[[Stanowisko / Position ]:[Stanowisko / Position ]],0)))</f>
        <v>n/a</v>
      </c>
      <c r="EC166" s="343" t="str">
        <f>IF(INDEX(tab_MinKomp[Konserwacja Branson],MATCH($B165,tab_MinKomp[[Stanowisko / Position ]:[Stanowisko / Position ]],0))="n/a","n/a",EC165-INDEX(tab_MinKomp[Konserwacja Branson],MATCH($B165,tab_MinKomp[[Stanowisko / Position ]:[Stanowisko / Position ]],0)))</f>
        <v>n/a</v>
      </c>
      <c r="ED166" s="343" t="str">
        <f>IF(INDEX(tab_MinKomp[Konserwacja coolery],MATCH($B165,tab_MinKomp[[Stanowisko / Position ]:[Stanowisko / Position ]],0))="n/a","n/a",ED165-INDEX(tab_MinKomp[Konserwacja coolery],MATCH($B165,tab_MinKomp[[Stanowisko / Position ]:[Stanowisko / Position ]],0)))</f>
        <v>n/a</v>
      </c>
      <c r="EE166" s="343" t="str">
        <f>IF(INDEX(tab_MinKomp[Konserwacja piecy],MATCH($B165,tab_MinKomp[[Stanowisko / Position ]:[Stanowisko / Position ]],0))="n/a","n/a",EE165-INDEX(tab_MinKomp[Konserwacja piecy],MATCH($B165,tab_MinKomp[[Stanowisko / Position ]:[Stanowisko / Position ]],0)))</f>
        <v>n/a</v>
      </c>
      <c r="EF166" s="343" t="str">
        <f>IF(INDEX(tab_MinKomp[Rysunek techniczny- czytanie],MATCH($B165,tab_MinKomp[[Stanowisko / Position ]:[Stanowisko / Position ]],0))="n/a","n/a",EF165-INDEX(tab_MinKomp[Rysunek techniczny- czytanie],MATCH($B165,tab_MinKomp[[Stanowisko / Position ]:[Stanowisko / Position ]],0)))</f>
        <v>n/a</v>
      </c>
      <c r="EG166" s="343" t="str">
        <f>IF(INDEX(tab_MinKomp[Elektryka],MATCH($B165,tab_MinKomp[[Stanowisko / Position ]:[Stanowisko / Position ]],0))="n/a","n/a",EG165-INDEX(tab_MinKomp[Elektryka],MATCH($B165,tab_MinKomp[[Stanowisko / Position ]:[Stanowisko / Position ]],0)))</f>
        <v>n/a</v>
      </c>
      <c r="EH166" s="343" t="str">
        <f>IF(INDEX(tab_MinKomp[Pneumatyka],MATCH($B165,tab_MinKomp[[Stanowisko / Position ]:[Stanowisko / Position ]],0))="n/a","n/a",EH165-INDEX(tab_MinKomp[Pneumatyka],MATCH($B165,tab_MinKomp[[Stanowisko / Position ]:[Stanowisko / Position ]],0)))</f>
        <v>n/a</v>
      </c>
      <c r="EI166" s="343" t="str">
        <f>IF(INDEX(tab_MinKomp[[Hydraulika ]],MATCH($B165,tab_MinKomp[[Stanowisko / Position ]:[Stanowisko / Position ]],0))="n/a","n/a",EI165-INDEX(tab_MinKomp[[Hydraulika ]],MATCH($B165,tab_MinKomp[[Stanowisko / Position ]:[Stanowisko / Position ]],0)))</f>
        <v>n/a</v>
      </c>
      <c r="EJ166" s="343" t="str">
        <f>IF(INDEX(tab_MinKomp[Podciśnienie],MATCH($B165,tab_MinKomp[[Stanowisko / Position ]:[Stanowisko / Position ]],0))="n/a","n/a",EJ165-INDEX(tab_MinKomp[Podciśnienie],MATCH($B165,tab_MinKomp[[Stanowisko / Position ]:[Stanowisko / Position ]],0)))</f>
        <v>n/a</v>
      </c>
      <c r="EK166" s="343" t="str">
        <f>IF(INDEX(tab_MinKomp[Usuwanie awarii],MATCH($B165,tab_MinKomp[[Stanowisko / Position ]:[Stanowisko / Position ]],0))="n/a","n/a",EK165-INDEX(tab_MinKomp[Usuwanie awarii],MATCH($B165,tab_MinKomp[[Stanowisko / Position ]:[Stanowisko / Position ]],0)))</f>
        <v>n/a</v>
      </c>
      <c r="EL166" s="343" t="str">
        <f>IF(INDEX(tab_MinKomp[Obsługa robotów],MATCH($B165,tab_MinKomp[[Stanowisko / Position ]:[Stanowisko / Position ]],0))="n/a","n/a",EL165-INDEX(tab_MinKomp[Obsługa robotów],MATCH($B165,tab_MinKomp[[Stanowisko / Position ]:[Stanowisko / Position ]],0)))</f>
        <v>n/a</v>
      </c>
      <c r="EM166" s="343" t="str">
        <f>IF(INDEX(tab_MinKomp[Obsługa sterowania maszyny],MATCH($B165,tab_MinKomp[[Stanowisko / Position ]:[Stanowisko / Position ]],0))="n/a","n/a",EM165-INDEX(tab_MinKomp[Obsługa sterowania maszyny],MATCH($B165,tab_MinKomp[[Stanowisko / Position ]:[Stanowisko / Position ]],0)))</f>
        <v>n/a</v>
      </c>
      <c r="EN166" s="343" t="str">
        <f>IF(INDEX(tab_MinKomp[Usuwanie przyczyn żródłowych],MATCH($B165,tab_MinKomp[[Stanowisko / Position ]:[Stanowisko / Position ]],0))="n/a","n/a",EN165-INDEX(tab_MinKomp[Usuwanie przyczyn żródłowych],MATCH($B165,tab_MinKomp[[Stanowisko / Position ]:[Stanowisko / Position ]],0)))</f>
        <v>n/a</v>
      </c>
      <c r="EO166" s="343" t="str">
        <f>IF(INDEX(tab_MinKomp[Cmms stosowanie],MATCH($B165,tab_MinKomp[[Stanowisko / Position ]:[Stanowisko / Position ]],0))="n/a","n/a",EO165-INDEX(tab_MinKomp[Cmms stosowanie],MATCH($B165,tab_MinKomp[[Stanowisko / Position ]:[Stanowisko / Position ]],0)))</f>
        <v>n/a</v>
      </c>
      <c r="EP166" s="343" t="str">
        <f>IF(INDEX(tab_MinKomp[[Czyszczenie form gumowych ]],MATCH($B165,tab_MinKomp[[Stanowisko / Position ]:[Stanowisko / Position ]],0))="n/a","n/a",EP165-INDEX(tab_MinKomp[[Czyszczenie form gumowych ]],MATCH($B165,tab_MinKomp[[Stanowisko / Position ]:[Stanowisko / Position ]],0)))</f>
        <v>n/a</v>
      </c>
      <c r="EQ166" s="343" t="str">
        <f>IF(INDEX(tab_MinKomp[Czyszczenie form plastikowych],MATCH($B165,tab_MinKomp[[Stanowisko / Position ]:[Stanowisko / Position ]],0))="n/a","n/a",EQ165-INDEX(tab_MinKomp[Czyszczenie form plastikowych],MATCH($B165,tab_MinKomp[[Stanowisko / Position ]:[Stanowisko / Position ]],0)))</f>
        <v>n/a</v>
      </c>
      <c r="ER166" s="343" t="str">
        <f>IF(INDEX(tab_MinKomp[Wymiana form plastik],MATCH($B165,tab_MinKomp[[Stanowisko / Position ]:[Stanowisko / Position ]],0))="n/a","n/a",ER165-INDEX(tab_MinKomp[Wymiana form plastik],MATCH($B165,tab_MinKomp[[Stanowisko / Position ]:[Stanowisko / Position ]],0)))</f>
        <v>n/a</v>
      </c>
      <c r="ES166" s="343" t="str">
        <f>IF(INDEX(tab_MinKomp[Wymiana form guma],MATCH($B165,tab_MinKomp[[Stanowisko / Position ]:[Stanowisko / Position ]],0))="n/a","n/a",ES165-INDEX(tab_MinKomp[Wymiana form guma],MATCH($B165,tab_MinKomp[[Stanowisko / Position ]:[Stanowisko / Position ]],0)))</f>
        <v>n/a</v>
      </c>
      <c r="ET166" s="343" t="str">
        <f>IF(INDEX(tab_MinKomp[Konserwacja KK],MATCH($B165,tab_MinKomp[[Stanowisko / Position ]:[Stanowisko / Position ]],0))="n/a","n/a",ET165-INDEX(tab_MinKomp[Konserwacja KK],MATCH($B165,tab_MinKomp[[Stanowisko / Position ]:[Stanowisko / Position ]],0)))</f>
        <v>n/a</v>
      </c>
      <c r="EU166" s="343" t="str">
        <f>IF(INDEX(tab_MinKomp[Konserwacja form guma],MATCH($B165,tab_MinKomp[[Stanowisko / Position ]:[Stanowisko / Position ]],0))="n/a","n/a",EU165-INDEX(tab_MinKomp[Konserwacja form guma],MATCH($B165,tab_MinKomp[[Stanowisko / Position ]:[Stanowisko / Position ]],0)))</f>
        <v>n/a</v>
      </c>
      <c r="EV166" s="343" t="str">
        <f>IF(INDEX(tab_MinKomp[Konserwacja form plastiki],MATCH($B165,tab_MinKomp[[Stanowisko / Position ]:[Stanowisko / Position ]],0))="n/a","n/a",EV165-INDEX(tab_MinKomp[Konserwacja form plastiki],MATCH($B165,tab_MinKomp[[Stanowisko / Position ]:[Stanowisko / Position ]],0)))</f>
        <v>n/a</v>
      </c>
      <c r="EW166" s="330" t="str">
        <f>IF(INDEX(tab_MinKomp[Konserwacja form plastiki],MATCH($B165,tab_MinKomp[[Stanowisko / Position ]:[Stanowisko / Position ]],0))="n/a","n/a",EW165-INDEX(tab_MinKomp[Konserwacja form plastiki],MATCH($B165,tab_MinKomp[[Stanowisko / Position ]:[Stanowisko / Position ]],0)))</f>
        <v>n/a</v>
      </c>
      <c r="EX166" s="343" t="str">
        <f>IF(INDEX(tab_MinKomp[Konserwacja Gorącego Kanału],MATCH($B165,tab_MinKomp[[Stanowisko / Position ]:[Stanowisko / Position ]],0))="n/a","n/a",EX165-INDEX(tab_MinKomp[Konserwacja Gorącego Kanału],MATCH($B165,tab_MinKomp[[Stanowisko / Position ]:[Stanowisko / Position ]],0)))</f>
        <v>n/a</v>
      </c>
      <c r="EY166" s="343">
        <f>IF(INDEX(tab_MinKomp[MS Office (Excel)],MATCH($B165,tab_MinKomp[[Stanowisko / Position ]:[Stanowisko / Position ]],0))="n/a","n/a",EY165-INDEX(tab_MinKomp[MS Office (Excel)],MATCH($B165,tab_MinKomp[[Stanowisko / Position ]:[Stanowisko / Position ]],0)))</f>
        <v>0</v>
      </c>
      <c r="EZ166" s="343">
        <f>IF(INDEX(tab_MinKomp[MS Office (Word)],MATCH($B165,tab_MinKomp[[Stanowisko / Position ]:[Stanowisko / Position ]],0))="n/a","n/a",EZ165-INDEX(tab_MinKomp[MS Office (Word)],MATCH($B165,tab_MinKomp[[Stanowisko / Position ]:[Stanowisko / Position ]],0)))</f>
        <v>0</v>
      </c>
      <c r="FA166" s="343">
        <f>IF(INDEX(tab_MinKomp[MS Office (Power Point)],MATCH($B165,tab_MinKomp[[Stanowisko / Position ]:[Stanowisko / Position ]],0))="n/a","n/a",FA165-INDEX(tab_MinKomp[MS Office (Power Point)],MATCH($B165,tab_MinKomp[[Stanowisko / Position ]:[Stanowisko / Position ]],0)))</f>
        <v>0</v>
      </c>
      <c r="FB166" s="343" t="str">
        <f>IF(INDEX(tab_MinKomp[Język angielski / Englisch],MATCH($B165,tab_MinKomp[[Stanowisko / Position ]:[Stanowisko / Position ]],0))="n/a","n/a",FB165-INDEX(tab_MinKomp[Język angielski / Englisch],MATCH($B165,tab_MinKomp[[Stanowisko / Position ]:[Stanowisko / Position ]],0)))</f>
        <v>n/a</v>
      </c>
      <c r="FC166" s="343" t="str">
        <f>IF(INDEX(tab_MinKomp[Język niemiecki / Deutsch],MATCH($B165,tab_MinKomp[[Stanowisko / Position ]:[Stanowisko / Position ]],0))="n/a","n/a",FC165-INDEX(tab_MinKomp[Język niemiecki / Deutsch],MATCH($B165,tab_MinKomp[[Stanowisko / Position ]:[Stanowisko / Position ]],0)))</f>
        <v>n/a</v>
      </c>
      <c r="FD166" s="343">
        <f>IF(INDEX(tab_MinKomp[Zarządzanie dokumentacją procesową / Process dokumentation management],MATCH($B165,tab_MinKomp[[Stanowisko / Position ]:[Stanowisko / Position ]],0))="n/a","n/a",FD165-INDEX(tab_MinKomp[Zarządzanie dokumentacją procesową / Process dokumentation management],MATCH($B165,tab_MinKomp[[Stanowisko / Position ]:[Stanowisko / Position ]],0)))</f>
        <v>0</v>
      </c>
      <c r="FE166" s="343">
        <f>IF(INDEX(tab_MinKomp[Znajomość procesów z obszaru / Kenntiss der prozesse in dem Bereich],MATCH($B165,tab_MinKomp[[Stanowisko / Position ]:[Stanowisko / Position ]],0))="n/a","n/a",FE165-INDEX(tab_MinKomp[Znajomość procesów z obszaru / Kenntiss der prozesse in dem Bereich],MATCH($B165,tab_MinKomp[[Stanowisko / Position ]:[Stanowisko / Position ]],0)))</f>
        <v>0</v>
      </c>
      <c r="FF166" s="343">
        <f>IF(INDEX(tab_MinKomp[optymalizacja procesów / Prozessoptymalisierung],MATCH($B165,tab_MinKomp[[Stanowisko / Position ]:[Stanowisko / Position ]],0))="n/a","n/a",FF165-INDEX(tab_MinKomp[optymalizacja procesów / Prozessoptymalisierung],MATCH($B165,tab_MinKomp[[Stanowisko / Position ]:[Stanowisko / Position ]],0)))</f>
        <v>-1</v>
      </c>
      <c r="FG166" s="343">
        <f>IF(INDEX(tab_MinKomp[Umiejętności szkoleniowe / Trainingsfähigkeiten],MATCH($B165,tab_MinKomp[[Stanowisko / Position ]:[Stanowisko / Position ]],0))="n/a","n/a",FG165-INDEX(tab_MinKomp[Umiejętności szkoleniowe / Trainingsfähigkeiten],MATCH($B165,tab_MinKomp[[Stanowisko / Position ]:[Stanowisko / Position ]],0)))</f>
        <v>0</v>
      </c>
      <c r="FH166" s="343">
        <f>IF(INDEX(tab_MinKomp[Analityczne myślenie, podejście / Analitysches Denken, Einstellung],MATCH($B165,tab_MinKomp[[Stanowisko / Position ]:[Stanowisko / Position ]],0))="n/a","n/a",FH165-INDEX(tab_MinKomp[Analityczne myślenie, podejście / Analitysches Denken, Einstellung],MATCH($B165,tab_MinKomp[[Stanowisko / Position ]:[Stanowisko / Position ]],0)))</f>
        <v>-1</v>
      </c>
      <c r="FI166" s="343">
        <f>IF(INDEX(tab_MinKomp[Dokładność, precyzja w dzialaniu / Genauigkeit, Präzision in die Arbeit],MATCH($B165,tab_MinKomp[[Stanowisko / Position ]:[Stanowisko / Position ]],0))="n/a","n/a",FI165-INDEX(tab_MinKomp[Dokładność, precyzja w dzialaniu / Genauigkeit, Präzision in die Arbeit],MATCH($B165,tab_MinKomp[[Stanowisko / Position ]:[Stanowisko / Position ]],0)))</f>
        <v>-1</v>
      </c>
      <c r="FJ166" s="343">
        <f>IF(INDEX(tab_MinKomp[Dyspozycyjność / Verfügbarkeit],MATCH($B165,tab_MinKomp[[Stanowisko / Position ]:[Stanowisko / Position ]],0))="n/a","n/a",FJ165-INDEX(tab_MinKomp[Dyspozycyjność / Verfügbarkeit],MATCH($B165,tab_MinKomp[[Stanowisko / Position ]:[Stanowisko / Position ]],0)))</f>
        <v>-1</v>
      </c>
      <c r="FK166" s="343">
        <f>IF(INDEX(tab_MinKomp[Zaangażowanie / 
Engagement],MATCH($B165,tab_MinKomp[[Stanowisko / Position ]:[Stanowisko / Position ]],0))="n/a","n/a",FK165-INDEX(tab_MinKomp[Zaangażowanie / 
Engagement],MATCH($B165,tab_MinKomp[[Stanowisko / Position ]:[Stanowisko / Position ]],0)))</f>
        <v>-1</v>
      </c>
      <c r="FL166" s="343">
        <f>IF(INDEX(tab_MinKomp[Planowanie strategiczne / Strategische Planung],MATCH($B165,tab_MinKomp[[Stanowisko / Position ]:[Stanowisko / Position ]],0))="n/a","n/a",FL165-INDEX(tab_MinKomp[Planowanie strategiczne / Strategische Planung],MATCH($B165,tab_MinKomp[[Stanowisko / Position ]:[Stanowisko / Position ]],0)))</f>
        <v>-1</v>
      </c>
      <c r="FM166" s="343">
        <f>IF(INDEX(tab_MinKomp[Konsekwentne i dynamiczne działanie],MATCH($B165,tab_MinKomp[[Stanowisko / Position ]:[Stanowisko / Position ]],0))="n/a","n/a",FM165-INDEX(tab_MinKomp[Konsekwentne i dynamiczne działanie],MATCH($B165,tab_MinKomp[[Stanowisko / Position ]:[Stanowisko / Position ]],0)))</f>
        <v>-1</v>
      </c>
      <c r="FN166" s="343">
        <f>IF(INDEX(tab_MinKomp[Elastyczność w działaniu],MATCH($B165,tab_MinKomp[[Stanowisko / Position ]:[Stanowisko / Position ]],0))="n/a","n/a",FN165-INDEX(tab_MinKomp[Elastyczność w działaniu],MATCH($B165,tab_MinKomp[[Stanowisko / Position ]:[Stanowisko / Position ]],0)))</f>
        <v>-1</v>
      </c>
      <c r="FO166" s="343">
        <f>IF(INDEX(tab_MinKomp[Komunikatywność],MATCH($B165,tab_MinKomp[[Stanowisko / Position ]:[Stanowisko / Position ]],0))="n/a","n/a",FO165-INDEX(tab_MinKomp[Komunikatywność],MATCH($B165,tab_MinKomp[[Stanowisko / Position ]:[Stanowisko / Position ]],0)))</f>
        <v>-1</v>
      </c>
      <c r="FP166" s="342">
        <f>IF(INDEX(tab_MinKomp[Motywowanie i budowanie zaangażowania zespołu],MATCH($B165,tab_MinKomp[[Stanowisko / Position ]:[Stanowisko / Position ]],0))="n/a","n/a",FP165-INDEX(tab_MinKomp[Motywowanie i budowanie zaangażowania zespołu],MATCH($B165,tab_MinKomp[[Stanowisko / Position ]:[Stanowisko / Position ]],0)))</f>
        <v>-1</v>
      </c>
      <c r="FQ166" s="346" t="str">
        <f>IFERROR(IF(INDEX(tab_MinKomp[BRAK / Keine],MATCH($B165,tab_MinKomp[[Stanowisko / Position ]:[Stanowisko / Position ]],0))="n/a","n/a",INDEX(tab_MinKomp[BRAK / Keine],MATCH($B165,tab_MinKomp[[Stanowisko / Position ]:[Stanowisko / Position ]],0))-FQ165),"")</f>
        <v>n/a</v>
      </c>
      <c r="FR166" s="343" t="str">
        <f>IF(INDEX(tab_MinKomp[MINIMUM 1 ROK / min. 1 Jahr],MATCH($B165,tab_MinKomp[[Stanowisko / Position ]:[Stanowisko / Position ]],0))="n/a","n/a",INDEX(tab_MinKomp[MINIMUM 1 ROK / min. 1 Jahr],MATCH($B165,tab_MinKomp[[Stanowisko / Position ]:[Stanowisko / Position ]],0)))</f>
        <v>x</v>
      </c>
      <c r="FS166" s="343" t="str">
        <f>IF(INDEX(tab_MinKomp[MINIMUM 2 LATA / min. 2 Jahre],MATCH($B165,tab_MinKomp[[Stanowisko / Position ]:[Stanowisko / Position ]],0))="n/a","n/a",INDEX(tab_MinKomp[MINIMUM 2 LATA / min. 2 Jahre],MATCH($B165,tab_MinKomp[[Stanowisko / Position ]:[Stanowisko / Position ]],0)))</f>
        <v>n/a</v>
      </c>
      <c r="FT166" s="343" t="str">
        <f>IF(INDEX(tab_MinKomp[MINIMUM 3 LATA / min. 3 Jahre],MATCH($B165,tab_MinKomp[[Stanowisko / Position ]:[Stanowisko / Position ]],0))="n/a","n/a",INDEX(tab_MinKomp[MINIMUM 3 LATA / min. 3 Jahre],MATCH($B165,tab_MinKomp[[Stanowisko / Position ]:[Stanowisko / Position ]],0)))</f>
        <v>n/a</v>
      </c>
      <c r="FU166" s="343" t="str">
        <f>IF(INDEX(tab_MinKomp[MINIMUM 4 LATA / min. 4 Jahre],MATCH($B165,tab_MinKomp[[Stanowisko / Position ]:[Stanowisko / Position ]],0))="n/a","n/a",INDEX(tab_MinKomp[MINIMUM 4 LATA / min. 4 Jahre],MATCH($B165,tab_MinKomp[[Stanowisko / Position ]:[Stanowisko / Position ]],0)))</f>
        <v>n/a</v>
      </c>
      <c r="FV166" s="347" t="str">
        <f>IF(INDEX(tab_MinKomp[MINIMUM 5 LAT / min. 5 Jahre],MATCH($B165,tab_MinKomp[[Stanowisko / Position ]:[Stanowisko / Position ]],0))="n/a","n/a",INDEX(tab_MinKomp[MINIMUM 5 LAT / min. 5 Jahre],MATCH($B165,tab_MinKomp[[Stanowisko / Position ]:[Stanowisko / Position ]],0)))</f>
        <v>n/a</v>
      </c>
      <c r="FW166" s="346" t="str">
        <f>IF(INDEX(tab_MinKomp[BRAK / Keine9],MATCH($B165,tab_MinKomp[[Stanowisko / Position ]:[Stanowisko / Position ]],0))="n/a","n/a",INDEX(tab_MinKomp[BRAK / Keine9],MATCH($B165,tab_MinKomp[[Stanowisko / Position ]:[Stanowisko / Position ]],0)))</f>
        <v>n/a</v>
      </c>
      <c r="FX166" s="343" t="str">
        <f>IF(INDEX(tab_MinKomp[ZAWODOWE / Berufsausbildung],MATCH($B165,tab_MinKomp[[Stanowisko / Position ]:[Stanowisko / Position ]],0))="n/a","n/a",INDEX(tab_MinKomp[ZAWODOWE / Berufsausbildung],MATCH($B165,tab_MinKomp[[Stanowisko / Position ]:[Stanowisko / Position ]],0)))</f>
        <v>x</v>
      </c>
      <c r="FY166" s="343" t="str">
        <f>IF(INDEX(tab_MinKomp[ŚREDNIE OGÓLNE / Abitur allgemeine],MATCH($B165,tab_MinKomp[[Stanowisko / Position ]:[Stanowisko / Position ]],0))="n/a","n/a",INDEX(tab_MinKomp[ŚREDNIE OGÓLNE / Abitur allgemeine],MATCH($B165,tab_MinKomp[[Stanowisko / Position ]:[Stanowisko / Position ]],0)))</f>
        <v>n/a</v>
      </c>
      <c r="FZ166" s="343" t="str">
        <f>IF(INDEX(tab_MinKomp[ŚREDNIE KIERUNKOWE / berufliches Gymnasium],MATCH($B165,tab_MinKomp[[Stanowisko / Position ]:[Stanowisko / Position ]],0))="n/a","n/a",INDEX(tab_MinKomp[ŚREDNIE KIERUNKOWE / berufliches Gymnasium],MATCH($B165,tab_MinKomp[[Stanowisko / Position ]:[Stanowisko / Position ]],0)))</f>
        <v>n/a</v>
      </c>
      <c r="GA166" s="343" t="str">
        <f>IF(INDEX(tab_MinKomp[WYŻSZE OGÓLNE / Hochschule allgemeine],MATCH($B165,tab_MinKomp[[Stanowisko / Position ]:[Stanowisko / Position ]],0))="n/a","n/a",INDEX(tab_MinKomp[WYŻSZE OGÓLNE / Hochschule allgemeine],MATCH($B165,tab_MinKomp[[Stanowisko / Position ]:[Stanowisko / Position ]],0)))</f>
        <v>n/a</v>
      </c>
      <c r="GB166" s="347" t="str">
        <f>IF(INDEX(tab_MinKomp[WYŻSZE KIERUNKOWE / Hochschule berufliche],MATCH($B165,tab_MinKomp[[Stanowisko / Position ]:[Stanowisko / Position ]],0))="n/a","n/a",INDEX(tab_MinKomp[WYŻSZE KIERUNKOWE / Hochschule berufliche],MATCH($B165,tab_MinKomp[[Stanowisko / Position ]:[Stanowisko / Position ]],0)))</f>
        <v>n/a</v>
      </c>
      <c r="GC166" s="346" t="str">
        <f>IF(INDEX(tab_MinKomp[PIERWSZA POMOC / Erste Hilfe],MATCH($B165,tab_MinKomp[[Stanowisko / Position ]:[Stanowisko / Position ]],0))="n/a","n/a",INDEX(tab_MinKomp[PIERWSZA POMOC / Erste Hilfe],MATCH($B165,tab_MinKomp[[Stanowisko / Position ]:[Stanowisko / Position ]],0)))</f>
        <v>x</v>
      </c>
      <c r="GD166" s="343" t="str">
        <f>IF(INDEX(tab_MinKomp[Specjalista BHP / BHP Spezialist],MATCH($B165,tab_MinKomp[[Stanowisko / Position ]:[Stanowisko / Position ]],0))="n/a","n/a",INDEX(tab_MinKomp[Specjalista BHP / BHP Spezialist],MATCH($B165,tab_MinKomp[[Stanowisko / Position ]:[Stanowisko / Position ]],0)))</f>
        <v>n/a</v>
      </c>
      <c r="GE166" s="343" t="str">
        <f>IF(INDEX(tab_MinKomp[Inspektor ochrony PPOŻ / Brandschutzinspektor],MATCH($B165,tab_MinKomp[[Stanowisko / Position ]:[Stanowisko / Position ]],0))="n/a","n/a",INDEX(tab_MinKomp[Inspektor ochrony PPOŻ / Brandschutzinspektor],MATCH($B165,tab_MinKomp[[Stanowisko / Position ]:[Stanowisko / Position ]],0)))</f>
        <v>n/a</v>
      </c>
      <c r="GF166" s="343" t="str">
        <f>IF(INDEX(tab_MinKomp[WÓZKI JEZDNIOWE / Gebelstapler],MATCH($B165,tab_MinKomp[[Stanowisko / Position ]:[Stanowisko / Position ]],0))="n/a","n/a",INDEX(tab_MinKomp[WÓZKI JEZDNIOWE / Gebelstapler],MATCH($B165,tab_MinKomp[[Stanowisko / Position ]:[Stanowisko / Position ]],0)))</f>
        <v>x</v>
      </c>
      <c r="GG166" s="343" t="str">
        <f>IF(INDEX(tab_MinKomp[SEP],MATCH($B165,tab_MinKomp[[Stanowisko / Position ]:[Stanowisko / Position ]],0))="n/a","n/a",INDEX(tab_MinKomp[SEP],MATCH($B165,tab_MinKomp[[Stanowisko / Position ]:[Stanowisko / Position ]],0)))</f>
        <v>n/a</v>
      </c>
      <c r="GH166" s="343" t="str">
        <f>IF(INDEX(tab_MinKomp[SEP  DOZÓR / SEP Aufsicht],MATCH($B165,tab_MinKomp[[Stanowisko / Position ]:[Stanowisko / Position ]],0))="n/a","n/a",INDEX(tab_MinKomp[SEP  DOZÓR / SEP Aufsicht],MATCH($B165,tab_MinKomp[[Stanowisko / Position ]:[Stanowisko / Position ]],0)))</f>
        <v>n/a</v>
      </c>
      <c r="GI166" s="343" t="str">
        <f>IF(INDEX(tab_MinKomp[PODNOŚNIKI / Hebevorrichtung],MATCH($B165,tab_MinKomp[[Stanowisko / Position ]:[Stanowisko / Position ]],0))="n/a","n/a",INDEX(tab_MinKomp[PODNOŚNIKI / Hebevorrichtung],MATCH($B165,tab_MinKomp[[Stanowisko / Position ]:[Stanowisko / Position ]],0)))</f>
        <v>n/a</v>
      </c>
      <c r="GJ166" s="343" t="str">
        <f>IF(INDEX(tab_MinKomp[SUWNICE / Laufkran],MATCH($B165,tab_MinKomp[[Stanowisko / Position ]:[Stanowisko / Position ]],0))="n/a","n/a",INDEX(tab_MinKomp[SUWNICE / Laufkran],MATCH($B165,tab_MinKomp[[Stanowisko / Position ]:[Stanowisko / Position ]],0)))</f>
        <v>n/a</v>
      </c>
      <c r="GK166" s="347" t="str">
        <f>IF(INDEX(tab_MinKomp[WYSOKOŚCIOWE / Höhenberechtigungen],MATCH($B165,tab_MinKomp[[Stanowisko / Position ]:[Stanowisko / Position ]],0))="n/a","n/a",INDEX(tab_MinKomp[WYSOKOŚCIOWE / Höhenberechtigungen],MATCH($B165,tab_MinKomp[[Stanowisko / Position ]:[Stanowisko / Position ]],0)))</f>
        <v>n/a</v>
      </c>
      <c r="GL166" s="320">
        <f>SUM(G166:FP166)/(GL165-(SUM(G166:FP166)))</f>
        <v>-0.2537313432835821</v>
      </c>
    </row>
    <row r="167" spans="1:195" s="197" customFormat="1" ht="23.25" customHeight="1" x14ac:dyDescent="0.25">
      <c r="A167" s="138" t="s">
        <v>227</v>
      </c>
      <c r="B167" s="618" t="s">
        <v>194</v>
      </c>
      <c r="C167" s="138" t="s">
        <v>761</v>
      </c>
      <c r="D167" s="138">
        <v>328</v>
      </c>
      <c r="E167" s="563" t="s">
        <v>228</v>
      </c>
      <c r="F167" s="307" t="s">
        <v>165</v>
      </c>
      <c r="G167" s="308">
        <v>3</v>
      </c>
      <c r="H167" s="308">
        <v>3</v>
      </c>
      <c r="I167" s="308">
        <v>3</v>
      </c>
      <c r="J167" s="308">
        <v>3</v>
      </c>
      <c r="K167" s="308">
        <v>3</v>
      </c>
      <c r="L167" s="308">
        <v>3</v>
      </c>
      <c r="M167" s="308" t="s">
        <v>176</v>
      </c>
      <c r="N167" s="308" t="s">
        <v>176</v>
      </c>
      <c r="O167" s="308">
        <v>3</v>
      </c>
      <c r="P167" s="308">
        <v>2</v>
      </c>
      <c r="Q167" s="308" t="s">
        <v>176</v>
      </c>
      <c r="R167" s="308" t="s">
        <v>176</v>
      </c>
      <c r="S167" s="308">
        <v>3</v>
      </c>
      <c r="T167" s="308">
        <v>3</v>
      </c>
      <c r="U167" s="308" t="s">
        <v>176</v>
      </c>
      <c r="V167" s="308" t="s">
        <v>176</v>
      </c>
      <c r="W167" s="308" t="s">
        <v>176</v>
      </c>
      <c r="X167" s="308" t="s">
        <v>176</v>
      </c>
      <c r="Y167" s="308" t="s">
        <v>176</v>
      </c>
      <c r="Z167" s="308" t="s">
        <v>176</v>
      </c>
      <c r="AA167" s="308" t="s">
        <v>176</v>
      </c>
      <c r="AB167" s="308">
        <v>3</v>
      </c>
      <c r="AC167" s="308">
        <v>3</v>
      </c>
      <c r="AD167" s="308">
        <v>2</v>
      </c>
      <c r="AE167" s="308">
        <v>2</v>
      </c>
      <c r="AF167" s="308">
        <v>2</v>
      </c>
      <c r="AG167" s="308">
        <v>1</v>
      </c>
      <c r="AH167" s="308">
        <v>1</v>
      </c>
      <c r="AI167" s="308" t="s">
        <v>176</v>
      </c>
      <c r="AJ167" s="308" t="s">
        <v>176</v>
      </c>
      <c r="AK167" s="308" t="s">
        <v>176</v>
      </c>
      <c r="AL167" s="308">
        <v>2</v>
      </c>
      <c r="AM167" s="308">
        <v>1</v>
      </c>
      <c r="AN167" s="308" t="s">
        <v>176</v>
      </c>
      <c r="AO167" s="308">
        <v>3</v>
      </c>
      <c r="AP167" s="308">
        <v>3</v>
      </c>
      <c r="AQ167" s="308">
        <v>3</v>
      </c>
      <c r="AR167" s="308" t="s">
        <v>176</v>
      </c>
      <c r="AS167" s="308" t="s">
        <v>176</v>
      </c>
      <c r="AT167" s="308" t="s">
        <v>176</v>
      </c>
      <c r="AU167" s="308">
        <v>1</v>
      </c>
      <c r="AV167" s="308">
        <v>1</v>
      </c>
      <c r="AW167" s="308">
        <v>1</v>
      </c>
      <c r="AX167" s="308">
        <v>2</v>
      </c>
      <c r="AY167" s="308">
        <v>1</v>
      </c>
      <c r="AZ167" s="308">
        <v>1</v>
      </c>
      <c r="BA167" s="308" t="s">
        <v>176</v>
      </c>
      <c r="BB167" s="308" t="s">
        <v>176</v>
      </c>
      <c r="BC167" s="308" t="s">
        <v>176</v>
      </c>
      <c r="BD167" s="308" t="s">
        <v>176</v>
      </c>
      <c r="BE167" s="308" t="s">
        <v>176</v>
      </c>
      <c r="BF167" s="308" t="s">
        <v>176</v>
      </c>
      <c r="BG167" s="308" t="s">
        <v>176</v>
      </c>
      <c r="BH167" s="308" t="s">
        <v>176</v>
      </c>
      <c r="BI167" s="308" t="s">
        <v>176</v>
      </c>
      <c r="BJ167" s="308" t="s">
        <v>176</v>
      </c>
      <c r="BK167" s="308" t="s">
        <v>176</v>
      </c>
      <c r="BL167" s="308" t="s">
        <v>176</v>
      </c>
      <c r="BM167" s="308">
        <v>3</v>
      </c>
      <c r="BN167" s="308">
        <v>3</v>
      </c>
      <c r="BO167" s="308">
        <v>2</v>
      </c>
      <c r="BP167" s="308">
        <v>2</v>
      </c>
      <c r="BQ167" s="308">
        <v>2</v>
      </c>
      <c r="BR167" s="308">
        <v>2</v>
      </c>
      <c r="BS167" s="308">
        <v>2</v>
      </c>
      <c r="BT167" s="308">
        <v>2</v>
      </c>
      <c r="BU167" s="308">
        <v>3</v>
      </c>
      <c r="BV167" s="308" t="s">
        <v>176</v>
      </c>
      <c r="BW167" s="308" t="s">
        <v>176</v>
      </c>
      <c r="BX167" s="308" t="s">
        <v>176</v>
      </c>
      <c r="BY167" s="308" t="s">
        <v>176</v>
      </c>
      <c r="BZ167" s="308" t="s">
        <v>176</v>
      </c>
      <c r="CA167" s="308" t="s">
        <v>176</v>
      </c>
      <c r="CB167" s="308" t="s">
        <v>176</v>
      </c>
      <c r="CC167" s="308" t="s">
        <v>176</v>
      </c>
      <c r="CD167" s="308" t="s">
        <v>176</v>
      </c>
      <c r="CE167" s="308" t="s">
        <v>176</v>
      </c>
      <c r="CF167" s="308" t="s">
        <v>176</v>
      </c>
      <c r="CG167" s="308" t="s">
        <v>176</v>
      </c>
      <c r="CH167" s="308" t="s">
        <v>176</v>
      </c>
      <c r="CI167" s="308">
        <v>3</v>
      </c>
      <c r="CJ167" s="308" t="s">
        <v>176</v>
      </c>
      <c r="CK167" s="308" t="s">
        <v>176</v>
      </c>
      <c r="CL167" s="308" t="s">
        <v>176</v>
      </c>
      <c r="CM167" s="308">
        <v>1</v>
      </c>
      <c r="CN167" s="308">
        <v>2</v>
      </c>
      <c r="CO167" s="308">
        <v>3</v>
      </c>
      <c r="CP167" s="308">
        <v>3</v>
      </c>
      <c r="CQ167" s="308" t="s">
        <v>176</v>
      </c>
      <c r="CR167" s="308" t="s">
        <v>176</v>
      </c>
      <c r="CS167" s="308" t="s">
        <v>176</v>
      </c>
      <c r="CT167" s="308" t="s">
        <v>176</v>
      </c>
      <c r="CU167" s="308">
        <v>3</v>
      </c>
      <c r="CV167" s="308" t="s">
        <v>176</v>
      </c>
      <c r="CW167" s="308" t="s">
        <v>176</v>
      </c>
      <c r="CX167" s="308" t="s">
        <v>176</v>
      </c>
      <c r="CY167" s="308" t="s">
        <v>176</v>
      </c>
      <c r="CZ167" s="308" t="s">
        <v>176</v>
      </c>
      <c r="DA167" s="308" t="s">
        <v>176</v>
      </c>
      <c r="DB167" s="308" t="s">
        <v>176</v>
      </c>
      <c r="DC167" s="308" t="s">
        <v>176</v>
      </c>
      <c r="DD167" s="308" t="s">
        <v>176</v>
      </c>
      <c r="DE167" s="308" t="s">
        <v>176</v>
      </c>
      <c r="DF167" s="308" t="s">
        <v>176</v>
      </c>
      <c r="DG167" s="308" t="s">
        <v>176</v>
      </c>
      <c r="DH167" s="308" t="s">
        <v>176</v>
      </c>
      <c r="DI167" s="308" t="s">
        <v>176</v>
      </c>
      <c r="DJ167" s="308" t="s">
        <v>176</v>
      </c>
      <c r="DK167" s="308" t="s">
        <v>176</v>
      </c>
      <c r="DL167" s="308" t="s">
        <v>176</v>
      </c>
      <c r="DM167" s="308" t="s">
        <v>176</v>
      </c>
      <c r="DN167" s="308" t="s">
        <v>176</v>
      </c>
      <c r="DO167" s="308" t="s">
        <v>176</v>
      </c>
      <c r="DP167" s="308" t="s">
        <v>176</v>
      </c>
      <c r="DQ167" s="308" t="s">
        <v>176</v>
      </c>
      <c r="DR167" s="308" t="s">
        <v>176</v>
      </c>
      <c r="DS167" s="308" t="s">
        <v>176</v>
      </c>
      <c r="DT167" s="308" t="s">
        <v>176</v>
      </c>
      <c r="DU167" s="308" t="s">
        <v>176</v>
      </c>
      <c r="DV167" s="308" t="s">
        <v>176</v>
      </c>
      <c r="DW167" s="308" t="s">
        <v>176</v>
      </c>
      <c r="DX167" s="308" t="s">
        <v>176</v>
      </c>
      <c r="DY167" s="308" t="s">
        <v>176</v>
      </c>
      <c r="DZ167" s="308" t="s">
        <v>176</v>
      </c>
      <c r="EA167" s="308" t="s">
        <v>176</v>
      </c>
      <c r="EB167" s="308" t="s">
        <v>176</v>
      </c>
      <c r="EC167" s="308" t="s">
        <v>176</v>
      </c>
      <c r="ED167" s="308" t="s">
        <v>176</v>
      </c>
      <c r="EE167" s="308" t="s">
        <v>176</v>
      </c>
      <c r="EF167" s="308" t="s">
        <v>176</v>
      </c>
      <c r="EG167" s="308" t="s">
        <v>176</v>
      </c>
      <c r="EH167" s="308" t="s">
        <v>176</v>
      </c>
      <c r="EI167" s="308" t="s">
        <v>176</v>
      </c>
      <c r="EJ167" s="308" t="s">
        <v>176</v>
      </c>
      <c r="EK167" s="308" t="s">
        <v>176</v>
      </c>
      <c r="EL167" s="308" t="s">
        <v>176</v>
      </c>
      <c r="EM167" s="308" t="s">
        <v>176</v>
      </c>
      <c r="EN167" s="308" t="s">
        <v>176</v>
      </c>
      <c r="EO167" s="308">
        <v>3</v>
      </c>
      <c r="EP167" s="308" t="s">
        <v>176</v>
      </c>
      <c r="EQ167" s="308" t="s">
        <v>176</v>
      </c>
      <c r="ER167" s="308" t="s">
        <v>176</v>
      </c>
      <c r="ES167" s="308" t="s">
        <v>176</v>
      </c>
      <c r="ET167" s="308" t="s">
        <v>176</v>
      </c>
      <c r="EU167" s="308" t="s">
        <v>176</v>
      </c>
      <c r="EV167" s="308" t="s">
        <v>176</v>
      </c>
      <c r="EW167" s="308" t="s">
        <v>176</v>
      </c>
      <c r="EX167" s="308" t="s">
        <v>176</v>
      </c>
      <c r="EY167" s="308">
        <v>2</v>
      </c>
      <c r="EZ167" s="308">
        <v>2</v>
      </c>
      <c r="FA167" s="308">
        <v>2</v>
      </c>
      <c r="FB167" s="308">
        <v>3</v>
      </c>
      <c r="FC167" s="308" t="s">
        <v>176</v>
      </c>
      <c r="FD167" s="308">
        <v>2</v>
      </c>
      <c r="FE167" s="308">
        <v>3</v>
      </c>
      <c r="FF167" s="308">
        <v>3</v>
      </c>
      <c r="FG167" s="308">
        <v>2</v>
      </c>
      <c r="FH167" s="308">
        <v>3</v>
      </c>
      <c r="FI167" s="308">
        <v>2</v>
      </c>
      <c r="FJ167" s="308">
        <v>2</v>
      </c>
      <c r="FK167" s="308">
        <v>3</v>
      </c>
      <c r="FL167" s="308">
        <v>2</v>
      </c>
      <c r="FM167" s="308">
        <v>3</v>
      </c>
      <c r="FN167" s="308">
        <v>3</v>
      </c>
      <c r="FO167" s="308">
        <v>3</v>
      </c>
      <c r="FP167" s="308">
        <v>2</v>
      </c>
      <c r="FQ167" s="308" t="s">
        <v>176</v>
      </c>
      <c r="FR167" s="308" t="s">
        <v>176</v>
      </c>
      <c r="FS167" s="308" t="s">
        <v>160</v>
      </c>
      <c r="FT167" s="308" t="s">
        <v>176</v>
      </c>
      <c r="FU167" s="308" t="s">
        <v>176</v>
      </c>
      <c r="FV167" s="308" t="s">
        <v>176</v>
      </c>
      <c r="FW167" s="308" t="s">
        <v>176</v>
      </c>
      <c r="FX167" s="308" t="s">
        <v>176</v>
      </c>
      <c r="FY167" s="308" t="s">
        <v>160</v>
      </c>
      <c r="FZ167" s="308" t="s">
        <v>176</v>
      </c>
      <c r="GA167" s="308" t="s">
        <v>176</v>
      </c>
      <c r="GB167" s="308" t="s">
        <v>176</v>
      </c>
      <c r="GC167" s="308" t="s">
        <v>160</v>
      </c>
      <c r="GD167" s="308" t="s">
        <v>176</v>
      </c>
      <c r="GE167" s="308" t="s">
        <v>176</v>
      </c>
      <c r="GF167" s="308" t="s">
        <v>176</v>
      </c>
      <c r="GG167" s="308" t="s">
        <v>176</v>
      </c>
      <c r="GH167" s="308" t="s">
        <v>176</v>
      </c>
      <c r="GI167" s="308" t="s">
        <v>176</v>
      </c>
      <c r="GJ167" s="308" t="s">
        <v>176</v>
      </c>
      <c r="GK167" s="321" t="s">
        <v>176</v>
      </c>
      <c r="GL167" s="311">
        <f>SUM(G167:FP167)</f>
        <v>143</v>
      </c>
      <c r="GM167" s="132"/>
    </row>
    <row r="168" spans="1:195" s="197" customFormat="1" ht="23.25" customHeight="1" thickBot="1" x14ac:dyDescent="0.3">
      <c r="A168" s="138" t="s">
        <v>227</v>
      </c>
      <c r="B168" s="618"/>
      <c r="C168" s="138" t="str">
        <f>C167</f>
        <v>AS</v>
      </c>
      <c r="D168" s="138">
        <v>328</v>
      </c>
      <c r="E168" s="564"/>
      <c r="F168" s="312" t="s">
        <v>166</v>
      </c>
      <c r="G168" s="313">
        <f>IF(INDEX(tab_MinKomp[Przepisy BHP / BHP Vorschriften],MATCH($B167,tab_MinKomp[[Stanowisko / Position ]:[Stanowisko / Position ]],0))="n/a","n/a",G167-INDEX(tab_MinKomp[Przepisy BHP / BHP Vorschriften],MATCH($B167,tab_MinKomp[[Stanowisko / Position ]:[Stanowisko / Position ]],0)))</f>
        <v>1</v>
      </c>
      <c r="H168" s="314">
        <f>IF(INDEX(tab_MinKomp[Przepisy PPOŻ / Brandschutzbestimmungen],MATCH($B167,tab_MinKomp[[Stanowisko / Position ]:[Stanowisko / Position ]],0))="n/a","n/a",H167-INDEX(tab_MinKomp[Przepisy PPOŻ / Brandschutzbestimmungen],MATCH($B167,tab_MinKomp[[Stanowisko / Position ]:[Stanowisko / Position ]],0)))</f>
        <v>1</v>
      </c>
      <c r="I168" s="314">
        <f>IF(INDEX(tab_MinKomp[Ryzyko zawodowe na stanowiskach pracyv/ Berufliche Risiken an Arbeitsstellen],MATCH($B167,tab_MinKomp[[Stanowisko / Position ]:[Stanowisko / Position ]],0))="n/a","n/a",I167-INDEX(tab_MinKomp[Ryzyko zawodowe na stanowiskach pracyv/ Berufliche Risiken an Arbeitsstellen],MATCH($B167,tab_MinKomp[[Stanowisko / Position ]:[Stanowisko / Position ]],0)))</f>
        <v>0</v>
      </c>
      <c r="J168" s="314">
        <f>IF(INDEX(tab_MinKomp[Gospodarka substancjami niebezpiecznymi / Gefahrstoffmanagement],MATCH($B167,tab_MinKomp[[Stanowisko / Position ]:[Stanowisko / Position ]],0))="n/a","n/a",J167-INDEX(tab_MinKomp[Gospodarka substancjami niebezpiecznymi / Gefahrstoffmanagement],MATCH($B167,tab_MinKomp[[Stanowisko / Position ]:[Stanowisko / Position ]],0)))</f>
        <v>1</v>
      </c>
      <c r="K168" s="314">
        <f>IF(INDEX(tab_MinKomp[Gospodarka odpadami / Abfallwirtschaft],MATCH($B167,tab_MinKomp[[Stanowisko / Position ]:[Stanowisko / Position ]],0))="n/a","n/a",K167-INDEX(tab_MinKomp[Gospodarka odpadami / Abfallwirtschaft],MATCH($B167,tab_MinKomp[[Stanowisko / Position ]:[Stanowisko / Position ]],0)))</f>
        <v>1</v>
      </c>
      <c r="L168" s="315">
        <f>IF(INDEX(tab_MinKomp[Przepisy kodeksu pracy / Bestimmungen des Arbeitsgesetzes],MATCH($B167,tab_MinKomp[[Stanowisko / Position ]:[Stanowisko / Position ]],0))="n/a","n/a",L167-INDEX(tab_MinKomp[Przepisy kodeksu pracy / Bestimmungen des Arbeitsgesetzes],MATCH($B167,tab_MinKomp[[Stanowisko / Position ]:[Stanowisko / Position ]],0)))</f>
        <v>2</v>
      </c>
      <c r="M168" s="316" t="str">
        <f>IF(INDEX(tab_MinKomp[Przepisy o ub.społ. ZUS  / Sozialversicherungsvorschriften],MATCH($B167,tab_MinKomp[[Stanowisko / Position ]:[Stanowisko / Position ]],0))="n/a","n/a",M167-INDEX(tab_MinKomp[Przepisy o ub.społ. ZUS  / Sozialversicherungsvorschriften],MATCH($B167,tab_MinKomp[[Stanowisko / Position ]:[Stanowisko / Position ]],0)))</f>
        <v>n/a</v>
      </c>
      <c r="N168" s="315" t="str">
        <f>IF(INDEX(tab_MinKomp[PRZEPISY O PDOF /persönlich Einkommensteuergesetz ],MATCH($B167,tab_MinKomp[[Stanowisko / Position ]:[Stanowisko / Position ]],0))="n/a","n/a",N167-INDEX(tab_MinKomp[PRZEPISY O PDOF /persönlich Einkommensteuergesetz ],MATCH($B167,tab_MinKomp[[Stanowisko / Position ]:[Stanowisko / Position ]],0)))</f>
        <v>n/a</v>
      </c>
      <c r="O168" s="315">
        <f>IF(INDEX(tab_MinKomp[Regulamin pracy / Arbeitsordnung],MATCH($B167,tab_MinKomp[[Stanowisko / Position ]:[Stanowisko / Position ]],0))="n/a","n/a",O167-INDEX(tab_MinKomp[Regulamin pracy / Arbeitsordnung],MATCH($B167,tab_MinKomp[[Stanowisko / Position ]:[Stanowisko / Position ]],0)))</f>
        <v>1</v>
      </c>
      <c r="P168" s="315">
        <f>IF(INDEX(tab_MinKomp[Regulamin wynagradzania / Vergütungsordnung],MATCH($B167,tab_MinKomp[[Stanowisko / Position ]:[Stanowisko / Position ]],0))="n/a","n/a",P167-INDEX(tab_MinKomp[Regulamin wynagradzania / Vergütungsordnung],MATCH($B167,tab_MinKomp[[Stanowisko / Position ]:[Stanowisko / Position ]],0)))</f>
        <v>0</v>
      </c>
      <c r="Q168" s="315" t="str">
        <f>IF(INDEX(tab_MinKomp[System R2PŁATNIK PRO: Płace / Lohnabrechnung],MATCH($B167,tab_MinKomp[[Stanowisko / Position ]:[Stanowisko / Position ]],0))="n/a","n/a",Q167-INDEX(tab_MinKomp[System R2PŁATNIK PRO: Płace / Lohnabrechnung],MATCH($B167,tab_MinKomp[[Stanowisko / Position ]:[Stanowisko / Position ]],0)))</f>
        <v>n/a</v>
      </c>
      <c r="R168" s="315" t="str">
        <f>IF(INDEX(tab_MinKomp[SystemR2PŁATNIK PRO: KADRY / Personaldaten],MATCH($B167,tab_MinKomp[[Stanowisko / Position ]:[Stanowisko / Position ]],0))="n/a","n/a",R167-INDEX(tab_MinKomp[SystemR2PŁATNIK PRO: KADRY / Personaldaten],MATCH($B167,tab_MinKomp[[Stanowisko / Position ]:[Stanowisko / Position ]],0)))</f>
        <v>n/a</v>
      </c>
      <c r="S168" s="315">
        <f>IF(INDEX(tab_MinKomp[SYSTEM R2PŁATNIK PRO: zarządzanie pracownikami / Arbeitsverwaltung],MATCH($B167,tab_MinKomp[[Stanowisko / Position ]:[Stanowisko / Position ]],0))="n/a","n/a",S167-INDEX(tab_MinKomp[SYSTEM R2PŁATNIK PRO: zarządzanie pracownikami / Arbeitsverwaltung],MATCH($B167,tab_MinKomp[[Stanowisko / Position ]:[Stanowisko / Position ]],0)))</f>
        <v>1</v>
      </c>
      <c r="T168" s="315">
        <f>IF(INDEX(tab_MinKomp[Doradztwo, wsparcie personalne / Personalberatung und Unterstützung],MATCH($B167,tab_MinKomp[[Stanowisko / Position ]:[Stanowisko / Position ]],0))="n/a","n/a",T167-INDEX(tab_MinKomp[Doradztwo, wsparcie personalne / Personalberatung und Unterstützung],MATCH($B167,tab_MinKomp[[Stanowisko / Position ]:[Stanowisko / Position ]],0)))</f>
        <v>1</v>
      </c>
      <c r="U168" s="315" t="str">
        <f>IF(INDEX(tab_MinKomp[Przepisy o podatku VAT / MwSt.- Gesetz],MATCH($B167,tab_MinKomp[[Stanowisko / Position ]:[Stanowisko / Position ]],0))="n/a","n/a",U167-INDEX(tab_MinKomp[Przepisy o podatku VAT / MwSt.- Gesetz],MATCH($B167,tab_MinKomp[[Stanowisko / Position ]:[Stanowisko / Position ]],0)))</f>
        <v>n/a</v>
      </c>
      <c r="V168" s="315" t="str">
        <f>IF(INDEX(tab_MinKomp[PrzepisyPDOP / geschäftlich Einkommensteuergesetz],MATCH($B167,tab_MinKomp[[Stanowisko / Position ]:[Stanowisko / Position ]],0))="n/a","n/a",V167-INDEX(tab_MinKomp[PrzepisyPDOP / geschäftlich Einkommensteuergesetz],MATCH($B167,tab_MinKomp[[Stanowisko / Position ]:[Stanowisko / Position ]],0)))</f>
        <v>n/a</v>
      </c>
      <c r="W168" s="315" t="str">
        <f>IF(INDEX(tab_MinKomp[System BAAN / FINANSE (FIBU)],MATCH($B167,tab_MinKomp[[Stanowisko / Position ]:[Stanowisko / Position ]],0))="n/a","n/a",W167-INDEX(tab_MinKomp[System BAAN / FINANSE (FIBU)],MATCH($B167,tab_MinKomp[[Stanowisko / Position ]:[Stanowisko / Position ]],0)))</f>
        <v>n/a</v>
      </c>
      <c r="X168" s="315" t="str">
        <f>IF(INDEX(tab_MinKomp[Polityka rachunkowości / Buchführungspolitik],MATCH($B167,tab_MinKomp[[Stanowisko / Position ]:[Stanowisko / Position ]],0))="n/a","n/a",X167-INDEX(tab_MinKomp[Polityka rachunkowości / Buchführungspolitik],MATCH($B167,tab_MinKomp[[Stanowisko / Position ]:[Stanowisko / Position ]],0)))</f>
        <v>n/a</v>
      </c>
      <c r="Y168" s="315" t="str">
        <f>IF(INDEX(tab_MinKomp[Polityka rachunkowości / Buchführungspolitik],MATCH($B167,tab_MinKomp[[Stanowisko / Position ]:[Stanowisko / Position ]],0))="n/a","n/a",Y167-INDEX(tab_MinKomp[Polityka rachunkowości / Buchführungspolitik],MATCH($B167,tab_MinKomp[[Stanowisko / Position ]:[Stanowisko / Position ]],0)))</f>
        <v>n/a</v>
      </c>
      <c r="Z168" s="315" t="str">
        <f>IF(INDEX(tab_MinKomp[Ustawa o rachunkowości / Rechnungslegungsgesetz],MATCH($B167,tab_MinKomp[[Stanowisko / Position ]:[Stanowisko / Position ]],0))="n/a","n/a",Z167-INDEX(tab_MinKomp[Ustawa o rachunkowości / Rechnungslegungsgesetz],MATCH($B167,tab_MinKomp[[Stanowisko / Position ]:[Stanowisko / Position ]],0)))</f>
        <v>n/a</v>
      </c>
      <c r="AA168" s="315" t="str">
        <f>IF(INDEX(tab_MinKomp[WORKFLOW - TS-100],MATCH($B167,tab_MinKomp[[Stanowisko / Position ]:[Stanowisko / Position ]],0))="n/a","n/a",AA167-INDEX(tab_MinKomp[WORKFLOW - TS-100],MATCH($B167,tab_MinKomp[[Stanowisko / Position ]:[Stanowisko / Position ]],0)))</f>
        <v>n/a</v>
      </c>
      <c r="AB168" s="315">
        <f>IF(INDEX(tab_MinKomp[WORKFLOW - SFMS],MATCH($B167,tab_MinKomp[[Stanowisko / Position ]:[Stanowisko / Position ]],0))="n/a","n/a",AB167-INDEX(tab_MinKomp[WORKFLOW - SFMS],MATCH($B167,tab_MinKomp[[Stanowisko / Position ]:[Stanowisko / Position ]],0)))</f>
        <v>1</v>
      </c>
      <c r="AC168" s="315">
        <f>IF(INDEX(tab_MinKomp[System ISO 9001:2015],MATCH($B167,tab_MinKomp[[Stanowisko / Position ]:[Stanowisko / Position ]],0))="n/a","n/a",AC167-INDEX(tab_MinKomp[System ISO 9001:2015],MATCH($B167,tab_MinKomp[[Stanowisko / Position ]:[Stanowisko / Position ]],0)))</f>
        <v>2</v>
      </c>
      <c r="AD168" s="315">
        <f>IF(INDEX(tab_MinKomp[System IATF 16949:2016],MATCH($B167,tab_MinKomp[[Stanowisko / Position ]:[Stanowisko / Position ]],0))="n/a","n/a",AD167-INDEX(tab_MinKomp[System IATF 16949:2016],MATCH($B167,tab_MinKomp[[Stanowisko / Position ]:[Stanowisko / Position ]],0)))</f>
        <v>1</v>
      </c>
      <c r="AE168" s="315">
        <f>IF(INDEX(tab_MinKomp[System ISO 14001:2015],MATCH($B167,tab_MinKomp[[Stanowisko / Position ]:[Stanowisko / Position ]],0))="n/a","n/a",AE167-INDEX(tab_MinKomp[System ISO 14001:2015],MATCH($B167,tab_MinKomp[[Stanowisko / Position ]:[Stanowisko / Position ]],0)))</f>
        <v>1</v>
      </c>
      <c r="AF168" s="315">
        <f>IF(INDEX(tab_MinKomp[System PN-N 18001:2004 / ISO 45001:2018],MATCH($B167,tab_MinKomp[[Stanowisko / Position ]:[Stanowisko / Position ]],0))="n/a","n/a",AF167-INDEX(tab_MinKomp[System PN-N 18001:2004 / ISO 45001:2018],MATCH($B167,tab_MinKomp[[Stanowisko / Position ]:[Stanowisko / Position ]],0)))</f>
        <v>1</v>
      </c>
      <c r="AG168" s="315">
        <f>IF(INDEX(tab_MinKomp[Wymagania VDA 6.3 Process / Forderungen],MATCH($B167,tab_MinKomp[[Stanowisko / Position ]:[Stanowisko / Position ]],0))="n/a","n/a",AG167-INDEX(tab_MinKomp[Wymagania VDA 6.3 Process / Forderungen],MATCH($B167,tab_MinKomp[[Stanowisko / Position ]:[Stanowisko / Position ]],0)))</f>
        <v>0</v>
      </c>
      <c r="AH168" s="315">
        <f>IF(INDEX(tab_MinKomp[Wymagania VDA 6.5 Product / Forderungen],MATCH($B167,tab_MinKomp[[Stanowisko / Position ]:[Stanowisko / Position ]],0))="n/a","n/a",AH167-INDEX(tab_MinKomp[Wymagania VDA 6.5 Product / Forderungen],MATCH($B167,tab_MinKomp[[Stanowisko / Position ]:[Stanowisko / Position ]],0)))</f>
        <v>0</v>
      </c>
      <c r="AI168" s="315" t="str">
        <f>IF(INDEX(tab_MinKomp[PSCR (VW Product Safety &amp; Conformity Representative)],MATCH($B167,tab_MinKomp[[Stanowisko / Position ]:[Stanowisko / Position ]],0))="n/a","n/a",AI167-INDEX(tab_MinKomp[PSCR (VW Product Safety &amp; Conformity Representative)],MATCH($B167,tab_MinKomp[[Stanowisko / Position ]:[Stanowisko / Position ]],0)))</f>
        <v>n/a</v>
      </c>
      <c r="AJ168" s="315" t="str">
        <f>IF(INDEX(tab_MinKomp[Auditor systemu ISO 17025:2018],MATCH($B167,tab_MinKomp[[Stanowisko / Position ]:[Stanowisko / Position ]],0))="n/a","n/a",AJ167-INDEX(tab_MinKomp[Auditor systemu ISO 17025:2018],MATCH($B167,tab_MinKomp[[Stanowisko / Position ]:[Stanowisko / Position ]],0)))</f>
        <v>n/a</v>
      </c>
      <c r="AK168" s="315" t="str">
        <f>IF(INDEX(tab_MinKomp[Pełnomocnik systemu / Systemvertreter],MATCH($B167,tab_MinKomp[[Stanowisko / Position ]:[Stanowisko / Position ]],0))="n/a","n/a",AK167-INDEX(tab_MinKomp[Pełnomocnik systemu / Systemvertreter],MATCH($B167,tab_MinKomp[[Stanowisko / Position ]:[Stanowisko / Position ]],0)))</f>
        <v>n/a</v>
      </c>
      <c r="AL168" s="315">
        <f>IF(INDEX(tab_MinKomp[Polityka Etyczna - Compliance],MATCH($B167,tab_MinKomp[[Stanowisko / Position ]:[Stanowisko / Position ]],0))="n/a","n/a",AL167-INDEX(tab_MinKomp[Polityka Etyczna - Compliance],MATCH($B167,tab_MinKomp[[Stanowisko / Position ]:[Stanowisko / Position ]],0)))</f>
        <v>0</v>
      </c>
      <c r="AM168" s="315">
        <f>IF(INDEX(tab_MinKomp[WDRAŻANIE NOWYCH PROJEKTÓW/ PROCEDURA CTM],MATCH($B167,tab_MinKomp[[Stanowisko / Position ]:[Stanowisko / Position ]],0))="n/a","n/a",AM167-INDEX(tab_MinKomp[WDRAŻANIE NOWYCH PROJEKTÓW/ PROCEDURA CTM],MATCH($B167,tab_MinKomp[[Stanowisko / Position ]:[Stanowisko / Position ]],0)))</f>
        <v>0</v>
      </c>
      <c r="AN168" s="315" t="str">
        <f>IF(INDEX(tab_MinKomp[KAMIENIE MILOWE MSL/PIFF],MATCH($B167,tab_MinKomp[[Stanowisko / Position ]:[Stanowisko / Position ]],0))="n/a","n/a",AN167-INDEX(tab_MinKomp[KAMIENIE MILOWE MSL/PIFF],MATCH($B167,tab_MinKomp[[Stanowisko / Position ]:[Stanowisko / Position ]],0)))</f>
        <v>n/a</v>
      </c>
      <c r="AO168" s="315">
        <f>IF(INDEX(tab_MinKomp[CP],MATCH($B167,tab_MinKomp[[Stanowisko / Position ]:[Stanowisko / Position ]],0))="n/a","n/a",AO167-INDEX(tab_MinKomp[CP],MATCH($B167,tab_MinKomp[[Stanowisko / Position ]:[Stanowisko / Position ]],0)))</f>
        <v>1</v>
      </c>
      <c r="AP168" s="315">
        <f>IF(INDEX(tab_MinKomp[FMEA],MATCH($B167,tab_MinKomp[[Stanowisko / Position ]:[Stanowisko / Position ]],0))="n/a","n/a",AP167-INDEX(tab_MinKomp[FMEA],MATCH($B167,tab_MinKomp[[Stanowisko / Position ]:[Stanowisko / Position ]],0)))</f>
        <v>2</v>
      </c>
      <c r="AQ168" s="315">
        <f>IF(INDEX(tab_MinKomp[FLOW CHART],MATCH($B167,tab_MinKomp[[Stanowisko / Position ]:[Stanowisko / Position ]],0))="n/a","n/a",AQ167-INDEX(tab_MinKomp[FLOW CHART],MATCH($B167,tab_MinKomp[[Stanowisko / Position ]:[Stanowisko / Position ]],0)))</f>
        <v>1</v>
      </c>
      <c r="AR168" s="315" t="str">
        <f>IF(INDEX(tab_MinKomp[APQP],MATCH($B167,tab_MinKomp[[Stanowisko / Position ]:[Stanowisko / Position ]],0))="n/a","n/a",AR167-INDEX(tab_MinKomp[APQP],MATCH($B167,tab_MinKomp[[Stanowisko / Position ]:[Stanowisko / Position ]],0)))</f>
        <v>n/a</v>
      </c>
      <c r="AS168" s="315" t="str">
        <f>IF(INDEX(tab_MinKomp[MSA],MATCH($B167,tab_MinKomp[[Stanowisko / Position ]:[Stanowisko / Position ]],0))="n/a","n/a",AS167-INDEX(tab_MinKomp[MSA],MATCH($B167,tab_MinKomp[[Stanowisko / Position ]:[Stanowisko / Position ]],0)))</f>
        <v>n/a</v>
      </c>
      <c r="AT168" s="315" t="str">
        <f>IF(INDEX(tab_MinKomp[SPC],MATCH($B167,tab_MinKomp[[Stanowisko / Position ]:[Stanowisko / Position ]],0))="n/a","n/a",AT167-INDEX(tab_MinKomp[SPC],MATCH($B167,tab_MinKomp[[Stanowisko / Position ]:[Stanowisko / Position ]],0)))</f>
        <v>n/a</v>
      </c>
      <c r="AU168" s="315">
        <f>IF(INDEX(tab_MinKomp[CSR (SPECYFICZNE WYMAGANIA KLIENTA)],MATCH($B167,tab_MinKomp[[Stanowisko / Position ]:[Stanowisko / Position ]],0))="n/a","n/a",AU167-INDEX(tab_MinKomp[CSR (SPECYFICZNE WYMAGANIA KLIENTA)],MATCH($B167,tab_MinKomp[[Stanowisko / Position ]:[Stanowisko / Position ]],0)))</f>
        <v>0</v>
      </c>
      <c r="AV168" s="315">
        <f>IF(INDEX(tab_MinKomp[5S],MATCH($B167,tab_MinKomp[[Stanowisko / Position ]:[Stanowisko / Position ]],0))="n/a","n/a",AV167-INDEX(tab_MinKomp[5S],MATCH($B167,tab_MinKomp[[Stanowisko / Position ]:[Stanowisko / Position ]],0)))</f>
        <v>-1</v>
      </c>
      <c r="AW168" s="315">
        <f>IF(INDEX(tab_MinKomp[LEAN MANAGEMENT],MATCH($B167,tab_MinKomp[[Stanowisko / Position ]:[Stanowisko / Position ]],0))="n/a","n/a",AW167-INDEX(tab_MinKomp[LEAN MANAGEMENT],MATCH($B167,tab_MinKomp[[Stanowisko / Position ]:[Stanowisko / Position ]],0)))</f>
        <v>-1</v>
      </c>
      <c r="AX168" s="315">
        <f>IF(INDEX(tab_MinKomp[5R],MATCH($B167,tab_MinKomp[[Stanowisko / Position ]:[Stanowisko / Position ]],0))="n/a","n/a",AX167-INDEX(tab_MinKomp[5R],MATCH($B167,tab_MinKomp[[Stanowisko / Position ]:[Stanowisko / Position ]],0)))</f>
        <v>0</v>
      </c>
      <c r="AY168" s="315">
        <f>IF(INDEX(tab_MinKomp[Six Sigma],MATCH($B167,tab_MinKomp[[Stanowisko / Position ]:[Stanowisko / Position ]],0))="n/a","n/a",AY167-INDEX(tab_MinKomp[Six Sigma],MATCH($B167,tab_MinKomp[[Stanowisko / Position ]:[Stanowisko / Position ]],0)))</f>
        <v>-1</v>
      </c>
      <c r="AZ168" s="315">
        <f>IF(INDEX(tab_MinKomp[System BAAN / Distribution &amp; Supply Chain],MATCH($B167,tab_MinKomp[[Stanowisko / Position ]:[Stanowisko / Position ]],0))="n/a","n/a",AZ167-INDEX(tab_MinKomp[System BAAN / Distribution &amp; Supply Chain],MATCH($B167,tab_MinKomp[[Stanowisko / Position ]:[Stanowisko / Position ]],0)))</f>
        <v>0</v>
      </c>
      <c r="BA168" s="315" t="str">
        <f>IF(INDEX(tab_MinKomp[Gospodarka magazynowa / Lagerverwaltung],MATCH($B167,tab_MinKomp[[Stanowisko / Position ]:[Stanowisko / Position ]],0))="n/a","n/a",BA167-INDEX(tab_MinKomp[Gospodarka magazynowa / Lagerverwaltung],MATCH($B167,tab_MinKomp[[Stanowisko / Position ]:[Stanowisko / Position ]],0)))</f>
        <v>n/a</v>
      </c>
      <c r="BB168" s="315" t="str">
        <f>IF(INDEX(tab_MinKomp[Inwentaryzacja - organizacja i przebieg / Inventurprozess],MATCH($B167,tab_MinKomp[[Stanowisko / Position ]:[Stanowisko / Position ]],0))="n/a","n/a",BB167-INDEX(tab_MinKomp[Inwentaryzacja - organizacja i przebieg / Inventurprozess],MATCH($B167,tab_MinKomp[[Stanowisko / Position ]:[Stanowisko / Position ]],0)))</f>
        <v>n/a</v>
      </c>
      <c r="BC168" s="315" t="str">
        <f>IF(INDEX(tab_MinKomp[Organizacja dostaw / Versorgungsorganisation],MATCH($B167,tab_MinKomp[[Stanowisko / Position ]:[Stanowisko / Position ]],0))="n/a","n/a",BC167-INDEX(tab_MinKomp[Organizacja dostaw / Versorgungsorganisation],MATCH($B167,tab_MinKomp[[Stanowisko / Position ]:[Stanowisko / Position ]],0)))</f>
        <v>n/a</v>
      </c>
      <c r="BD168" s="315" t="str">
        <f>IF(INDEX(tab_MinKomp[Organizacja wysyłek / Organisation von Lieferungen],MATCH($B167,tab_MinKomp[[Stanowisko / Position ]:[Stanowisko / Position ]],0))="n/a","n/a",BD167-INDEX(tab_MinKomp[Organizacja wysyłek / Organisation von Lieferungen],MATCH($B167,tab_MinKomp[[Stanowisko / Position ]:[Stanowisko / Position ]],0)))</f>
        <v>n/a</v>
      </c>
      <c r="BE168" s="315" t="str">
        <f>IF(INDEX(tab_MinKomp[Analiza magazynowa - Program Polen.mdb / Inventuranalyse],MATCH($B167,tab_MinKomp[[Stanowisko / Position ]:[Stanowisko / Position ]],0))="n/a","n/a",BE167-INDEX(tab_MinKomp[Analiza magazynowa - Program Polen.mdb / Inventuranalyse],MATCH($B167,tab_MinKomp[[Stanowisko / Position ]:[Stanowisko / Position ]],0)))</f>
        <v>n/a</v>
      </c>
      <c r="BF168" s="315" t="str">
        <f>IF(INDEX(tab_MinKomp[MMOG (Materials Management Operations Guidelines)],MATCH($B167,tab_MinKomp[[Stanowisko / Position ]:[Stanowisko / Position ]],0))="n/a","n/a",BF167-INDEX(tab_MinKomp[MMOG (Materials Management Operations Guidelines)],MATCH($B167,tab_MinKomp[[Stanowisko / Position ]:[Stanowisko / Position ]],0)))</f>
        <v>n/a</v>
      </c>
      <c r="BG168" s="315" t="str">
        <f>IF(INDEX(tab_MinKomp[GPP],MATCH($B167,tab_MinKomp[[Stanowisko / Position ]:[Stanowisko / Position ]],0))="n/a","n/a",BG167-INDEX(tab_MinKomp[GPP],MATCH($B167,tab_MinKomp[[Stanowisko / Position ]:[Stanowisko / Position ]],0)))</f>
        <v>n/a</v>
      </c>
      <c r="BH168" s="315" t="str">
        <f>IF(INDEX(tab_MinKomp[AIAG (Automotive Industry Action Group)],MATCH($B167,tab_MinKomp[[Stanowisko / Position ]:[Stanowisko / Position ]],0))="n/a","n/a",BH167-INDEX(tab_MinKomp[AIAG (Automotive Industry Action Group)],MATCH($B167,tab_MinKomp[[Stanowisko / Position ]:[Stanowisko / Position ]],0)))</f>
        <v>n/a</v>
      </c>
      <c r="BI168" s="315" t="str">
        <f>IF(INDEX(tab_MinKomp[Super-G disputes],MATCH($B167,tab_MinKomp[[Stanowisko / Position ]:[Stanowisko / Position ]],0))="n/a","n/a",BI167-INDEX(tab_MinKomp[Super-G disputes],MATCH($B167,tab_MinKomp[[Stanowisko / Position ]:[Stanowisko / Position ]],0)))</f>
        <v>n/a</v>
      </c>
      <c r="BJ168" s="315" t="str">
        <f>IF(INDEX(tab_MinKomp[CMMS3/eDDL (Direct Data Link)],MATCH($B167,tab_MinKomp[[Stanowisko / Position ]:[Stanowisko / Position ]],0))="n/a","n/a",BJ167-INDEX(tab_MinKomp[CMMS3/eDDL (Direct Data Link)],MATCH($B167,tab_MinKomp[[Stanowisko / Position ]:[Stanowisko / Position ]],0)))</f>
        <v>n/a</v>
      </c>
      <c r="BK168" s="315" t="str">
        <f>IF(INDEX(tab_MinKomp[MP&amp;L (Material Planning and Logistics)],MATCH($B167,tab_MinKomp[[Stanowisko / Position ]:[Stanowisko / Position ]],0))="n/a","n/a",BK167-INDEX(tab_MinKomp[MP&amp;L (Material Planning and Logistics)],MATCH($B167,tab_MinKomp[[Stanowisko / Position ]:[Stanowisko / Position ]],0)))</f>
        <v>n/a</v>
      </c>
      <c r="BL168" s="315" t="str">
        <f>IF(INDEX(tab_MinKomp[Supplier delivery rating],MATCH($B167,tab_MinKomp[[Stanowisko / Position ]:[Stanowisko / Position ]],0))="n/a","n/a",BL167-INDEX(tab_MinKomp[Supplier delivery rating],MATCH($B167,tab_MinKomp[[Stanowisko / Position ]:[Stanowisko / Position ]],0)))</f>
        <v>n/a</v>
      </c>
      <c r="BM168" s="315">
        <f>IF(INDEX(tab_MinKomp[Planowanie produkcji / Produktionsplanung],MATCH($B167,tab_MinKomp[[Stanowisko / Position ]:[Stanowisko / Position ]],0))="n/a","n/a",BM167-INDEX(tab_MinKomp[Planowanie produkcji / Produktionsplanung],MATCH($B167,tab_MinKomp[[Stanowisko / Position ]:[Stanowisko / Position ]],0)))</f>
        <v>0</v>
      </c>
      <c r="BN168" s="315">
        <f>IF(INDEX(tab_MinKomp[Obsługa maszyn Engel / Engel Maschinenbedienung],MATCH($B167,tab_MinKomp[[Stanowisko / Position ]:[Stanowisko / Position ]],0))="n/a","n/a",BN167-INDEX(tab_MinKomp[Obsługa maszyn Engel / Engel Maschinenbedienung],MATCH($B167,tab_MinKomp[[Stanowisko / Position ]:[Stanowisko / Position ]],0)))</f>
        <v>2</v>
      </c>
      <c r="BO168" s="315">
        <f>IF(INDEX(tab_MinKomp[Obsługa maszyn Novapax / Novapax Maschinenbedienung],MATCH($B167,tab_MinKomp[[Stanowisko / Position ]:[Stanowisko / Position ]],0))="n/a","n/a",BO167-INDEX(tab_MinKomp[Obsługa maszyn Novapax / Novapax Maschinenbedienung],MATCH($B167,tab_MinKomp[[Stanowisko / Position ]:[Stanowisko / Position ]],0)))</f>
        <v>1</v>
      </c>
      <c r="BP168" s="315">
        <f>IF(INDEX(tab_MinKomp[Obsługa maszyn KVT / KVT Maschinenbedienung],MATCH($B167,tab_MinKomp[[Stanowisko / Position ]:[Stanowisko / Position ]],0))="n/a","n/a",BP167-INDEX(tab_MinKomp[Obsługa maszyn KVT / KVT Maschinenbedienung],MATCH($B167,tab_MinKomp[[Stanowisko / Position ]:[Stanowisko / Position ]],0)))</f>
        <v>1</v>
      </c>
      <c r="BQ168" s="315">
        <f>IF(INDEX(tab_MinKomp[Obsługa maszyn ASL / ASL Maschinenbedienung],MATCH($B167,tab_MinKomp[[Stanowisko / Position ]:[Stanowisko / Position ]],0))="n/a","n/a",BQ167-INDEX(tab_MinKomp[Obsługa maszyn ASL / ASL Maschinenbedienung],MATCH($B167,tab_MinKomp[[Stanowisko / Position ]:[Stanowisko / Position ]],0)))</f>
        <v>1</v>
      </c>
      <c r="BR168" s="315">
        <f>IF(INDEX(tab_MinKomp[Obsługa maszyn Branson / Branson Maschinenbedienung],MATCH($B167,tab_MinKomp[[Stanowisko / Position ]:[Stanowisko / Position ]],0))="n/a","n/a",BR167-INDEX(tab_MinKomp[Obsługa maszyn Branson / Branson Maschinenbedienung],MATCH($B167,tab_MinKomp[[Stanowisko / Position ]:[Stanowisko / Position ]],0)))</f>
        <v>1</v>
      </c>
      <c r="BS168" s="315">
        <f>IF(INDEX(tab_MinKomp[Obsługa maszyn Kamtec / Kamtec Maschinenbedienung],MATCH($B167,tab_MinKomp[[Stanowisko / Position ]:[Stanowisko / Position ]],0))="n/a","n/a",BS167-INDEX(tab_MinKomp[Obsługa maszyn Kamtec / Kamtec Maschinenbedienung],MATCH($B167,tab_MinKomp[[Stanowisko / Position ]:[Stanowisko / Position ]],0)))</f>
        <v>1</v>
      </c>
      <c r="BT168" s="315">
        <f>IF(INDEX(tab_MinKomp[Obsługa maszyn Piovan / Piovan Maschinenbedienung],MATCH($B167,tab_MinKomp[[Stanowisko / Position ]:[Stanowisko / Position ]],0))="n/a","n/a",BT167-INDEX(tab_MinKomp[Obsługa maszyn Piovan / Piovan Maschinenbedienung],MATCH($B167,tab_MinKomp[[Stanowisko / Position ]:[Stanowisko / Position ]],0)))</f>
        <v>1</v>
      </c>
      <c r="BU168" s="315">
        <f>IF(INDEX(tab_MinKomp[Obsługa maszyn REP / REP Maschinenbedienung],MATCH($B167,tab_MinKomp[[Stanowisko / Position ]:[Stanowisko / Position ]],0))="n/a","n/a",BU167-INDEX(tab_MinKomp[Obsługa maszyn REP / REP Maschinenbedienung],MATCH($B167,tab_MinKomp[[Stanowisko / Position ]:[Stanowisko / Position ]],0)))</f>
        <v>2</v>
      </c>
      <c r="BV168" s="315" t="str">
        <f>IF(INDEX(tab_MinKomp[Informatyka ogólna (techniczne i systemowe) / Allgemeine IT (Technik und System)],MATCH($B167,tab_MinKomp[[Stanowisko / Position ]:[Stanowisko / Position ]],0))="n/a","n/a",BV167-INDEX(tab_MinKomp[Informatyka ogólna (techniczne i systemowe) / Allgemeine IT (Technik und System)],MATCH($B167,tab_MinKomp[[Stanowisko / Position ]:[Stanowisko / Position ]],0)))</f>
        <v>n/a</v>
      </c>
      <c r="BW168" s="315" t="str">
        <f>IF(INDEX(tab_MinKomp[Informatyka ogólna (techniczne i systemowe) / Allgemeine IT (Technik und System)],MATCH($B167,tab_MinKomp[[Stanowisko / Position ]:[Stanowisko / Position ]],0))="n/a","n/a",BW167-INDEX(tab_MinKomp[Informatyka ogólna (techniczne i systemowe) / Allgemeine IT (Technik und System)],MATCH($B167,tab_MinKomp[[Stanowisko / Position ]:[Stanowisko / Position ]],0)))</f>
        <v>n/a</v>
      </c>
      <c r="BX168" s="315" t="str">
        <f>IF(INDEX(tab_MinKomp[Sieci komputerowe / Computernetzwerke],MATCH($B167,tab_MinKomp[[Stanowisko / Position ]:[Stanowisko / Position ]],0))="n/a","n/a",BX167-INDEX(tab_MinKomp[Sieci komputerowe / Computernetzwerke],MATCH($B167,tab_MinKomp[[Stanowisko / Position ]:[Stanowisko / Position ]],0)))</f>
        <v>n/a</v>
      </c>
      <c r="BY168" s="315" t="str">
        <f>IF(INDEX(tab_MinKomp[Hardware (komputery PC, drukarki biurowe i etykietowe, telefonia stacjonarna i mobilna) (PC, Drucker, Telefpne, Handys)],MATCH($B167,tab_MinKomp[[Stanowisko / Position ]:[Stanowisko / Position ]],0))="n/a","n/a",BY167-INDEX(tab_MinKomp[Hardware (komputery PC, drukarki biurowe i etykietowe, telefonia stacjonarna i mobilna) (PC, Drucker, Telefpne, Handys)],MATCH($B167,tab_MinKomp[[Stanowisko / Position ]:[Stanowisko / Position ]],0)))</f>
        <v>n/a</v>
      </c>
      <c r="BZ168" s="315" t="str">
        <f>IF(INDEX(tab_MinKomp[Software &amp; Systems (MS Office, MS Remote Desktop)],MATCH($B167,tab_MinKomp[[Stanowisko / Position ]:[Stanowisko / Position ]],0))="n/a","n/a",BZ167-INDEX(tab_MinKomp[Software &amp; Systems (MS Office, MS Remote Desktop)],MATCH($B167,tab_MinKomp[[Stanowisko / Position ]:[Stanowisko / Position ]],0)))</f>
        <v>n/a</v>
      </c>
      <c r="CA168" s="315" t="str">
        <f>IF(INDEX(tab_MinKomp[Programowanie obiektowe (PHP) / Objektprogrammierung],MATCH($B167,tab_MinKomp[[Stanowisko / Position ]:[Stanowisko / Position ]],0))="n/a","n/a",CA167-INDEX(tab_MinKomp[Programowanie obiektowe (PHP) / Objektprogrammierung],MATCH($B167,tab_MinKomp[[Stanowisko / Position ]:[Stanowisko / Position ]],0)))</f>
        <v>n/a</v>
      </c>
      <c r="CB168" s="315" t="str">
        <f>IF(INDEX(tab_MinKomp[Scrum],MATCH($B167,tab_MinKomp[[Stanowisko / Position ]:[Stanowisko / Position ]],0))="n/a","n/a",CB167-INDEX(tab_MinKomp[Scrum],MATCH($B167,tab_MinKomp[[Stanowisko / Position ]:[Stanowisko / Position ]],0)))</f>
        <v>n/a</v>
      </c>
      <c r="CC168" s="315" t="str">
        <f>IF(INDEX(tab_MinKomp[SQL (MySQL)],MATCH($B167,tab_MinKomp[[Stanowisko / Position ]:[Stanowisko / Position ]],0))="n/a","n/a",CC167-INDEX(tab_MinKomp[SQL (MySQL)],MATCH($B167,tab_MinKomp[[Stanowisko / Position ]:[Stanowisko / Position ]],0)))</f>
        <v>n/a</v>
      </c>
      <c r="CD168" s="315" t="str">
        <f>IF(INDEX(tab_MinKomp[Javascript],MATCH($B167,tab_MinKomp[[Stanowisko / Position ]:[Stanowisko / Position ]],0))="n/a","n/a",CD167-INDEX(tab_MinKomp[Javascript],MATCH($B167,tab_MinKomp[[Stanowisko / Position ]:[Stanowisko / Position ]],0)))</f>
        <v>n/a</v>
      </c>
      <c r="CE168" s="315" t="str">
        <f>IF(INDEX(tab_MinKomp[Joomla],MATCH($B167,tab_MinKomp[[Stanowisko / Position ]:[Stanowisko / Position ]],0))="n/a","n/a",CE167-INDEX(tab_MinKomp[Joomla],MATCH($B167,tab_MinKomp[[Stanowisko / Position ]:[Stanowisko / Position ]],0)))</f>
        <v>n/a</v>
      </c>
      <c r="CF168" s="315" t="str">
        <f>IF(INDEX(tab_MinKomp[Bash],MATCH($B167,tab_MinKomp[[Stanowisko / Position ]:[Stanowisko / Position ]],0))="n/a","n/a",CF167-INDEX(tab_MinKomp[Bash],MATCH($B167,tab_MinKomp[[Stanowisko / Position ]:[Stanowisko / Position ]],0)))</f>
        <v>n/a</v>
      </c>
      <c r="CG168" s="315" t="str">
        <f>IF(INDEX(tab_MinKomp[Systemy MES (HYDRA / SFMS)],MATCH($B167,tab_MinKomp[[Stanowisko / Position ]:[Stanowisko / Position ]],0))="n/a","n/a",CG167-INDEX(tab_MinKomp[Systemy MES (HYDRA / SFMS)],MATCH($B167,tab_MinKomp[[Stanowisko / Position ]:[Stanowisko / Position ]],0)))</f>
        <v>n/a</v>
      </c>
      <c r="CH168" s="315" t="str">
        <f>IF(INDEX(tab_MinKomp[HTML / CSS],MATCH($B167,tab_MinKomp[[Stanowisko / Position ]:[Stanowisko / Position ]],0))="n/a","n/a",CH167-INDEX(tab_MinKomp[HTML / CSS],MATCH($B167,tab_MinKomp[[Stanowisko / Position ]:[Stanowisko / Position ]],0)))</f>
        <v>n/a</v>
      </c>
      <c r="CI168" s="315">
        <f>IF(INDEX(tab_MinKomp[SYSTEM PR],MATCH($B167,tab_MinKomp[[Stanowisko / Position ]:[Stanowisko / Position ]],0))="n/a","n/a",CI167-INDEX(tab_MinKomp[SYSTEM PR],MATCH($B167,tab_MinKomp[[Stanowisko / Position ]:[Stanowisko / Position ]],0)))</f>
        <v>1</v>
      </c>
      <c r="CJ168" s="315" t="str">
        <f>IF(INDEX(tab_MinKomp[System Einkauf XP / EBA],MATCH($B167,tab_MinKomp[[Stanowisko / Position ]:[Stanowisko / Position ]],0))="n/a","n/a",CJ167-INDEX(tab_MinKomp[System Einkauf XP / EBA],MATCH($B167,tab_MinKomp[[Stanowisko / Position ]:[Stanowisko / Position ]],0)))</f>
        <v>n/a</v>
      </c>
      <c r="CK168" s="315" t="str">
        <f>IF(INDEX(tab_MinKomp[Techniki negocjacyjne / Verhandlungstechniken],MATCH($B167,tab_MinKomp[[Stanowisko / Position ]:[Stanowisko / Position ]],0))="n/a","n/a",CK167-INDEX(tab_MinKomp[Techniki negocjacyjne / Verhandlungstechniken],MATCH($B167,tab_MinKomp[[Stanowisko / Position ]:[Stanowisko / Position ]],0)))</f>
        <v>n/a</v>
      </c>
      <c r="CL168" s="315" t="str">
        <f>IF(INDEX(tab_MinKomp[Znajomość rynku branżowego / Kenntnis des Industrie Marktes],MATCH($B167,tab_MinKomp[[Stanowisko / Position ]:[Stanowisko / Position ]],0))="n/a","n/a",CL167-INDEX(tab_MinKomp[Znajomość rynku branżowego / Kenntnis des Industrie Marktes],MATCH($B167,tab_MinKomp[[Stanowisko / Position ]:[Stanowisko / Position ]],0)))</f>
        <v>n/a</v>
      </c>
      <c r="CM168" s="315">
        <f>IF(INDEX(tab_MinKomp[RAPORTY 8D / 8D Berichten],MATCH($B167,tab_MinKomp[[Stanowisko / Position ]:[Stanowisko / Position ]],0))="n/a","n/a",CM167-INDEX(tab_MinKomp[RAPORTY 8D / 8D Berichten],MATCH($B167,tab_MinKomp[[Stanowisko / Position ]:[Stanowisko / Position ]],0)))</f>
        <v>-1</v>
      </c>
      <c r="CN168" s="315">
        <f>IF(INDEX(tab_MinKomp[NARZĘDZIA JAKOŚCIOWE (5WHY, Ishikawa, etc) / QS-Werkzeuge],MATCH($B167,tab_MinKomp[[Stanowisko / Position ]:[Stanowisko / Position ]],0))="n/a","n/a",CN167-INDEX(tab_MinKomp[NARZĘDZIA JAKOŚCIOWE (5WHY, Ishikawa, etc) / QS-Werkzeuge],MATCH($B167,tab_MinKomp[[Stanowisko / Position ]:[Stanowisko / Position ]],0)))</f>
        <v>0</v>
      </c>
      <c r="CO168" s="315">
        <f>IF(INDEX(tab_MinKomp[PDCA],MATCH($B167,tab_MinKomp[[Stanowisko / Position ]:[Stanowisko / Position ]],0))="n/a","n/a",CO167-INDEX(tab_MinKomp[PDCA],MATCH($B167,tab_MinKomp[[Stanowisko / Position ]:[Stanowisko / Position ]],0)))</f>
        <v>0</v>
      </c>
      <c r="CP168" s="315">
        <f>IF(INDEX(tab_MinKomp[Pareto],MATCH($B167,tab_MinKomp[[Stanowisko / Position ]:[Stanowisko / Position ]],0))="n/a","n/a",CP167-INDEX(tab_MinKomp[Pareto],MATCH($B167,tab_MinKomp[[Stanowisko / Position ]:[Stanowisko / Position ]],0)))</f>
        <v>0</v>
      </c>
      <c r="CQ168" s="315" t="str">
        <f>IF(INDEX(tab_MinKomp[PPAP/PSW],MATCH($B167,tab_MinKomp[[Stanowisko / Position ]:[Stanowisko / Position ]],0))="n/a","n/a",CQ167-INDEX(tab_MinKomp[PPAP/PSW],MATCH($B167,tab_MinKomp[[Stanowisko / Position ]:[Stanowisko / Position ]],0)))</f>
        <v>n/a</v>
      </c>
      <c r="CR168" s="315" t="str">
        <f>IF(INDEX(tab_MinKomp[Informatyka ogólna (techniczne i systemowe) / Allgemeine IT (Technik und System)],MATCH($B167,tab_MinKomp[[Stanowisko / Position ]:[Stanowisko / Position ]],0))="n/a","n/a",CR167-INDEX(tab_MinKomp[Informatyka ogólna (techniczne i systemowe) / Allgemeine IT (Technik und System)],MATCH($B167,tab_MinKomp[[Stanowisko / Position ]:[Stanowisko / Position ]],0)))</f>
        <v>n/a</v>
      </c>
      <c r="CS168" s="315" t="str">
        <f>IF(INDEX(tab_MinKomp[Obsługa systemu BABTECQ / BABTECQ System],MATCH($B167,tab_MinKomp[[Stanowisko / Position ]:[Stanowisko / Position ]],0))="n/a","n/a",CS167-INDEX(tab_MinKomp[Obsługa systemu BABTECQ / BABTECQ System],MATCH($B167,tab_MinKomp[[Stanowisko / Position ]:[Stanowisko / Position ]],0)))</f>
        <v>n/a</v>
      </c>
      <c r="CT168" s="315" t="str">
        <f>IF(INDEX(tab_MinKomp[Obsługa systemu BABTECQ / BABTECQ System],MATCH($B167,tab_MinKomp[[Stanowisko / Position ]:[Stanowisko / Position ]],0))="n/a","n/a",CT167-INDEX(tab_MinKomp[Obsługa systemu BABTECQ / BABTECQ System],MATCH($B167,tab_MinKomp[[Stanowisko / Position ]:[Stanowisko / Position ]],0)))</f>
        <v>n/a</v>
      </c>
      <c r="CU168" s="315">
        <f>IF(INDEX(tab_MinKomp[Rysunek techniczny / technische Zeichnung],MATCH($B167,tab_MinKomp[[Stanowisko / Position ]:[Stanowisko / Position ]],0))="n/a","n/a",CU167-INDEX(tab_MinKomp[Rysunek techniczny / technische Zeichnung],MATCH($B167,tab_MinKomp[[Stanowisko / Position ]:[Stanowisko / Position ]],0)))</f>
        <v>2</v>
      </c>
      <c r="CV168" s="315" t="str">
        <f>IF(INDEX(tab_MinKomp[Kalibracja / Kalibrierung],MATCH($B167,tab_MinKomp[[Stanowisko / Position ]:[Stanowisko / Position ]],0))="n/a","n/a",CV167-INDEX(tab_MinKomp[Kalibracja / Kalibrierung],MATCH($B167,tab_MinKomp[[Stanowisko / Position ]:[Stanowisko / Position ]],0)))</f>
        <v>n/a</v>
      </c>
      <c r="CW168" s="315" t="str">
        <f>IF(INDEX(tab_MinKomp[Rekwalifikacja / Requalifizierung],MATCH($B167,tab_MinKomp[[Stanowisko / Position ]:[Stanowisko / Position ]],0))="n/a","n/a",CW167-INDEX(tab_MinKomp[Rekwalifikacja / Requalifizierung],MATCH($B167,tab_MinKomp[[Stanowisko / Position ]:[Stanowisko / Position ]],0)))</f>
        <v>n/a</v>
      </c>
      <c r="CX168" s="315" t="s">
        <v>176</v>
      </c>
      <c r="CY168" s="315" t="s">
        <v>176</v>
      </c>
      <c r="CZ168" s="315" t="s">
        <v>176</v>
      </c>
      <c r="DA168" s="315" t="s">
        <v>176</v>
      </c>
      <c r="DB168" s="315" t="s">
        <v>176</v>
      </c>
      <c r="DC168" s="315" t="s">
        <v>176</v>
      </c>
      <c r="DD168" s="315" t="s">
        <v>176</v>
      </c>
      <c r="DE168" s="315" t="s">
        <v>176</v>
      </c>
      <c r="DF168" s="315" t="s">
        <v>176</v>
      </c>
      <c r="DG168" s="315" t="s">
        <v>176</v>
      </c>
      <c r="DH168" s="315" t="s">
        <v>176</v>
      </c>
      <c r="DI168" s="315" t="s">
        <v>176</v>
      </c>
      <c r="DJ168" s="315" t="s">
        <v>176</v>
      </c>
      <c r="DK168" s="315" t="s">
        <v>176</v>
      </c>
      <c r="DL168" s="315" t="s">
        <v>176</v>
      </c>
      <c r="DM168" s="315" t="s">
        <v>176</v>
      </c>
      <c r="DN168" s="315" t="s">
        <v>176</v>
      </c>
      <c r="DO168" s="315" t="s">
        <v>176</v>
      </c>
      <c r="DP168" s="315" t="s">
        <v>176</v>
      </c>
      <c r="DQ168" s="315" t="s">
        <v>176</v>
      </c>
      <c r="DR168" s="315" t="s">
        <v>176</v>
      </c>
      <c r="DS168" s="315" t="s">
        <v>176</v>
      </c>
      <c r="DT168" s="315" t="s">
        <v>176</v>
      </c>
      <c r="DU168" s="315" t="str">
        <f>IF(INDEX(tab_MinKomp[MSA i SPC],MATCH($B167,tab_MinKomp[[Stanowisko / Position ]:[Stanowisko / Position ]],0))="n/a","n/a",DU167-INDEX(tab_MinKomp[MSA i SPC],MATCH($B167,tab_MinKomp[[Stanowisko / Position ]:[Stanowisko / Position ]],0)))</f>
        <v>n/a</v>
      </c>
      <c r="DV168" s="315" t="str">
        <f>IF(INDEX(tab_MinKomp[Kontrola wejściowa komponentów/ Eingangskontrolle],MATCH($B167,tab_MinKomp[[Stanowisko / Position ]:[Stanowisko / Position ]],0))="n/a","n/a",DV167-INDEX(tab_MinKomp[Kontrola wejściowa komponentów/ Eingangskontrolle],MATCH($B167,tab_MinKomp[[Stanowisko / Position ]:[Stanowisko / Position ]],0)))</f>
        <v>n/a</v>
      </c>
      <c r="DW168" s="315" t="str">
        <f>IF(INDEX(tab_MinKomp[Kontrola wyjściowa produktu / Ausgangskontrolle],MATCH($B167,tab_MinKomp[[Stanowisko / Position ]:[Stanowisko / Position ]],0))="n/a","n/a",DW167-INDEX(tab_MinKomp[Kontrola wyjściowa produktu / Ausgangskontrolle],MATCH($B167,tab_MinKomp[[Stanowisko / Position ]:[Stanowisko / Position ]],0)))</f>
        <v>n/a</v>
      </c>
      <c r="DX168" s="315" t="str">
        <f>IF(INDEX(tab_MinKomp[Kontrola codzienna produkcji / Tägliche Produktionskontrolle],MATCH($B167,tab_MinKomp[[Stanowisko / Position ]:[Stanowisko / Position ]],0))="n/a","n/a",DX167-INDEX(tab_MinKomp[Kontrola codzienna produkcji / Tägliche Produktionskontrolle],MATCH($B167,tab_MinKomp[[Stanowisko / Position ]:[Stanowisko / Position ]],0)))</f>
        <v>n/a</v>
      </c>
      <c r="DY168" s="315" t="str">
        <f>IF(INDEX(tab_MinKomp[Konserwacja Rep],MATCH($B167,tab_MinKomp[[Stanowisko / Position ]:[Stanowisko / Position ]],0))="n/a","n/a",DY167-INDEX(tab_MinKomp[Konserwacja Rep],MATCH($B167,tab_MinKomp[[Stanowisko / Position ]:[Stanowisko / Position ]],0)))</f>
        <v>n/a</v>
      </c>
      <c r="DZ168" s="315" t="str">
        <f>IF(INDEX(tab_MinKomp[[Konserwacja Engel ]],MATCH($B167,tab_MinKomp[[Stanowisko / Position ]:[Stanowisko / Position ]],0))="n/a","n/a",DZ167-INDEX(tab_MinKomp[[Konserwacja Engel ]],MATCH($B167,tab_MinKomp[[Stanowisko / Position ]:[Stanowisko / Position ]],0)))</f>
        <v>n/a</v>
      </c>
      <c r="EA168" s="315" t="str">
        <f>IF(INDEX(tab_MinKomp[Konserwacja B 50],MATCH($B167,tab_MinKomp[[Stanowisko / Position ]:[Stanowisko / Position ]],0))="n/a","n/a",EA167-INDEX(tab_MinKomp[Konserwacja B 50],MATCH($B167,tab_MinKomp[[Stanowisko / Position ]:[Stanowisko / Position ]],0)))</f>
        <v>n/a</v>
      </c>
      <c r="EB168" s="315" t="str">
        <f>IF(INDEX(tab_MinKomp[[Konserwacja EOL ]],MATCH($B167,tab_MinKomp[[Stanowisko / Position ]:[Stanowisko / Position ]],0))="n/a","n/a",EB167-INDEX(tab_MinKomp[[Konserwacja EOL ]],MATCH($B167,tab_MinKomp[[Stanowisko / Position ]:[Stanowisko / Position ]],0)))</f>
        <v>n/a</v>
      </c>
      <c r="EC168" s="315" t="str">
        <f>IF(INDEX(tab_MinKomp[Konserwacja Branson],MATCH($B167,tab_MinKomp[[Stanowisko / Position ]:[Stanowisko / Position ]],0))="n/a","n/a",EC167-INDEX(tab_MinKomp[Konserwacja Branson],MATCH($B167,tab_MinKomp[[Stanowisko / Position ]:[Stanowisko / Position ]],0)))</f>
        <v>n/a</v>
      </c>
      <c r="ED168" s="315" t="str">
        <f>IF(INDEX(tab_MinKomp[Konserwacja coolery],MATCH($B167,tab_MinKomp[[Stanowisko / Position ]:[Stanowisko / Position ]],0))="n/a","n/a",ED167-INDEX(tab_MinKomp[Konserwacja coolery],MATCH($B167,tab_MinKomp[[Stanowisko / Position ]:[Stanowisko / Position ]],0)))</f>
        <v>n/a</v>
      </c>
      <c r="EE168" s="315" t="str">
        <f>IF(INDEX(tab_MinKomp[Konserwacja piecy],MATCH($B167,tab_MinKomp[[Stanowisko / Position ]:[Stanowisko / Position ]],0))="n/a","n/a",EE167-INDEX(tab_MinKomp[Konserwacja piecy],MATCH($B167,tab_MinKomp[[Stanowisko / Position ]:[Stanowisko / Position ]],0)))</f>
        <v>n/a</v>
      </c>
      <c r="EF168" s="315" t="str">
        <f>IF(INDEX(tab_MinKomp[Rysunek techniczny- czytanie],MATCH($B167,tab_MinKomp[[Stanowisko / Position ]:[Stanowisko / Position ]],0))="n/a","n/a",EF167-INDEX(tab_MinKomp[Rysunek techniczny- czytanie],MATCH($B167,tab_MinKomp[[Stanowisko / Position ]:[Stanowisko / Position ]],0)))</f>
        <v>n/a</v>
      </c>
      <c r="EG168" s="315" t="str">
        <f>IF(INDEX(tab_MinKomp[Elektryka],MATCH($B167,tab_MinKomp[[Stanowisko / Position ]:[Stanowisko / Position ]],0))="n/a","n/a",EG167-INDEX(tab_MinKomp[Elektryka],MATCH($B167,tab_MinKomp[[Stanowisko / Position ]:[Stanowisko / Position ]],0)))</f>
        <v>n/a</v>
      </c>
      <c r="EH168" s="315" t="str">
        <f>IF(INDEX(tab_MinKomp[Pneumatyka],MATCH($B167,tab_MinKomp[[Stanowisko / Position ]:[Stanowisko / Position ]],0))="n/a","n/a",EH167-INDEX(tab_MinKomp[Pneumatyka],MATCH($B167,tab_MinKomp[[Stanowisko / Position ]:[Stanowisko / Position ]],0)))</f>
        <v>n/a</v>
      </c>
      <c r="EI168" s="315" t="str">
        <f>IF(INDEX(tab_MinKomp[[Hydraulika ]],MATCH($B167,tab_MinKomp[[Stanowisko / Position ]:[Stanowisko / Position ]],0))="n/a","n/a",EI167-INDEX(tab_MinKomp[[Hydraulika ]],MATCH($B167,tab_MinKomp[[Stanowisko / Position ]:[Stanowisko / Position ]],0)))</f>
        <v>n/a</v>
      </c>
      <c r="EJ168" s="315" t="str">
        <f>IF(INDEX(tab_MinKomp[Podciśnienie],MATCH($B167,tab_MinKomp[[Stanowisko / Position ]:[Stanowisko / Position ]],0))="n/a","n/a",EJ167-INDEX(tab_MinKomp[Podciśnienie],MATCH($B167,tab_MinKomp[[Stanowisko / Position ]:[Stanowisko / Position ]],0)))</f>
        <v>n/a</v>
      </c>
      <c r="EK168" s="315" t="str">
        <f>IF(INDEX(tab_MinKomp[Usuwanie awarii],MATCH($B167,tab_MinKomp[[Stanowisko / Position ]:[Stanowisko / Position ]],0))="n/a","n/a",EK167-INDEX(tab_MinKomp[Usuwanie awarii],MATCH($B167,tab_MinKomp[[Stanowisko / Position ]:[Stanowisko / Position ]],0)))</f>
        <v>n/a</v>
      </c>
      <c r="EL168" s="315" t="str">
        <f>IF(INDEX(tab_MinKomp[Obsługa robotów],MATCH($B167,tab_MinKomp[[Stanowisko / Position ]:[Stanowisko / Position ]],0))="n/a","n/a",EL167-INDEX(tab_MinKomp[Obsługa robotów],MATCH($B167,tab_MinKomp[[Stanowisko / Position ]:[Stanowisko / Position ]],0)))</f>
        <v>n/a</v>
      </c>
      <c r="EM168" s="315" t="str">
        <f>IF(INDEX(tab_MinKomp[Obsługa sterowania maszyny],MATCH($B167,tab_MinKomp[[Stanowisko / Position ]:[Stanowisko / Position ]],0))="n/a","n/a",EM167-INDEX(tab_MinKomp[Obsługa sterowania maszyny],MATCH($B167,tab_MinKomp[[Stanowisko / Position ]:[Stanowisko / Position ]],0)))</f>
        <v>n/a</v>
      </c>
      <c r="EN168" s="315" t="str">
        <f>IF(INDEX(tab_MinKomp[Usuwanie przyczyn żródłowych],MATCH($B167,tab_MinKomp[[Stanowisko / Position ]:[Stanowisko / Position ]],0))="n/a","n/a",EN167-INDEX(tab_MinKomp[Usuwanie przyczyn żródłowych],MATCH($B167,tab_MinKomp[[Stanowisko / Position ]:[Stanowisko / Position ]],0)))</f>
        <v>n/a</v>
      </c>
      <c r="EO168" s="315">
        <f>IF(INDEX(tab_MinKomp[Cmms stosowanie],MATCH($B167,tab_MinKomp[[Stanowisko / Position ]:[Stanowisko / Position ]],0))="n/a","n/a",EO167-INDEX(tab_MinKomp[Cmms stosowanie],MATCH($B167,tab_MinKomp[[Stanowisko / Position ]:[Stanowisko / Position ]],0)))</f>
        <v>1</v>
      </c>
      <c r="EP168" s="315" t="str">
        <f>IF(INDEX(tab_MinKomp[[Czyszczenie form gumowych ]],MATCH($B167,tab_MinKomp[[Stanowisko / Position ]:[Stanowisko / Position ]],0))="n/a","n/a",EP167-INDEX(tab_MinKomp[[Czyszczenie form gumowych ]],MATCH($B167,tab_MinKomp[[Stanowisko / Position ]:[Stanowisko / Position ]],0)))</f>
        <v>n/a</v>
      </c>
      <c r="EQ168" s="315" t="str">
        <f>IF(INDEX(tab_MinKomp[Czyszczenie form plastikowych],MATCH($B167,tab_MinKomp[[Stanowisko / Position ]:[Stanowisko / Position ]],0))="n/a","n/a",EQ167-INDEX(tab_MinKomp[Czyszczenie form plastikowych],MATCH($B167,tab_MinKomp[[Stanowisko / Position ]:[Stanowisko / Position ]],0)))</f>
        <v>n/a</v>
      </c>
      <c r="ER168" s="315" t="str">
        <f>IF(INDEX(tab_MinKomp[Wymiana form plastik],MATCH($B167,tab_MinKomp[[Stanowisko / Position ]:[Stanowisko / Position ]],0))="n/a","n/a",ER167-INDEX(tab_MinKomp[Wymiana form plastik],MATCH($B167,tab_MinKomp[[Stanowisko / Position ]:[Stanowisko / Position ]],0)))</f>
        <v>n/a</v>
      </c>
      <c r="ES168" s="315" t="str">
        <f>IF(INDEX(tab_MinKomp[Wymiana form guma],MATCH($B167,tab_MinKomp[[Stanowisko / Position ]:[Stanowisko / Position ]],0))="n/a","n/a",ES167-INDEX(tab_MinKomp[Wymiana form guma],MATCH($B167,tab_MinKomp[[Stanowisko / Position ]:[Stanowisko / Position ]],0)))</f>
        <v>n/a</v>
      </c>
      <c r="ET168" s="315" t="str">
        <f>IF(INDEX(tab_MinKomp[Konserwacja KK],MATCH($B167,tab_MinKomp[[Stanowisko / Position ]:[Stanowisko / Position ]],0))="n/a","n/a",ET167-INDEX(tab_MinKomp[Konserwacja KK],MATCH($B167,tab_MinKomp[[Stanowisko / Position ]:[Stanowisko / Position ]],0)))</f>
        <v>n/a</v>
      </c>
      <c r="EU168" s="315" t="str">
        <f>IF(INDEX(tab_MinKomp[Konserwacja form guma],MATCH($B167,tab_MinKomp[[Stanowisko / Position ]:[Stanowisko / Position ]],0))="n/a","n/a",EU167-INDEX(tab_MinKomp[Konserwacja form guma],MATCH($B167,tab_MinKomp[[Stanowisko / Position ]:[Stanowisko / Position ]],0)))</f>
        <v>n/a</v>
      </c>
      <c r="EV168" s="315" t="str">
        <f>IF(INDEX(tab_MinKomp[Konserwacja form plastiki],MATCH($B167,tab_MinKomp[[Stanowisko / Position ]:[Stanowisko / Position ]],0))="n/a","n/a",EV167-INDEX(tab_MinKomp[Konserwacja form plastiki],MATCH($B167,tab_MinKomp[[Stanowisko / Position ]:[Stanowisko / Position ]],0)))</f>
        <v>n/a</v>
      </c>
      <c r="EW168" s="330" t="str">
        <f>IF(INDEX(tab_MinKomp[Konserwacja form plastiki],MATCH($B167,tab_MinKomp[[Stanowisko / Position ]:[Stanowisko / Position ]],0))="n/a","n/a",EW167-INDEX(tab_MinKomp[Konserwacja form plastiki],MATCH($B167,tab_MinKomp[[Stanowisko / Position ]:[Stanowisko / Position ]],0)))</f>
        <v>n/a</v>
      </c>
      <c r="EX168" s="315" t="str">
        <f>IF(INDEX(tab_MinKomp[Konserwacja Gorącego Kanału],MATCH($B167,tab_MinKomp[[Stanowisko / Position ]:[Stanowisko / Position ]],0))="n/a","n/a",EX167-INDEX(tab_MinKomp[Konserwacja Gorącego Kanału],MATCH($B167,tab_MinKomp[[Stanowisko / Position ]:[Stanowisko / Position ]],0)))</f>
        <v>n/a</v>
      </c>
      <c r="EY168" s="315">
        <f>IF(INDEX(tab_MinKomp[MS Office (Excel)],MATCH($B167,tab_MinKomp[[Stanowisko / Position ]:[Stanowisko / Position ]],0))="n/a","n/a",EY167-INDEX(tab_MinKomp[MS Office (Excel)],MATCH($B167,tab_MinKomp[[Stanowisko / Position ]:[Stanowisko / Position ]],0)))</f>
        <v>0</v>
      </c>
      <c r="EZ168" s="315">
        <f>IF(INDEX(tab_MinKomp[MS Office (Word)],MATCH($B167,tab_MinKomp[[Stanowisko / Position ]:[Stanowisko / Position ]],0))="n/a","n/a",EZ167-INDEX(tab_MinKomp[MS Office (Word)],MATCH($B167,tab_MinKomp[[Stanowisko / Position ]:[Stanowisko / Position ]],0)))</f>
        <v>0</v>
      </c>
      <c r="FA168" s="315">
        <f>IF(INDEX(tab_MinKomp[MS Office (Power Point)],MATCH($B167,tab_MinKomp[[Stanowisko / Position ]:[Stanowisko / Position ]],0))="n/a","n/a",FA167-INDEX(tab_MinKomp[MS Office (Power Point)],MATCH($B167,tab_MinKomp[[Stanowisko / Position ]:[Stanowisko / Position ]],0)))</f>
        <v>0</v>
      </c>
      <c r="FB168" s="317">
        <f>IF(INDEX(tab_MinKomp[Język angielski / Englisch],MATCH($B167,tab_MinKomp[[Stanowisko / Position ]:[Stanowisko / Position ]],0))="n/a","n/a",FB167-INDEX(tab_MinKomp[Język angielski / Englisch],MATCH($B167,tab_MinKomp[[Stanowisko / Position ]:[Stanowisko / Position ]],0)))</f>
        <v>2</v>
      </c>
      <c r="FC168" s="315" t="str">
        <f>IF(INDEX(tab_MinKomp[Konserwacja Gorącego Kanału],MATCH($B167,tab_MinKomp[[Stanowisko / Position ]:[Stanowisko / Position ]],0))="n/a","n/a",FC167-INDEX(tab_MinKomp[Konserwacja Gorącego Kanału],MATCH($B167,tab_MinKomp[[Stanowisko / Position ]:[Stanowisko / Position ]],0)))</f>
        <v>n/a</v>
      </c>
      <c r="FD168" s="315">
        <f>IF(INDEX(tab_MinKomp[Zarządzanie dokumentacją procesową / Process dokumentation management],MATCH($B167,tab_MinKomp[[Stanowisko / Position ]:[Stanowisko / Position ]],0))="n/a","n/a",FD167-INDEX(tab_MinKomp[Zarządzanie dokumentacją procesową / Process dokumentation management],MATCH($B167,tab_MinKomp[[Stanowisko / Position ]:[Stanowisko / Position ]],0)))</f>
        <v>-1</v>
      </c>
      <c r="FE168" s="315">
        <f>IF(INDEX(tab_MinKomp[Znajomość procesów z obszaru / Kenntiss der prozesse in dem Bereich],MATCH($B167,tab_MinKomp[[Stanowisko / Position ]:[Stanowisko / Position ]],0))="n/a","n/a",FE167-INDEX(tab_MinKomp[Znajomość procesów z obszaru / Kenntiss der prozesse in dem Bereich],MATCH($B167,tab_MinKomp[[Stanowisko / Position ]:[Stanowisko / Position ]],0)))</f>
        <v>0</v>
      </c>
      <c r="FF168" s="315">
        <f>IF(INDEX(tab_MinKomp[optymalizacja procesów / Prozessoptymalisierung],MATCH($B167,tab_MinKomp[[Stanowisko / Position ]:[Stanowisko / Position ]],0))="n/a","n/a",FF167-INDEX(tab_MinKomp[optymalizacja procesów / Prozessoptymalisierung],MATCH($B167,tab_MinKomp[[Stanowisko / Position ]:[Stanowisko / Position ]],0)))</f>
        <v>0</v>
      </c>
      <c r="FG168" s="315">
        <f>IF(INDEX(tab_MinKomp[Umiejętności szkoleniowe / Trainingsfähigkeiten],MATCH($B167,tab_MinKomp[[Stanowisko / Position ]:[Stanowisko / Position ]],0))="n/a","n/a",FG167-INDEX(tab_MinKomp[Umiejętności szkoleniowe / Trainingsfähigkeiten],MATCH($B167,tab_MinKomp[[Stanowisko / Position ]:[Stanowisko / Position ]],0)))</f>
        <v>-1</v>
      </c>
      <c r="FH168" s="315">
        <f>IF(INDEX(tab_MinKomp[Analityczne myślenie, podejście / Analitysches Denken, Einstellung],MATCH($B167,tab_MinKomp[[Stanowisko / Position ]:[Stanowisko / Position ]],0))="n/a","n/a",FH167-INDEX(tab_MinKomp[Analityczne myślenie, podejście / Analitysches Denken, Einstellung],MATCH($B167,tab_MinKomp[[Stanowisko / Position ]:[Stanowisko / Position ]],0)))</f>
        <v>0</v>
      </c>
      <c r="FI168" s="315">
        <f>IF(INDEX(tab_MinKomp[Dokładność, precyzja w dzialaniu / Genauigkeit, Präzision in die Arbeit],MATCH($B167,tab_MinKomp[[Stanowisko / Position ]:[Stanowisko / Position ]],0))="n/a","n/a",FI167-INDEX(tab_MinKomp[Dokładność, precyzja w dzialaniu / Genauigkeit, Präzision in die Arbeit],MATCH($B167,tab_MinKomp[[Stanowisko / Position ]:[Stanowisko / Position ]],0)))</f>
        <v>-1</v>
      </c>
      <c r="FJ168" s="315">
        <f>IF(INDEX(tab_MinKomp[Dyspozycyjność / Verfügbarkeit],MATCH($B167,tab_MinKomp[[Stanowisko / Position ]:[Stanowisko / Position ]],0))="n/a","n/a",FJ167-INDEX(tab_MinKomp[Dyspozycyjność / Verfügbarkeit],MATCH($B167,tab_MinKomp[[Stanowisko / Position ]:[Stanowisko / Position ]],0)))</f>
        <v>-1</v>
      </c>
      <c r="FK168" s="315">
        <f>IF(INDEX(tab_MinKomp[Zaangażowanie / 
Engagement],MATCH($B167,tab_MinKomp[[Stanowisko / Position ]:[Stanowisko / Position ]],0))="n/a","n/a",FK167-INDEX(tab_MinKomp[Zaangażowanie / 
Engagement],MATCH($B167,tab_MinKomp[[Stanowisko / Position ]:[Stanowisko / Position ]],0)))</f>
        <v>0</v>
      </c>
      <c r="FL168" s="315">
        <f>IF(INDEX(tab_MinKomp[Planowanie strategiczne / Strategische Planung],MATCH($B167,tab_MinKomp[[Stanowisko / Position ]:[Stanowisko / Position ]],0))="n/a","n/a",FL167-INDEX(tab_MinKomp[Planowanie strategiczne / Strategische Planung],MATCH($B167,tab_MinKomp[[Stanowisko / Position ]:[Stanowisko / Position ]],0)))</f>
        <v>-1</v>
      </c>
      <c r="FM168" s="315">
        <f>IF(INDEX(tab_MinKomp[Konsekwentne i dynamiczne działanie],MATCH($B167,tab_MinKomp[[Stanowisko / Position ]:[Stanowisko / Position ]],0))="n/a","n/a",FM167-INDEX(tab_MinKomp[Konsekwentne i dynamiczne działanie],MATCH($B167,tab_MinKomp[[Stanowisko / Position ]:[Stanowisko / Position ]],0)))</f>
        <v>0</v>
      </c>
      <c r="FN168" s="315">
        <f>IF(INDEX(tab_MinKomp[Elastyczność w działaniu],MATCH($B167,tab_MinKomp[[Stanowisko / Position ]:[Stanowisko / Position ]],0))="n/a","n/a",FN167-INDEX(tab_MinKomp[Elastyczność w działaniu],MATCH($B167,tab_MinKomp[[Stanowisko / Position ]:[Stanowisko / Position ]],0)))</f>
        <v>0</v>
      </c>
      <c r="FO168" s="315">
        <f>IF(INDEX(tab_MinKomp[Komunikatywność],MATCH($B167,tab_MinKomp[[Stanowisko / Position ]:[Stanowisko / Position ]],0))="n/a","n/a",FO167-INDEX(tab_MinKomp[Komunikatywność],MATCH($B167,tab_MinKomp[[Stanowisko / Position ]:[Stanowisko / Position ]],0)))</f>
        <v>0</v>
      </c>
      <c r="FP168" s="314">
        <f>IF(INDEX(tab_MinKomp[Motywowanie i budowanie zaangażowania zespołu],MATCH($B167,tab_MinKomp[[Stanowisko / Position ]:[Stanowisko / Position ]],0))="n/a","n/a",FP167-INDEX(tab_MinKomp[Motywowanie i budowanie zaangażowania zespołu],MATCH($B167,tab_MinKomp[[Stanowisko / Position ]:[Stanowisko / Position ]],0)))</f>
        <v>-1</v>
      </c>
      <c r="FQ168" s="318" t="str">
        <f>IFERROR(IF(INDEX(tab_MinKomp[BRAK / Keine],MATCH($B167,tab_MinKomp[[Stanowisko / Position ]:[Stanowisko / Position ]],0))="n/a","n/a",INDEX(tab_MinKomp[BRAK / Keine],MATCH($B167,tab_MinKomp[[Stanowisko / Position ]:[Stanowisko / Position ]],0))-FQ167),"")</f>
        <v>n/a</v>
      </c>
      <c r="FR168" s="315" t="str">
        <f>IF(INDEX(tab_MinKomp[MINIMUM 1 ROK / min. 1 Jahr],MATCH($B167,tab_MinKomp[[Stanowisko / Position ]:[Stanowisko / Position ]],0))="n/a","n/a",INDEX(tab_MinKomp[MINIMUM 1 ROK / min. 1 Jahr],MATCH($B167,tab_MinKomp[[Stanowisko / Position ]:[Stanowisko / Position ]],0)))</f>
        <v>n/a</v>
      </c>
      <c r="FS168" s="315" t="str">
        <f>IF(INDEX(tab_MinKomp[MINIMUM 2 LATA / min. 2 Jahre],MATCH($B167,tab_MinKomp[[Stanowisko / Position ]:[Stanowisko / Position ]],0))="n/a","n/a",INDEX(tab_MinKomp[MINIMUM 2 LATA / min. 2 Jahre],MATCH($B167,tab_MinKomp[[Stanowisko / Position ]:[Stanowisko / Position ]],0)))</f>
        <v>X</v>
      </c>
      <c r="FT168" s="315" t="str">
        <f>IF(INDEX(tab_MinKomp[MINIMUM 3 LATA / min. 3 Jahre],MATCH($B167,tab_MinKomp[[Stanowisko / Position ]:[Stanowisko / Position ]],0))="n/a","n/a",INDEX(tab_MinKomp[MINIMUM 3 LATA / min. 3 Jahre],MATCH($B167,tab_MinKomp[[Stanowisko / Position ]:[Stanowisko / Position ]],0)))</f>
        <v>n/a</v>
      </c>
      <c r="FU168" s="315" t="str">
        <f>IF(INDEX(tab_MinKomp[MINIMUM 4 LATA / min. 4 Jahre],MATCH($B167,tab_MinKomp[[Stanowisko / Position ]:[Stanowisko / Position ]],0))="n/a","n/a",INDEX(tab_MinKomp[MINIMUM 4 LATA / min. 4 Jahre],MATCH($B167,tab_MinKomp[[Stanowisko / Position ]:[Stanowisko / Position ]],0)))</f>
        <v>n/a</v>
      </c>
      <c r="FV168" s="319" t="str">
        <f>IF(INDEX(tab_MinKomp[MINIMUM 5 LAT / min. 5 Jahre],MATCH($B167,tab_MinKomp[[Stanowisko / Position ]:[Stanowisko / Position ]],0))="n/a","n/a",INDEX(tab_MinKomp[MINIMUM 5 LAT / min. 5 Jahre],MATCH($B167,tab_MinKomp[[Stanowisko / Position ]:[Stanowisko / Position ]],0)))</f>
        <v>n/a</v>
      </c>
      <c r="FW168" s="318" t="str">
        <f>IF(INDEX(tab_MinKomp[BRAK / Keine9],MATCH($B167,tab_MinKomp[[Stanowisko / Position ]:[Stanowisko / Position ]],0))="n/a","n/a",INDEX(tab_MinKomp[BRAK / Keine9],MATCH($B167,tab_MinKomp[[Stanowisko / Position ]:[Stanowisko / Position ]],0)))</f>
        <v>n/a</v>
      </c>
      <c r="FX168" s="315" t="str">
        <f>IF(INDEX(tab_MinKomp[ZAWODOWE / Berufsausbildung],MATCH($B167,tab_MinKomp[[Stanowisko / Position ]:[Stanowisko / Position ]],0))="n/a","n/a",INDEX(tab_MinKomp[ZAWODOWE / Berufsausbildung],MATCH($B167,tab_MinKomp[[Stanowisko / Position ]:[Stanowisko / Position ]],0)))</f>
        <v>n/a</v>
      </c>
      <c r="FY168" s="315" t="str">
        <f>IF(INDEX(tab_MinKomp[ŚREDNIE OGÓLNE / Abitur allgemeine],MATCH($B167,tab_MinKomp[[Stanowisko / Position ]:[Stanowisko / Position ]],0))="n/a","n/a",INDEX(tab_MinKomp[ŚREDNIE OGÓLNE / Abitur allgemeine],MATCH($B167,tab_MinKomp[[Stanowisko / Position ]:[Stanowisko / Position ]],0)))</f>
        <v>X</v>
      </c>
      <c r="FZ168" s="315" t="str">
        <f>IF(INDEX(tab_MinKomp[ŚREDNIE KIERUNKOWE / berufliches Gymnasium],MATCH($B167,tab_MinKomp[[Stanowisko / Position ]:[Stanowisko / Position ]],0))="n/a","n/a",INDEX(tab_MinKomp[ŚREDNIE KIERUNKOWE / berufliches Gymnasium],MATCH($B167,tab_MinKomp[[Stanowisko / Position ]:[Stanowisko / Position ]],0)))</f>
        <v>n/a</v>
      </c>
      <c r="GA168" s="315" t="str">
        <f>IF(INDEX(tab_MinKomp[WYŻSZE OGÓLNE / Hochschule allgemeine],MATCH($B167,tab_MinKomp[[Stanowisko / Position ]:[Stanowisko / Position ]],0))="n/a","n/a",INDEX(tab_MinKomp[WYŻSZE OGÓLNE / Hochschule allgemeine],MATCH($B167,tab_MinKomp[[Stanowisko / Position ]:[Stanowisko / Position ]],0)))</f>
        <v>n/a</v>
      </c>
      <c r="GB168" s="319" t="str">
        <f>IF(INDEX(tab_MinKomp[WYŻSZE KIERUNKOWE / Hochschule berufliche],MATCH($B167,tab_MinKomp[[Stanowisko / Position ]:[Stanowisko / Position ]],0))="n/a","n/a",INDEX(tab_MinKomp[WYŻSZE KIERUNKOWE / Hochschule berufliche],MATCH($B167,tab_MinKomp[[Stanowisko / Position ]:[Stanowisko / Position ]],0)))</f>
        <v>n/a</v>
      </c>
      <c r="GC168" s="308" t="s">
        <v>160</v>
      </c>
      <c r="GD168" s="315" t="str">
        <f>IF(INDEX(tab_MinKomp[Specjalista BHP / BHP Spezialist],MATCH($B167,tab_MinKomp[[Stanowisko / Position ]:[Stanowisko / Position ]],0))="n/a","n/a",INDEX(tab_MinKomp[Specjalista BHP / BHP Spezialist],MATCH($B167,tab_MinKomp[[Stanowisko / Position ]:[Stanowisko / Position ]],0)))</f>
        <v>n/a</v>
      </c>
      <c r="GE168" s="315" t="str">
        <f>IF(INDEX(tab_MinKomp[Inspektor ochrony PPOŻ / Brandschutzinspektor],MATCH($B167,tab_MinKomp[[Stanowisko / Position ]:[Stanowisko / Position ]],0))="n/a","n/a",INDEX(tab_MinKomp[Inspektor ochrony PPOŻ / Brandschutzinspektor],MATCH($B167,tab_MinKomp[[Stanowisko / Position ]:[Stanowisko / Position ]],0)))</f>
        <v>n/a</v>
      </c>
      <c r="GF168" s="315" t="s">
        <v>160</v>
      </c>
      <c r="GG168" s="315" t="str">
        <f>IF(INDEX(tab_MinKomp[SEP],MATCH($B167,tab_MinKomp[[Stanowisko / Position ]:[Stanowisko / Position ]],0))="n/a","n/a",INDEX(tab_MinKomp[SEP],MATCH($B167,tab_MinKomp[[Stanowisko / Position ]:[Stanowisko / Position ]],0)))</f>
        <v>n/a</v>
      </c>
      <c r="GH168" s="315" t="str">
        <f>IF(INDEX(tab_MinKomp[SEP  DOZÓR / SEP Aufsicht],MATCH($B167,tab_MinKomp[[Stanowisko / Position ]:[Stanowisko / Position ]],0))="n/a","n/a",INDEX(tab_MinKomp[SEP  DOZÓR / SEP Aufsicht],MATCH($B167,tab_MinKomp[[Stanowisko / Position ]:[Stanowisko / Position ]],0)))</f>
        <v>n/a</v>
      </c>
      <c r="GI168" s="315" t="str">
        <f>IF(INDEX(tab_MinKomp[PODNOŚNIKI / Hebevorrichtung],MATCH($B167,tab_MinKomp[[Stanowisko / Position ]:[Stanowisko / Position ]],0))="n/a","n/a",INDEX(tab_MinKomp[PODNOŚNIKI / Hebevorrichtung],MATCH($B167,tab_MinKomp[[Stanowisko / Position ]:[Stanowisko / Position ]],0)))</f>
        <v>n/a</v>
      </c>
      <c r="GJ168" s="315" t="str">
        <f>IF(INDEX(tab_MinKomp[SUWNICE / Laufkran],MATCH($B167,tab_MinKomp[[Stanowisko / Position ]:[Stanowisko / Position ]],0))="n/a","n/a",INDEX(tab_MinKomp[SUWNICE / Laufkran],MATCH($B167,tab_MinKomp[[Stanowisko / Position ]:[Stanowisko / Position ]],0)))</f>
        <v>n/a</v>
      </c>
      <c r="GK168" s="319" t="str">
        <f>IF(INDEX(tab_MinKomp[WYSOKOŚCIOWE / Höhenberechtigungen],MATCH($B167,tab_MinKomp[[Stanowisko / Position ]:[Stanowisko / Position ]],0))="n/a","n/a",INDEX(tab_MinKomp[WYSOKOŚCIOWE / Höhenberechtigungen],MATCH($B167,tab_MinKomp[[Stanowisko / Position ]:[Stanowisko / Position ]],0)))</f>
        <v>n/a</v>
      </c>
      <c r="GL168" s="320">
        <f>SUM(G168:FP168)/(GL167-(SUM(G168:FP168)))</f>
        <v>0.21186440677966101</v>
      </c>
      <c r="GM168" s="132"/>
    </row>
    <row r="169" spans="1:195" s="197" customFormat="1" ht="23.25" customHeight="1" x14ac:dyDescent="0.25">
      <c r="A169" s="138" t="s">
        <v>227</v>
      </c>
      <c r="B169" s="618" t="s">
        <v>194</v>
      </c>
      <c r="C169" s="138" t="s">
        <v>761</v>
      </c>
      <c r="D169" s="138">
        <v>852</v>
      </c>
      <c r="E169" s="563" t="s">
        <v>243</v>
      </c>
      <c r="F169" s="307" t="s">
        <v>165</v>
      </c>
      <c r="G169" s="308">
        <v>2</v>
      </c>
      <c r="H169" s="308">
        <v>2</v>
      </c>
      <c r="I169" s="308">
        <v>2</v>
      </c>
      <c r="J169" s="308">
        <v>2</v>
      </c>
      <c r="K169" s="308">
        <v>2</v>
      </c>
      <c r="L169" s="308">
        <v>2</v>
      </c>
      <c r="M169" s="308" t="s">
        <v>176</v>
      </c>
      <c r="N169" s="308" t="s">
        <v>176</v>
      </c>
      <c r="O169" s="308">
        <v>2</v>
      </c>
      <c r="P169" s="308">
        <v>2</v>
      </c>
      <c r="Q169" s="308" t="s">
        <v>176</v>
      </c>
      <c r="R169" s="308" t="s">
        <v>176</v>
      </c>
      <c r="S169" s="308">
        <v>2</v>
      </c>
      <c r="T169" s="308">
        <v>2</v>
      </c>
      <c r="U169" s="308" t="s">
        <v>176</v>
      </c>
      <c r="V169" s="308" t="s">
        <v>176</v>
      </c>
      <c r="W169" s="308" t="s">
        <v>176</v>
      </c>
      <c r="X169" s="308" t="s">
        <v>176</v>
      </c>
      <c r="Y169" s="308" t="s">
        <v>176</v>
      </c>
      <c r="Z169" s="308" t="s">
        <v>176</v>
      </c>
      <c r="AA169" s="308" t="s">
        <v>176</v>
      </c>
      <c r="AB169" s="308">
        <v>3</v>
      </c>
      <c r="AC169" s="308">
        <v>3</v>
      </c>
      <c r="AD169" s="308">
        <v>3</v>
      </c>
      <c r="AE169" s="308">
        <v>2</v>
      </c>
      <c r="AF169" s="308">
        <v>2</v>
      </c>
      <c r="AG169" s="308">
        <v>2</v>
      </c>
      <c r="AH169" s="308">
        <v>2</v>
      </c>
      <c r="AI169" s="308" t="s">
        <v>176</v>
      </c>
      <c r="AJ169" s="308" t="s">
        <v>176</v>
      </c>
      <c r="AK169" s="308" t="s">
        <v>176</v>
      </c>
      <c r="AL169" s="308">
        <v>2</v>
      </c>
      <c r="AM169" s="308">
        <v>3</v>
      </c>
      <c r="AN169" s="308" t="s">
        <v>176</v>
      </c>
      <c r="AO169" s="308">
        <v>3</v>
      </c>
      <c r="AP169" s="308">
        <v>3</v>
      </c>
      <c r="AQ169" s="308">
        <v>3</v>
      </c>
      <c r="AR169" s="308" t="s">
        <v>176</v>
      </c>
      <c r="AS169" s="308" t="s">
        <v>176</v>
      </c>
      <c r="AT169" s="308" t="s">
        <v>176</v>
      </c>
      <c r="AU169" s="308">
        <v>1</v>
      </c>
      <c r="AV169" s="308">
        <v>2</v>
      </c>
      <c r="AW169" s="308">
        <v>2</v>
      </c>
      <c r="AX169" s="308">
        <v>2</v>
      </c>
      <c r="AY169" s="308">
        <v>1</v>
      </c>
      <c r="AZ169" s="308">
        <v>2</v>
      </c>
      <c r="BA169" s="308" t="s">
        <v>176</v>
      </c>
      <c r="BB169" s="308" t="s">
        <v>176</v>
      </c>
      <c r="BC169" s="308" t="s">
        <v>176</v>
      </c>
      <c r="BD169" s="308" t="s">
        <v>176</v>
      </c>
      <c r="BE169" s="308" t="s">
        <v>176</v>
      </c>
      <c r="BF169" s="308" t="s">
        <v>176</v>
      </c>
      <c r="BG169" s="308" t="s">
        <v>176</v>
      </c>
      <c r="BH169" s="308" t="s">
        <v>176</v>
      </c>
      <c r="BI169" s="308" t="s">
        <v>176</v>
      </c>
      <c r="BJ169" s="308" t="s">
        <v>176</v>
      </c>
      <c r="BK169" s="308" t="s">
        <v>176</v>
      </c>
      <c r="BL169" s="308" t="s">
        <v>176</v>
      </c>
      <c r="BM169" s="308">
        <v>3</v>
      </c>
      <c r="BN169" s="308">
        <v>1</v>
      </c>
      <c r="BO169" s="308">
        <v>1</v>
      </c>
      <c r="BP169" s="308">
        <v>1</v>
      </c>
      <c r="BQ169" s="308">
        <v>1</v>
      </c>
      <c r="BR169" s="308">
        <v>1</v>
      </c>
      <c r="BS169" s="308">
        <v>1</v>
      </c>
      <c r="BT169" s="308">
        <v>1</v>
      </c>
      <c r="BU169" s="308">
        <v>1</v>
      </c>
      <c r="BV169" s="308" t="s">
        <v>176</v>
      </c>
      <c r="BW169" s="308" t="s">
        <v>176</v>
      </c>
      <c r="BX169" s="308" t="s">
        <v>176</v>
      </c>
      <c r="BY169" s="308" t="s">
        <v>176</v>
      </c>
      <c r="BZ169" s="308" t="s">
        <v>176</v>
      </c>
      <c r="CA169" s="308" t="s">
        <v>176</v>
      </c>
      <c r="CB169" s="308" t="s">
        <v>176</v>
      </c>
      <c r="CC169" s="308" t="s">
        <v>176</v>
      </c>
      <c r="CD169" s="308" t="s">
        <v>176</v>
      </c>
      <c r="CE169" s="308" t="s">
        <v>176</v>
      </c>
      <c r="CF169" s="308" t="s">
        <v>176</v>
      </c>
      <c r="CG169" s="308" t="s">
        <v>176</v>
      </c>
      <c r="CH169" s="308" t="s">
        <v>176</v>
      </c>
      <c r="CI169" s="308">
        <v>3</v>
      </c>
      <c r="CJ169" s="308" t="s">
        <v>176</v>
      </c>
      <c r="CK169" s="308" t="s">
        <v>176</v>
      </c>
      <c r="CL169" s="308" t="s">
        <v>176</v>
      </c>
      <c r="CM169" s="308">
        <v>3</v>
      </c>
      <c r="CN169" s="308">
        <v>2</v>
      </c>
      <c r="CO169" s="308">
        <v>3</v>
      </c>
      <c r="CP169" s="308">
        <v>3</v>
      </c>
      <c r="CQ169" s="308" t="s">
        <v>176</v>
      </c>
      <c r="CR169" s="308" t="s">
        <v>176</v>
      </c>
      <c r="CS169" s="308" t="s">
        <v>176</v>
      </c>
      <c r="CT169" s="308" t="s">
        <v>176</v>
      </c>
      <c r="CU169" s="308">
        <v>3</v>
      </c>
      <c r="CV169" s="308" t="s">
        <v>176</v>
      </c>
      <c r="CW169" s="308" t="s">
        <v>176</v>
      </c>
      <c r="CX169" s="308" t="s">
        <v>176</v>
      </c>
      <c r="CY169" s="308" t="s">
        <v>176</v>
      </c>
      <c r="CZ169" s="308" t="s">
        <v>176</v>
      </c>
      <c r="DA169" s="308" t="s">
        <v>176</v>
      </c>
      <c r="DB169" s="308" t="s">
        <v>176</v>
      </c>
      <c r="DC169" s="308" t="s">
        <v>176</v>
      </c>
      <c r="DD169" s="308" t="s">
        <v>176</v>
      </c>
      <c r="DE169" s="308" t="s">
        <v>176</v>
      </c>
      <c r="DF169" s="308" t="s">
        <v>176</v>
      </c>
      <c r="DG169" s="308" t="s">
        <v>176</v>
      </c>
      <c r="DH169" s="308" t="s">
        <v>176</v>
      </c>
      <c r="DI169" s="308" t="s">
        <v>176</v>
      </c>
      <c r="DJ169" s="308" t="s">
        <v>176</v>
      </c>
      <c r="DK169" s="308" t="s">
        <v>176</v>
      </c>
      <c r="DL169" s="308" t="s">
        <v>176</v>
      </c>
      <c r="DM169" s="308" t="s">
        <v>176</v>
      </c>
      <c r="DN169" s="308" t="s">
        <v>176</v>
      </c>
      <c r="DO169" s="308" t="s">
        <v>176</v>
      </c>
      <c r="DP169" s="308" t="s">
        <v>176</v>
      </c>
      <c r="DQ169" s="308" t="s">
        <v>176</v>
      </c>
      <c r="DR169" s="308" t="s">
        <v>176</v>
      </c>
      <c r="DS169" s="308" t="s">
        <v>176</v>
      </c>
      <c r="DT169" s="308" t="s">
        <v>176</v>
      </c>
      <c r="DU169" s="308" t="s">
        <v>176</v>
      </c>
      <c r="DV169" s="308" t="s">
        <v>176</v>
      </c>
      <c r="DW169" s="308" t="s">
        <v>176</v>
      </c>
      <c r="DX169" s="308" t="s">
        <v>176</v>
      </c>
      <c r="DY169" s="308" t="s">
        <v>176</v>
      </c>
      <c r="DZ169" s="308" t="s">
        <v>176</v>
      </c>
      <c r="EA169" s="308" t="s">
        <v>176</v>
      </c>
      <c r="EB169" s="308" t="s">
        <v>176</v>
      </c>
      <c r="EC169" s="308" t="s">
        <v>176</v>
      </c>
      <c r="ED169" s="308" t="s">
        <v>176</v>
      </c>
      <c r="EE169" s="308" t="s">
        <v>176</v>
      </c>
      <c r="EF169" s="308" t="s">
        <v>176</v>
      </c>
      <c r="EG169" s="308" t="s">
        <v>176</v>
      </c>
      <c r="EH169" s="308" t="s">
        <v>176</v>
      </c>
      <c r="EI169" s="308" t="s">
        <v>176</v>
      </c>
      <c r="EJ169" s="308" t="s">
        <v>176</v>
      </c>
      <c r="EK169" s="308" t="s">
        <v>176</v>
      </c>
      <c r="EL169" s="308" t="s">
        <v>176</v>
      </c>
      <c r="EM169" s="308" t="s">
        <v>176</v>
      </c>
      <c r="EN169" s="308" t="s">
        <v>176</v>
      </c>
      <c r="EO169" s="308">
        <v>2</v>
      </c>
      <c r="EP169" s="308" t="s">
        <v>176</v>
      </c>
      <c r="EQ169" s="308" t="s">
        <v>176</v>
      </c>
      <c r="ER169" s="308" t="s">
        <v>176</v>
      </c>
      <c r="ES169" s="308" t="s">
        <v>176</v>
      </c>
      <c r="ET169" s="308" t="s">
        <v>176</v>
      </c>
      <c r="EU169" s="308" t="s">
        <v>176</v>
      </c>
      <c r="EV169" s="308" t="s">
        <v>176</v>
      </c>
      <c r="EW169" s="308" t="s">
        <v>176</v>
      </c>
      <c r="EX169" s="308" t="s">
        <v>176</v>
      </c>
      <c r="EY169" s="308">
        <v>2</v>
      </c>
      <c r="EZ169" s="308">
        <v>2</v>
      </c>
      <c r="FA169" s="308">
        <v>2</v>
      </c>
      <c r="FB169" s="308">
        <v>3</v>
      </c>
      <c r="FC169" s="308" t="s">
        <v>176</v>
      </c>
      <c r="FD169" s="308">
        <v>2</v>
      </c>
      <c r="FE169" s="308">
        <v>2</v>
      </c>
      <c r="FF169" s="308">
        <v>2</v>
      </c>
      <c r="FG169" s="308">
        <v>2</v>
      </c>
      <c r="FH169" s="308">
        <v>2</v>
      </c>
      <c r="FI169" s="308">
        <v>2</v>
      </c>
      <c r="FJ169" s="308">
        <v>2</v>
      </c>
      <c r="FK169" s="308">
        <v>3</v>
      </c>
      <c r="FL169" s="308">
        <v>2</v>
      </c>
      <c r="FM169" s="308">
        <v>2</v>
      </c>
      <c r="FN169" s="308">
        <v>2</v>
      </c>
      <c r="FO169" s="308">
        <v>3</v>
      </c>
      <c r="FP169" s="308">
        <v>2</v>
      </c>
      <c r="FQ169" s="308" t="s">
        <v>176</v>
      </c>
      <c r="FR169" s="308" t="s">
        <v>176</v>
      </c>
      <c r="FS169" s="308" t="s">
        <v>160</v>
      </c>
      <c r="FT169" s="308" t="s">
        <v>176</v>
      </c>
      <c r="FU169" s="308" t="s">
        <v>176</v>
      </c>
      <c r="FV169" s="308" t="s">
        <v>176</v>
      </c>
      <c r="FW169" s="308" t="s">
        <v>176</v>
      </c>
      <c r="FX169" s="308" t="s">
        <v>176</v>
      </c>
      <c r="FY169" s="308" t="s">
        <v>160</v>
      </c>
      <c r="FZ169" s="308" t="s">
        <v>176</v>
      </c>
      <c r="GA169" s="308" t="s">
        <v>176</v>
      </c>
      <c r="GB169" s="308" t="s">
        <v>176</v>
      </c>
      <c r="GC169" s="308" t="s">
        <v>160</v>
      </c>
      <c r="GD169" s="308" t="s">
        <v>176</v>
      </c>
      <c r="GE169" s="308" t="s">
        <v>176</v>
      </c>
      <c r="GF169" s="308" t="s">
        <v>176</v>
      </c>
      <c r="GG169" s="308" t="s">
        <v>176</v>
      </c>
      <c r="GH169" s="308" t="s">
        <v>176</v>
      </c>
      <c r="GI169" s="308" t="s">
        <v>176</v>
      </c>
      <c r="GJ169" s="308" t="s">
        <v>176</v>
      </c>
      <c r="GK169" s="321" t="s">
        <v>176</v>
      </c>
      <c r="GL169" s="311">
        <f>SUM(G169:FP169)</f>
        <v>128</v>
      </c>
      <c r="GM169" s="132"/>
    </row>
    <row r="170" spans="1:195" s="197" customFormat="1" ht="23.25" customHeight="1" thickBot="1" x14ac:dyDescent="0.3">
      <c r="A170" s="138" t="s">
        <v>227</v>
      </c>
      <c r="B170" s="618"/>
      <c r="C170" s="138" t="str">
        <f>C169</f>
        <v>AS</v>
      </c>
      <c r="D170" s="138">
        <v>852</v>
      </c>
      <c r="E170" s="564"/>
      <c r="F170" s="312" t="s">
        <v>166</v>
      </c>
      <c r="G170" s="313">
        <f>IF(INDEX(tab_MinKomp[Przepisy BHP / BHP Vorschriften],MATCH($B169,tab_MinKomp[[Stanowisko / Position ]:[Stanowisko / Position ]],0))="n/a","n/a",G169-INDEX(tab_MinKomp[Przepisy BHP / BHP Vorschriften],MATCH($B169,tab_MinKomp[[Stanowisko / Position ]:[Stanowisko / Position ]],0)))</f>
        <v>0</v>
      </c>
      <c r="H170" s="314">
        <f>IF(INDEX(tab_MinKomp[Przepisy PPOŻ / Brandschutzbestimmungen],MATCH($B169,tab_MinKomp[[Stanowisko / Position ]:[Stanowisko / Position ]],0))="n/a","n/a",H169-INDEX(tab_MinKomp[Przepisy PPOŻ / Brandschutzbestimmungen],MATCH($B169,tab_MinKomp[[Stanowisko / Position ]:[Stanowisko / Position ]],0)))</f>
        <v>0</v>
      </c>
      <c r="I170" s="314">
        <f>IF(INDEX(tab_MinKomp[Ryzyko zawodowe na stanowiskach pracyv/ Berufliche Risiken an Arbeitsstellen],MATCH($B169,tab_MinKomp[[Stanowisko / Position ]:[Stanowisko / Position ]],0))="n/a","n/a",I169-INDEX(tab_MinKomp[Ryzyko zawodowe na stanowiskach pracyv/ Berufliche Risiken an Arbeitsstellen],MATCH($B169,tab_MinKomp[[Stanowisko / Position ]:[Stanowisko / Position ]],0)))</f>
        <v>-1</v>
      </c>
      <c r="J170" s="314">
        <f>IF(INDEX(tab_MinKomp[Gospodarka substancjami niebezpiecznymi / Gefahrstoffmanagement],MATCH($B169,tab_MinKomp[[Stanowisko / Position ]:[Stanowisko / Position ]],0))="n/a","n/a",J169-INDEX(tab_MinKomp[Gospodarka substancjami niebezpiecznymi / Gefahrstoffmanagement],MATCH($B169,tab_MinKomp[[Stanowisko / Position ]:[Stanowisko / Position ]],0)))</f>
        <v>0</v>
      </c>
      <c r="K170" s="314">
        <f>IF(INDEX(tab_MinKomp[Gospodarka odpadami / Abfallwirtschaft],MATCH($B169,tab_MinKomp[[Stanowisko / Position ]:[Stanowisko / Position ]],0))="n/a","n/a",K169-INDEX(tab_MinKomp[Gospodarka odpadami / Abfallwirtschaft],MATCH($B169,tab_MinKomp[[Stanowisko / Position ]:[Stanowisko / Position ]],0)))</f>
        <v>0</v>
      </c>
      <c r="L170" s="315">
        <f>IF(INDEX(tab_MinKomp[Przepisy kodeksu pracy / Bestimmungen des Arbeitsgesetzes],MATCH($B169,tab_MinKomp[[Stanowisko / Position ]:[Stanowisko / Position ]],0))="n/a","n/a",L169-INDEX(tab_MinKomp[Przepisy kodeksu pracy / Bestimmungen des Arbeitsgesetzes],MATCH($B169,tab_MinKomp[[Stanowisko / Position ]:[Stanowisko / Position ]],0)))</f>
        <v>1</v>
      </c>
      <c r="M170" s="316" t="str">
        <f>IF(INDEX(tab_MinKomp[Przepisy o ub.społ. ZUS  / Sozialversicherungsvorschriften],MATCH($B169,tab_MinKomp[[Stanowisko / Position ]:[Stanowisko / Position ]],0))="n/a","n/a",M169-INDEX(tab_MinKomp[Przepisy o ub.społ. ZUS  / Sozialversicherungsvorschriften],MATCH($B169,tab_MinKomp[[Stanowisko / Position ]:[Stanowisko / Position ]],0)))</f>
        <v>n/a</v>
      </c>
      <c r="N170" s="315" t="str">
        <f>IF(INDEX(tab_MinKomp[PRZEPISY O PDOF /persönlich Einkommensteuergesetz ],MATCH($B169,tab_MinKomp[[Stanowisko / Position ]:[Stanowisko / Position ]],0))="n/a","n/a",N169-INDEX(tab_MinKomp[PRZEPISY O PDOF /persönlich Einkommensteuergesetz ],MATCH($B169,tab_MinKomp[[Stanowisko / Position ]:[Stanowisko / Position ]],0)))</f>
        <v>n/a</v>
      </c>
      <c r="O170" s="315">
        <f>IF(INDEX(tab_MinKomp[Regulamin pracy / Arbeitsordnung],MATCH($B169,tab_MinKomp[[Stanowisko / Position ]:[Stanowisko / Position ]],0))="n/a","n/a",O169-INDEX(tab_MinKomp[Regulamin pracy / Arbeitsordnung],MATCH($B169,tab_MinKomp[[Stanowisko / Position ]:[Stanowisko / Position ]],0)))</f>
        <v>0</v>
      </c>
      <c r="P170" s="315">
        <f>IF(INDEX(tab_MinKomp[Regulamin wynagradzania / Vergütungsordnung],MATCH($B169,tab_MinKomp[[Stanowisko / Position ]:[Stanowisko / Position ]],0))="n/a","n/a",P169-INDEX(tab_MinKomp[Regulamin wynagradzania / Vergütungsordnung],MATCH($B169,tab_MinKomp[[Stanowisko / Position ]:[Stanowisko / Position ]],0)))</f>
        <v>0</v>
      </c>
      <c r="Q170" s="315" t="str">
        <f>IF(INDEX(tab_MinKomp[System R2PŁATNIK PRO: Płace / Lohnabrechnung],MATCH($B169,tab_MinKomp[[Stanowisko / Position ]:[Stanowisko / Position ]],0))="n/a","n/a",Q169-INDEX(tab_MinKomp[System R2PŁATNIK PRO: Płace / Lohnabrechnung],MATCH($B169,tab_MinKomp[[Stanowisko / Position ]:[Stanowisko / Position ]],0)))</f>
        <v>n/a</v>
      </c>
      <c r="R170" s="315" t="str">
        <f>IF(INDEX(tab_MinKomp[SystemR2PŁATNIK PRO: KADRY / Personaldaten],MATCH($B169,tab_MinKomp[[Stanowisko / Position ]:[Stanowisko / Position ]],0))="n/a","n/a",R169-INDEX(tab_MinKomp[SystemR2PŁATNIK PRO: KADRY / Personaldaten],MATCH($B169,tab_MinKomp[[Stanowisko / Position ]:[Stanowisko / Position ]],0)))</f>
        <v>n/a</v>
      </c>
      <c r="S170" s="315">
        <f>IF(INDEX(tab_MinKomp[SYSTEM R2PŁATNIK PRO: zarządzanie pracownikami / Arbeitsverwaltung],MATCH($B169,tab_MinKomp[[Stanowisko / Position ]:[Stanowisko / Position ]],0))="n/a","n/a",S169-INDEX(tab_MinKomp[SYSTEM R2PŁATNIK PRO: zarządzanie pracownikami / Arbeitsverwaltung],MATCH($B169,tab_MinKomp[[Stanowisko / Position ]:[Stanowisko / Position ]],0)))</f>
        <v>0</v>
      </c>
      <c r="T170" s="315">
        <f>IF(INDEX(tab_MinKomp[Doradztwo, wsparcie personalne / Personalberatung und Unterstützung],MATCH($B169,tab_MinKomp[[Stanowisko / Position ]:[Stanowisko / Position ]],0))="n/a","n/a",T169-INDEX(tab_MinKomp[Doradztwo, wsparcie personalne / Personalberatung und Unterstützung],MATCH($B169,tab_MinKomp[[Stanowisko / Position ]:[Stanowisko / Position ]],0)))</f>
        <v>0</v>
      </c>
      <c r="U170" s="315" t="str">
        <f>IF(INDEX(tab_MinKomp[Przepisy o podatku VAT / MwSt.- Gesetz],MATCH($B169,tab_MinKomp[[Stanowisko / Position ]:[Stanowisko / Position ]],0))="n/a","n/a",U169-INDEX(tab_MinKomp[Przepisy o podatku VAT / MwSt.- Gesetz],MATCH($B169,tab_MinKomp[[Stanowisko / Position ]:[Stanowisko / Position ]],0)))</f>
        <v>n/a</v>
      </c>
      <c r="V170" s="315" t="str">
        <f>IF(INDEX(tab_MinKomp[PrzepisyPDOP / geschäftlich Einkommensteuergesetz],MATCH($B169,tab_MinKomp[[Stanowisko / Position ]:[Stanowisko / Position ]],0))="n/a","n/a",V169-INDEX(tab_MinKomp[PrzepisyPDOP / geschäftlich Einkommensteuergesetz],MATCH($B169,tab_MinKomp[[Stanowisko / Position ]:[Stanowisko / Position ]],0)))</f>
        <v>n/a</v>
      </c>
      <c r="W170" s="315" t="str">
        <f>IF(INDEX(tab_MinKomp[System BAAN / FINANSE (FIBU)],MATCH($B169,tab_MinKomp[[Stanowisko / Position ]:[Stanowisko / Position ]],0))="n/a","n/a",W169-INDEX(tab_MinKomp[System BAAN / FINANSE (FIBU)],MATCH($B169,tab_MinKomp[[Stanowisko / Position ]:[Stanowisko / Position ]],0)))</f>
        <v>n/a</v>
      </c>
      <c r="X170" s="315" t="str">
        <f>IF(INDEX(tab_MinKomp[Polityka rachunkowości / Buchführungspolitik],MATCH($B169,tab_MinKomp[[Stanowisko / Position ]:[Stanowisko / Position ]],0))="n/a","n/a",X169-INDEX(tab_MinKomp[Polityka rachunkowości / Buchführungspolitik],MATCH($B169,tab_MinKomp[[Stanowisko / Position ]:[Stanowisko / Position ]],0)))</f>
        <v>n/a</v>
      </c>
      <c r="Y170" s="315" t="str">
        <f>IF(INDEX(tab_MinKomp[Polityka rachunkowości / Buchführungspolitik],MATCH($B169,tab_MinKomp[[Stanowisko / Position ]:[Stanowisko / Position ]],0))="n/a","n/a",Y169-INDEX(tab_MinKomp[Polityka rachunkowości / Buchführungspolitik],MATCH($B169,tab_MinKomp[[Stanowisko / Position ]:[Stanowisko / Position ]],0)))</f>
        <v>n/a</v>
      </c>
      <c r="Z170" s="315" t="str">
        <f>IF(INDEX(tab_MinKomp[Ustawa o rachunkowości / Rechnungslegungsgesetz],MATCH($B169,tab_MinKomp[[Stanowisko / Position ]:[Stanowisko / Position ]],0))="n/a","n/a",Z169-INDEX(tab_MinKomp[Ustawa o rachunkowości / Rechnungslegungsgesetz],MATCH($B169,tab_MinKomp[[Stanowisko / Position ]:[Stanowisko / Position ]],0)))</f>
        <v>n/a</v>
      </c>
      <c r="AA170" s="315" t="str">
        <f>IF(INDEX(tab_MinKomp[WORKFLOW - TS-100],MATCH($B169,tab_MinKomp[[Stanowisko / Position ]:[Stanowisko / Position ]],0))="n/a","n/a",AA169-INDEX(tab_MinKomp[WORKFLOW - TS-100],MATCH($B169,tab_MinKomp[[Stanowisko / Position ]:[Stanowisko / Position ]],0)))</f>
        <v>n/a</v>
      </c>
      <c r="AB170" s="315">
        <f>IF(INDEX(tab_MinKomp[WORKFLOW - SFMS],MATCH($B169,tab_MinKomp[[Stanowisko / Position ]:[Stanowisko / Position ]],0))="n/a","n/a",AB169-INDEX(tab_MinKomp[WORKFLOW - SFMS],MATCH($B169,tab_MinKomp[[Stanowisko / Position ]:[Stanowisko / Position ]],0)))</f>
        <v>1</v>
      </c>
      <c r="AC170" s="315">
        <f>IF(INDEX(tab_MinKomp[System ISO 9001:2015],MATCH($B169,tab_MinKomp[[Stanowisko / Position ]:[Stanowisko / Position ]],0))="n/a","n/a",AC169-INDEX(tab_MinKomp[System ISO 9001:2015],MATCH($B169,tab_MinKomp[[Stanowisko / Position ]:[Stanowisko / Position ]],0)))</f>
        <v>2</v>
      </c>
      <c r="AD170" s="315">
        <f>IF(INDEX(tab_MinKomp[System IATF 16949:2016],MATCH($B169,tab_MinKomp[[Stanowisko / Position ]:[Stanowisko / Position ]],0))="n/a","n/a",AD169-INDEX(tab_MinKomp[System IATF 16949:2016],MATCH($B169,tab_MinKomp[[Stanowisko / Position ]:[Stanowisko / Position ]],0)))</f>
        <v>2</v>
      </c>
      <c r="AE170" s="315">
        <f>IF(INDEX(tab_MinKomp[System ISO 14001:2015],MATCH($B169,tab_MinKomp[[Stanowisko / Position ]:[Stanowisko / Position ]],0))="n/a","n/a",AE169-INDEX(tab_MinKomp[System ISO 14001:2015],MATCH($B169,tab_MinKomp[[Stanowisko / Position ]:[Stanowisko / Position ]],0)))</f>
        <v>1</v>
      </c>
      <c r="AF170" s="315">
        <f>IF(INDEX(tab_MinKomp[System PN-N 18001:2004 / ISO 45001:2018],MATCH($B169,tab_MinKomp[[Stanowisko / Position ]:[Stanowisko / Position ]],0))="n/a","n/a",AF169-INDEX(tab_MinKomp[System PN-N 18001:2004 / ISO 45001:2018],MATCH($B169,tab_MinKomp[[Stanowisko / Position ]:[Stanowisko / Position ]],0)))</f>
        <v>1</v>
      </c>
      <c r="AG170" s="315">
        <f>IF(INDEX(tab_MinKomp[Wymagania VDA 6.3 Process / Forderungen],MATCH($B169,tab_MinKomp[[Stanowisko / Position ]:[Stanowisko / Position ]],0))="n/a","n/a",AG169-INDEX(tab_MinKomp[Wymagania VDA 6.3 Process / Forderungen],MATCH($B169,tab_MinKomp[[Stanowisko / Position ]:[Stanowisko / Position ]],0)))</f>
        <v>1</v>
      </c>
      <c r="AH170" s="315">
        <f>IF(INDEX(tab_MinKomp[Wymagania VDA 6.5 Product / Forderungen],MATCH($B169,tab_MinKomp[[Stanowisko / Position ]:[Stanowisko / Position ]],0))="n/a","n/a",AH169-INDEX(tab_MinKomp[Wymagania VDA 6.5 Product / Forderungen],MATCH($B169,tab_MinKomp[[Stanowisko / Position ]:[Stanowisko / Position ]],0)))</f>
        <v>1</v>
      </c>
      <c r="AI170" s="315" t="str">
        <f>IF(INDEX(tab_MinKomp[PSCR (VW Product Safety &amp; Conformity Representative)],MATCH($B169,tab_MinKomp[[Stanowisko / Position ]:[Stanowisko / Position ]],0))="n/a","n/a",AI169-INDEX(tab_MinKomp[PSCR (VW Product Safety &amp; Conformity Representative)],MATCH($B169,tab_MinKomp[[Stanowisko / Position ]:[Stanowisko / Position ]],0)))</f>
        <v>n/a</v>
      </c>
      <c r="AJ170" s="315" t="str">
        <f>IF(INDEX(tab_MinKomp[Auditor systemu ISO 17025:2018],MATCH($B169,tab_MinKomp[[Stanowisko / Position ]:[Stanowisko / Position ]],0))="n/a","n/a",AJ169-INDEX(tab_MinKomp[Auditor systemu ISO 17025:2018],MATCH($B169,tab_MinKomp[[Stanowisko / Position ]:[Stanowisko / Position ]],0)))</f>
        <v>n/a</v>
      </c>
      <c r="AK170" s="315" t="str">
        <f>IF(INDEX(tab_MinKomp[Pełnomocnik systemu / Systemvertreter],MATCH($B169,tab_MinKomp[[Stanowisko / Position ]:[Stanowisko / Position ]],0))="n/a","n/a",AK169-INDEX(tab_MinKomp[Pełnomocnik systemu / Systemvertreter],MATCH($B169,tab_MinKomp[[Stanowisko / Position ]:[Stanowisko / Position ]],0)))</f>
        <v>n/a</v>
      </c>
      <c r="AL170" s="315">
        <f>IF(INDEX(tab_MinKomp[Polityka Etyczna - Compliance],MATCH($B169,tab_MinKomp[[Stanowisko / Position ]:[Stanowisko / Position ]],0))="n/a","n/a",AL169-INDEX(tab_MinKomp[Polityka Etyczna - Compliance],MATCH($B169,tab_MinKomp[[Stanowisko / Position ]:[Stanowisko / Position ]],0)))</f>
        <v>0</v>
      </c>
      <c r="AM170" s="315">
        <f>IF(INDEX(tab_MinKomp[WDRAŻANIE NOWYCH PROJEKTÓW/ PROCEDURA CTM],MATCH($B169,tab_MinKomp[[Stanowisko / Position ]:[Stanowisko / Position ]],0))="n/a","n/a",AM169-INDEX(tab_MinKomp[WDRAŻANIE NOWYCH PROJEKTÓW/ PROCEDURA CTM],MATCH($B169,tab_MinKomp[[Stanowisko / Position ]:[Stanowisko / Position ]],0)))</f>
        <v>2</v>
      </c>
      <c r="AN170" s="315" t="str">
        <f>IF(INDEX(tab_MinKomp[KAMIENIE MILOWE MSL/PIFF],MATCH($B169,tab_MinKomp[[Stanowisko / Position ]:[Stanowisko / Position ]],0))="n/a","n/a",AN169-INDEX(tab_MinKomp[KAMIENIE MILOWE MSL/PIFF],MATCH($B169,tab_MinKomp[[Stanowisko / Position ]:[Stanowisko / Position ]],0)))</f>
        <v>n/a</v>
      </c>
      <c r="AO170" s="315">
        <f>IF(INDEX(tab_MinKomp[CP],MATCH($B169,tab_MinKomp[[Stanowisko / Position ]:[Stanowisko / Position ]],0))="n/a","n/a",AO169-INDEX(tab_MinKomp[CP],MATCH($B169,tab_MinKomp[[Stanowisko / Position ]:[Stanowisko / Position ]],0)))</f>
        <v>1</v>
      </c>
      <c r="AP170" s="315">
        <f>IF(INDEX(tab_MinKomp[FMEA],MATCH($B169,tab_MinKomp[[Stanowisko / Position ]:[Stanowisko / Position ]],0))="n/a","n/a",AP169-INDEX(tab_MinKomp[FMEA],MATCH($B169,tab_MinKomp[[Stanowisko / Position ]:[Stanowisko / Position ]],0)))</f>
        <v>2</v>
      </c>
      <c r="AQ170" s="315">
        <f>IF(INDEX(tab_MinKomp[FLOW CHART],MATCH($B169,tab_MinKomp[[Stanowisko / Position ]:[Stanowisko / Position ]],0))="n/a","n/a",AQ169-INDEX(tab_MinKomp[FLOW CHART],MATCH($B169,tab_MinKomp[[Stanowisko / Position ]:[Stanowisko / Position ]],0)))</f>
        <v>1</v>
      </c>
      <c r="AR170" s="315" t="str">
        <f>IF(INDEX(tab_MinKomp[APQP],MATCH($B169,tab_MinKomp[[Stanowisko / Position ]:[Stanowisko / Position ]],0))="n/a","n/a",AR169-INDEX(tab_MinKomp[APQP],MATCH($B169,tab_MinKomp[[Stanowisko / Position ]:[Stanowisko / Position ]],0)))</f>
        <v>n/a</v>
      </c>
      <c r="AS170" s="315" t="str">
        <f>IF(INDEX(tab_MinKomp[MSA],MATCH($B169,tab_MinKomp[[Stanowisko / Position ]:[Stanowisko / Position ]],0))="n/a","n/a",AS169-INDEX(tab_MinKomp[MSA],MATCH($B169,tab_MinKomp[[Stanowisko / Position ]:[Stanowisko / Position ]],0)))</f>
        <v>n/a</v>
      </c>
      <c r="AT170" s="315" t="str">
        <f>IF(INDEX(tab_MinKomp[SPC],MATCH($B169,tab_MinKomp[[Stanowisko / Position ]:[Stanowisko / Position ]],0))="n/a","n/a",AT169-INDEX(tab_MinKomp[SPC],MATCH($B169,tab_MinKomp[[Stanowisko / Position ]:[Stanowisko / Position ]],0)))</f>
        <v>n/a</v>
      </c>
      <c r="AU170" s="315">
        <f>IF(INDEX(tab_MinKomp[CSR (SPECYFICZNE WYMAGANIA KLIENTA)],MATCH($B169,tab_MinKomp[[Stanowisko / Position ]:[Stanowisko / Position ]],0))="n/a","n/a",AU169-INDEX(tab_MinKomp[CSR (SPECYFICZNE WYMAGANIA KLIENTA)],MATCH($B169,tab_MinKomp[[Stanowisko / Position ]:[Stanowisko / Position ]],0)))</f>
        <v>0</v>
      </c>
      <c r="AV170" s="315">
        <f>IF(INDEX(tab_MinKomp[5S],MATCH($B169,tab_MinKomp[[Stanowisko / Position ]:[Stanowisko / Position ]],0))="n/a","n/a",AV169-INDEX(tab_MinKomp[5S],MATCH($B169,tab_MinKomp[[Stanowisko / Position ]:[Stanowisko / Position ]],0)))</f>
        <v>0</v>
      </c>
      <c r="AW170" s="315">
        <f>IF(INDEX(tab_MinKomp[LEAN MANAGEMENT],MATCH($B169,tab_MinKomp[[Stanowisko / Position ]:[Stanowisko / Position ]],0))="n/a","n/a",AW169-INDEX(tab_MinKomp[LEAN MANAGEMENT],MATCH($B169,tab_MinKomp[[Stanowisko / Position ]:[Stanowisko / Position ]],0)))</f>
        <v>0</v>
      </c>
      <c r="AX170" s="315">
        <f>IF(INDEX(tab_MinKomp[5R],MATCH($B169,tab_MinKomp[[Stanowisko / Position ]:[Stanowisko / Position ]],0))="n/a","n/a",AX169-INDEX(tab_MinKomp[5R],MATCH($B169,tab_MinKomp[[Stanowisko / Position ]:[Stanowisko / Position ]],0)))</f>
        <v>0</v>
      </c>
      <c r="AY170" s="315">
        <f>IF(INDEX(tab_MinKomp[Six Sigma],MATCH($B169,tab_MinKomp[[Stanowisko / Position ]:[Stanowisko / Position ]],0))="n/a","n/a",AY169-INDEX(tab_MinKomp[Six Sigma],MATCH($B169,tab_MinKomp[[Stanowisko / Position ]:[Stanowisko / Position ]],0)))</f>
        <v>-1</v>
      </c>
      <c r="AZ170" s="315">
        <f>IF(INDEX(tab_MinKomp[System BAAN / Distribution &amp; Supply Chain],MATCH($B169,tab_MinKomp[[Stanowisko / Position ]:[Stanowisko / Position ]],0))="n/a","n/a",AZ169-INDEX(tab_MinKomp[System BAAN / Distribution &amp; Supply Chain],MATCH($B169,tab_MinKomp[[Stanowisko / Position ]:[Stanowisko / Position ]],0)))</f>
        <v>1</v>
      </c>
      <c r="BA170" s="315" t="str">
        <f>IF(INDEX(tab_MinKomp[Gospodarka magazynowa / Lagerverwaltung],MATCH($B169,tab_MinKomp[[Stanowisko / Position ]:[Stanowisko / Position ]],0))="n/a","n/a",BA169-INDEX(tab_MinKomp[Gospodarka magazynowa / Lagerverwaltung],MATCH($B169,tab_MinKomp[[Stanowisko / Position ]:[Stanowisko / Position ]],0)))</f>
        <v>n/a</v>
      </c>
      <c r="BB170" s="315" t="str">
        <f>IF(INDEX(tab_MinKomp[Inwentaryzacja - organizacja i przebieg / Inventurprozess],MATCH($B169,tab_MinKomp[[Stanowisko / Position ]:[Stanowisko / Position ]],0))="n/a","n/a",BB169-INDEX(tab_MinKomp[Inwentaryzacja - organizacja i przebieg / Inventurprozess],MATCH($B169,tab_MinKomp[[Stanowisko / Position ]:[Stanowisko / Position ]],0)))</f>
        <v>n/a</v>
      </c>
      <c r="BC170" s="315" t="str">
        <f>IF(INDEX(tab_MinKomp[Organizacja dostaw / Versorgungsorganisation],MATCH($B169,tab_MinKomp[[Stanowisko / Position ]:[Stanowisko / Position ]],0))="n/a","n/a",BC169-INDEX(tab_MinKomp[Organizacja dostaw / Versorgungsorganisation],MATCH($B169,tab_MinKomp[[Stanowisko / Position ]:[Stanowisko / Position ]],0)))</f>
        <v>n/a</v>
      </c>
      <c r="BD170" s="315" t="str">
        <f>IF(INDEX(tab_MinKomp[Organizacja wysyłek / Organisation von Lieferungen],MATCH($B169,tab_MinKomp[[Stanowisko / Position ]:[Stanowisko / Position ]],0))="n/a","n/a",BD169-INDEX(tab_MinKomp[Organizacja wysyłek / Organisation von Lieferungen],MATCH($B169,tab_MinKomp[[Stanowisko / Position ]:[Stanowisko / Position ]],0)))</f>
        <v>n/a</v>
      </c>
      <c r="BE170" s="315" t="str">
        <f>IF(INDEX(tab_MinKomp[Analiza magazynowa - Program Polen.mdb / Inventuranalyse],MATCH($B169,tab_MinKomp[[Stanowisko / Position ]:[Stanowisko / Position ]],0))="n/a","n/a",BE169-INDEX(tab_MinKomp[Analiza magazynowa - Program Polen.mdb / Inventuranalyse],MATCH($B169,tab_MinKomp[[Stanowisko / Position ]:[Stanowisko / Position ]],0)))</f>
        <v>n/a</v>
      </c>
      <c r="BF170" s="315" t="str">
        <f>IF(INDEX(tab_MinKomp[MMOG (Materials Management Operations Guidelines)],MATCH($B169,tab_MinKomp[[Stanowisko / Position ]:[Stanowisko / Position ]],0))="n/a","n/a",BF169-INDEX(tab_MinKomp[MMOG (Materials Management Operations Guidelines)],MATCH($B169,tab_MinKomp[[Stanowisko / Position ]:[Stanowisko / Position ]],0)))</f>
        <v>n/a</v>
      </c>
      <c r="BG170" s="315" t="str">
        <f>IF(INDEX(tab_MinKomp[GPP],MATCH($B169,tab_MinKomp[[Stanowisko / Position ]:[Stanowisko / Position ]],0))="n/a","n/a",BG169-INDEX(tab_MinKomp[GPP],MATCH($B169,tab_MinKomp[[Stanowisko / Position ]:[Stanowisko / Position ]],0)))</f>
        <v>n/a</v>
      </c>
      <c r="BH170" s="315" t="str">
        <f>IF(INDEX(tab_MinKomp[AIAG (Automotive Industry Action Group)],MATCH($B169,tab_MinKomp[[Stanowisko / Position ]:[Stanowisko / Position ]],0))="n/a","n/a",BH169-INDEX(tab_MinKomp[AIAG (Automotive Industry Action Group)],MATCH($B169,tab_MinKomp[[Stanowisko / Position ]:[Stanowisko / Position ]],0)))</f>
        <v>n/a</v>
      </c>
      <c r="BI170" s="315" t="str">
        <f>IF(INDEX(tab_MinKomp[Super-G disputes],MATCH($B169,tab_MinKomp[[Stanowisko / Position ]:[Stanowisko / Position ]],0))="n/a","n/a",BI169-INDEX(tab_MinKomp[Super-G disputes],MATCH($B169,tab_MinKomp[[Stanowisko / Position ]:[Stanowisko / Position ]],0)))</f>
        <v>n/a</v>
      </c>
      <c r="BJ170" s="315" t="str">
        <f>IF(INDEX(tab_MinKomp[CMMS3/eDDL (Direct Data Link)],MATCH($B169,tab_MinKomp[[Stanowisko / Position ]:[Stanowisko / Position ]],0))="n/a","n/a",BJ169-INDEX(tab_MinKomp[CMMS3/eDDL (Direct Data Link)],MATCH($B169,tab_MinKomp[[Stanowisko / Position ]:[Stanowisko / Position ]],0)))</f>
        <v>n/a</v>
      </c>
      <c r="BK170" s="315" t="str">
        <f>IF(INDEX(tab_MinKomp[MP&amp;L (Material Planning and Logistics)],MATCH($B169,tab_MinKomp[[Stanowisko / Position ]:[Stanowisko / Position ]],0))="n/a","n/a",BK169-INDEX(tab_MinKomp[MP&amp;L (Material Planning and Logistics)],MATCH($B169,tab_MinKomp[[Stanowisko / Position ]:[Stanowisko / Position ]],0)))</f>
        <v>n/a</v>
      </c>
      <c r="BL170" s="315" t="str">
        <f>IF(INDEX(tab_MinKomp[Supplier delivery rating],MATCH($B169,tab_MinKomp[[Stanowisko / Position ]:[Stanowisko / Position ]],0))="n/a","n/a",BL169-INDEX(tab_MinKomp[Supplier delivery rating],MATCH($B169,tab_MinKomp[[Stanowisko / Position ]:[Stanowisko / Position ]],0)))</f>
        <v>n/a</v>
      </c>
      <c r="BM170" s="315">
        <f>IF(INDEX(tab_MinKomp[Planowanie produkcji / Produktionsplanung],MATCH($B169,tab_MinKomp[[Stanowisko / Position ]:[Stanowisko / Position ]],0))="n/a","n/a",BM169-INDEX(tab_MinKomp[Planowanie produkcji / Produktionsplanung],MATCH($B169,tab_MinKomp[[Stanowisko / Position ]:[Stanowisko / Position ]],0)))</f>
        <v>0</v>
      </c>
      <c r="BN170" s="315">
        <f>IF(INDEX(tab_MinKomp[Obsługa maszyn Engel / Engel Maschinenbedienung],MATCH($B169,tab_MinKomp[[Stanowisko / Position ]:[Stanowisko / Position ]],0))="n/a","n/a",BN169-INDEX(tab_MinKomp[Obsługa maszyn Engel / Engel Maschinenbedienung],MATCH($B169,tab_MinKomp[[Stanowisko / Position ]:[Stanowisko / Position ]],0)))</f>
        <v>0</v>
      </c>
      <c r="BO170" s="315">
        <f>IF(INDEX(tab_MinKomp[Obsługa maszyn Novapax / Novapax Maschinenbedienung],MATCH($B169,tab_MinKomp[[Stanowisko / Position ]:[Stanowisko / Position ]],0))="n/a","n/a",BO169-INDEX(tab_MinKomp[Obsługa maszyn Novapax / Novapax Maschinenbedienung],MATCH($B169,tab_MinKomp[[Stanowisko / Position ]:[Stanowisko / Position ]],0)))</f>
        <v>0</v>
      </c>
      <c r="BP170" s="315">
        <f>IF(INDEX(tab_MinKomp[Obsługa maszyn KVT / KVT Maschinenbedienung],MATCH($B169,tab_MinKomp[[Stanowisko / Position ]:[Stanowisko / Position ]],0))="n/a","n/a",BP169-INDEX(tab_MinKomp[Obsługa maszyn KVT / KVT Maschinenbedienung],MATCH($B169,tab_MinKomp[[Stanowisko / Position ]:[Stanowisko / Position ]],0)))</f>
        <v>0</v>
      </c>
      <c r="BQ170" s="315">
        <f>IF(INDEX(tab_MinKomp[Obsługa maszyn ASL / ASL Maschinenbedienung],MATCH($B169,tab_MinKomp[[Stanowisko / Position ]:[Stanowisko / Position ]],0))="n/a","n/a",BQ169-INDEX(tab_MinKomp[Obsługa maszyn ASL / ASL Maschinenbedienung],MATCH($B169,tab_MinKomp[[Stanowisko / Position ]:[Stanowisko / Position ]],0)))</f>
        <v>0</v>
      </c>
      <c r="BR170" s="315">
        <f>IF(INDEX(tab_MinKomp[Obsługa maszyn Branson / Branson Maschinenbedienung],MATCH($B169,tab_MinKomp[[Stanowisko / Position ]:[Stanowisko / Position ]],0))="n/a","n/a",BR169-INDEX(tab_MinKomp[Obsługa maszyn Branson / Branson Maschinenbedienung],MATCH($B169,tab_MinKomp[[Stanowisko / Position ]:[Stanowisko / Position ]],0)))</f>
        <v>0</v>
      </c>
      <c r="BS170" s="315">
        <f>IF(INDEX(tab_MinKomp[Obsługa maszyn Kamtec / Kamtec Maschinenbedienung],MATCH($B169,tab_MinKomp[[Stanowisko / Position ]:[Stanowisko / Position ]],0))="n/a","n/a",BS169-INDEX(tab_MinKomp[Obsługa maszyn Kamtec / Kamtec Maschinenbedienung],MATCH($B169,tab_MinKomp[[Stanowisko / Position ]:[Stanowisko / Position ]],0)))</f>
        <v>0</v>
      </c>
      <c r="BT170" s="315">
        <f>IF(INDEX(tab_MinKomp[Obsługa maszyn Piovan / Piovan Maschinenbedienung],MATCH($B169,tab_MinKomp[[Stanowisko / Position ]:[Stanowisko / Position ]],0))="n/a","n/a",BT169-INDEX(tab_MinKomp[Obsługa maszyn Piovan / Piovan Maschinenbedienung],MATCH($B169,tab_MinKomp[[Stanowisko / Position ]:[Stanowisko / Position ]],0)))</f>
        <v>0</v>
      </c>
      <c r="BU170" s="315">
        <f>IF(INDEX(tab_MinKomp[Obsługa maszyn REP / REP Maschinenbedienung],MATCH($B169,tab_MinKomp[[Stanowisko / Position ]:[Stanowisko / Position ]],0))="n/a","n/a",BU169-INDEX(tab_MinKomp[Obsługa maszyn REP / REP Maschinenbedienung],MATCH($B169,tab_MinKomp[[Stanowisko / Position ]:[Stanowisko / Position ]],0)))</f>
        <v>0</v>
      </c>
      <c r="BV170" s="315" t="str">
        <f>IF(INDEX(tab_MinKomp[Informatyka ogólna (techniczne i systemowe) / Allgemeine IT (Technik und System)],MATCH($B169,tab_MinKomp[[Stanowisko / Position ]:[Stanowisko / Position ]],0))="n/a","n/a",BV169-INDEX(tab_MinKomp[Informatyka ogólna (techniczne i systemowe) / Allgemeine IT (Technik und System)],MATCH($B169,tab_MinKomp[[Stanowisko / Position ]:[Stanowisko / Position ]],0)))</f>
        <v>n/a</v>
      </c>
      <c r="BW170" s="315" t="str">
        <f>IF(INDEX(tab_MinKomp[Informatyka ogólna (techniczne i systemowe) / Allgemeine IT (Technik und System)],MATCH($B169,tab_MinKomp[[Stanowisko / Position ]:[Stanowisko / Position ]],0))="n/a","n/a",BW169-INDEX(tab_MinKomp[Informatyka ogólna (techniczne i systemowe) / Allgemeine IT (Technik und System)],MATCH($B169,tab_MinKomp[[Stanowisko / Position ]:[Stanowisko / Position ]],0)))</f>
        <v>n/a</v>
      </c>
      <c r="BX170" s="315" t="str">
        <f>IF(INDEX(tab_MinKomp[Sieci komputerowe / Computernetzwerke],MATCH($B169,tab_MinKomp[[Stanowisko / Position ]:[Stanowisko / Position ]],0))="n/a","n/a",BX169-INDEX(tab_MinKomp[Sieci komputerowe / Computernetzwerke],MATCH($B169,tab_MinKomp[[Stanowisko / Position ]:[Stanowisko / Position ]],0)))</f>
        <v>n/a</v>
      </c>
      <c r="BY170" s="315" t="str">
        <f>IF(INDEX(tab_MinKomp[Hardware (komputery PC, drukarki biurowe i etykietowe, telefonia stacjonarna i mobilna) (PC, Drucker, Telefpne, Handys)],MATCH($B169,tab_MinKomp[[Stanowisko / Position ]:[Stanowisko / Position ]],0))="n/a","n/a",BY169-INDEX(tab_MinKomp[Hardware (komputery PC, drukarki biurowe i etykietowe, telefonia stacjonarna i mobilna) (PC, Drucker, Telefpne, Handys)],MATCH($B169,tab_MinKomp[[Stanowisko / Position ]:[Stanowisko / Position ]],0)))</f>
        <v>n/a</v>
      </c>
      <c r="BZ170" s="315" t="str">
        <f>IF(INDEX(tab_MinKomp[Software &amp; Systems (MS Office, MS Remote Desktop)],MATCH($B169,tab_MinKomp[[Stanowisko / Position ]:[Stanowisko / Position ]],0))="n/a","n/a",BZ169-INDEX(tab_MinKomp[Software &amp; Systems (MS Office, MS Remote Desktop)],MATCH($B169,tab_MinKomp[[Stanowisko / Position ]:[Stanowisko / Position ]],0)))</f>
        <v>n/a</v>
      </c>
      <c r="CA170" s="315" t="str">
        <f>IF(INDEX(tab_MinKomp[Programowanie obiektowe (PHP) / Objektprogrammierung],MATCH($B169,tab_MinKomp[[Stanowisko / Position ]:[Stanowisko / Position ]],0))="n/a","n/a",CA169-INDEX(tab_MinKomp[Programowanie obiektowe (PHP) / Objektprogrammierung],MATCH($B169,tab_MinKomp[[Stanowisko / Position ]:[Stanowisko / Position ]],0)))</f>
        <v>n/a</v>
      </c>
      <c r="CB170" s="315" t="str">
        <f>IF(INDEX(tab_MinKomp[Scrum],MATCH($B169,tab_MinKomp[[Stanowisko / Position ]:[Stanowisko / Position ]],0))="n/a","n/a",CB169-INDEX(tab_MinKomp[Scrum],MATCH($B169,tab_MinKomp[[Stanowisko / Position ]:[Stanowisko / Position ]],0)))</f>
        <v>n/a</v>
      </c>
      <c r="CC170" s="315" t="str">
        <f>IF(INDEX(tab_MinKomp[SQL (MySQL)],MATCH($B169,tab_MinKomp[[Stanowisko / Position ]:[Stanowisko / Position ]],0))="n/a","n/a",CC169-INDEX(tab_MinKomp[SQL (MySQL)],MATCH($B169,tab_MinKomp[[Stanowisko / Position ]:[Stanowisko / Position ]],0)))</f>
        <v>n/a</v>
      </c>
      <c r="CD170" s="315" t="str">
        <f>IF(INDEX(tab_MinKomp[Javascript],MATCH($B169,tab_MinKomp[[Stanowisko / Position ]:[Stanowisko / Position ]],0))="n/a","n/a",CD169-INDEX(tab_MinKomp[Javascript],MATCH($B169,tab_MinKomp[[Stanowisko / Position ]:[Stanowisko / Position ]],0)))</f>
        <v>n/a</v>
      </c>
      <c r="CE170" s="315" t="str">
        <f>IF(INDEX(tab_MinKomp[Joomla],MATCH($B169,tab_MinKomp[[Stanowisko / Position ]:[Stanowisko / Position ]],0))="n/a","n/a",CE169-INDEX(tab_MinKomp[Joomla],MATCH($B169,tab_MinKomp[[Stanowisko / Position ]:[Stanowisko / Position ]],0)))</f>
        <v>n/a</v>
      </c>
      <c r="CF170" s="315" t="str">
        <f>IF(INDEX(tab_MinKomp[Bash],MATCH($B169,tab_MinKomp[[Stanowisko / Position ]:[Stanowisko / Position ]],0))="n/a","n/a",CF169-INDEX(tab_MinKomp[Bash],MATCH($B169,tab_MinKomp[[Stanowisko / Position ]:[Stanowisko / Position ]],0)))</f>
        <v>n/a</v>
      </c>
      <c r="CG170" s="315" t="str">
        <f>IF(INDEX(tab_MinKomp[Systemy MES (HYDRA / SFMS)],MATCH($B169,tab_MinKomp[[Stanowisko / Position ]:[Stanowisko / Position ]],0))="n/a","n/a",CG169-INDEX(tab_MinKomp[Systemy MES (HYDRA / SFMS)],MATCH($B169,tab_MinKomp[[Stanowisko / Position ]:[Stanowisko / Position ]],0)))</f>
        <v>n/a</v>
      </c>
      <c r="CH170" s="315" t="str">
        <f>IF(INDEX(tab_MinKomp[HTML / CSS],MATCH($B169,tab_MinKomp[[Stanowisko / Position ]:[Stanowisko / Position ]],0))="n/a","n/a",CH169-INDEX(tab_MinKomp[HTML / CSS],MATCH($B169,tab_MinKomp[[Stanowisko / Position ]:[Stanowisko / Position ]],0)))</f>
        <v>n/a</v>
      </c>
      <c r="CI170" s="315">
        <f>IF(INDEX(tab_MinKomp[SYSTEM PR],MATCH($B169,tab_MinKomp[[Stanowisko / Position ]:[Stanowisko / Position ]],0))="n/a","n/a",CI169-INDEX(tab_MinKomp[SYSTEM PR],MATCH($B169,tab_MinKomp[[Stanowisko / Position ]:[Stanowisko / Position ]],0)))</f>
        <v>1</v>
      </c>
      <c r="CJ170" s="315" t="str">
        <f>IF(INDEX(tab_MinKomp[System Einkauf XP / EBA],MATCH($B169,tab_MinKomp[[Stanowisko / Position ]:[Stanowisko / Position ]],0))="n/a","n/a",CJ169-INDEX(tab_MinKomp[System Einkauf XP / EBA],MATCH($B169,tab_MinKomp[[Stanowisko / Position ]:[Stanowisko / Position ]],0)))</f>
        <v>n/a</v>
      </c>
      <c r="CK170" s="315" t="str">
        <f>IF(INDEX(tab_MinKomp[Techniki negocjacyjne / Verhandlungstechniken],MATCH($B169,tab_MinKomp[[Stanowisko / Position ]:[Stanowisko / Position ]],0))="n/a","n/a",CK169-INDEX(tab_MinKomp[Techniki negocjacyjne / Verhandlungstechniken],MATCH($B169,tab_MinKomp[[Stanowisko / Position ]:[Stanowisko / Position ]],0)))</f>
        <v>n/a</v>
      </c>
      <c r="CL170" s="315" t="str">
        <f>IF(INDEX(tab_MinKomp[Znajomość rynku branżowego / Kenntnis des Industrie Marktes],MATCH($B169,tab_MinKomp[[Stanowisko / Position ]:[Stanowisko / Position ]],0))="n/a","n/a",CL169-INDEX(tab_MinKomp[Znajomość rynku branżowego / Kenntnis des Industrie Marktes],MATCH($B169,tab_MinKomp[[Stanowisko / Position ]:[Stanowisko / Position ]],0)))</f>
        <v>n/a</v>
      </c>
      <c r="CM170" s="315">
        <f>IF(INDEX(tab_MinKomp[RAPORTY 8D / 8D Berichten],MATCH($B169,tab_MinKomp[[Stanowisko / Position ]:[Stanowisko / Position ]],0))="n/a","n/a",CM169-INDEX(tab_MinKomp[RAPORTY 8D / 8D Berichten],MATCH($B169,tab_MinKomp[[Stanowisko / Position ]:[Stanowisko / Position ]],0)))</f>
        <v>1</v>
      </c>
      <c r="CN170" s="315">
        <f>IF(INDEX(tab_MinKomp[NARZĘDZIA JAKOŚCIOWE (5WHY, Ishikawa, etc) / QS-Werkzeuge],MATCH($B169,tab_MinKomp[[Stanowisko / Position ]:[Stanowisko / Position ]],0))="n/a","n/a",CN169-INDEX(tab_MinKomp[NARZĘDZIA JAKOŚCIOWE (5WHY, Ishikawa, etc) / QS-Werkzeuge],MATCH($B169,tab_MinKomp[[Stanowisko / Position ]:[Stanowisko / Position ]],0)))</f>
        <v>0</v>
      </c>
      <c r="CO170" s="315">
        <f>IF(INDEX(tab_MinKomp[PDCA],MATCH($B169,tab_MinKomp[[Stanowisko / Position ]:[Stanowisko / Position ]],0))="n/a","n/a",CO169-INDEX(tab_MinKomp[PDCA],MATCH($B169,tab_MinKomp[[Stanowisko / Position ]:[Stanowisko / Position ]],0)))</f>
        <v>0</v>
      </c>
      <c r="CP170" s="315">
        <f>IF(INDEX(tab_MinKomp[Pareto],MATCH($B169,tab_MinKomp[[Stanowisko / Position ]:[Stanowisko / Position ]],0))="n/a","n/a",CP169-INDEX(tab_MinKomp[Pareto],MATCH($B169,tab_MinKomp[[Stanowisko / Position ]:[Stanowisko / Position ]],0)))</f>
        <v>0</v>
      </c>
      <c r="CQ170" s="315" t="str">
        <f>IF(INDEX(tab_MinKomp[PPAP/PSW],MATCH($B169,tab_MinKomp[[Stanowisko / Position ]:[Stanowisko / Position ]],0))="n/a","n/a",CQ169-INDEX(tab_MinKomp[PPAP/PSW],MATCH($B169,tab_MinKomp[[Stanowisko / Position ]:[Stanowisko / Position ]],0)))</f>
        <v>n/a</v>
      </c>
      <c r="CR170" s="315" t="str">
        <f>IF(INDEX(tab_MinKomp[Informatyka ogólna (techniczne i systemowe) / Allgemeine IT (Technik und System)],MATCH($B169,tab_MinKomp[[Stanowisko / Position ]:[Stanowisko / Position ]],0))="n/a","n/a",CR169-INDEX(tab_MinKomp[Informatyka ogólna (techniczne i systemowe) / Allgemeine IT (Technik und System)],MATCH($B169,tab_MinKomp[[Stanowisko / Position ]:[Stanowisko / Position ]],0)))</f>
        <v>n/a</v>
      </c>
      <c r="CS170" s="315" t="str">
        <f>IF(INDEX(tab_MinKomp[Obsługa systemu BABTECQ / BABTECQ System],MATCH($B169,tab_MinKomp[[Stanowisko / Position ]:[Stanowisko / Position ]],0))="n/a","n/a",CS169-INDEX(tab_MinKomp[Obsługa systemu BABTECQ / BABTECQ System],MATCH($B169,tab_MinKomp[[Stanowisko / Position ]:[Stanowisko / Position ]],0)))</f>
        <v>n/a</v>
      </c>
      <c r="CT170" s="315" t="str">
        <f>IF(INDEX(tab_MinKomp[Obsługa systemu BABTECQ / BABTECQ System],MATCH($B169,tab_MinKomp[[Stanowisko / Position ]:[Stanowisko / Position ]],0))="n/a","n/a",CT169-INDEX(tab_MinKomp[Obsługa systemu BABTECQ / BABTECQ System],MATCH($B169,tab_MinKomp[[Stanowisko / Position ]:[Stanowisko / Position ]],0)))</f>
        <v>n/a</v>
      </c>
      <c r="CU170" s="315">
        <f>IF(INDEX(tab_MinKomp[Rysunek techniczny / technische Zeichnung],MATCH($B169,tab_MinKomp[[Stanowisko / Position ]:[Stanowisko / Position ]],0))="n/a","n/a",CU169-INDEX(tab_MinKomp[Rysunek techniczny / technische Zeichnung],MATCH($B169,tab_MinKomp[[Stanowisko / Position ]:[Stanowisko / Position ]],0)))</f>
        <v>2</v>
      </c>
      <c r="CV170" s="315" t="str">
        <f>IF(INDEX(tab_MinKomp[Kalibracja / Kalibrierung],MATCH($B169,tab_MinKomp[[Stanowisko / Position ]:[Stanowisko / Position ]],0))="n/a","n/a",CV169-INDEX(tab_MinKomp[Kalibracja / Kalibrierung],MATCH($B169,tab_MinKomp[[Stanowisko / Position ]:[Stanowisko / Position ]],0)))</f>
        <v>n/a</v>
      </c>
      <c r="CW170" s="315" t="str">
        <f>IF(INDEX(tab_MinKomp[Rekwalifikacja / Requalifizierung],MATCH($B169,tab_MinKomp[[Stanowisko / Position ]:[Stanowisko / Position ]],0))="n/a","n/a",CW169-INDEX(tab_MinKomp[Rekwalifikacja / Requalifizierung],MATCH($B169,tab_MinKomp[[Stanowisko / Position ]:[Stanowisko / Position ]],0)))</f>
        <v>n/a</v>
      </c>
      <c r="CX170" s="315" t="s">
        <v>176</v>
      </c>
      <c r="CY170" s="315" t="s">
        <v>176</v>
      </c>
      <c r="CZ170" s="315" t="s">
        <v>176</v>
      </c>
      <c r="DA170" s="315" t="s">
        <v>176</v>
      </c>
      <c r="DB170" s="315" t="s">
        <v>176</v>
      </c>
      <c r="DC170" s="315" t="s">
        <v>176</v>
      </c>
      <c r="DD170" s="315" t="s">
        <v>176</v>
      </c>
      <c r="DE170" s="315" t="s">
        <v>176</v>
      </c>
      <c r="DF170" s="315" t="s">
        <v>176</v>
      </c>
      <c r="DG170" s="315" t="s">
        <v>176</v>
      </c>
      <c r="DH170" s="315" t="s">
        <v>176</v>
      </c>
      <c r="DI170" s="315" t="s">
        <v>176</v>
      </c>
      <c r="DJ170" s="315" t="s">
        <v>176</v>
      </c>
      <c r="DK170" s="315" t="s">
        <v>176</v>
      </c>
      <c r="DL170" s="315" t="s">
        <v>176</v>
      </c>
      <c r="DM170" s="315" t="s">
        <v>176</v>
      </c>
      <c r="DN170" s="315" t="s">
        <v>176</v>
      </c>
      <c r="DO170" s="315" t="s">
        <v>176</v>
      </c>
      <c r="DP170" s="315" t="s">
        <v>176</v>
      </c>
      <c r="DQ170" s="315" t="s">
        <v>176</v>
      </c>
      <c r="DR170" s="315" t="s">
        <v>176</v>
      </c>
      <c r="DS170" s="315" t="s">
        <v>176</v>
      </c>
      <c r="DT170" s="315" t="s">
        <v>176</v>
      </c>
      <c r="DU170" s="315" t="str">
        <f>IF(INDEX(tab_MinKomp[MSA i SPC],MATCH($B169,tab_MinKomp[[Stanowisko / Position ]:[Stanowisko / Position ]],0))="n/a","n/a",DU169-INDEX(tab_MinKomp[MSA i SPC],MATCH($B169,tab_MinKomp[[Stanowisko / Position ]:[Stanowisko / Position ]],0)))</f>
        <v>n/a</v>
      </c>
      <c r="DV170" s="315" t="str">
        <f>IF(INDEX(tab_MinKomp[Kontrola wejściowa komponentów/ Eingangskontrolle],MATCH($B169,tab_MinKomp[[Stanowisko / Position ]:[Stanowisko / Position ]],0))="n/a","n/a",DV169-INDEX(tab_MinKomp[Kontrola wejściowa komponentów/ Eingangskontrolle],MATCH($B169,tab_MinKomp[[Stanowisko / Position ]:[Stanowisko / Position ]],0)))</f>
        <v>n/a</v>
      </c>
      <c r="DW170" s="315" t="str">
        <f>IF(INDEX(tab_MinKomp[Kontrola wyjściowa produktu / Ausgangskontrolle],MATCH($B169,tab_MinKomp[[Stanowisko / Position ]:[Stanowisko / Position ]],0))="n/a","n/a",DW169-INDEX(tab_MinKomp[Kontrola wyjściowa produktu / Ausgangskontrolle],MATCH($B169,tab_MinKomp[[Stanowisko / Position ]:[Stanowisko / Position ]],0)))</f>
        <v>n/a</v>
      </c>
      <c r="DX170" s="315" t="str">
        <f>IF(INDEX(tab_MinKomp[Kontrola codzienna produkcji / Tägliche Produktionskontrolle],MATCH($B169,tab_MinKomp[[Stanowisko / Position ]:[Stanowisko / Position ]],0))="n/a","n/a",DX169-INDEX(tab_MinKomp[Kontrola codzienna produkcji / Tägliche Produktionskontrolle],MATCH($B169,tab_MinKomp[[Stanowisko / Position ]:[Stanowisko / Position ]],0)))</f>
        <v>n/a</v>
      </c>
      <c r="DY170" s="315" t="str">
        <f>IF(INDEX(tab_MinKomp[Konserwacja Rep],MATCH($B169,tab_MinKomp[[Stanowisko / Position ]:[Stanowisko / Position ]],0))="n/a","n/a",DY169-INDEX(tab_MinKomp[Konserwacja Rep],MATCH($B169,tab_MinKomp[[Stanowisko / Position ]:[Stanowisko / Position ]],0)))</f>
        <v>n/a</v>
      </c>
      <c r="DZ170" s="315" t="str">
        <f>IF(INDEX(tab_MinKomp[[Konserwacja Engel ]],MATCH($B169,tab_MinKomp[[Stanowisko / Position ]:[Stanowisko / Position ]],0))="n/a","n/a",DZ169-INDEX(tab_MinKomp[[Konserwacja Engel ]],MATCH($B169,tab_MinKomp[[Stanowisko / Position ]:[Stanowisko / Position ]],0)))</f>
        <v>n/a</v>
      </c>
      <c r="EA170" s="315" t="str">
        <f>IF(INDEX(tab_MinKomp[Konserwacja B 50],MATCH($B169,tab_MinKomp[[Stanowisko / Position ]:[Stanowisko / Position ]],0))="n/a","n/a",EA169-INDEX(tab_MinKomp[Konserwacja B 50],MATCH($B169,tab_MinKomp[[Stanowisko / Position ]:[Stanowisko / Position ]],0)))</f>
        <v>n/a</v>
      </c>
      <c r="EB170" s="315" t="str">
        <f>IF(INDEX(tab_MinKomp[[Konserwacja EOL ]],MATCH($B169,tab_MinKomp[[Stanowisko / Position ]:[Stanowisko / Position ]],0))="n/a","n/a",EB169-INDEX(tab_MinKomp[[Konserwacja EOL ]],MATCH($B169,tab_MinKomp[[Stanowisko / Position ]:[Stanowisko / Position ]],0)))</f>
        <v>n/a</v>
      </c>
      <c r="EC170" s="315" t="str">
        <f>IF(INDEX(tab_MinKomp[Konserwacja Branson],MATCH($B169,tab_MinKomp[[Stanowisko / Position ]:[Stanowisko / Position ]],0))="n/a","n/a",EC169-INDEX(tab_MinKomp[Konserwacja Branson],MATCH($B169,tab_MinKomp[[Stanowisko / Position ]:[Stanowisko / Position ]],0)))</f>
        <v>n/a</v>
      </c>
      <c r="ED170" s="315" t="str">
        <f>IF(INDEX(tab_MinKomp[Konserwacja coolery],MATCH($B169,tab_MinKomp[[Stanowisko / Position ]:[Stanowisko / Position ]],0))="n/a","n/a",ED169-INDEX(tab_MinKomp[Konserwacja coolery],MATCH($B169,tab_MinKomp[[Stanowisko / Position ]:[Stanowisko / Position ]],0)))</f>
        <v>n/a</v>
      </c>
      <c r="EE170" s="315" t="str">
        <f>IF(INDEX(tab_MinKomp[Konserwacja piecy],MATCH($B169,tab_MinKomp[[Stanowisko / Position ]:[Stanowisko / Position ]],0))="n/a","n/a",EE169-INDEX(tab_MinKomp[Konserwacja piecy],MATCH($B169,tab_MinKomp[[Stanowisko / Position ]:[Stanowisko / Position ]],0)))</f>
        <v>n/a</v>
      </c>
      <c r="EF170" s="315" t="str">
        <f>IF(INDEX(tab_MinKomp[Rysunek techniczny- czytanie],MATCH($B169,tab_MinKomp[[Stanowisko / Position ]:[Stanowisko / Position ]],0))="n/a","n/a",EF169-INDEX(tab_MinKomp[Rysunek techniczny- czytanie],MATCH($B169,tab_MinKomp[[Stanowisko / Position ]:[Stanowisko / Position ]],0)))</f>
        <v>n/a</v>
      </c>
      <c r="EG170" s="315" t="str">
        <f>IF(INDEX(tab_MinKomp[Elektryka],MATCH($B169,tab_MinKomp[[Stanowisko / Position ]:[Stanowisko / Position ]],0))="n/a","n/a",EG169-INDEX(tab_MinKomp[Elektryka],MATCH($B169,tab_MinKomp[[Stanowisko / Position ]:[Stanowisko / Position ]],0)))</f>
        <v>n/a</v>
      </c>
      <c r="EH170" s="315" t="str">
        <f>IF(INDEX(tab_MinKomp[Pneumatyka],MATCH($B169,tab_MinKomp[[Stanowisko / Position ]:[Stanowisko / Position ]],0))="n/a","n/a",EH169-INDEX(tab_MinKomp[Pneumatyka],MATCH($B169,tab_MinKomp[[Stanowisko / Position ]:[Stanowisko / Position ]],0)))</f>
        <v>n/a</v>
      </c>
      <c r="EI170" s="315" t="str">
        <f>IF(INDEX(tab_MinKomp[[Hydraulika ]],MATCH($B169,tab_MinKomp[[Stanowisko / Position ]:[Stanowisko / Position ]],0))="n/a","n/a",EI169-INDEX(tab_MinKomp[[Hydraulika ]],MATCH($B169,tab_MinKomp[[Stanowisko / Position ]:[Stanowisko / Position ]],0)))</f>
        <v>n/a</v>
      </c>
      <c r="EJ170" s="315" t="str">
        <f>IF(INDEX(tab_MinKomp[Podciśnienie],MATCH($B169,tab_MinKomp[[Stanowisko / Position ]:[Stanowisko / Position ]],0))="n/a","n/a",EJ169-INDEX(tab_MinKomp[Podciśnienie],MATCH($B169,tab_MinKomp[[Stanowisko / Position ]:[Stanowisko / Position ]],0)))</f>
        <v>n/a</v>
      </c>
      <c r="EK170" s="315" t="str">
        <f>IF(INDEX(tab_MinKomp[Usuwanie awarii],MATCH($B169,tab_MinKomp[[Stanowisko / Position ]:[Stanowisko / Position ]],0))="n/a","n/a",EK169-INDEX(tab_MinKomp[Usuwanie awarii],MATCH($B169,tab_MinKomp[[Stanowisko / Position ]:[Stanowisko / Position ]],0)))</f>
        <v>n/a</v>
      </c>
      <c r="EL170" s="315" t="str">
        <f>IF(INDEX(tab_MinKomp[Obsługa robotów],MATCH($B169,tab_MinKomp[[Stanowisko / Position ]:[Stanowisko / Position ]],0))="n/a","n/a",EL169-INDEX(tab_MinKomp[Obsługa robotów],MATCH($B169,tab_MinKomp[[Stanowisko / Position ]:[Stanowisko / Position ]],0)))</f>
        <v>n/a</v>
      </c>
      <c r="EM170" s="315" t="str">
        <f>IF(INDEX(tab_MinKomp[Obsługa sterowania maszyny],MATCH($B169,tab_MinKomp[[Stanowisko / Position ]:[Stanowisko / Position ]],0))="n/a","n/a",EM169-INDEX(tab_MinKomp[Obsługa sterowania maszyny],MATCH($B169,tab_MinKomp[[Stanowisko / Position ]:[Stanowisko / Position ]],0)))</f>
        <v>n/a</v>
      </c>
      <c r="EN170" s="315" t="str">
        <f>IF(INDEX(tab_MinKomp[Usuwanie przyczyn żródłowych],MATCH($B169,tab_MinKomp[[Stanowisko / Position ]:[Stanowisko / Position ]],0))="n/a","n/a",EN169-INDEX(tab_MinKomp[Usuwanie przyczyn żródłowych],MATCH($B169,tab_MinKomp[[Stanowisko / Position ]:[Stanowisko / Position ]],0)))</f>
        <v>n/a</v>
      </c>
      <c r="EO170" s="315">
        <f>IF(INDEX(tab_MinKomp[Cmms stosowanie],MATCH($B169,tab_MinKomp[[Stanowisko / Position ]:[Stanowisko / Position ]],0))="n/a","n/a",EO169-INDEX(tab_MinKomp[Cmms stosowanie],MATCH($B169,tab_MinKomp[[Stanowisko / Position ]:[Stanowisko / Position ]],0)))</f>
        <v>0</v>
      </c>
      <c r="EP170" s="315" t="str">
        <f>IF(INDEX(tab_MinKomp[[Czyszczenie form gumowych ]],MATCH($B169,tab_MinKomp[[Stanowisko / Position ]:[Stanowisko / Position ]],0))="n/a","n/a",EP169-INDEX(tab_MinKomp[[Czyszczenie form gumowych ]],MATCH($B169,tab_MinKomp[[Stanowisko / Position ]:[Stanowisko / Position ]],0)))</f>
        <v>n/a</v>
      </c>
      <c r="EQ170" s="315" t="str">
        <f>IF(INDEX(tab_MinKomp[Czyszczenie form plastikowych],MATCH($B169,tab_MinKomp[[Stanowisko / Position ]:[Stanowisko / Position ]],0))="n/a","n/a",EQ169-INDEX(tab_MinKomp[Czyszczenie form plastikowych],MATCH($B169,tab_MinKomp[[Stanowisko / Position ]:[Stanowisko / Position ]],0)))</f>
        <v>n/a</v>
      </c>
      <c r="ER170" s="315" t="str">
        <f>IF(INDEX(tab_MinKomp[Wymiana form plastik],MATCH($B169,tab_MinKomp[[Stanowisko / Position ]:[Stanowisko / Position ]],0))="n/a","n/a",ER169-INDEX(tab_MinKomp[Wymiana form plastik],MATCH($B169,tab_MinKomp[[Stanowisko / Position ]:[Stanowisko / Position ]],0)))</f>
        <v>n/a</v>
      </c>
      <c r="ES170" s="315" t="str">
        <f>IF(INDEX(tab_MinKomp[Wymiana form guma],MATCH($B169,tab_MinKomp[[Stanowisko / Position ]:[Stanowisko / Position ]],0))="n/a","n/a",ES169-INDEX(tab_MinKomp[Wymiana form guma],MATCH($B169,tab_MinKomp[[Stanowisko / Position ]:[Stanowisko / Position ]],0)))</f>
        <v>n/a</v>
      </c>
      <c r="ET170" s="315" t="str">
        <f>IF(INDEX(tab_MinKomp[Konserwacja KK],MATCH($B169,tab_MinKomp[[Stanowisko / Position ]:[Stanowisko / Position ]],0))="n/a","n/a",ET169-INDEX(tab_MinKomp[Konserwacja KK],MATCH($B169,tab_MinKomp[[Stanowisko / Position ]:[Stanowisko / Position ]],0)))</f>
        <v>n/a</v>
      </c>
      <c r="EU170" s="315" t="str">
        <f>IF(INDEX(tab_MinKomp[Konserwacja form guma],MATCH($B169,tab_MinKomp[[Stanowisko / Position ]:[Stanowisko / Position ]],0))="n/a","n/a",EU169-INDEX(tab_MinKomp[Konserwacja form guma],MATCH($B169,tab_MinKomp[[Stanowisko / Position ]:[Stanowisko / Position ]],0)))</f>
        <v>n/a</v>
      </c>
      <c r="EV170" s="315" t="str">
        <f>IF(INDEX(tab_MinKomp[Konserwacja form plastiki],MATCH($B169,tab_MinKomp[[Stanowisko / Position ]:[Stanowisko / Position ]],0))="n/a","n/a",EV169-INDEX(tab_MinKomp[Konserwacja form plastiki],MATCH($B169,tab_MinKomp[[Stanowisko / Position ]:[Stanowisko / Position ]],0)))</f>
        <v>n/a</v>
      </c>
      <c r="EW170" s="330" t="str">
        <f>IF(INDEX(tab_MinKomp[Konserwacja form plastiki],MATCH($B169,tab_MinKomp[[Stanowisko / Position ]:[Stanowisko / Position ]],0))="n/a","n/a",EW169-INDEX(tab_MinKomp[Konserwacja form plastiki],MATCH($B169,tab_MinKomp[[Stanowisko / Position ]:[Stanowisko / Position ]],0)))</f>
        <v>n/a</v>
      </c>
      <c r="EX170" s="315" t="str">
        <f>IF(INDEX(tab_MinKomp[Konserwacja Gorącego Kanału],MATCH($B169,tab_MinKomp[[Stanowisko / Position ]:[Stanowisko / Position ]],0))="n/a","n/a",EX169-INDEX(tab_MinKomp[Konserwacja Gorącego Kanału],MATCH($B169,tab_MinKomp[[Stanowisko / Position ]:[Stanowisko / Position ]],0)))</f>
        <v>n/a</v>
      </c>
      <c r="EY170" s="315">
        <f>IF(INDEX(tab_MinKomp[MS Office (Excel)],MATCH($B169,tab_MinKomp[[Stanowisko / Position ]:[Stanowisko / Position ]],0))="n/a","n/a",EY169-INDEX(tab_MinKomp[MS Office (Excel)],MATCH($B169,tab_MinKomp[[Stanowisko / Position ]:[Stanowisko / Position ]],0)))</f>
        <v>0</v>
      </c>
      <c r="EZ170" s="315">
        <f>IF(INDEX(tab_MinKomp[MS Office (Word)],MATCH($B169,tab_MinKomp[[Stanowisko / Position ]:[Stanowisko / Position ]],0))="n/a","n/a",EZ169-INDEX(tab_MinKomp[MS Office (Word)],MATCH($B169,tab_MinKomp[[Stanowisko / Position ]:[Stanowisko / Position ]],0)))</f>
        <v>0</v>
      </c>
      <c r="FA170" s="315">
        <f>IF(INDEX(tab_MinKomp[MS Office (Power Point)],MATCH($B169,tab_MinKomp[[Stanowisko / Position ]:[Stanowisko / Position ]],0))="n/a","n/a",FA169-INDEX(tab_MinKomp[MS Office (Power Point)],MATCH($B169,tab_MinKomp[[Stanowisko / Position ]:[Stanowisko / Position ]],0)))</f>
        <v>0</v>
      </c>
      <c r="FB170" s="317">
        <f>IF(INDEX(tab_MinKomp[Język angielski / Englisch],MATCH($B169,tab_MinKomp[[Stanowisko / Position ]:[Stanowisko / Position ]],0))="n/a","n/a",FB169-INDEX(tab_MinKomp[Język angielski / Englisch],MATCH($B169,tab_MinKomp[[Stanowisko / Position ]:[Stanowisko / Position ]],0)))</f>
        <v>2</v>
      </c>
      <c r="FC170" s="315" t="str">
        <f>IF(INDEX(tab_MinKomp[Konserwacja Gorącego Kanału],MATCH($B169,tab_MinKomp[[Stanowisko / Position ]:[Stanowisko / Position ]],0))="n/a","n/a",FC169-INDEX(tab_MinKomp[Konserwacja Gorącego Kanału],MATCH($B169,tab_MinKomp[[Stanowisko / Position ]:[Stanowisko / Position ]],0)))</f>
        <v>n/a</v>
      </c>
      <c r="FD170" s="315">
        <f>IF(INDEX(tab_MinKomp[Zarządzanie dokumentacją procesową / Process dokumentation management],MATCH($B169,tab_MinKomp[[Stanowisko / Position ]:[Stanowisko / Position ]],0))="n/a","n/a",FD169-INDEX(tab_MinKomp[Zarządzanie dokumentacją procesową / Process dokumentation management],MATCH($B169,tab_MinKomp[[Stanowisko / Position ]:[Stanowisko / Position ]],0)))</f>
        <v>-1</v>
      </c>
      <c r="FE170" s="315">
        <f>IF(INDEX(tab_MinKomp[Znajomość procesów z obszaru / Kenntiss der prozesse in dem Bereich],MATCH($B169,tab_MinKomp[[Stanowisko / Position ]:[Stanowisko / Position ]],0))="n/a","n/a",FE169-INDEX(tab_MinKomp[Znajomość procesów z obszaru / Kenntiss der prozesse in dem Bereich],MATCH($B169,tab_MinKomp[[Stanowisko / Position ]:[Stanowisko / Position ]],0)))</f>
        <v>-1</v>
      </c>
      <c r="FF170" s="315">
        <f>IF(INDEX(tab_MinKomp[optymalizacja procesów / Prozessoptymalisierung],MATCH($B169,tab_MinKomp[[Stanowisko / Position ]:[Stanowisko / Position ]],0))="n/a","n/a",FF169-INDEX(tab_MinKomp[optymalizacja procesów / Prozessoptymalisierung],MATCH($B169,tab_MinKomp[[Stanowisko / Position ]:[Stanowisko / Position ]],0)))</f>
        <v>-1</v>
      </c>
      <c r="FG170" s="315">
        <f>IF(INDEX(tab_MinKomp[Umiejętności szkoleniowe / Trainingsfähigkeiten],MATCH($B169,tab_MinKomp[[Stanowisko / Position ]:[Stanowisko / Position ]],0))="n/a","n/a",FG169-INDEX(tab_MinKomp[Umiejętności szkoleniowe / Trainingsfähigkeiten],MATCH($B169,tab_MinKomp[[Stanowisko / Position ]:[Stanowisko / Position ]],0)))</f>
        <v>-1</v>
      </c>
      <c r="FH170" s="315">
        <f>IF(INDEX(tab_MinKomp[Analityczne myślenie, podejście / Analitysches Denken, Einstellung],MATCH($B169,tab_MinKomp[[Stanowisko / Position ]:[Stanowisko / Position ]],0))="n/a","n/a",FH169-INDEX(tab_MinKomp[Analityczne myślenie, podejście / Analitysches Denken, Einstellung],MATCH($B169,tab_MinKomp[[Stanowisko / Position ]:[Stanowisko / Position ]],0)))</f>
        <v>-1</v>
      </c>
      <c r="FI170" s="315">
        <f>IF(INDEX(tab_MinKomp[Dokładność, precyzja w dzialaniu / Genauigkeit, Präzision in die Arbeit],MATCH($B169,tab_MinKomp[[Stanowisko / Position ]:[Stanowisko / Position ]],0))="n/a","n/a",FI169-INDEX(tab_MinKomp[Dokładność, precyzja w dzialaniu / Genauigkeit, Präzision in die Arbeit],MATCH($B169,tab_MinKomp[[Stanowisko / Position ]:[Stanowisko / Position ]],0)))</f>
        <v>-1</v>
      </c>
      <c r="FJ170" s="315">
        <f>IF(INDEX(tab_MinKomp[Dyspozycyjność / Verfügbarkeit],MATCH($B169,tab_MinKomp[[Stanowisko / Position ]:[Stanowisko / Position ]],0))="n/a","n/a",FJ169-INDEX(tab_MinKomp[Dyspozycyjność / Verfügbarkeit],MATCH($B169,tab_MinKomp[[Stanowisko / Position ]:[Stanowisko / Position ]],0)))</f>
        <v>-1</v>
      </c>
      <c r="FK170" s="315">
        <f>IF(INDEX(tab_MinKomp[Zaangażowanie / 
Engagement],MATCH($B169,tab_MinKomp[[Stanowisko / Position ]:[Stanowisko / Position ]],0))="n/a","n/a",FK169-INDEX(tab_MinKomp[Zaangażowanie / 
Engagement],MATCH($B169,tab_MinKomp[[Stanowisko / Position ]:[Stanowisko / Position ]],0)))</f>
        <v>0</v>
      </c>
      <c r="FL170" s="315">
        <f>IF(INDEX(tab_MinKomp[Planowanie strategiczne / Strategische Planung],MATCH($B169,tab_MinKomp[[Stanowisko / Position ]:[Stanowisko / Position ]],0))="n/a","n/a",FL169-INDEX(tab_MinKomp[Planowanie strategiczne / Strategische Planung],MATCH($B169,tab_MinKomp[[Stanowisko / Position ]:[Stanowisko / Position ]],0)))</f>
        <v>-1</v>
      </c>
      <c r="FM170" s="315">
        <f>IF(INDEX(tab_MinKomp[Konsekwentne i dynamiczne działanie],MATCH($B169,tab_MinKomp[[Stanowisko / Position ]:[Stanowisko / Position ]],0))="n/a","n/a",FM169-INDEX(tab_MinKomp[Konsekwentne i dynamiczne działanie],MATCH($B169,tab_MinKomp[[Stanowisko / Position ]:[Stanowisko / Position ]],0)))</f>
        <v>-1</v>
      </c>
      <c r="FN170" s="315">
        <f>IF(INDEX(tab_MinKomp[Elastyczność w działaniu],MATCH($B169,tab_MinKomp[[Stanowisko / Position ]:[Stanowisko / Position ]],0))="n/a","n/a",FN169-INDEX(tab_MinKomp[Elastyczność w działaniu],MATCH($B169,tab_MinKomp[[Stanowisko / Position ]:[Stanowisko / Position ]],0)))</f>
        <v>-1</v>
      </c>
      <c r="FO170" s="315">
        <f>IF(INDEX(tab_MinKomp[Komunikatywność],MATCH($B169,tab_MinKomp[[Stanowisko / Position ]:[Stanowisko / Position ]],0))="n/a","n/a",FO169-INDEX(tab_MinKomp[Komunikatywność],MATCH($B169,tab_MinKomp[[Stanowisko / Position ]:[Stanowisko / Position ]],0)))</f>
        <v>0</v>
      </c>
      <c r="FP170" s="314">
        <f>IF(INDEX(tab_MinKomp[Motywowanie i budowanie zaangażowania zespołu],MATCH($B169,tab_MinKomp[[Stanowisko / Position ]:[Stanowisko / Position ]],0))="n/a","n/a",FP169-INDEX(tab_MinKomp[Motywowanie i budowanie zaangażowania zespołu],MATCH($B169,tab_MinKomp[[Stanowisko / Position ]:[Stanowisko / Position ]],0)))</f>
        <v>-1</v>
      </c>
      <c r="FQ170" s="318" t="str">
        <f>IFERROR(IF(INDEX(tab_MinKomp[BRAK / Keine],MATCH($B169,tab_MinKomp[[Stanowisko / Position ]:[Stanowisko / Position ]],0))="n/a","n/a",INDEX(tab_MinKomp[BRAK / Keine],MATCH($B169,tab_MinKomp[[Stanowisko / Position ]:[Stanowisko / Position ]],0))-FQ169),"")</f>
        <v>n/a</v>
      </c>
      <c r="FR170" s="315" t="str">
        <f>IF(INDEX(tab_MinKomp[MINIMUM 1 ROK / min. 1 Jahr],MATCH($B169,tab_MinKomp[[Stanowisko / Position ]:[Stanowisko / Position ]],0))="n/a","n/a",INDEX(tab_MinKomp[MINIMUM 1 ROK / min. 1 Jahr],MATCH($B169,tab_MinKomp[[Stanowisko / Position ]:[Stanowisko / Position ]],0)))</f>
        <v>n/a</v>
      </c>
      <c r="FS170" s="315" t="str">
        <f>IF(INDEX(tab_MinKomp[MINIMUM 2 LATA / min. 2 Jahre],MATCH($B169,tab_MinKomp[[Stanowisko / Position ]:[Stanowisko / Position ]],0))="n/a","n/a",INDEX(tab_MinKomp[MINIMUM 2 LATA / min. 2 Jahre],MATCH($B169,tab_MinKomp[[Stanowisko / Position ]:[Stanowisko / Position ]],0)))</f>
        <v>X</v>
      </c>
      <c r="FT170" s="315" t="str">
        <f>IF(INDEX(tab_MinKomp[MINIMUM 3 LATA / min. 3 Jahre],MATCH($B169,tab_MinKomp[[Stanowisko / Position ]:[Stanowisko / Position ]],0))="n/a","n/a",INDEX(tab_MinKomp[MINIMUM 3 LATA / min. 3 Jahre],MATCH($B169,tab_MinKomp[[Stanowisko / Position ]:[Stanowisko / Position ]],0)))</f>
        <v>n/a</v>
      </c>
      <c r="FU170" s="315" t="str">
        <f>IF(INDEX(tab_MinKomp[MINIMUM 4 LATA / min. 4 Jahre],MATCH($B169,tab_MinKomp[[Stanowisko / Position ]:[Stanowisko / Position ]],0))="n/a","n/a",INDEX(tab_MinKomp[MINIMUM 4 LATA / min. 4 Jahre],MATCH($B169,tab_MinKomp[[Stanowisko / Position ]:[Stanowisko / Position ]],0)))</f>
        <v>n/a</v>
      </c>
      <c r="FV170" s="319" t="str">
        <f>IF(INDEX(tab_MinKomp[MINIMUM 5 LAT / min. 5 Jahre],MATCH($B169,tab_MinKomp[[Stanowisko / Position ]:[Stanowisko / Position ]],0))="n/a","n/a",INDEX(tab_MinKomp[MINIMUM 5 LAT / min. 5 Jahre],MATCH($B169,tab_MinKomp[[Stanowisko / Position ]:[Stanowisko / Position ]],0)))</f>
        <v>n/a</v>
      </c>
      <c r="FW170" s="318" t="str">
        <f>IF(INDEX(tab_MinKomp[BRAK / Keine9],MATCH($B169,tab_MinKomp[[Stanowisko / Position ]:[Stanowisko / Position ]],0))="n/a","n/a",INDEX(tab_MinKomp[BRAK / Keine9],MATCH($B169,tab_MinKomp[[Stanowisko / Position ]:[Stanowisko / Position ]],0)))</f>
        <v>n/a</v>
      </c>
      <c r="FX170" s="315" t="str">
        <f>IF(INDEX(tab_MinKomp[ZAWODOWE / Berufsausbildung],MATCH($B169,tab_MinKomp[[Stanowisko / Position ]:[Stanowisko / Position ]],0))="n/a","n/a",INDEX(tab_MinKomp[ZAWODOWE / Berufsausbildung],MATCH($B169,tab_MinKomp[[Stanowisko / Position ]:[Stanowisko / Position ]],0)))</f>
        <v>n/a</v>
      </c>
      <c r="FY170" s="315" t="str">
        <f>IF(INDEX(tab_MinKomp[ŚREDNIE OGÓLNE / Abitur allgemeine],MATCH($B169,tab_MinKomp[[Stanowisko / Position ]:[Stanowisko / Position ]],0))="n/a","n/a",INDEX(tab_MinKomp[ŚREDNIE OGÓLNE / Abitur allgemeine],MATCH($B169,tab_MinKomp[[Stanowisko / Position ]:[Stanowisko / Position ]],0)))</f>
        <v>X</v>
      </c>
      <c r="FZ170" s="315" t="str">
        <f>IF(INDEX(tab_MinKomp[ŚREDNIE KIERUNKOWE / berufliches Gymnasium],MATCH($B169,tab_MinKomp[[Stanowisko / Position ]:[Stanowisko / Position ]],0))="n/a","n/a",INDEX(tab_MinKomp[ŚREDNIE KIERUNKOWE / berufliches Gymnasium],MATCH($B169,tab_MinKomp[[Stanowisko / Position ]:[Stanowisko / Position ]],0)))</f>
        <v>n/a</v>
      </c>
      <c r="GA170" s="315" t="str">
        <f>IF(INDEX(tab_MinKomp[WYŻSZE OGÓLNE / Hochschule allgemeine],MATCH($B169,tab_MinKomp[[Stanowisko / Position ]:[Stanowisko / Position ]],0))="n/a","n/a",INDEX(tab_MinKomp[WYŻSZE OGÓLNE / Hochschule allgemeine],MATCH($B169,tab_MinKomp[[Stanowisko / Position ]:[Stanowisko / Position ]],0)))</f>
        <v>n/a</v>
      </c>
      <c r="GB170" s="319" t="str">
        <f>IF(INDEX(tab_MinKomp[WYŻSZE KIERUNKOWE / Hochschule berufliche],MATCH($B169,tab_MinKomp[[Stanowisko / Position ]:[Stanowisko / Position ]],0))="n/a","n/a",INDEX(tab_MinKomp[WYŻSZE KIERUNKOWE / Hochschule berufliche],MATCH($B169,tab_MinKomp[[Stanowisko / Position ]:[Stanowisko / Position ]],0)))</f>
        <v>n/a</v>
      </c>
      <c r="GC170" s="308" t="s">
        <v>160</v>
      </c>
      <c r="GD170" s="315" t="str">
        <f>IF(INDEX(tab_MinKomp[Specjalista BHP / BHP Spezialist],MATCH($B169,tab_MinKomp[[Stanowisko / Position ]:[Stanowisko / Position ]],0))="n/a","n/a",INDEX(tab_MinKomp[Specjalista BHP / BHP Spezialist],MATCH($B169,tab_MinKomp[[Stanowisko / Position ]:[Stanowisko / Position ]],0)))</f>
        <v>n/a</v>
      </c>
      <c r="GE170" s="315" t="str">
        <f>IF(INDEX(tab_MinKomp[Inspektor ochrony PPOŻ / Brandschutzinspektor],MATCH($B169,tab_MinKomp[[Stanowisko / Position ]:[Stanowisko / Position ]],0))="n/a","n/a",INDEX(tab_MinKomp[Inspektor ochrony PPOŻ / Brandschutzinspektor],MATCH($B169,tab_MinKomp[[Stanowisko / Position ]:[Stanowisko / Position ]],0)))</f>
        <v>n/a</v>
      </c>
      <c r="GF170" s="315" t="s">
        <v>160</v>
      </c>
      <c r="GG170" s="315" t="str">
        <f>IF(INDEX(tab_MinKomp[SEP],MATCH($B169,tab_MinKomp[[Stanowisko / Position ]:[Stanowisko / Position ]],0))="n/a","n/a",INDEX(tab_MinKomp[SEP],MATCH($B169,tab_MinKomp[[Stanowisko / Position ]:[Stanowisko / Position ]],0)))</f>
        <v>n/a</v>
      </c>
      <c r="GH170" s="315" t="str">
        <f>IF(INDEX(tab_MinKomp[SEP  DOZÓR / SEP Aufsicht],MATCH($B169,tab_MinKomp[[Stanowisko / Position ]:[Stanowisko / Position ]],0))="n/a","n/a",INDEX(tab_MinKomp[SEP  DOZÓR / SEP Aufsicht],MATCH($B169,tab_MinKomp[[Stanowisko / Position ]:[Stanowisko / Position ]],0)))</f>
        <v>n/a</v>
      </c>
      <c r="GI170" s="315" t="str">
        <f>IF(INDEX(tab_MinKomp[PODNOŚNIKI / Hebevorrichtung],MATCH($B169,tab_MinKomp[[Stanowisko / Position ]:[Stanowisko / Position ]],0))="n/a","n/a",INDEX(tab_MinKomp[PODNOŚNIKI / Hebevorrichtung],MATCH($B169,tab_MinKomp[[Stanowisko / Position ]:[Stanowisko / Position ]],0)))</f>
        <v>n/a</v>
      </c>
      <c r="GJ170" s="315" t="str">
        <f>IF(INDEX(tab_MinKomp[SUWNICE / Laufkran],MATCH($B169,tab_MinKomp[[Stanowisko / Position ]:[Stanowisko / Position ]],0))="n/a","n/a",INDEX(tab_MinKomp[SUWNICE / Laufkran],MATCH($B169,tab_MinKomp[[Stanowisko / Position ]:[Stanowisko / Position ]],0)))</f>
        <v>n/a</v>
      </c>
      <c r="GK170" s="319" t="str">
        <f>IF(INDEX(tab_MinKomp[WYSOKOŚCIOWE / Höhenberechtigungen],MATCH($B169,tab_MinKomp[[Stanowisko / Position ]:[Stanowisko / Position ]],0))="n/a","n/a",INDEX(tab_MinKomp[WYSOKOŚCIOWE / Höhenberechtigungen],MATCH($B169,tab_MinKomp[[Stanowisko / Position ]:[Stanowisko / Position ]],0)))</f>
        <v>n/a</v>
      </c>
      <c r="GL170" s="320">
        <f>SUM(G170:FP170)/(GL169-(SUM(G170:FP170)))</f>
        <v>8.4745762711864403E-2</v>
      </c>
      <c r="GM170" s="132"/>
    </row>
    <row r="171" spans="1:195" s="197" customFormat="1" ht="23.25" customHeight="1" x14ac:dyDescent="0.25">
      <c r="A171" s="138" t="s">
        <v>183</v>
      </c>
      <c r="B171" s="138" t="s">
        <v>200</v>
      </c>
      <c r="C171" s="138" t="s">
        <v>230</v>
      </c>
      <c r="D171" s="138">
        <v>1372</v>
      </c>
      <c r="E171" s="565" t="s">
        <v>586</v>
      </c>
      <c r="F171" s="307" t="s">
        <v>165</v>
      </c>
      <c r="G171" s="308">
        <v>1</v>
      </c>
      <c r="H171" s="308">
        <v>1</v>
      </c>
      <c r="I171" s="308">
        <v>1</v>
      </c>
      <c r="J171" s="308">
        <v>2</v>
      </c>
      <c r="K171" s="308">
        <v>2</v>
      </c>
      <c r="L171" s="308">
        <v>1</v>
      </c>
      <c r="M171" s="308" t="s">
        <v>176</v>
      </c>
      <c r="N171" s="308" t="s">
        <v>176</v>
      </c>
      <c r="O171" s="308">
        <v>1</v>
      </c>
      <c r="P171" s="308">
        <v>1</v>
      </c>
      <c r="Q171" s="308" t="s">
        <v>176</v>
      </c>
      <c r="R171" s="308" t="s">
        <v>176</v>
      </c>
      <c r="S171" s="308" t="s">
        <v>176</v>
      </c>
      <c r="T171" s="308" t="s">
        <v>176</v>
      </c>
      <c r="U171" s="308">
        <v>1</v>
      </c>
      <c r="V171" s="308" t="s">
        <v>176</v>
      </c>
      <c r="W171" s="308">
        <v>1</v>
      </c>
      <c r="X171" s="308" t="s">
        <v>176</v>
      </c>
      <c r="Y171" s="308" t="s">
        <v>176</v>
      </c>
      <c r="Z171" s="308" t="s">
        <v>176</v>
      </c>
      <c r="AA171" s="308" t="s">
        <v>176</v>
      </c>
      <c r="AB171" s="308">
        <v>2</v>
      </c>
      <c r="AC171" s="308">
        <v>1</v>
      </c>
      <c r="AD171" s="308">
        <v>1</v>
      </c>
      <c r="AE171" s="308">
        <v>1</v>
      </c>
      <c r="AF171" s="308">
        <v>1</v>
      </c>
      <c r="AG171" s="308">
        <v>1</v>
      </c>
      <c r="AH171" s="308">
        <v>1</v>
      </c>
      <c r="AI171" s="308" t="s">
        <v>176</v>
      </c>
      <c r="AJ171" s="308" t="s">
        <v>176</v>
      </c>
      <c r="AK171" s="308" t="s">
        <v>176</v>
      </c>
      <c r="AL171" s="308">
        <v>1</v>
      </c>
      <c r="AM171" s="308">
        <v>1</v>
      </c>
      <c r="AN171" s="308">
        <v>1</v>
      </c>
      <c r="AO171" s="308" t="s">
        <v>176</v>
      </c>
      <c r="AP171" s="308">
        <v>1</v>
      </c>
      <c r="AQ171" s="308">
        <v>1</v>
      </c>
      <c r="AR171" s="308" t="s">
        <v>176</v>
      </c>
      <c r="AS171" s="308" t="s">
        <v>176</v>
      </c>
      <c r="AT171" s="308" t="s">
        <v>176</v>
      </c>
      <c r="AU171" s="308">
        <v>1</v>
      </c>
      <c r="AV171" s="308">
        <v>2</v>
      </c>
      <c r="AW171" s="308">
        <v>1</v>
      </c>
      <c r="AX171" s="308">
        <v>2</v>
      </c>
      <c r="AY171" s="308" t="s">
        <v>176</v>
      </c>
      <c r="AZ171" s="308">
        <v>3</v>
      </c>
      <c r="BA171" s="308">
        <v>3</v>
      </c>
      <c r="BB171" s="308">
        <v>3</v>
      </c>
      <c r="BC171" s="308">
        <v>3</v>
      </c>
      <c r="BD171" s="308">
        <v>1</v>
      </c>
      <c r="BE171" s="308">
        <v>3</v>
      </c>
      <c r="BF171" s="308">
        <v>1</v>
      </c>
      <c r="BG171" s="308">
        <v>1</v>
      </c>
      <c r="BH171" s="308">
        <v>1</v>
      </c>
      <c r="BI171" s="308">
        <v>1</v>
      </c>
      <c r="BJ171" s="308">
        <v>1</v>
      </c>
      <c r="BK171" s="308">
        <v>1</v>
      </c>
      <c r="BL171" s="308">
        <v>1</v>
      </c>
      <c r="BM171" s="308" t="s">
        <v>176</v>
      </c>
      <c r="BN171" s="308" t="s">
        <v>176</v>
      </c>
      <c r="BO171" s="308" t="s">
        <v>176</v>
      </c>
      <c r="BP171" s="308" t="s">
        <v>176</v>
      </c>
      <c r="BQ171" s="308" t="s">
        <v>176</v>
      </c>
      <c r="BR171" s="308" t="s">
        <v>176</v>
      </c>
      <c r="BS171" s="308" t="s">
        <v>176</v>
      </c>
      <c r="BT171" s="308" t="s">
        <v>176</v>
      </c>
      <c r="BU171" s="308" t="s">
        <v>176</v>
      </c>
      <c r="BV171" s="308" t="s">
        <v>176</v>
      </c>
      <c r="BW171" s="308">
        <v>1</v>
      </c>
      <c r="BX171" s="308" t="s">
        <v>176</v>
      </c>
      <c r="BY171" s="308" t="s">
        <v>176</v>
      </c>
      <c r="BZ171" s="308" t="s">
        <v>176</v>
      </c>
      <c r="CA171" s="308" t="s">
        <v>176</v>
      </c>
      <c r="CB171" s="308" t="s">
        <v>176</v>
      </c>
      <c r="CC171" s="308" t="s">
        <v>176</v>
      </c>
      <c r="CD171" s="308" t="s">
        <v>176</v>
      </c>
      <c r="CE171" s="308" t="s">
        <v>176</v>
      </c>
      <c r="CF171" s="308" t="s">
        <v>176</v>
      </c>
      <c r="CG171" s="308" t="s">
        <v>176</v>
      </c>
      <c r="CH171" s="308" t="s">
        <v>176</v>
      </c>
      <c r="CI171" s="308" t="s">
        <v>176</v>
      </c>
      <c r="CJ171" s="308" t="s">
        <v>176</v>
      </c>
      <c r="CK171" s="308" t="s">
        <v>176</v>
      </c>
      <c r="CL171" s="308" t="s">
        <v>176</v>
      </c>
      <c r="CM171" s="308" t="s">
        <v>176</v>
      </c>
      <c r="CN171" s="308" t="s">
        <v>176</v>
      </c>
      <c r="CO171" s="308" t="s">
        <v>176</v>
      </c>
      <c r="CP171" s="308" t="s">
        <v>176</v>
      </c>
      <c r="CQ171" s="308" t="s">
        <v>176</v>
      </c>
      <c r="CR171" s="308" t="s">
        <v>176</v>
      </c>
      <c r="CS171" s="308" t="s">
        <v>176</v>
      </c>
      <c r="CT171" s="308">
        <v>1</v>
      </c>
      <c r="CU171" s="308" t="s">
        <v>176</v>
      </c>
      <c r="CV171" s="308" t="s">
        <v>176</v>
      </c>
      <c r="CW171" s="308" t="s">
        <v>176</v>
      </c>
      <c r="CX171" s="308" t="s">
        <v>176</v>
      </c>
      <c r="CY171" s="308" t="s">
        <v>176</v>
      </c>
      <c r="CZ171" s="308" t="s">
        <v>176</v>
      </c>
      <c r="DA171" s="308" t="s">
        <v>176</v>
      </c>
      <c r="DB171" s="308" t="s">
        <v>176</v>
      </c>
      <c r="DC171" s="308" t="s">
        <v>176</v>
      </c>
      <c r="DD171" s="308" t="s">
        <v>176</v>
      </c>
      <c r="DE171" s="308" t="s">
        <v>176</v>
      </c>
      <c r="DF171" s="308" t="s">
        <v>176</v>
      </c>
      <c r="DG171" s="308" t="s">
        <v>176</v>
      </c>
      <c r="DH171" s="308" t="s">
        <v>176</v>
      </c>
      <c r="DI171" s="308" t="s">
        <v>176</v>
      </c>
      <c r="DJ171" s="308" t="s">
        <v>176</v>
      </c>
      <c r="DK171" s="308" t="s">
        <v>176</v>
      </c>
      <c r="DL171" s="308" t="s">
        <v>176</v>
      </c>
      <c r="DM171" s="308" t="s">
        <v>176</v>
      </c>
      <c r="DN171" s="308" t="s">
        <v>176</v>
      </c>
      <c r="DO171" s="308" t="s">
        <v>176</v>
      </c>
      <c r="DP171" s="308" t="s">
        <v>176</v>
      </c>
      <c r="DQ171" s="308" t="s">
        <v>176</v>
      </c>
      <c r="DR171" s="308" t="s">
        <v>176</v>
      </c>
      <c r="DS171" s="308" t="s">
        <v>176</v>
      </c>
      <c r="DT171" s="308" t="s">
        <v>176</v>
      </c>
      <c r="DU171" s="308" t="s">
        <v>176</v>
      </c>
      <c r="DV171" s="308" t="s">
        <v>176</v>
      </c>
      <c r="DW171" s="308" t="s">
        <v>176</v>
      </c>
      <c r="DX171" s="308" t="s">
        <v>176</v>
      </c>
      <c r="DY171" s="308" t="s">
        <v>176</v>
      </c>
      <c r="DZ171" s="308" t="s">
        <v>176</v>
      </c>
      <c r="EA171" s="308" t="s">
        <v>176</v>
      </c>
      <c r="EB171" s="308" t="s">
        <v>176</v>
      </c>
      <c r="EC171" s="308" t="s">
        <v>176</v>
      </c>
      <c r="ED171" s="308" t="s">
        <v>176</v>
      </c>
      <c r="EE171" s="308" t="s">
        <v>176</v>
      </c>
      <c r="EF171" s="308" t="s">
        <v>176</v>
      </c>
      <c r="EG171" s="308" t="s">
        <v>176</v>
      </c>
      <c r="EH171" s="308" t="s">
        <v>176</v>
      </c>
      <c r="EI171" s="308" t="s">
        <v>176</v>
      </c>
      <c r="EJ171" s="308" t="s">
        <v>176</v>
      </c>
      <c r="EK171" s="308" t="s">
        <v>176</v>
      </c>
      <c r="EL171" s="308" t="s">
        <v>176</v>
      </c>
      <c r="EM171" s="308" t="s">
        <v>176</v>
      </c>
      <c r="EN171" s="308" t="s">
        <v>176</v>
      </c>
      <c r="EO171" s="308" t="s">
        <v>176</v>
      </c>
      <c r="EP171" s="308" t="s">
        <v>176</v>
      </c>
      <c r="EQ171" s="308" t="s">
        <v>176</v>
      </c>
      <c r="ER171" s="308" t="s">
        <v>176</v>
      </c>
      <c r="ES171" s="308" t="s">
        <v>176</v>
      </c>
      <c r="ET171" s="308" t="s">
        <v>176</v>
      </c>
      <c r="EU171" s="308" t="s">
        <v>176</v>
      </c>
      <c r="EV171" s="308" t="s">
        <v>176</v>
      </c>
      <c r="EW171" s="308" t="s">
        <v>176</v>
      </c>
      <c r="EX171" s="308" t="s">
        <v>176</v>
      </c>
      <c r="EY171" s="308">
        <v>3</v>
      </c>
      <c r="EZ171" s="308">
        <v>3</v>
      </c>
      <c r="FA171" s="308">
        <v>3</v>
      </c>
      <c r="FB171" s="309">
        <v>2</v>
      </c>
      <c r="FC171" s="309" t="s">
        <v>176</v>
      </c>
      <c r="FD171" s="308">
        <v>2</v>
      </c>
      <c r="FE171" s="308">
        <v>2</v>
      </c>
      <c r="FF171" s="308">
        <v>3</v>
      </c>
      <c r="FG171" s="308">
        <v>2</v>
      </c>
      <c r="FH171" s="308">
        <v>3</v>
      </c>
      <c r="FI171" s="308">
        <v>2</v>
      </c>
      <c r="FJ171" s="308">
        <v>3</v>
      </c>
      <c r="FK171" s="308">
        <v>2</v>
      </c>
      <c r="FL171" s="308">
        <v>3</v>
      </c>
      <c r="FM171" s="308">
        <v>2</v>
      </c>
      <c r="FN171" s="308">
        <v>1</v>
      </c>
      <c r="FO171" s="308">
        <v>1</v>
      </c>
      <c r="FP171" s="308" t="s">
        <v>176</v>
      </c>
      <c r="FQ171" s="310" t="s">
        <v>176</v>
      </c>
      <c r="FR171" s="310" t="s">
        <v>176</v>
      </c>
      <c r="FS171" s="308"/>
      <c r="FT171" s="310" t="s">
        <v>176</v>
      </c>
      <c r="FU171" s="310" t="s">
        <v>176</v>
      </c>
      <c r="FV171" s="310" t="s">
        <v>176</v>
      </c>
      <c r="FW171" s="310" t="s">
        <v>176</v>
      </c>
      <c r="FX171" s="310" t="s">
        <v>176</v>
      </c>
      <c r="FY171" s="308"/>
      <c r="FZ171" s="310" t="s">
        <v>176</v>
      </c>
      <c r="GA171" s="310" t="s">
        <v>176</v>
      </c>
      <c r="GB171" s="310" t="s">
        <v>176</v>
      </c>
      <c r="GC171" s="310" t="s">
        <v>176</v>
      </c>
      <c r="GD171" s="310" t="s">
        <v>176</v>
      </c>
      <c r="GE171" s="310" t="s">
        <v>176</v>
      </c>
      <c r="GF171" s="310" t="s">
        <v>176</v>
      </c>
      <c r="GG171" s="310" t="s">
        <v>176</v>
      </c>
      <c r="GH171" s="310" t="s">
        <v>176</v>
      </c>
      <c r="GI171" s="310" t="s">
        <v>176</v>
      </c>
      <c r="GJ171" s="310" t="s">
        <v>176</v>
      </c>
      <c r="GK171" s="324" t="s">
        <v>176</v>
      </c>
      <c r="GL171" s="311">
        <f>SUM(G171:FP171)</f>
        <v>93</v>
      </c>
      <c r="GM171" s="132"/>
    </row>
    <row r="172" spans="1:195" s="197" customFormat="1" ht="23.25" customHeight="1" thickBot="1" x14ac:dyDescent="0.3">
      <c r="A172" s="138" t="s">
        <v>183</v>
      </c>
      <c r="B172" s="138" t="s">
        <v>200</v>
      </c>
      <c r="C172" s="138" t="s">
        <v>230</v>
      </c>
      <c r="D172" s="138">
        <v>1372</v>
      </c>
      <c r="E172" s="566" t="str">
        <f>E171</f>
        <v>Cieśliński Arkadiusz</v>
      </c>
      <c r="F172" s="331" t="s">
        <v>166</v>
      </c>
      <c r="G172" s="313">
        <f>IF(INDEX(tab_MinKomp[Przepisy BHP / BHP Vorschriften],MATCH($B171,tab_MinKomp[[Stanowisko / Position ]:[Stanowisko / Position ]],0))="n/a","n/a",G171-INDEX(tab_MinKomp[Przepisy BHP / BHP Vorschriften],MATCH($B171,tab_MinKomp[[Stanowisko / Position ]:[Stanowisko / Position ]],0)))</f>
        <v>0</v>
      </c>
      <c r="H172" s="314">
        <f>IF(INDEX(tab_MinKomp[Przepisy PPOŻ / Brandschutzbestimmungen],MATCH($B171,tab_MinKomp[[Stanowisko / Position ]:[Stanowisko / Position ]],0))="n/a","n/a",H171-INDEX(tab_MinKomp[Przepisy PPOŻ / Brandschutzbestimmungen],MATCH($B171,tab_MinKomp[[Stanowisko / Position ]:[Stanowisko / Position ]],0)))</f>
        <v>0</v>
      </c>
      <c r="I172" s="314">
        <f>IF(INDEX(tab_MinKomp[Ryzyko zawodowe na stanowiskach pracyv/ Berufliche Risiken an Arbeitsstellen],MATCH($B171,tab_MinKomp[[Stanowisko / Position ]:[Stanowisko / Position ]],0))="n/a","n/a",I171-INDEX(tab_MinKomp[Ryzyko zawodowe na stanowiskach pracyv/ Berufliche Risiken an Arbeitsstellen],MATCH($B171,tab_MinKomp[[Stanowisko / Position ]:[Stanowisko / Position ]],0)))</f>
        <v>0</v>
      </c>
      <c r="J172" s="314">
        <f>IF(INDEX(tab_MinKomp[Gospodarka substancjami niebezpiecznymi / Gefahrstoffmanagement],MATCH($B171,tab_MinKomp[[Stanowisko / Position ]:[Stanowisko / Position ]],0))="n/a","n/a",J171-INDEX(tab_MinKomp[Gospodarka substancjami niebezpiecznymi / Gefahrstoffmanagement],MATCH($B171,tab_MinKomp[[Stanowisko / Position ]:[Stanowisko / Position ]],0)))</f>
        <v>0</v>
      </c>
      <c r="K172" s="314">
        <f>IF(INDEX(tab_MinKomp[Gospodarka odpadami / Abfallwirtschaft],MATCH($B171,tab_MinKomp[[Stanowisko / Position ]:[Stanowisko / Position ]],0))="n/a","n/a",K171-INDEX(tab_MinKomp[Gospodarka odpadami / Abfallwirtschaft],MATCH($B171,tab_MinKomp[[Stanowisko / Position ]:[Stanowisko / Position ]],0)))</f>
        <v>0</v>
      </c>
      <c r="L172" s="315">
        <f>IF(INDEX(tab_MinKomp[Przepisy kodeksu pracy / Bestimmungen des Arbeitsgesetzes],MATCH($B171,tab_MinKomp[[Stanowisko / Position ]:[Stanowisko / Position ]],0))="n/a","n/a",L171-INDEX(tab_MinKomp[Przepisy kodeksu pracy / Bestimmungen des Arbeitsgesetzes],MATCH($B171,tab_MinKomp[[Stanowisko / Position ]:[Stanowisko / Position ]],0)))</f>
        <v>0</v>
      </c>
      <c r="M172" s="316" t="str">
        <f>IF(INDEX(tab_MinKomp[Przepisy o ub.społ. ZUS  / Sozialversicherungsvorschriften],MATCH($B171,tab_MinKomp[[Stanowisko / Position ]:[Stanowisko / Position ]],0))="n/a","n/a",M171-INDEX(tab_MinKomp[Przepisy o ub.społ. ZUS  / Sozialversicherungsvorschriften],MATCH($B171,tab_MinKomp[[Stanowisko / Position ]:[Stanowisko / Position ]],0)))</f>
        <v>n/a</v>
      </c>
      <c r="N172" s="315" t="str">
        <f>IF(INDEX(tab_MinKomp[PRZEPISY O PDOF /persönlich Einkommensteuergesetz ],MATCH($B171,tab_MinKomp[[Stanowisko / Position ]:[Stanowisko / Position ]],0))="n/a","n/a",N171-INDEX(tab_MinKomp[PRZEPISY O PDOF /persönlich Einkommensteuergesetz ],MATCH($B171,tab_MinKomp[[Stanowisko / Position ]:[Stanowisko / Position ]],0)))</f>
        <v>n/a</v>
      </c>
      <c r="O172" s="315">
        <f>IF(INDEX(tab_MinKomp[Regulamin pracy / Arbeitsordnung],MATCH($B171,tab_MinKomp[[Stanowisko / Position ]:[Stanowisko / Position ]],0))="n/a","n/a",O171-INDEX(tab_MinKomp[Regulamin pracy / Arbeitsordnung],MATCH($B171,tab_MinKomp[[Stanowisko / Position ]:[Stanowisko / Position ]],0)))</f>
        <v>0</v>
      </c>
      <c r="P172" s="315">
        <f>IF(INDEX(tab_MinKomp[Regulamin wynagradzania / Vergütungsordnung],MATCH($B171,tab_MinKomp[[Stanowisko / Position ]:[Stanowisko / Position ]],0))="n/a","n/a",P171-INDEX(tab_MinKomp[Regulamin wynagradzania / Vergütungsordnung],MATCH($B171,tab_MinKomp[[Stanowisko / Position ]:[Stanowisko / Position ]],0)))</f>
        <v>0</v>
      </c>
      <c r="Q172" s="315" t="str">
        <f>IF(INDEX(tab_MinKomp[System R2PŁATNIK PRO: Płace / Lohnabrechnung],MATCH($B171,tab_MinKomp[[Stanowisko / Position ]:[Stanowisko / Position ]],0))="n/a","n/a",Q171-INDEX(tab_MinKomp[System R2PŁATNIK PRO: Płace / Lohnabrechnung],MATCH($B171,tab_MinKomp[[Stanowisko / Position ]:[Stanowisko / Position ]],0)))</f>
        <v>n/a</v>
      </c>
      <c r="R172" s="315" t="str">
        <f>IF(INDEX(tab_MinKomp[SystemR2PŁATNIK PRO: KADRY / Personaldaten],MATCH($B171,tab_MinKomp[[Stanowisko / Position ]:[Stanowisko / Position ]],0))="n/a","n/a",R171-INDEX(tab_MinKomp[SystemR2PŁATNIK PRO: KADRY / Personaldaten],MATCH($B171,tab_MinKomp[[Stanowisko / Position ]:[Stanowisko / Position ]],0)))</f>
        <v>n/a</v>
      </c>
      <c r="S172" s="315" t="str">
        <f>IF(INDEX(tab_MinKomp[SYSTEM R2PŁATNIK PRO: zarządzanie pracownikami / Arbeitsverwaltung],MATCH($B171,tab_MinKomp[[Stanowisko / Position ]:[Stanowisko / Position ]],0))="n/a","n/a",S171-INDEX(tab_MinKomp[SYSTEM R2PŁATNIK PRO: zarządzanie pracownikami / Arbeitsverwaltung],MATCH($B171,tab_MinKomp[[Stanowisko / Position ]:[Stanowisko / Position ]],0)))</f>
        <v>n/a</v>
      </c>
      <c r="T172" s="315" t="str">
        <f>IF(INDEX(tab_MinKomp[Doradztwo, wsparcie personalne / Personalberatung und Unterstützung],MATCH($B171,tab_MinKomp[[Stanowisko / Position ]:[Stanowisko / Position ]],0))="n/a","n/a",T171-INDEX(tab_MinKomp[Doradztwo, wsparcie personalne / Personalberatung und Unterstützung],MATCH($B171,tab_MinKomp[[Stanowisko / Position ]:[Stanowisko / Position ]],0)))</f>
        <v>n/a</v>
      </c>
      <c r="U172" s="315">
        <f>IF(INDEX(tab_MinKomp[Przepisy o podatku VAT / MwSt.- Gesetz],MATCH($B171,tab_MinKomp[[Stanowisko / Position ]:[Stanowisko / Position ]],0))="n/a","n/a",U171-INDEX(tab_MinKomp[Przepisy o podatku VAT / MwSt.- Gesetz],MATCH($B171,tab_MinKomp[[Stanowisko / Position ]:[Stanowisko / Position ]],0)))</f>
        <v>0</v>
      </c>
      <c r="V172" s="315" t="str">
        <f>IF(INDEX(tab_MinKomp[PrzepisyPDOP / geschäftlich Einkommensteuergesetz],MATCH($B171,tab_MinKomp[[Stanowisko / Position ]:[Stanowisko / Position ]],0))="n/a","n/a",V171-INDEX(tab_MinKomp[PrzepisyPDOP / geschäftlich Einkommensteuergesetz],MATCH($B171,tab_MinKomp[[Stanowisko / Position ]:[Stanowisko / Position ]],0)))</f>
        <v>n/a</v>
      </c>
      <c r="W172" s="315">
        <f>IF(INDEX(tab_MinKomp[System BAAN / FINANSE (FIBU)],MATCH($B171,tab_MinKomp[[Stanowisko / Position ]:[Stanowisko / Position ]],0))="n/a","n/a",W171-INDEX(tab_MinKomp[System BAAN / FINANSE (FIBU)],MATCH($B171,tab_MinKomp[[Stanowisko / Position ]:[Stanowisko / Position ]],0)))</f>
        <v>-1</v>
      </c>
      <c r="X172" s="315" t="str">
        <f>IF(INDEX(tab_MinKomp[Systemy pomocnicze / Hilfssysteme(STOCKPROGRAM, KALK2000 etc.)],MATCH($B171,tab_MinKomp[[Stanowisko / Position ]:[Stanowisko / Position ]],0))="n/a","n/a",X171-INDEX(tab_MinKomp[Systemy pomocnicze / Hilfssysteme(STOCKPROGRAM, KALK2000 etc.)],MATCH($B171,tab_MinKomp[[Stanowisko / Position ]:[Stanowisko / Position ]],0)))</f>
        <v>n/a</v>
      </c>
      <c r="Y172" s="315" t="str">
        <f>IF(INDEX(tab_MinKomp[Polityka rachunkowości / Buchführungspolitik],MATCH($B171,tab_MinKomp[[Stanowisko / Position ]:[Stanowisko / Position ]],0))="n/a","n/a",Y171-INDEX(tab_MinKomp[Polityka rachunkowości / Buchführungspolitik],MATCH($B171,tab_MinKomp[[Stanowisko / Position ]:[Stanowisko / Position ]],0)))</f>
        <v>n/a</v>
      </c>
      <c r="Z172" s="315" t="str">
        <f>IF(INDEX(tab_MinKomp[Ustawa o rachunkowości / Rechnungslegungsgesetz],MATCH($B171,tab_MinKomp[[Stanowisko / Position ]:[Stanowisko / Position ]],0))="n/a","n/a",Z171-INDEX(tab_MinKomp[Ustawa o rachunkowości / Rechnungslegungsgesetz],MATCH($B171,tab_MinKomp[[Stanowisko / Position ]:[Stanowisko / Position ]],0)))</f>
        <v>n/a</v>
      </c>
      <c r="AA172" s="315" t="str">
        <f>IF(INDEX(tab_MinKomp[WORKFLOW - TS-100],MATCH($B171,tab_MinKomp[[Stanowisko / Position ]:[Stanowisko / Position ]],0))="n/a","n/a",AA171-INDEX(tab_MinKomp[WORKFLOW - TS-100],MATCH($B171,tab_MinKomp[[Stanowisko / Position ]:[Stanowisko / Position ]],0)))</f>
        <v>n/a</v>
      </c>
      <c r="AB172" s="315">
        <f>IF(INDEX(tab_MinKomp[WORKFLOW - SFMS],MATCH($B171,tab_MinKomp[[Stanowisko / Position ]:[Stanowisko / Position ]],0))="n/a","n/a",AB171-INDEX(tab_MinKomp[WORKFLOW - SFMS],MATCH($B171,tab_MinKomp[[Stanowisko / Position ]:[Stanowisko / Position ]],0)))</f>
        <v>0</v>
      </c>
      <c r="AC172" s="315">
        <f>IF(INDEX(tab_MinKomp[System ISO 9001:2015],MATCH($B171,tab_MinKomp[[Stanowisko / Position ]:[Stanowisko / Position ]],0))="n/a","n/a",AC171-INDEX(tab_MinKomp[System ISO 9001:2015],MATCH($B171,tab_MinKomp[[Stanowisko / Position ]:[Stanowisko / Position ]],0)))</f>
        <v>0</v>
      </c>
      <c r="AD172" s="315">
        <f>IF(INDEX(tab_MinKomp[System IATF 16949:2016],MATCH($B171,tab_MinKomp[[Stanowisko / Position ]:[Stanowisko / Position ]],0))="n/a","n/a",AD171-INDEX(tab_MinKomp[System IATF 16949:2016],MATCH($B171,tab_MinKomp[[Stanowisko / Position ]:[Stanowisko / Position ]],0)))</f>
        <v>0</v>
      </c>
      <c r="AE172" s="315">
        <f>IF(INDEX(tab_MinKomp[System ISO 14001:2015],MATCH($B171,tab_MinKomp[[Stanowisko / Position ]:[Stanowisko / Position ]],0))="n/a","n/a",AE171-INDEX(tab_MinKomp[System ISO 14001:2015],MATCH($B171,tab_MinKomp[[Stanowisko / Position ]:[Stanowisko / Position ]],0)))</f>
        <v>0</v>
      </c>
      <c r="AF172" s="315">
        <f>IF(INDEX(tab_MinKomp[System PN-N 18001:2004 / ISO 45001:2018],MATCH($B171,tab_MinKomp[[Stanowisko / Position ]:[Stanowisko / Position ]],0))="n/a","n/a",AF171-INDEX(tab_MinKomp[System PN-N 18001:2004 / ISO 45001:2018],MATCH($B171,tab_MinKomp[[Stanowisko / Position ]:[Stanowisko / Position ]],0)))</f>
        <v>0</v>
      </c>
      <c r="AG172" s="315">
        <f>IF(INDEX(tab_MinKomp[Wymagania VDA 6.3 Process / Forderungen],MATCH($B171,tab_MinKomp[[Stanowisko / Position ]:[Stanowisko / Position ]],0))="n/a","n/a",AG171-INDEX(tab_MinKomp[Wymagania VDA 6.3 Process / Forderungen],MATCH($B171,tab_MinKomp[[Stanowisko / Position ]:[Stanowisko / Position ]],0)))</f>
        <v>0</v>
      </c>
      <c r="AH172" s="315">
        <f>IF(INDEX(tab_MinKomp[Wymagania VDA 6.5 Product / Forderungen],MATCH($B171,tab_MinKomp[[Stanowisko / Position ]:[Stanowisko / Position ]],0))="n/a","n/a",AH171-INDEX(tab_MinKomp[Wymagania VDA 6.5 Product / Forderungen],MATCH($B171,tab_MinKomp[[Stanowisko / Position ]:[Stanowisko / Position ]],0)))</f>
        <v>0</v>
      </c>
      <c r="AI172" s="315" t="str">
        <f>IF(INDEX(tab_MinKomp[PSCR (VW Product Safety &amp; Conformity Representative)],MATCH($B171,tab_MinKomp[[Stanowisko / Position ]:[Stanowisko / Position ]],0))="n/a","n/a",AI171-INDEX(tab_MinKomp[PSCR (VW Product Safety &amp; Conformity Representative)],MATCH($B171,tab_MinKomp[[Stanowisko / Position ]:[Stanowisko / Position ]],0)))</f>
        <v>n/a</v>
      </c>
      <c r="AJ172" s="315" t="str">
        <f>IF(INDEX(tab_MinKomp[Auditor systemu ISO 17025:2018],MATCH($B171,tab_MinKomp[[Stanowisko / Position ]:[Stanowisko / Position ]],0))="n/a","n/a",AJ171-INDEX(tab_MinKomp[Auditor systemu ISO 17025:2018],MATCH($B171,tab_MinKomp[[Stanowisko / Position ]:[Stanowisko / Position ]],0)))</f>
        <v>n/a</v>
      </c>
      <c r="AK172" s="315" t="str">
        <f>IF(INDEX(tab_MinKomp[Pełnomocnik systemu / Systemvertreter],MATCH($B171,tab_MinKomp[[Stanowisko / Position ]:[Stanowisko / Position ]],0))="n/a","n/a",AK171-INDEX(tab_MinKomp[Pełnomocnik systemu / Systemvertreter],MATCH($B171,tab_MinKomp[[Stanowisko / Position ]:[Stanowisko / Position ]],0)))</f>
        <v>n/a</v>
      </c>
      <c r="AL172" s="315">
        <f>IF(INDEX(tab_MinKomp[Polityka Etyczna - Compliance],MATCH($B171,tab_MinKomp[[Stanowisko / Position ]:[Stanowisko / Position ]],0))="n/a","n/a",AL171-INDEX(tab_MinKomp[Polityka Etyczna - Compliance],MATCH($B171,tab_MinKomp[[Stanowisko / Position ]:[Stanowisko / Position ]],0)))</f>
        <v>0</v>
      </c>
      <c r="AM172" s="315">
        <f>IF(INDEX(tab_MinKomp[WDRAŻANIE NOWYCH PROJEKTÓW/ PROCEDURA CTM],MATCH($B171,tab_MinKomp[[Stanowisko / Position ]:[Stanowisko / Position ]],0))="n/a","n/a",AM171-INDEX(tab_MinKomp[WDRAŻANIE NOWYCH PROJEKTÓW/ PROCEDURA CTM],MATCH($B171,tab_MinKomp[[Stanowisko / Position ]:[Stanowisko / Position ]],0)))</f>
        <v>0</v>
      </c>
      <c r="AN172" s="315">
        <f>IF(INDEX(tab_MinKomp[KAMIENIE MILOWE MSL/PIFF],MATCH($B171,tab_MinKomp[[Stanowisko / Position ]:[Stanowisko / Position ]],0))="n/a","n/a",AN171-INDEX(tab_MinKomp[KAMIENIE MILOWE MSL/PIFF],MATCH($B171,tab_MinKomp[[Stanowisko / Position ]:[Stanowisko / Position ]],0)))</f>
        <v>0</v>
      </c>
      <c r="AO172" s="315" t="str">
        <f>IF(INDEX(tab_MinKomp[CP],MATCH($B171,tab_MinKomp[[Stanowisko / Position ]:[Stanowisko / Position ]],0))="n/a","n/a",AO171-INDEX(tab_MinKomp[CP],MATCH($B171,tab_MinKomp[[Stanowisko / Position ]:[Stanowisko / Position ]],0)))</f>
        <v>n/a</v>
      </c>
      <c r="AP172" s="315">
        <f>IF(INDEX(tab_MinKomp[FMEA],MATCH($B171,tab_MinKomp[[Stanowisko / Position ]:[Stanowisko / Position ]],0))="n/a","n/a",AP171-INDEX(tab_MinKomp[FMEA],MATCH($B171,tab_MinKomp[[Stanowisko / Position ]:[Stanowisko / Position ]],0)))</f>
        <v>0</v>
      </c>
      <c r="AQ172" s="315">
        <f>IF(INDEX(tab_MinKomp[FLOW CHART],MATCH($B171,tab_MinKomp[[Stanowisko / Position ]:[Stanowisko / Position ]],0))="n/a","n/a",AQ171-INDEX(tab_MinKomp[FLOW CHART],MATCH($B171,tab_MinKomp[[Stanowisko / Position ]:[Stanowisko / Position ]],0)))</f>
        <v>0</v>
      </c>
      <c r="AR172" s="315" t="str">
        <f>IF(INDEX(tab_MinKomp[APQP],MATCH($B171,tab_MinKomp[[Stanowisko / Position ]:[Stanowisko / Position ]],0))="n/a","n/a",AR171-INDEX(tab_MinKomp[APQP],MATCH($B171,tab_MinKomp[[Stanowisko / Position ]:[Stanowisko / Position ]],0)))</f>
        <v>n/a</v>
      </c>
      <c r="AS172" s="315" t="str">
        <f>IF(INDEX(tab_MinKomp[MSA],MATCH($B171,tab_MinKomp[[Stanowisko / Position ]:[Stanowisko / Position ]],0))="n/a","n/a",AS171-INDEX(tab_MinKomp[MSA],MATCH($B171,tab_MinKomp[[Stanowisko / Position ]:[Stanowisko / Position ]],0)))</f>
        <v>n/a</v>
      </c>
      <c r="AT172" s="315" t="str">
        <f>IF(INDEX(tab_MinKomp[SPC],MATCH($B171,tab_MinKomp[[Stanowisko / Position ]:[Stanowisko / Position ]],0))="n/a","n/a",AT171-INDEX(tab_MinKomp[SPC],MATCH($B171,tab_MinKomp[[Stanowisko / Position ]:[Stanowisko / Position ]],0)))</f>
        <v>n/a</v>
      </c>
      <c r="AU172" s="315">
        <f>IF(INDEX(tab_MinKomp[CSR (SPECYFICZNE WYMAGANIA KLIENTA)],MATCH($B171,tab_MinKomp[[Stanowisko / Position ]:[Stanowisko / Position ]],0))="n/a","n/a",AU171-INDEX(tab_MinKomp[CSR (SPECYFICZNE WYMAGANIA KLIENTA)],MATCH($B171,tab_MinKomp[[Stanowisko / Position ]:[Stanowisko / Position ]],0)))</f>
        <v>0</v>
      </c>
      <c r="AV172" s="315">
        <f>IF(INDEX(tab_MinKomp[5S],MATCH($B171,tab_MinKomp[[Stanowisko / Position ]:[Stanowisko / Position ]],0))="n/a","n/a",AV171-INDEX(tab_MinKomp[5S],MATCH($B171,tab_MinKomp[[Stanowisko / Position ]:[Stanowisko / Position ]],0)))</f>
        <v>0</v>
      </c>
      <c r="AW172" s="315">
        <f>IF(INDEX(tab_MinKomp[LEAN MANAGEMENT],MATCH($B171,tab_MinKomp[[Stanowisko / Position ]:[Stanowisko / Position ]],0))="n/a","n/a",AW171-INDEX(tab_MinKomp[LEAN MANAGEMENT],MATCH($B171,tab_MinKomp[[Stanowisko / Position ]:[Stanowisko / Position ]],0)))</f>
        <v>0</v>
      </c>
      <c r="AX172" s="315">
        <f>IF(INDEX(tab_MinKomp[5R],MATCH($B171,tab_MinKomp[[Stanowisko / Position ]:[Stanowisko / Position ]],0))="n/a","n/a",AX171-INDEX(tab_MinKomp[5R],MATCH($B171,tab_MinKomp[[Stanowisko / Position ]:[Stanowisko / Position ]],0)))</f>
        <v>0</v>
      </c>
      <c r="AY172" s="315" t="str">
        <f>IF(INDEX(tab_MinKomp[Six Sigma],MATCH($B171,tab_MinKomp[[Stanowisko / Position ]:[Stanowisko / Position ]],0))="n/a","n/a",AY171-INDEX(tab_MinKomp[Six Sigma],MATCH($B171,tab_MinKomp[[Stanowisko / Position ]:[Stanowisko / Position ]],0)))</f>
        <v>n/a</v>
      </c>
      <c r="AZ172" s="315">
        <f>IF(INDEX(tab_MinKomp[System BAAN / Distribution &amp; Supply Chain],MATCH($B171,tab_MinKomp[[Stanowisko / Position ]:[Stanowisko / Position ]],0))="n/a","n/a",AZ171-INDEX(tab_MinKomp[System BAAN / Distribution &amp; Supply Chain],MATCH($B171,tab_MinKomp[[Stanowisko / Position ]:[Stanowisko / Position ]],0)))</f>
        <v>0</v>
      </c>
      <c r="BA172" s="315">
        <f>IF(INDEX(tab_MinKomp[Gospodarka magazynowa / Lagerverwaltung],MATCH($B171,tab_MinKomp[[Stanowisko / Position ]:[Stanowisko / Position ]],0))="n/a","n/a",BA171-INDEX(tab_MinKomp[Gospodarka magazynowa / Lagerverwaltung],MATCH($B171,tab_MinKomp[[Stanowisko / Position ]:[Stanowisko / Position ]],0)))</f>
        <v>0</v>
      </c>
      <c r="BB172" s="315">
        <f>IF(INDEX(tab_MinKomp[Inwentaryzacja - organizacja i przebieg / Inventurprozess],MATCH($B171,tab_MinKomp[[Stanowisko / Position ]:[Stanowisko / Position ]],0))="n/a","n/a",BB171-INDEX(tab_MinKomp[Inwentaryzacja - organizacja i przebieg / Inventurprozess],MATCH($B171,tab_MinKomp[[Stanowisko / Position ]:[Stanowisko / Position ]],0)))</f>
        <v>1</v>
      </c>
      <c r="BC172" s="315">
        <f>IF(INDEX(tab_MinKomp[Organizacja dostaw / Versorgungsorganisation],MATCH($B171,tab_MinKomp[[Stanowisko / Position ]:[Stanowisko / Position ]],0))="n/a","n/a",BC171-INDEX(tab_MinKomp[Organizacja dostaw / Versorgungsorganisation],MATCH($B171,tab_MinKomp[[Stanowisko / Position ]:[Stanowisko / Position ]],0)))</f>
        <v>0</v>
      </c>
      <c r="BD172" s="315">
        <f>IF(INDEX(tab_MinKomp[Organizacja wysyłek / Organisation von Lieferungen],MATCH($B171,tab_MinKomp[[Stanowisko / Position ]:[Stanowisko / Position ]],0))="n/a","n/a",BD171-INDEX(tab_MinKomp[Organizacja wysyłek / Organisation von Lieferungen],MATCH($B171,tab_MinKomp[[Stanowisko / Position ]:[Stanowisko / Position ]],0)))</f>
        <v>0</v>
      </c>
      <c r="BE172" s="315">
        <f>IF(INDEX(tab_MinKomp[Analiza magazynowa - Program Polen.mdb / Inventuranalyse],MATCH($B171,tab_MinKomp[[Stanowisko / Position ]:[Stanowisko / Position ]],0))="n/a","n/a",BE171-INDEX(tab_MinKomp[Analiza magazynowa - Program Polen.mdb / Inventuranalyse],MATCH($B171,tab_MinKomp[[Stanowisko / Position ]:[Stanowisko / Position ]],0)))</f>
        <v>1</v>
      </c>
      <c r="BF172" s="315">
        <f>IF(INDEX(tab_MinKomp[MMOG (Materials Management Operations Guidelines)],MATCH($B171,tab_MinKomp[[Stanowisko / Position ]:[Stanowisko / Position ]],0))="n/a","n/a",BF171-INDEX(tab_MinKomp[MMOG (Materials Management Operations Guidelines)],MATCH($B171,tab_MinKomp[[Stanowisko / Position ]:[Stanowisko / Position ]],0)))</f>
        <v>-1</v>
      </c>
      <c r="BG172" s="315">
        <f>IF(INDEX(tab_MinKomp[GPP],MATCH($B171,tab_MinKomp[[Stanowisko / Position ]:[Stanowisko / Position ]],0))="n/a","n/a",BG171-INDEX(tab_MinKomp[GPP],MATCH($B171,tab_MinKomp[[Stanowisko / Position ]:[Stanowisko / Position ]],0)))</f>
        <v>0</v>
      </c>
      <c r="BH172" s="315">
        <f>IF(INDEX(tab_MinKomp[AIAG (Automotive Industry Action Group)],MATCH($B171,tab_MinKomp[[Stanowisko / Position ]:[Stanowisko / Position ]],0))="n/a","n/a",BH171-INDEX(tab_MinKomp[AIAG (Automotive Industry Action Group)],MATCH($B171,tab_MinKomp[[Stanowisko / Position ]:[Stanowisko / Position ]],0)))</f>
        <v>0</v>
      </c>
      <c r="BI172" s="315">
        <f>IF(INDEX(tab_MinKomp[Super-G disputes],MATCH($B171,tab_MinKomp[[Stanowisko / Position ]:[Stanowisko / Position ]],0))="n/a","n/a",BI171-INDEX(tab_MinKomp[Super-G disputes],MATCH($B171,tab_MinKomp[[Stanowisko / Position ]:[Stanowisko / Position ]],0)))</f>
        <v>0</v>
      </c>
      <c r="BJ172" s="315">
        <f>IF(INDEX(tab_MinKomp[CMMS3/eDDL (Direct Data Link)],MATCH($B171,tab_MinKomp[[Stanowisko / Position ]:[Stanowisko / Position ]],0))="n/a","n/a",BJ171-INDEX(tab_MinKomp[CMMS3/eDDL (Direct Data Link)],MATCH($B171,tab_MinKomp[[Stanowisko / Position ]:[Stanowisko / Position ]],0)))</f>
        <v>0</v>
      </c>
      <c r="BK172" s="315">
        <f>IF(INDEX(tab_MinKomp[MP&amp;L (Material Planning and Logistics)],MATCH($B171,tab_MinKomp[[Stanowisko / Position ]:[Stanowisko / Position ]],0))="n/a","n/a",BK171-INDEX(tab_MinKomp[MP&amp;L (Material Planning and Logistics)],MATCH($B171,tab_MinKomp[[Stanowisko / Position ]:[Stanowisko / Position ]],0)))</f>
        <v>0</v>
      </c>
      <c r="BL172" s="315">
        <f>IF(INDEX(tab_MinKomp[Supplier delivery rating],MATCH($B171,tab_MinKomp[[Stanowisko / Position ]:[Stanowisko / Position ]],0))="n/a","n/a",BL171-INDEX(tab_MinKomp[Supplier delivery rating],MATCH($B171,tab_MinKomp[[Stanowisko / Position ]:[Stanowisko / Position ]],0)))</f>
        <v>0</v>
      </c>
      <c r="BM172" s="315" t="str">
        <f>IF(INDEX(tab_MinKomp[Planowanie produkcji / Produktionsplanung],MATCH($B171,tab_MinKomp[[Stanowisko / Position ]:[Stanowisko / Position ]],0))="n/a","n/a",BM171-INDEX(tab_MinKomp[Planowanie produkcji / Produktionsplanung],MATCH($B171,tab_MinKomp[[Stanowisko / Position ]:[Stanowisko / Position ]],0)))</f>
        <v>n/a</v>
      </c>
      <c r="BN172" s="315" t="str">
        <f>IF(INDEX(tab_MinKomp[Obsługa maszyn Engel / Engel Maschinenbedienung],MATCH($B171,tab_MinKomp[[Stanowisko / Position ]:[Stanowisko / Position ]],0))="n/a","n/a",BN171-INDEX(tab_MinKomp[Obsługa maszyn Engel / Engel Maschinenbedienung],MATCH($B171,tab_MinKomp[[Stanowisko / Position ]:[Stanowisko / Position ]],0)))</f>
        <v>n/a</v>
      </c>
      <c r="BO172" s="315" t="str">
        <f>IF(INDEX(tab_MinKomp[Obsługa maszyn Novapax / Novapax Maschinenbedienung],MATCH($B171,tab_MinKomp[[Stanowisko / Position ]:[Stanowisko / Position ]],0))="n/a","n/a",BO171-INDEX(tab_MinKomp[Obsługa maszyn Novapax / Novapax Maschinenbedienung],MATCH($B171,tab_MinKomp[[Stanowisko / Position ]:[Stanowisko / Position ]],0)))</f>
        <v>n/a</v>
      </c>
      <c r="BP172" s="315" t="str">
        <f>IF(INDEX(tab_MinKomp[Obsługa maszyn KVT / KVT Maschinenbedienung],MATCH($B171,tab_MinKomp[[Stanowisko / Position ]:[Stanowisko / Position ]],0))="n/a","n/a",BP171-INDEX(tab_MinKomp[Obsługa maszyn KVT / KVT Maschinenbedienung],MATCH($B171,tab_MinKomp[[Stanowisko / Position ]:[Stanowisko / Position ]],0)))</f>
        <v>n/a</v>
      </c>
      <c r="BQ172" s="315" t="str">
        <f>IF(INDEX(tab_MinKomp[Obsługa maszyn ASL / ASL Maschinenbedienung],MATCH($B171,tab_MinKomp[[Stanowisko / Position ]:[Stanowisko / Position ]],0))="n/a","n/a",BQ171-INDEX(tab_MinKomp[Obsługa maszyn ASL / ASL Maschinenbedienung],MATCH($B171,tab_MinKomp[[Stanowisko / Position ]:[Stanowisko / Position ]],0)))</f>
        <v>n/a</v>
      </c>
      <c r="BR172" s="315" t="str">
        <f>IF(INDEX(tab_MinKomp[Obsługa maszyn Branson / Branson Maschinenbedienung],MATCH($B171,tab_MinKomp[[Stanowisko / Position ]:[Stanowisko / Position ]],0))="n/a","n/a",BR171-INDEX(tab_MinKomp[Obsługa maszyn Branson / Branson Maschinenbedienung],MATCH($B171,tab_MinKomp[[Stanowisko / Position ]:[Stanowisko / Position ]],0)))</f>
        <v>n/a</v>
      </c>
      <c r="BS172" s="315" t="str">
        <f>IF(INDEX(tab_MinKomp[Obsługa maszyn Kamtec / Kamtec Maschinenbedienung],MATCH($B171,tab_MinKomp[[Stanowisko / Position ]:[Stanowisko / Position ]],0))="n/a","n/a",BS171-INDEX(tab_MinKomp[Obsługa maszyn Kamtec / Kamtec Maschinenbedienung],MATCH($B171,tab_MinKomp[[Stanowisko / Position ]:[Stanowisko / Position ]],0)))</f>
        <v>n/a</v>
      </c>
      <c r="BT172" s="315" t="str">
        <f>IF(INDEX(tab_MinKomp[Obsługa maszyn Piovan / Piovan Maschinenbedienung],MATCH($B171,tab_MinKomp[[Stanowisko / Position ]:[Stanowisko / Position ]],0))="n/a","n/a",BT171-INDEX(tab_MinKomp[Obsługa maszyn Piovan / Piovan Maschinenbedienung],MATCH($B171,tab_MinKomp[[Stanowisko / Position ]:[Stanowisko / Position ]],0)))</f>
        <v>n/a</v>
      </c>
      <c r="BU172" s="315" t="str">
        <f>IF(INDEX(tab_MinKomp[Obsługa maszyn REP / REP Maschinenbedienung],MATCH($B171,tab_MinKomp[[Stanowisko / Position ]:[Stanowisko / Position ]],0))="n/a","n/a",BU171-INDEX(tab_MinKomp[Obsługa maszyn REP / REP Maschinenbedienung],MATCH($B171,tab_MinKomp[[Stanowisko / Position ]:[Stanowisko / Position ]],0)))</f>
        <v>n/a</v>
      </c>
      <c r="BV172" s="315" t="str">
        <f>IF(INDEX(tab_MinKomp[Eliminacja awarii / Beseitigung von Ausfällen],MATCH($B171,tab_MinKomp[[Stanowisko / Position ]:[Stanowisko / Position ]],0))="n/a","n/a",BV171-INDEX(tab_MinKomp[Eliminacja awarii / Beseitigung von Ausfällen],MATCH($B171,tab_MinKomp[[Stanowisko / Position ]:[Stanowisko / Position ]],0)))</f>
        <v>n/a</v>
      </c>
      <c r="BW172" s="315" t="str">
        <f>IF(INDEX(tab_MinKomp[Informatyka ogólna (techniczne i systemowe) / Allgemeine IT (Technik und System)],MATCH($B171,tab_MinKomp[[Stanowisko / Position ]:[Stanowisko / Position ]],0))="n/a","n/a",BW171-INDEX(tab_MinKomp[Informatyka ogólna (techniczne i systemowe) / Allgemeine IT (Technik und System)],MATCH($B171,tab_MinKomp[[Stanowisko / Position ]:[Stanowisko / Position ]],0)))</f>
        <v>n/a</v>
      </c>
      <c r="BX172" s="315" t="str">
        <f>IF(INDEX(tab_MinKomp[Sieci komputerowe / Computernetzwerke],MATCH($B171,tab_MinKomp[[Stanowisko / Position ]:[Stanowisko / Position ]],0))="n/a","n/a",BX171-INDEX(tab_MinKomp[Sieci komputerowe / Computernetzwerke],MATCH($B171,tab_MinKomp[[Stanowisko / Position ]:[Stanowisko / Position ]],0)))</f>
        <v>n/a</v>
      </c>
      <c r="BY172" s="315" t="str">
        <f>IF(INDEX(tab_MinKomp[Hardware (komputery PC, drukarki biurowe i etykietowe, telefonia stacjonarna i mobilna) (PC, Drucker, Telefpne, Handys)],MATCH($B171,tab_MinKomp[[Stanowisko / Position ]:[Stanowisko / Position ]],0))="n/a","n/a",BY171-INDEX(tab_MinKomp[Hardware (komputery PC, drukarki biurowe i etykietowe, telefonia stacjonarna i mobilna) (PC, Drucker, Telefpne, Handys)],MATCH($B171,tab_MinKomp[[Stanowisko / Position ]:[Stanowisko / Position ]],0)))</f>
        <v>n/a</v>
      </c>
      <c r="BZ172" s="315" t="str">
        <f>IF(INDEX(tab_MinKomp[Software &amp; Systems (MS Office, MS Remote Desktop)],MATCH($B171,tab_MinKomp[[Stanowisko / Position ]:[Stanowisko / Position ]],0))="n/a","n/a",BZ171-INDEX(tab_MinKomp[Software &amp; Systems (MS Office, MS Remote Desktop)],MATCH($B171,tab_MinKomp[[Stanowisko / Position ]:[Stanowisko / Position ]],0)))</f>
        <v>n/a</v>
      </c>
      <c r="CA172" s="315" t="str">
        <f>IF(INDEX(tab_MinKomp[Programowanie obiektowe (PHP) / Objektprogrammierung],MATCH($B171,tab_MinKomp[[Stanowisko / Position ]:[Stanowisko / Position ]],0))="n/a","n/a",CA171-INDEX(tab_MinKomp[Programowanie obiektowe (PHP) / Objektprogrammierung],MATCH($B171,tab_MinKomp[[Stanowisko / Position ]:[Stanowisko / Position ]],0)))</f>
        <v>n/a</v>
      </c>
      <c r="CB172" s="315" t="str">
        <f>IF(INDEX(tab_MinKomp[Scrum],MATCH($B171,tab_MinKomp[[Stanowisko / Position ]:[Stanowisko / Position ]],0))="n/a","n/a",CB171-INDEX(tab_MinKomp[Scrum],MATCH($B171,tab_MinKomp[[Stanowisko / Position ]:[Stanowisko / Position ]],0)))</f>
        <v>n/a</v>
      </c>
      <c r="CC172" s="315" t="str">
        <f>IF(INDEX(tab_MinKomp[SQL (MySQL)],MATCH($B171,tab_MinKomp[[Stanowisko / Position ]:[Stanowisko / Position ]],0))="n/a","n/a",CC171-INDEX(tab_MinKomp[SQL (MySQL)],MATCH($B171,tab_MinKomp[[Stanowisko / Position ]:[Stanowisko / Position ]],0)))</f>
        <v>n/a</v>
      </c>
      <c r="CD172" s="315" t="str">
        <f>IF(INDEX(tab_MinKomp[Javascript],MATCH($B171,tab_MinKomp[[Stanowisko / Position ]:[Stanowisko / Position ]],0))="n/a","n/a",CD171-INDEX(tab_MinKomp[Javascript],MATCH($B171,tab_MinKomp[[Stanowisko / Position ]:[Stanowisko / Position ]],0)))</f>
        <v>n/a</v>
      </c>
      <c r="CE172" s="315" t="str">
        <f>IF(INDEX(tab_MinKomp[Joomla],MATCH($B171,tab_MinKomp[[Stanowisko / Position ]:[Stanowisko / Position ]],0))="n/a","n/a",CE171-INDEX(tab_MinKomp[Joomla],MATCH($B171,tab_MinKomp[[Stanowisko / Position ]:[Stanowisko / Position ]],0)))</f>
        <v>n/a</v>
      </c>
      <c r="CF172" s="315" t="str">
        <f>IF(INDEX(tab_MinKomp[Bash],MATCH($B171,tab_MinKomp[[Stanowisko / Position ]:[Stanowisko / Position ]],0))="n/a","n/a",CF171-INDEX(tab_MinKomp[Bash],MATCH($B171,tab_MinKomp[[Stanowisko / Position ]:[Stanowisko / Position ]],0)))</f>
        <v>n/a</v>
      </c>
      <c r="CG172" s="315" t="str">
        <f>IF(INDEX(tab_MinKomp[Systemy MES (HYDRA / SFMS)],MATCH($B171,tab_MinKomp[[Stanowisko / Position ]:[Stanowisko / Position ]],0))="n/a","n/a",CG171-INDEX(tab_MinKomp[Systemy MES (HYDRA / SFMS)],MATCH($B171,tab_MinKomp[[Stanowisko / Position ]:[Stanowisko / Position ]],0)))</f>
        <v>n/a</v>
      </c>
      <c r="CH172" s="315" t="str">
        <f>IF(INDEX(tab_MinKomp[HTML / CSS],MATCH($B171,tab_MinKomp[[Stanowisko / Position ]:[Stanowisko / Position ]],0))="n/a","n/a",CH171-INDEX(tab_MinKomp[HTML / CSS],MATCH($B171,tab_MinKomp[[Stanowisko / Position ]:[Stanowisko / Position ]],0)))</f>
        <v>n/a</v>
      </c>
      <c r="CI172" s="315" t="str">
        <f>IF(INDEX(tab_MinKomp[Joomla],MATCH($B171,tab_MinKomp[[Stanowisko / Position ]:[Stanowisko / Position ]],0))="n/a","n/a",CI171-INDEX(tab_MinKomp[Joomla],MATCH($B171,tab_MinKomp[[Stanowisko / Position ]:[Stanowisko / Position ]],0)))</f>
        <v>n/a</v>
      </c>
      <c r="CJ172" s="315" t="str">
        <f>IF(INDEX(tab_MinKomp[Bash],MATCH($B171,tab_MinKomp[[Stanowisko / Position ]:[Stanowisko / Position ]],0))="n/a","n/a",CJ171-INDEX(tab_MinKomp[Bash],MATCH($B171,tab_MinKomp[[Stanowisko / Position ]:[Stanowisko / Position ]],0)))</f>
        <v>n/a</v>
      </c>
      <c r="CK172" s="315" t="str">
        <f>IF(INDEX(tab_MinKomp[Systemy MES (HYDRA / SFMS)],MATCH($B171,tab_MinKomp[[Stanowisko / Position ]:[Stanowisko / Position ]],0))="n/a","n/a",CK171-INDEX(tab_MinKomp[Systemy MES (HYDRA / SFMS)],MATCH($B171,tab_MinKomp[[Stanowisko / Position ]:[Stanowisko / Position ]],0)))</f>
        <v>n/a</v>
      </c>
      <c r="CL172" s="315" t="str">
        <f>IF(INDEX(tab_MinKomp[HTML / CSS],MATCH($B171,tab_MinKomp[[Stanowisko / Position ]:[Stanowisko / Position ]],0))="n/a","n/a",CL171-INDEX(tab_MinKomp[HTML / CSS],MATCH($B171,tab_MinKomp[[Stanowisko / Position ]:[Stanowisko / Position ]],0)))</f>
        <v>n/a</v>
      </c>
      <c r="CM172" s="315" t="str">
        <f>IF(INDEX(tab_MinKomp[Joomla],MATCH($B171,tab_MinKomp[[Stanowisko / Position ]:[Stanowisko / Position ]],0))="n/a","n/a",CM171-INDEX(tab_MinKomp[Joomla],MATCH($B171,tab_MinKomp[[Stanowisko / Position ]:[Stanowisko / Position ]],0)))</f>
        <v>n/a</v>
      </c>
      <c r="CN172" s="315" t="str">
        <f>IF(INDEX(tab_MinKomp[Bash],MATCH($B171,tab_MinKomp[[Stanowisko / Position ]:[Stanowisko / Position ]],0))="n/a","n/a",CN171-INDEX(tab_MinKomp[Bash],MATCH($B171,tab_MinKomp[[Stanowisko / Position ]:[Stanowisko / Position ]],0)))</f>
        <v>n/a</v>
      </c>
      <c r="CO172" s="315" t="str">
        <f>IF(INDEX(tab_MinKomp[Systemy MES (HYDRA / SFMS)],MATCH($B171,tab_MinKomp[[Stanowisko / Position ]:[Stanowisko / Position ]],0))="n/a","n/a",CO171-INDEX(tab_MinKomp[Systemy MES (HYDRA / SFMS)],MATCH($B171,tab_MinKomp[[Stanowisko / Position ]:[Stanowisko / Position ]],0)))</f>
        <v>n/a</v>
      </c>
      <c r="CP172" s="315" t="str">
        <f>IF(INDEX(tab_MinKomp[HTML / CSS],MATCH($B171,tab_MinKomp[[Stanowisko / Position ]:[Stanowisko / Position ]],0))="n/a","n/a",CP171-INDEX(tab_MinKomp[HTML / CSS],MATCH($B171,tab_MinKomp[[Stanowisko / Position ]:[Stanowisko / Position ]],0)))</f>
        <v>n/a</v>
      </c>
      <c r="CQ172" s="315" t="str">
        <f>IF(INDEX(tab_MinKomp[Bash],MATCH($B171,tab_MinKomp[[Stanowisko / Position ]:[Stanowisko / Position ]],0))="n/a","n/a",CQ171-INDEX(tab_MinKomp[Bash],MATCH($B171,tab_MinKomp[[Stanowisko / Position ]:[Stanowisko / Position ]],0)))</f>
        <v>n/a</v>
      </c>
      <c r="CR172" s="315" t="str">
        <f>IF(INDEX(tab_MinKomp[Systemy MES (HYDRA / SFMS)],MATCH($B171,tab_MinKomp[[Stanowisko / Position ]:[Stanowisko / Position ]],0))="n/a","n/a",CR171-INDEX(tab_MinKomp[Systemy MES (HYDRA / SFMS)],MATCH($B171,tab_MinKomp[[Stanowisko / Position ]:[Stanowisko / Position ]],0)))</f>
        <v>n/a</v>
      </c>
      <c r="CS172" s="315" t="str">
        <f>IF(INDEX(tab_MinKomp[HTML / CSS],MATCH($B171,tab_MinKomp[[Stanowisko / Position ]:[Stanowisko / Position ]],0))="n/a","n/a",CS171-INDEX(tab_MinKomp[HTML / CSS],MATCH($B171,tab_MinKomp[[Stanowisko / Position ]:[Stanowisko / Position ]],0)))</f>
        <v>n/a</v>
      </c>
      <c r="CT172" s="315">
        <f>IF(INDEX(tab_MinKomp[Obsługa systemu BABTECQ / BABTECQ System],MATCH($B171,tab_MinKomp[[Stanowisko / Position ]:[Stanowisko / Position ]],0))="n/a","n/a",CT171-INDEX(tab_MinKomp[Obsługa systemu BABTECQ / BABTECQ System],MATCH($B171,tab_MinKomp[[Stanowisko / Position ]:[Stanowisko / Position ]],0)))</f>
        <v>0</v>
      </c>
      <c r="CU172" s="315" t="str">
        <f>IF(INDEX(tab_MinKomp[Rekwalifikacja / Requalifizierung],MATCH($B171,tab_MinKomp[[Stanowisko / Position ]:[Stanowisko / Position ]],0))="n/a","n/a",CU171-INDEX(tab_MinKomp[Rekwalifikacja / Requalifizierung],MATCH($B171,tab_MinKomp[[Stanowisko / Position ]:[Stanowisko / Position ]],0)))</f>
        <v>n/a</v>
      </c>
      <c r="CV172" s="315" t="s">
        <v>176</v>
      </c>
      <c r="CW172" s="315" t="s">
        <v>176</v>
      </c>
      <c r="CX172" s="315" t="s">
        <v>176</v>
      </c>
      <c r="CY172" s="318" t="str">
        <f>IFERROR(IF(INDEX(tab_MinKomp[BRAK / Keine],MATCH($B171,tab_MinKomp[[Stanowisko / Position ]:[Stanowisko / Position ]],0))="n/a","n/a",INDEX(tab_MinKomp[BRAK / Keine],MATCH($B171,tab_MinKomp[[Stanowisko / Position ]:[Stanowisko / Position ]],0))-CY171),"")</f>
        <v>n/a</v>
      </c>
      <c r="CZ172" s="315" t="s">
        <v>176</v>
      </c>
      <c r="DA172" s="315" t="s">
        <v>176</v>
      </c>
      <c r="DB172" s="315" t="s">
        <v>176</v>
      </c>
      <c r="DC172" s="318" t="str">
        <f>IFERROR(IF(INDEX(tab_MinKomp[BRAK / Keine],MATCH($B171,tab_MinKomp[[Stanowisko / Position ]:[Stanowisko / Position ]],0))="n/a","n/a",INDEX(tab_MinKomp[BRAK / Keine],MATCH($B171,tab_MinKomp[[Stanowisko / Position ]:[Stanowisko / Position ]],0))-DC171),"")</f>
        <v>n/a</v>
      </c>
      <c r="DD172" s="315" t="s">
        <v>176</v>
      </c>
      <c r="DE172" s="315" t="s">
        <v>176</v>
      </c>
      <c r="DF172" s="315" t="s">
        <v>176</v>
      </c>
      <c r="DG172" s="315" t="s">
        <v>176</v>
      </c>
      <c r="DH172" s="315" t="s">
        <v>176</v>
      </c>
      <c r="DI172" s="315" t="s">
        <v>176</v>
      </c>
      <c r="DJ172" s="315" t="s">
        <v>176</v>
      </c>
      <c r="DK172" s="315" t="s">
        <v>176</v>
      </c>
      <c r="DL172" s="315" t="s">
        <v>176</v>
      </c>
      <c r="DM172" s="315" t="s">
        <v>176</v>
      </c>
      <c r="DN172" s="315" t="s">
        <v>176</v>
      </c>
      <c r="DO172" s="315" t="s">
        <v>176</v>
      </c>
      <c r="DP172" s="315" t="str">
        <f>IF(INDEX(tab_MinKomp[Rekwalifikacja / Requalifizierung],MATCH($B171,tab_MinKomp[[Stanowisko / Position ]:[Stanowisko / Position ]],0))="n/a","n/a",DP171-INDEX(tab_MinKomp[Rekwalifikacja / Requalifizierung],MATCH($B171,tab_MinKomp[[Stanowisko / Position ]:[Stanowisko / Position ]],0)))</f>
        <v>n/a</v>
      </c>
      <c r="DQ172" s="315" t="s">
        <v>176</v>
      </c>
      <c r="DR172" s="315" t="s">
        <v>176</v>
      </c>
      <c r="DS172" s="315" t="s">
        <v>176</v>
      </c>
      <c r="DT172" s="318" t="str">
        <f>IFERROR(IF(INDEX(tab_MinKomp[BRAK / Keine],MATCH($B171,tab_MinKomp[[Stanowisko / Position ]:[Stanowisko / Position ]],0))="n/a","n/a",INDEX(tab_MinKomp[BRAK / Keine],MATCH($B171,tab_MinKomp[[Stanowisko / Position ]:[Stanowisko / Position ]],0))-DT171),"")</f>
        <v>n/a</v>
      </c>
      <c r="DU172" s="315" t="s">
        <v>176</v>
      </c>
      <c r="DV172" s="315" t="s">
        <v>176</v>
      </c>
      <c r="DW172" s="315" t="s">
        <v>176</v>
      </c>
      <c r="DX172" s="318" t="str">
        <f>IFERROR(IF(INDEX(tab_MinKomp[BRAK / Keine],MATCH($B171,tab_MinKomp[[Stanowisko / Position ]:[Stanowisko / Position ]],0))="n/a","n/a",INDEX(tab_MinKomp[BRAK / Keine],MATCH($B171,tab_MinKomp[[Stanowisko / Position ]:[Stanowisko / Position ]],0))-DX171),"")</f>
        <v>n/a</v>
      </c>
      <c r="DY172" s="315" t="s">
        <v>176</v>
      </c>
      <c r="DZ172" s="315" t="s">
        <v>176</v>
      </c>
      <c r="EA172" s="315" t="s">
        <v>176</v>
      </c>
      <c r="EB172" s="315" t="s">
        <v>176</v>
      </c>
      <c r="EC172" s="315" t="s">
        <v>176</v>
      </c>
      <c r="ED172" s="315" t="s">
        <v>176</v>
      </c>
      <c r="EE172" s="315" t="s">
        <v>176</v>
      </c>
      <c r="EF172" s="315" t="s">
        <v>176</v>
      </c>
      <c r="EG172" s="315" t="s">
        <v>176</v>
      </c>
      <c r="EH172" s="315" t="s">
        <v>176</v>
      </c>
      <c r="EI172" s="315" t="s">
        <v>176</v>
      </c>
      <c r="EJ172" s="315" t="s">
        <v>176</v>
      </c>
      <c r="EK172" s="315" t="str">
        <f>IF(INDEX(tab_MinKomp[Usuwanie awarii],MATCH($B171,tab_MinKomp[[Stanowisko / Position ]:[Stanowisko / Position ]],0))="n/a","n/a",EK171-INDEX(tab_MinKomp[Usuwanie awarii],MATCH($B171,tab_MinKomp[[Stanowisko / Position ]:[Stanowisko / Position ]],0)))</f>
        <v>n/a</v>
      </c>
      <c r="EL172" s="315" t="str">
        <f>IF(INDEX(tab_MinKomp[Obsługa robotów],MATCH($B171,tab_MinKomp[[Stanowisko / Position ]:[Stanowisko / Position ]],0))="n/a","n/a",EL171-INDEX(tab_MinKomp[Obsługa robotów],MATCH($B171,tab_MinKomp[[Stanowisko / Position ]:[Stanowisko / Position ]],0)))</f>
        <v>n/a</v>
      </c>
      <c r="EM172" s="315" t="str">
        <f>IF(INDEX(tab_MinKomp[Obsługa sterowania maszyny],MATCH($B171,tab_MinKomp[[Stanowisko / Position ]:[Stanowisko / Position ]],0))="n/a","n/a",EM171-INDEX(tab_MinKomp[Obsługa sterowania maszyny],MATCH($B171,tab_MinKomp[[Stanowisko / Position ]:[Stanowisko / Position ]],0)))</f>
        <v>n/a</v>
      </c>
      <c r="EN172" s="315" t="str">
        <f>IF(INDEX(tab_MinKomp[Usuwanie przyczyn żródłowych],MATCH($B171,tab_MinKomp[[Stanowisko / Position ]:[Stanowisko / Position ]],0))="n/a","n/a",EN171-INDEX(tab_MinKomp[Usuwanie przyczyn żródłowych],MATCH($B171,tab_MinKomp[[Stanowisko / Position ]:[Stanowisko / Position ]],0)))</f>
        <v>n/a</v>
      </c>
      <c r="EO172" s="315" t="str">
        <f>IF(INDEX(tab_MinKomp[Cmms stosowanie],MATCH($B171,tab_MinKomp[[Stanowisko / Position ]:[Stanowisko / Position ]],0))="n/a","n/a",EO171-INDEX(tab_MinKomp[Cmms stosowanie],MATCH($B171,tab_MinKomp[[Stanowisko / Position ]:[Stanowisko / Position ]],0)))</f>
        <v>n/a</v>
      </c>
      <c r="EP172" s="315" t="str">
        <f>IF(INDEX(tab_MinKomp[[Czyszczenie form gumowych ]],MATCH($B171,tab_MinKomp[[Stanowisko / Position ]:[Stanowisko / Position ]],0))="n/a","n/a",EP171-INDEX(tab_MinKomp[[Czyszczenie form gumowych ]],MATCH($B171,tab_MinKomp[[Stanowisko / Position ]:[Stanowisko / Position ]],0)))</f>
        <v>n/a</v>
      </c>
      <c r="EQ172" s="315" t="str">
        <f>IF(INDEX(tab_MinKomp[Czyszczenie form plastikowych],MATCH($B171,tab_MinKomp[[Stanowisko / Position ]:[Stanowisko / Position ]],0))="n/a","n/a",EQ171-INDEX(tab_MinKomp[Czyszczenie form plastikowych],MATCH($B171,tab_MinKomp[[Stanowisko / Position ]:[Stanowisko / Position ]],0)))</f>
        <v>n/a</v>
      </c>
      <c r="ER172" s="315" t="str">
        <f>IF(INDEX(tab_MinKomp[Wymiana form plastik],MATCH($B171,tab_MinKomp[[Stanowisko / Position ]:[Stanowisko / Position ]],0))="n/a","n/a",ER171-INDEX(tab_MinKomp[Wymiana form plastik],MATCH($B171,tab_MinKomp[[Stanowisko / Position ]:[Stanowisko / Position ]],0)))</f>
        <v>n/a</v>
      </c>
      <c r="ES172" s="315" t="str">
        <f>IF(INDEX(tab_MinKomp[Wymiana form guma],MATCH($B171,tab_MinKomp[[Stanowisko / Position ]:[Stanowisko / Position ]],0))="n/a","n/a",ES171-INDEX(tab_MinKomp[Wymiana form guma],MATCH($B171,tab_MinKomp[[Stanowisko / Position ]:[Stanowisko / Position ]],0)))</f>
        <v>n/a</v>
      </c>
      <c r="ET172" s="315" t="str">
        <f>IF(INDEX(tab_MinKomp[Konserwacja KK],MATCH($B171,tab_MinKomp[[Stanowisko / Position ]:[Stanowisko / Position ]],0))="n/a","n/a",ET171-INDEX(tab_MinKomp[Konserwacja KK],MATCH($B171,tab_MinKomp[[Stanowisko / Position ]:[Stanowisko / Position ]],0)))</f>
        <v>n/a</v>
      </c>
      <c r="EU172" s="315" t="str">
        <f>IF(INDEX(tab_MinKomp[Konserwacja form guma],MATCH($B171,tab_MinKomp[[Stanowisko / Position ]:[Stanowisko / Position ]],0))="n/a","n/a",EU171-INDEX(tab_MinKomp[Konserwacja form guma],MATCH($B171,tab_MinKomp[[Stanowisko / Position ]:[Stanowisko / Position ]],0)))</f>
        <v>n/a</v>
      </c>
      <c r="EV172" s="315" t="str">
        <f>IF(INDEX(tab_MinKomp[Konserwacja form plastiki],MATCH($B171,tab_MinKomp[[Stanowisko / Position ]:[Stanowisko / Position ]],0))="n/a","n/a",EV171-INDEX(tab_MinKomp[Konserwacja form plastiki],MATCH($B171,tab_MinKomp[[Stanowisko / Position ]:[Stanowisko / Position ]],0)))</f>
        <v>n/a</v>
      </c>
      <c r="EW172" s="330" t="str">
        <f>IF(INDEX(tab_MinKomp[Konserwacja form plastiki],MATCH($B171,tab_MinKomp[[Stanowisko / Position ]:[Stanowisko / Position ]],0))="n/a","n/a",EW171-INDEX(tab_MinKomp[Konserwacja form plastiki],MATCH($B171,tab_MinKomp[[Stanowisko / Position ]:[Stanowisko / Position ]],0)))</f>
        <v>n/a</v>
      </c>
      <c r="EX172" s="315" t="str">
        <f>IF(INDEX(tab_MinKomp[Konserwacja Gorącego Kanału],MATCH($B171,tab_MinKomp[[Stanowisko / Position ]:[Stanowisko / Position ]],0))="n/a","n/a",EX171-INDEX(tab_MinKomp[Konserwacja Gorącego Kanału],MATCH($B171,tab_MinKomp[[Stanowisko / Position ]:[Stanowisko / Position ]],0)))</f>
        <v>n/a</v>
      </c>
      <c r="EY172" s="315">
        <f>IF(INDEX(tab_MinKomp[MS Office (Excel)],MATCH($B171,tab_MinKomp[[Stanowisko / Position ]:[Stanowisko / Position ]],0))="n/a","n/a",EY171-INDEX(tab_MinKomp[MS Office (Excel)],MATCH($B171,tab_MinKomp[[Stanowisko / Position ]:[Stanowisko / Position ]],0)))</f>
        <v>1</v>
      </c>
      <c r="EZ172" s="315">
        <f>IF(INDEX(tab_MinKomp[MS Office (Word)],MATCH($B171,tab_MinKomp[[Stanowisko / Position ]:[Stanowisko / Position ]],0))="n/a","n/a",EZ171-INDEX(tab_MinKomp[MS Office (Word)],MATCH($B171,tab_MinKomp[[Stanowisko / Position ]:[Stanowisko / Position ]],0)))</f>
        <v>1</v>
      </c>
      <c r="FA172" s="315">
        <f>IF(INDEX(tab_MinKomp[MS Office (Power Point)],MATCH($B171,tab_MinKomp[[Stanowisko / Position ]:[Stanowisko / Position ]],0))="n/a","n/a",FA171-INDEX(tab_MinKomp[MS Office (Power Point)],MATCH($B171,tab_MinKomp[[Stanowisko / Position ]:[Stanowisko / Position ]],0)))</f>
        <v>1</v>
      </c>
      <c r="FB172" s="317">
        <f>IF(INDEX(tab_MinKomp[Język angielski / Englisch],MATCH($B171,tab_MinKomp[[Stanowisko / Position ]:[Stanowisko / Position ]],0))="n/a","n/a",FB171-INDEX(tab_MinKomp[Język angielski / Englisch],MATCH($B171,tab_MinKomp[[Stanowisko / Position ]:[Stanowisko / Position ]],0)))</f>
        <v>0</v>
      </c>
      <c r="FC172" s="317" t="str">
        <f>IF(INDEX(tab_MinKomp[Język niemiecki / Deutsch],MATCH($B171,tab_MinKomp[[Stanowisko / Position ]:[Stanowisko / Position ]],0))="n/a","n/a",FC171-INDEX(tab_MinKomp[Język niemiecki / Deutsch],MATCH($B171,tab_MinKomp[[Stanowisko / Position ]:[Stanowisko / Position ]],0)))</f>
        <v>n/a</v>
      </c>
      <c r="FD172" s="315">
        <f>IF(INDEX(tab_MinKomp[Zarządzanie dokumentacją procesową / Process dokumentation management],MATCH($B171,tab_MinKomp[[Stanowisko / Position ]:[Stanowisko / Position ]],0))="n/a","n/a",FD171-INDEX(tab_MinKomp[Zarządzanie dokumentacją procesową / Process dokumentation management],MATCH($B171,tab_MinKomp[[Stanowisko / Position ]:[Stanowisko / Position ]],0)))</f>
        <v>0</v>
      </c>
      <c r="FE172" s="315">
        <f>IF(INDEX(tab_MinKomp[Znajomość procesów z obszaru / Kenntiss der prozesse in dem Bereich],MATCH($B171,tab_MinKomp[[Stanowisko / Position ]:[Stanowisko / Position ]],0))="n/a","n/a",FE171-INDEX(tab_MinKomp[Znajomość procesów z obszaru / Kenntiss der prozesse in dem Bereich],MATCH($B171,tab_MinKomp[[Stanowisko / Position ]:[Stanowisko / Position ]],0)))</f>
        <v>-1</v>
      </c>
      <c r="FF172" s="315">
        <f>IF(INDEX(tab_MinKomp[optymalizacja procesów / Prozessoptymalisierung],MATCH($B171,tab_MinKomp[[Stanowisko / Position ]:[Stanowisko / Position ]],0))="n/a","n/a",FF171-INDEX(tab_MinKomp[optymalizacja procesów / Prozessoptymalisierung],MATCH($B171,tab_MinKomp[[Stanowisko / Position ]:[Stanowisko / Position ]],0)))</f>
        <v>0</v>
      </c>
      <c r="FG172" s="315">
        <f>IF(INDEX(tab_MinKomp[Umiejętności szkoleniowe / Trainingsfähigkeiten],MATCH($B171,tab_MinKomp[[Stanowisko / Position ]:[Stanowisko / Position ]],0))="n/a","n/a",FG171-INDEX(tab_MinKomp[Umiejętności szkoleniowe / Trainingsfähigkeiten],MATCH($B171,tab_MinKomp[[Stanowisko / Position ]:[Stanowisko / Position ]],0)))</f>
        <v>0</v>
      </c>
      <c r="FH172" s="315">
        <f>IF(INDEX(tab_MinKomp[Analityczne myślenie, podejście / Analitysches Denken, Einstellung],MATCH($B171,tab_MinKomp[[Stanowisko / Position ]:[Stanowisko / Position ]],0))="n/a","n/a",FH171-INDEX(tab_MinKomp[Analityczne myślenie, podejście / Analitysches Denken, Einstellung],MATCH($B171,tab_MinKomp[[Stanowisko / Position ]:[Stanowisko / Position ]],0)))</f>
        <v>1</v>
      </c>
      <c r="FI172" s="315">
        <f>IF(INDEX(tab_MinKomp[Dokładność, precyzja w dzialaniu / Genauigkeit, Präzision in die Arbeit],MATCH($B171,tab_MinKomp[[Stanowisko / Position ]:[Stanowisko / Position ]],0))="n/a","n/a",FI171-INDEX(tab_MinKomp[Dokładność, precyzja w dzialaniu / Genauigkeit, Präzision in die Arbeit],MATCH($B171,tab_MinKomp[[Stanowisko / Position ]:[Stanowisko / Position ]],0)))</f>
        <v>-1</v>
      </c>
      <c r="FJ172" s="315">
        <f>IF(INDEX(tab_MinKomp[Dyspozycyjność / Verfügbarkeit],MATCH($B171,tab_MinKomp[[Stanowisko / Position ]:[Stanowisko / Position ]],0))="n/a","n/a",FJ171-INDEX(tab_MinKomp[Dyspozycyjność / Verfügbarkeit],MATCH($B171,tab_MinKomp[[Stanowisko / Position ]:[Stanowisko / Position ]],0)))</f>
        <v>0</v>
      </c>
      <c r="FK172" s="315">
        <f>IF(INDEX(tab_MinKomp[Zaangażowanie / 
Engagement],MATCH($B171,tab_MinKomp[[Stanowisko / Position ]:[Stanowisko / Position ]],0))="n/a","n/a",FK171-INDEX(tab_MinKomp[Zaangażowanie / 
Engagement],MATCH($B171,tab_MinKomp[[Stanowisko / Position ]:[Stanowisko / Position ]],0)))</f>
        <v>0</v>
      </c>
      <c r="FL172" s="315">
        <f>IF(INDEX(tab_MinKomp[Planowanie strategiczne / Strategische Planung],MATCH($B171,tab_MinKomp[[Stanowisko / Position ]:[Stanowisko / Position ]],0))="n/a","n/a",FL171-INDEX(tab_MinKomp[Planowanie strategiczne / Strategische Planung],MATCH($B171,tab_MinKomp[[Stanowisko / Position ]:[Stanowisko / Position ]],0)))</f>
        <v>1</v>
      </c>
      <c r="FM172" s="315">
        <f>IF(INDEX(tab_MinKomp[Konsekwentne i dynamiczne działanie],MATCH($B171,tab_MinKomp[[Stanowisko / Position ]:[Stanowisko / Position ]],0))="n/a","n/a",FM171-INDEX(tab_MinKomp[Konsekwentne i dynamiczne działanie],MATCH($B171,tab_MinKomp[[Stanowisko / Position ]:[Stanowisko / Position ]],0)))</f>
        <v>0</v>
      </c>
      <c r="FN172" s="315">
        <f>IF(INDEX(tab_MinKomp[Elastyczność w działaniu],MATCH($B171,tab_MinKomp[[Stanowisko / Position ]:[Stanowisko / Position ]],0))="n/a","n/a",FN171-INDEX(tab_MinKomp[Elastyczność w działaniu],MATCH($B171,tab_MinKomp[[Stanowisko / Position ]:[Stanowisko / Position ]],0)))</f>
        <v>-1</v>
      </c>
      <c r="FO172" s="315">
        <f>IF(INDEX(tab_MinKomp[Komunikatywność],MATCH($B171,tab_MinKomp[[Stanowisko / Position ]:[Stanowisko / Position ]],0))="n/a","n/a",FO171-INDEX(tab_MinKomp[Komunikatywność],MATCH($B171,tab_MinKomp[[Stanowisko / Position ]:[Stanowisko / Position ]],0)))</f>
        <v>-1</v>
      </c>
      <c r="FP172" s="314" t="str">
        <f>IF(INDEX(tab_MinKomp[Motywowanie i budowanie zaangażowania zespołu],MATCH($B171,tab_MinKomp[[Stanowisko / Position ]:[Stanowisko / Position ]],0))="n/a","n/a",FP171-INDEX(tab_MinKomp[Motywowanie i budowanie zaangażowania zespołu],MATCH($B171,tab_MinKomp[[Stanowisko / Position ]:[Stanowisko / Position ]],0)))</f>
        <v>n/a</v>
      </c>
      <c r="FQ172" s="318" t="str">
        <f>IFERROR(IF(INDEX(tab_MinKomp[BRAK / Keine],MATCH($B171,tab_MinKomp[[Stanowisko / Position ]:[Stanowisko / Position ]],0))="n/a","n/a",INDEX(tab_MinKomp[BRAK / Keine],MATCH($B171,tab_MinKomp[[Stanowisko / Position ]:[Stanowisko / Position ]],0))-FQ171),"")</f>
        <v>n/a</v>
      </c>
      <c r="FR172" s="315" t="str">
        <f>IF(INDEX(tab_MinKomp[MINIMUM 1 ROK / min. 1 Jahr],MATCH($B171,tab_MinKomp[[Stanowisko / Position ]:[Stanowisko / Position ]],0))="n/a","n/a",INDEX(tab_MinKomp[MINIMUM 1 ROK / min. 1 Jahr],MATCH($B171,tab_MinKomp[[Stanowisko / Position ]:[Stanowisko / Position ]],0)))</f>
        <v>n/a</v>
      </c>
      <c r="FS172" s="315" t="str">
        <f>IF(INDEX(tab_MinKomp[MINIMUM 2 LATA / min. 2 Jahre],MATCH($B171,tab_MinKomp[[Stanowisko / Position ]:[Stanowisko / Position ]],0))="n/a","n/a",INDEX(tab_MinKomp[MINIMUM 2 LATA / min. 2 Jahre],MATCH($B171,tab_MinKomp[[Stanowisko / Position ]:[Stanowisko / Position ]],0)))</f>
        <v>x</v>
      </c>
      <c r="FT172" s="315" t="str">
        <f>IF(INDEX(tab_MinKomp[MINIMUM 3 LATA / min. 3 Jahre],MATCH($B171,tab_MinKomp[[Stanowisko / Position ]:[Stanowisko / Position ]],0))="n/a","n/a",INDEX(tab_MinKomp[MINIMUM 3 LATA / min. 3 Jahre],MATCH($B171,tab_MinKomp[[Stanowisko / Position ]:[Stanowisko / Position ]],0)))</f>
        <v>n/a</v>
      </c>
      <c r="FU172" s="315" t="str">
        <f>IF(INDEX(tab_MinKomp[MINIMUM 4 LATA / min. 4 Jahre],MATCH($B171,tab_MinKomp[[Stanowisko / Position ]:[Stanowisko / Position ]],0))="n/a","n/a",INDEX(tab_MinKomp[MINIMUM 4 LATA / min. 4 Jahre],MATCH($B171,tab_MinKomp[[Stanowisko / Position ]:[Stanowisko / Position ]],0)))</f>
        <v>n/a</v>
      </c>
      <c r="FV172" s="319" t="str">
        <f>IF(INDEX(tab_MinKomp[MINIMUM 5 LAT / min. 5 Jahre],MATCH($B171,tab_MinKomp[[Stanowisko / Position ]:[Stanowisko / Position ]],0))="n/a","n/a",INDEX(tab_MinKomp[MINIMUM 5 LAT / min. 5 Jahre],MATCH($B171,tab_MinKomp[[Stanowisko / Position ]:[Stanowisko / Position ]],0)))</f>
        <v>n/a</v>
      </c>
      <c r="FW172" s="318" t="str">
        <f>IF(INDEX(tab_MinKomp[BRAK / Keine9],MATCH($B171,tab_MinKomp[[Stanowisko / Position ]:[Stanowisko / Position ]],0))="n/a","n/a",INDEX(tab_MinKomp[BRAK / Keine9],MATCH($B171,tab_MinKomp[[Stanowisko / Position ]:[Stanowisko / Position ]],0)))</f>
        <v>n/a</v>
      </c>
      <c r="FX172" s="315" t="str">
        <f>IF(INDEX(tab_MinKomp[ZAWODOWE / Berufsausbildung],MATCH($B171,tab_MinKomp[[Stanowisko / Position ]:[Stanowisko / Position ]],0))="n/a","n/a",INDEX(tab_MinKomp[ZAWODOWE / Berufsausbildung],MATCH($B171,tab_MinKomp[[Stanowisko / Position ]:[Stanowisko / Position ]],0)))</f>
        <v>n/a</v>
      </c>
      <c r="FY172" s="315" t="str">
        <f>IF(INDEX(tab_MinKomp[ŚREDNIE OGÓLNE / Abitur allgemeine],MATCH($B171,tab_MinKomp[[Stanowisko / Position ]:[Stanowisko / Position ]],0))="n/a","n/a",INDEX(tab_MinKomp[ŚREDNIE OGÓLNE / Abitur allgemeine],MATCH($B171,tab_MinKomp[[Stanowisko / Position ]:[Stanowisko / Position ]],0)))</f>
        <v>x</v>
      </c>
      <c r="FZ172" s="315" t="str">
        <f>IF(INDEX(tab_MinKomp[ŚREDNIE KIERUNKOWE / berufliches Gymnasium],MATCH($B171,tab_MinKomp[[Stanowisko / Position ]:[Stanowisko / Position ]],0))="n/a","n/a",INDEX(tab_MinKomp[ŚREDNIE KIERUNKOWE / berufliches Gymnasium],MATCH($B171,tab_MinKomp[[Stanowisko / Position ]:[Stanowisko / Position ]],0)))</f>
        <v>n/a</v>
      </c>
      <c r="GA172" s="315" t="str">
        <f>IF(INDEX(tab_MinKomp[WYŻSZE OGÓLNE / Hochschule allgemeine],MATCH($B171,tab_MinKomp[[Stanowisko / Position ]:[Stanowisko / Position ]],0))="n/a","n/a",INDEX(tab_MinKomp[WYŻSZE OGÓLNE / Hochschule allgemeine],MATCH($B171,tab_MinKomp[[Stanowisko / Position ]:[Stanowisko / Position ]],0)))</f>
        <v>n/a</v>
      </c>
      <c r="GB172" s="319" t="str">
        <f>IF(INDEX(tab_MinKomp[WYŻSZE KIERUNKOWE / Hochschule berufliche],MATCH($B171,tab_MinKomp[[Stanowisko / Position ]:[Stanowisko / Position ]],0))="n/a","n/a",INDEX(tab_MinKomp[WYŻSZE KIERUNKOWE / Hochschule berufliche],MATCH($B171,tab_MinKomp[[Stanowisko / Position ]:[Stanowisko / Position ]],0)))</f>
        <v>n/a</v>
      </c>
      <c r="GC172" s="318" t="str">
        <f>IF(INDEX(tab_MinKomp[PIERWSZA POMOC / Erste Hilfe],MATCH($B171,tab_MinKomp[[Stanowisko / Position ]:[Stanowisko / Position ]],0))="n/a","n/a",INDEX(tab_MinKomp[PIERWSZA POMOC / Erste Hilfe],MATCH($B171,tab_MinKomp[[Stanowisko / Position ]:[Stanowisko / Position ]],0)))</f>
        <v>n/a</v>
      </c>
      <c r="GD172" s="315" t="str">
        <f>IF(INDEX(tab_MinKomp[Specjalista BHP / BHP Spezialist],MATCH($B171,tab_MinKomp[[Stanowisko / Position ]:[Stanowisko / Position ]],0))="n/a","n/a",INDEX(tab_MinKomp[Specjalista BHP / BHP Spezialist],MATCH($B171,tab_MinKomp[[Stanowisko / Position ]:[Stanowisko / Position ]],0)))</f>
        <v>n/a</v>
      </c>
      <c r="GE172" s="315" t="str">
        <f>IF(INDEX(tab_MinKomp[Inspektor ochrony PPOŻ / Brandschutzinspektor],MATCH($B171,tab_MinKomp[[Stanowisko / Position ]:[Stanowisko / Position ]],0))="n/a","n/a",INDEX(tab_MinKomp[Inspektor ochrony PPOŻ / Brandschutzinspektor],MATCH($B171,tab_MinKomp[[Stanowisko / Position ]:[Stanowisko / Position ]],0)))</f>
        <v>n/a</v>
      </c>
      <c r="GF172" s="315" t="str">
        <f>IF(INDEX(tab_MinKomp[WÓZKI JEZDNIOWE / Gebelstapler],MATCH($B171,tab_MinKomp[[Stanowisko / Position ]:[Stanowisko / Position ]],0))="n/a","n/a",INDEX(tab_MinKomp[WÓZKI JEZDNIOWE / Gebelstapler],MATCH($B171,tab_MinKomp[[Stanowisko / Position ]:[Stanowisko / Position ]],0)))</f>
        <v>n/a</v>
      </c>
      <c r="GG172" s="315" t="str">
        <f>IF(INDEX(tab_MinKomp[SEP],MATCH($B171,tab_MinKomp[[Stanowisko / Position ]:[Stanowisko / Position ]],0))="n/a","n/a",INDEX(tab_MinKomp[SEP],MATCH($B171,tab_MinKomp[[Stanowisko / Position ]:[Stanowisko / Position ]],0)))</f>
        <v>n/a</v>
      </c>
      <c r="GH172" s="315" t="str">
        <f>IF(INDEX(tab_MinKomp[SEP  DOZÓR / SEP Aufsicht],MATCH($B171,tab_MinKomp[[Stanowisko / Position ]:[Stanowisko / Position ]],0))="n/a","n/a",INDEX(tab_MinKomp[SEP  DOZÓR / SEP Aufsicht],MATCH($B171,tab_MinKomp[[Stanowisko / Position ]:[Stanowisko / Position ]],0)))</f>
        <v>n/a</v>
      </c>
      <c r="GI172" s="315" t="str">
        <f>IF(INDEX(tab_MinKomp[PODNOŚNIKI / Hebevorrichtung],MATCH($B171,tab_MinKomp[[Stanowisko / Position ]:[Stanowisko / Position ]],0))="n/a","n/a",INDEX(tab_MinKomp[PODNOŚNIKI / Hebevorrichtung],MATCH($B171,tab_MinKomp[[Stanowisko / Position ]:[Stanowisko / Position ]],0)))</f>
        <v>n/a</v>
      </c>
      <c r="GJ172" s="315" t="str">
        <f>IF(INDEX(tab_MinKomp[SUWNICE / Laufkran],MATCH($B171,tab_MinKomp[[Stanowisko / Position ]:[Stanowisko / Position ]],0))="n/a","n/a",INDEX(tab_MinKomp[SUWNICE / Laufkran],MATCH($B171,tab_MinKomp[[Stanowisko / Position ]:[Stanowisko / Position ]],0)))</f>
        <v>n/a</v>
      </c>
      <c r="GK172" s="319" t="str">
        <f>IF(INDEX(tab_MinKomp[WYSOKOŚCIOWE / Höhenberechtigungen],MATCH($B171,tab_MinKomp[[Stanowisko / Position ]:[Stanowisko / Position ]],0))="n/a","n/a",INDEX(tab_MinKomp[WYSOKOŚCIOWE / Höhenberechtigungen],MATCH($B171,tab_MinKomp[[Stanowisko / Position ]:[Stanowisko / Position ]],0)))</f>
        <v>n/a</v>
      </c>
      <c r="GL172" s="376">
        <f>SUM(G172:FP172)/(GL171-(SUM(G172:FP172)))</f>
        <v>1.0869565217391304E-2</v>
      </c>
      <c r="GM172" s="132"/>
    </row>
    <row r="173" spans="1:195" s="133" customFormat="1" ht="34.5" customHeight="1" x14ac:dyDescent="0.25">
      <c r="A173" s="138" t="s">
        <v>183</v>
      </c>
      <c r="B173" s="138" t="s">
        <v>200</v>
      </c>
      <c r="C173" s="138" t="s">
        <v>230</v>
      </c>
      <c r="D173" s="138">
        <v>1900</v>
      </c>
      <c r="E173" s="563" t="s">
        <v>708</v>
      </c>
      <c r="F173" s="307" t="s">
        <v>165</v>
      </c>
      <c r="G173" s="308">
        <v>1</v>
      </c>
      <c r="H173" s="308">
        <v>1</v>
      </c>
      <c r="I173" s="308">
        <v>1</v>
      </c>
      <c r="J173" s="308">
        <v>2</v>
      </c>
      <c r="K173" s="308">
        <v>1</v>
      </c>
      <c r="L173" s="308">
        <v>1</v>
      </c>
      <c r="M173" s="308" t="s">
        <v>176</v>
      </c>
      <c r="N173" s="308" t="s">
        <v>176</v>
      </c>
      <c r="O173" s="308">
        <v>1</v>
      </c>
      <c r="P173" s="308">
        <v>1</v>
      </c>
      <c r="Q173" s="308" t="s">
        <v>176</v>
      </c>
      <c r="R173" s="308" t="s">
        <v>176</v>
      </c>
      <c r="S173" s="308" t="s">
        <v>176</v>
      </c>
      <c r="T173" s="308" t="s">
        <v>176</v>
      </c>
      <c r="U173" s="308">
        <v>1</v>
      </c>
      <c r="V173" s="308" t="s">
        <v>176</v>
      </c>
      <c r="W173" s="308">
        <v>1</v>
      </c>
      <c r="X173" s="308" t="s">
        <v>176</v>
      </c>
      <c r="Y173" s="308" t="s">
        <v>176</v>
      </c>
      <c r="Z173" s="308" t="s">
        <v>176</v>
      </c>
      <c r="AA173" s="308" t="s">
        <v>176</v>
      </c>
      <c r="AB173" s="308">
        <v>2</v>
      </c>
      <c r="AC173" s="308">
        <v>1</v>
      </c>
      <c r="AD173" s="308">
        <v>1</v>
      </c>
      <c r="AE173" s="308">
        <v>1</v>
      </c>
      <c r="AF173" s="308">
        <v>1</v>
      </c>
      <c r="AG173" s="308">
        <v>1</v>
      </c>
      <c r="AH173" s="308">
        <v>1</v>
      </c>
      <c r="AI173" s="308">
        <v>0</v>
      </c>
      <c r="AJ173" s="308" t="s">
        <v>176</v>
      </c>
      <c r="AK173" s="308" t="s">
        <v>176</v>
      </c>
      <c r="AL173" s="308">
        <v>1</v>
      </c>
      <c r="AM173" s="308">
        <v>1</v>
      </c>
      <c r="AN173" s="308">
        <v>1</v>
      </c>
      <c r="AO173" s="308" t="s">
        <v>176</v>
      </c>
      <c r="AP173" s="308">
        <v>1</v>
      </c>
      <c r="AQ173" s="308">
        <v>1</v>
      </c>
      <c r="AR173" s="308" t="s">
        <v>176</v>
      </c>
      <c r="AS173" s="308" t="s">
        <v>176</v>
      </c>
      <c r="AT173" s="308" t="s">
        <v>176</v>
      </c>
      <c r="AU173" s="308">
        <v>0</v>
      </c>
      <c r="AV173" s="308">
        <v>1</v>
      </c>
      <c r="AW173" s="308">
        <v>1</v>
      </c>
      <c r="AX173" s="308">
        <v>2</v>
      </c>
      <c r="AY173" s="308" t="s">
        <v>176</v>
      </c>
      <c r="AZ173" s="308">
        <v>3</v>
      </c>
      <c r="BA173" s="308">
        <v>3</v>
      </c>
      <c r="BB173" s="308">
        <v>2</v>
      </c>
      <c r="BC173" s="308">
        <v>3</v>
      </c>
      <c r="BD173" s="308">
        <v>1</v>
      </c>
      <c r="BE173" s="308">
        <v>3</v>
      </c>
      <c r="BF173" s="308">
        <v>1</v>
      </c>
      <c r="BG173" s="308">
        <v>1</v>
      </c>
      <c r="BH173" s="308">
        <v>0</v>
      </c>
      <c r="BI173" s="308">
        <v>0</v>
      </c>
      <c r="BJ173" s="308">
        <v>1</v>
      </c>
      <c r="BK173" s="308">
        <v>2</v>
      </c>
      <c r="BL173" s="308">
        <v>1</v>
      </c>
      <c r="BM173" s="308" t="s">
        <v>176</v>
      </c>
      <c r="BN173" s="308" t="s">
        <v>176</v>
      </c>
      <c r="BO173" s="308" t="s">
        <v>176</v>
      </c>
      <c r="BP173" s="308" t="s">
        <v>176</v>
      </c>
      <c r="BQ173" s="308" t="s">
        <v>176</v>
      </c>
      <c r="BR173" s="308" t="s">
        <v>176</v>
      </c>
      <c r="BS173" s="308" t="s">
        <v>176</v>
      </c>
      <c r="BT173" s="308" t="s">
        <v>176</v>
      </c>
      <c r="BU173" s="308" t="s">
        <v>176</v>
      </c>
      <c r="BV173" s="308" t="s">
        <v>176</v>
      </c>
      <c r="BW173" s="308">
        <v>1</v>
      </c>
      <c r="BX173" s="308" t="s">
        <v>176</v>
      </c>
      <c r="BY173" s="308" t="s">
        <v>176</v>
      </c>
      <c r="BZ173" s="308" t="s">
        <v>176</v>
      </c>
      <c r="CA173" s="308" t="s">
        <v>176</v>
      </c>
      <c r="CB173" s="308" t="s">
        <v>176</v>
      </c>
      <c r="CC173" s="308" t="s">
        <v>176</v>
      </c>
      <c r="CD173" s="308" t="s">
        <v>176</v>
      </c>
      <c r="CE173" s="308" t="s">
        <v>176</v>
      </c>
      <c r="CF173" s="308" t="s">
        <v>176</v>
      </c>
      <c r="CG173" s="308" t="s">
        <v>176</v>
      </c>
      <c r="CH173" s="308" t="s">
        <v>176</v>
      </c>
      <c r="CI173" s="308" t="s">
        <v>176</v>
      </c>
      <c r="CJ173" s="308" t="s">
        <v>176</v>
      </c>
      <c r="CK173" s="308" t="s">
        <v>176</v>
      </c>
      <c r="CL173" s="308" t="s">
        <v>176</v>
      </c>
      <c r="CM173" s="308" t="s">
        <v>176</v>
      </c>
      <c r="CN173" s="308" t="s">
        <v>176</v>
      </c>
      <c r="CO173" s="308" t="s">
        <v>176</v>
      </c>
      <c r="CP173" s="308" t="s">
        <v>176</v>
      </c>
      <c r="CQ173" s="308" t="s">
        <v>176</v>
      </c>
      <c r="CR173" s="308" t="s">
        <v>176</v>
      </c>
      <c r="CS173" s="308" t="s">
        <v>176</v>
      </c>
      <c r="CT173" s="308">
        <v>1</v>
      </c>
      <c r="CU173" s="308" t="s">
        <v>176</v>
      </c>
      <c r="CV173" s="308" t="s">
        <v>176</v>
      </c>
      <c r="CW173" s="308" t="s">
        <v>176</v>
      </c>
      <c r="CX173" s="308" t="s">
        <v>176</v>
      </c>
      <c r="CY173" s="308" t="s">
        <v>176</v>
      </c>
      <c r="CZ173" s="308" t="s">
        <v>176</v>
      </c>
      <c r="DA173" s="308" t="s">
        <v>176</v>
      </c>
      <c r="DB173" s="308" t="s">
        <v>176</v>
      </c>
      <c r="DC173" s="308" t="s">
        <v>176</v>
      </c>
      <c r="DD173" s="308" t="s">
        <v>176</v>
      </c>
      <c r="DE173" s="308" t="s">
        <v>176</v>
      </c>
      <c r="DF173" s="308" t="s">
        <v>176</v>
      </c>
      <c r="DG173" s="308" t="s">
        <v>176</v>
      </c>
      <c r="DH173" s="308" t="s">
        <v>176</v>
      </c>
      <c r="DI173" s="308" t="s">
        <v>176</v>
      </c>
      <c r="DJ173" s="308" t="s">
        <v>176</v>
      </c>
      <c r="DK173" s="308" t="s">
        <v>176</v>
      </c>
      <c r="DL173" s="308" t="s">
        <v>176</v>
      </c>
      <c r="DM173" s="308" t="s">
        <v>176</v>
      </c>
      <c r="DN173" s="308" t="s">
        <v>176</v>
      </c>
      <c r="DO173" s="308" t="s">
        <v>176</v>
      </c>
      <c r="DP173" s="308" t="s">
        <v>176</v>
      </c>
      <c r="DQ173" s="308" t="s">
        <v>176</v>
      </c>
      <c r="DR173" s="308" t="s">
        <v>176</v>
      </c>
      <c r="DS173" s="308" t="s">
        <v>176</v>
      </c>
      <c r="DT173" s="308" t="s">
        <v>176</v>
      </c>
      <c r="DU173" s="308" t="s">
        <v>176</v>
      </c>
      <c r="DV173" s="308" t="s">
        <v>176</v>
      </c>
      <c r="DW173" s="308" t="s">
        <v>176</v>
      </c>
      <c r="DX173" s="308" t="s">
        <v>176</v>
      </c>
      <c r="DY173" s="308" t="s">
        <v>176</v>
      </c>
      <c r="DZ173" s="308" t="s">
        <v>176</v>
      </c>
      <c r="EA173" s="308" t="s">
        <v>176</v>
      </c>
      <c r="EB173" s="308" t="s">
        <v>176</v>
      </c>
      <c r="EC173" s="308" t="s">
        <v>176</v>
      </c>
      <c r="ED173" s="308" t="s">
        <v>176</v>
      </c>
      <c r="EE173" s="308" t="s">
        <v>176</v>
      </c>
      <c r="EF173" s="308" t="s">
        <v>176</v>
      </c>
      <c r="EG173" s="308" t="s">
        <v>176</v>
      </c>
      <c r="EH173" s="308" t="s">
        <v>176</v>
      </c>
      <c r="EI173" s="308" t="s">
        <v>176</v>
      </c>
      <c r="EJ173" s="308" t="s">
        <v>176</v>
      </c>
      <c r="EK173" s="308" t="s">
        <v>176</v>
      </c>
      <c r="EL173" s="308" t="s">
        <v>176</v>
      </c>
      <c r="EM173" s="308" t="s">
        <v>176</v>
      </c>
      <c r="EN173" s="308" t="s">
        <v>176</v>
      </c>
      <c r="EO173" s="308" t="s">
        <v>176</v>
      </c>
      <c r="EP173" s="308" t="s">
        <v>176</v>
      </c>
      <c r="EQ173" s="308" t="s">
        <v>176</v>
      </c>
      <c r="ER173" s="308" t="s">
        <v>176</v>
      </c>
      <c r="ES173" s="308" t="s">
        <v>176</v>
      </c>
      <c r="ET173" s="308" t="s">
        <v>176</v>
      </c>
      <c r="EU173" s="308" t="s">
        <v>176</v>
      </c>
      <c r="EV173" s="308" t="s">
        <v>176</v>
      </c>
      <c r="EW173" s="308" t="s">
        <v>176</v>
      </c>
      <c r="EX173" s="308" t="s">
        <v>176</v>
      </c>
      <c r="EY173" s="308">
        <v>3</v>
      </c>
      <c r="EZ173" s="308">
        <v>2</v>
      </c>
      <c r="FA173" s="308">
        <v>2</v>
      </c>
      <c r="FB173" s="309">
        <v>2</v>
      </c>
      <c r="FC173" s="309" t="s">
        <v>176</v>
      </c>
      <c r="FD173" s="308">
        <v>2</v>
      </c>
      <c r="FE173" s="308">
        <v>2</v>
      </c>
      <c r="FF173" s="308">
        <v>2</v>
      </c>
      <c r="FG173" s="308">
        <v>1</v>
      </c>
      <c r="FH173" s="308">
        <v>3</v>
      </c>
      <c r="FI173" s="308">
        <v>2</v>
      </c>
      <c r="FJ173" s="308">
        <v>2</v>
      </c>
      <c r="FK173" s="308">
        <v>3</v>
      </c>
      <c r="FL173" s="308">
        <v>3</v>
      </c>
      <c r="FM173" s="308">
        <v>2</v>
      </c>
      <c r="FN173" s="308">
        <v>2</v>
      </c>
      <c r="FO173" s="308">
        <v>1</v>
      </c>
      <c r="FP173" s="308" t="s">
        <v>176</v>
      </c>
      <c r="FQ173" s="310" t="s">
        <v>176</v>
      </c>
      <c r="FR173" s="310" t="s">
        <v>176</v>
      </c>
      <c r="FS173" s="308" t="s">
        <v>387</v>
      </c>
      <c r="FT173" s="310" t="s">
        <v>176</v>
      </c>
      <c r="FU173" s="310" t="s">
        <v>176</v>
      </c>
      <c r="FV173" s="310" t="s">
        <v>176</v>
      </c>
      <c r="FW173" s="310" t="s">
        <v>176</v>
      </c>
      <c r="FX173" s="310" t="s">
        <v>176</v>
      </c>
      <c r="FY173" s="308" t="s">
        <v>387</v>
      </c>
      <c r="FZ173" s="310" t="s">
        <v>176</v>
      </c>
      <c r="GA173" s="310" t="s">
        <v>176</v>
      </c>
      <c r="GB173" s="310" t="s">
        <v>176</v>
      </c>
      <c r="GC173" s="310" t="s">
        <v>176</v>
      </c>
      <c r="GD173" s="310" t="s">
        <v>176</v>
      </c>
      <c r="GE173" s="310" t="s">
        <v>176</v>
      </c>
      <c r="GF173" s="310" t="s">
        <v>176</v>
      </c>
      <c r="GG173" s="310" t="s">
        <v>176</v>
      </c>
      <c r="GH173" s="310" t="s">
        <v>176</v>
      </c>
      <c r="GI173" s="310" t="s">
        <v>176</v>
      </c>
      <c r="GJ173" s="310" t="s">
        <v>176</v>
      </c>
      <c r="GK173" s="324" t="s">
        <v>176</v>
      </c>
      <c r="GL173" s="311">
        <f>SUM(G173:FP173)</f>
        <v>85</v>
      </c>
      <c r="GM173" s="132"/>
    </row>
    <row r="174" spans="1:195" s="133" customFormat="1" ht="34.5" customHeight="1" thickBot="1" x14ac:dyDescent="0.3">
      <c r="A174" s="138" t="s">
        <v>183</v>
      </c>
      <c r="B174" s="138" t="s">
        <v>200</v>
      </c>
      <c r="C174" s="138" t="s">
        <v>230</v>
      </c>
      <c r="D174" s="138">
        <v>1900</v>
      </c>
      <c r="E174" s="564"/>
      <c r="F174" s="331" t="s">
        <v>166</v>
      </c>
      <c r="G174" s="313">
        <f>IF(INDEX(tab_MinKomp[Przepisy BHP / BHP Vorschriften],MATCH($B173,tab_MinKomp[[Stanowisko / Position ]:[Stanowisko / Position ]],0))="n/a","n/a",G173-INDEX(tab_MinKomp[Przepisy BHP / BHP Vorschriften],MATCH($B173,tab_MinKomp[[Stanowisko / Position ]:[Stanowisko / Position ]],0)))</f>
        <v>0</v>
      </c>
      <c r="H174" s="314">
        <f>IF(INDEX(tab_MinKomp[Przepisy PPOŻ / Brandschutzbestimmungen],MATCH($B173,tab_MinKomp[[Stanowisko / Position ]:[Stanowisko / Position ]],0))="n/a","n/a",H173-INDEX(tab_MinKomp[Przepisy PPOŻ / Brandschutzbestimmungen],MATCH($B173,tab_MinKomp[[Stanowisko / Position ]:[Stanowisko / Position ]],0)))</f>
        <v>0</v>
      </c>
      <c r="I174" s="314">
        <f>IF(INDEX(tab_MinKomp[Ryzyko zawodowe na stanowiskach pracyv/ Berufliche Risiken an Arbeitsstellen],MATCH($B173,tab_MinKomp[[Stanowisko / Position ]:[Stanowisko / Position ]],0))="n/a","n/a",I173-INDEX(tab_MinKomp[Ryzyko zawodowe na stanowiskach pracyv/ Berufliche Risiken an Arbeitsstellen],MATCH($B173,tab_MinKomp[[Stanowisko / Position ]:[Stanowisko / Position ]],0)))</f>
        <v>0</v>
      </c>
      <c r="J174" s="314">
        <f>IF(INDEX(tab_MinKomp[Gospodarka substancjami niebezpiecznymi / Gefahrstoffmanagement],MATCH($B173,tab_MinKomp[[Stanowisko / Position ]:[Stanowisko / Position ]],0))="n/a","n/a",J173-INDEX(tab_MinKomp[Gospodarka substancjami niebezpiecznymi / Gefahrstoffmanagement],MATCH($B173,tab_MinKomp[[Stanowisko / Position ]:[Stanowisko / Position ]],0)))</f>
        <v>0</v>
      </c>
      <c r="K174" s="314">
        <f>IF(INDEX(tab_MinKomp[Gospodarka odpadami / Abfallwirtschaft],MATCH($B173,tab_MinKomp[[Stanowisko / Position ]:[Stanowisko / Position ]],0))="n/a","n/a",K173-INDEX(tab_MinKomp[Gospodarka odpadami / Abfallwirtschaft],MATCH($B173,tab_MinKomp[[Stanowisko / Position ]:[Stanowisko / Position ]],0)))</f>
        <v>-1</v>
      </c>
      <c r="L174" s="315">
        <f>IF(INDEX(tab_MinKomp[Przepisy kodeksu pracy / Bestimmungen des Arbeitsgesetzes],MATCH($B173,tab_MinKomp[[Stanowisko / Position ]:[Stanowisko / Position ]],0))="n/a","n/a",L173-INDEX(tab_MinKomp[Przepisy kodeksu pracy / Bestimmungen des Arbeitsgesetzes],MATCH($B173,tab_MinKomp[[Stanowisko / Position ]:[Stanowisko / Position ]],0)))</f>
        <v>0</v>
      </c>
      <c r="M174" s="316" t="str">
        <f>IF(INDEX(tab_MinKomp[Przepisy o ub.społ. ZUS  / Sozialversicherungsvorschriften],MATCH($B173,tab_MinKomp[[Stanowisko / Position ]:[Stanowisko / Position ]],0))="n/a","n/a",M173-INDEX(tab_MinKomp[Przepisy o ub.społ. ZUS  / Sozialversicherungsvorschriften],MATCH($B173,tab_MinKomp[[Stanowisko / Position ]:[Stanowisko / Position ]],0)))</f>
        <v>n/a</v>
      </c>
      <c r="N174" s="315" t="str">
        <f>IF(INDEX(tab_MinKomp[PRZEPISY O PDOF /persönlich Einkommensteuergesetz ],MATCH($B173,tab_MinKomp[[Stanowisko / Position ]:[Stanowisko / Position ]],0))="n/a","n/a",N173-INDEX(tab_MinKomp[PRZEPISY O PDOF /persönlich Einkommensteuergesetz ],MATCH($B173,tab_MinKomp[[Stanowisko / Position ]:[Stanowisko / Position ]],0)))</f>
        <v>n/a</v>
      </c>
      <c r="O174" s="315">
        <f>IF(INDEX(tab_MinKomp[Regulamin pracy / Arbeitsordnung],MATCH($B173,tab_MinKomp[[Stanowisko / Position ]:[Stanowisko / Position ]],0))="n/a","n/a",O173-INDEX(tab_MinKomp[Regulamin pracy / Arbeitsordnung],MATCH($B173,tab_MinKomp[[Stanowisko / Position ]:[Stanowisko / Position ]],0)))</f>
        <v>0</v>
      </c>
      <c r="P174" s="315">
        <f>IF(INDEX(tab_MinKomp[Regulamin wynagradzania / Vergütungsordnung],MATCH($B173,tab_MinKomp[[Stanowisko / Position ]:[Stanowisko / Position ]],0))="n/a","n/a",P173-INDEX(tab_MinKomp[Regulamin wynagradzania / Vergütungsordnung],MATCH($B173,tab_MinKomp[[Stanowisko / Position ]:[Stanowisko / Position ]],0)))</f>
        <v>0</v>
      </c>
      <c r="Q174" s="315" t="str">
        <f>IF(INDEX(tab_MinKomp[System R2PŁATNIK PRO: Płace / Lohnabrechnung],MATCH($B173,tab_MinKomp[[Stanowisko / Position ]:[Stanowisko / Position ]],0))="n/a","n/a",Q173-INDEX(tab_MinKomp[System R2PŁATNIK PRO: Płace / Lohnabrechnung],MATCH($B173,tab_MinKomp[[Stanowisko / Position ]:[Stanowisko / Position ]],0)))</f>
        <v>n/a</v>
      </c>
      <c r="R174" s="315" t="str">
        <f>IF(INDEX(tab_MinKomp[SystemR2PŁATNIK PRO: KADRY / Personaldaten],MATCH($B173,tab_MinKomp[[Stanowisko / Position ]:[Stanowisko / Position ]],0))="n/a","n/a",R173-INDEX(tab_MinKomp[SystemR2PŁATNIK PRO: KADRY / Personaldaten],MATCH($B173,tab_MinKomp[[Stanowisko / Position ]:[Stanowisko / Position ]],0)))</f>
        <v>n/a</v>
      </c>
      <c r="S174" s="315" t="str">
        <f>IF(INDEX(tab_MinKomp[SYSTEM R2PŁATNIK PRO: zarządzanie pracownikami / Arbeitsverwaltung],MATCH($B173,tab_MinKomp[[Stanowisko / Position ]:[Stanowisko / Position ]],0))="n/a","n/a",S173-INDEX(tab_MinKomp[SYSTEM R2PŁATNIK PRO: zarządzanie pracownikami / Arbeitsverwaltung],MATCH($B173,tab_MinKomp[[Stanowisko / Position ]:[Stanowisko / Position ]],0)))</f>
        <v>n/a</v>
      </c>
      <c r="T174" s="315" t="str">
        <f>IF(INDEX(tab_MinKomp[Doradztwo, wsparcie personalne / Personalberatung und Unterstützung],MATCH($B173,tab_MinKomp[[Stanowisko / Position ]:[Stanowisko / Position ]],0))="n/a","n/a",T173-INDEX(tab_MinKomp[Doradztwo, wsparcie personalne / Personalberatung und Unterstützung],MATCH($B173,tab_MinKomp[[Stanowisko / Position ]:[Stanowisko / Position ]],0)))</f>
        <v>n/a</v>
      </c>
      <c r="U174" s="315">
        <f>IF(INDEX(tab_MinKomp[Przepisy o podatku VAT / MwSt.- Gesetz],MATCH($B173,tab_MinKomp[[Stanowisko / Position ]:[Stanowisko / Position ]],0))="n/a","n/a",U173-INDEX(tab_MinKomp[Przepisy o podatku VAT / MwSt.- Gesetz],MATCH($B173,tab_MinKomp[[Stanowisko / Position ]:[Stanowisko / Position ]],0)))</f>
        <v>0</v>
      </c>
      <c r="V174" s="315" t="str">
        <f>IF(INDEX(tab_MinKomp[PrzepisyPDOP / geschäftlich Einkommensteuergesetz],MATCH($B173,tab_MinKomp[[Stanowisko / Position ]:[Stanowisko / Position ]],0))="n/a","n/a",V173-INDEX(tab_MinKomp[PrzepisyPDOP / geschäftlich Einkommensteuergesetz],MATCH($B173,tab_MinKomp[[Stanowisko / Position ]:[Stanowisko / Position ]],0)))</f>
        <v>n/a</v>
      </c>
      <c r="W174" s="315">
        <f>IF(INDEX(tab_MinKomp[System BAAN / FINANSE (FIBU)],MATCH($B173,tab_MinKomp[[Stanowisko / Position ]:[Stanowisko / Position ]],0))="n/a","n/a",W173-INDEX(tab_MinKomp[System BAAN / FINANSE (FIBU)],MATCH($B173,tab_MinKomp[[Stanowisko / Position ]:[Stanowisko / Position ]],0)))</f>
        <v>-1</v>
      </c>
      <c r="X174" s="315" t="str">
        <f>IF(INDEX(tab_MinKomp[Systemy pomocnicze / Hilfssysteme(STOCKPROGRAM, KALK2000 etc.)],MATCH($B173,tab_MinKomp[[Stanowisko / Position ]:[Stanowisko / Position ]],0))="n/a","n/a",X173-INDEX(tab_MinKomp[Systemy pomocnicze / Hilfssysteme(STOCKPROGRAM, KALK2000 etc.)],MATCH($B173,tab_MinKomp[[Stanowisko / Position ]:[Stanowisko / Position ]],0)))</f>
        <v>n/a</v>
      </c>
      <c r="Y174" s="315" t="str">
        <f>IF(INDEX(tab_MinKomp[Polityka rachunkowości / Buchführungspolitik],MATCH($B173,tab_MinKomp[[Stanowisko / Position ]:[Stanowisko / Position ]],0))="n/a","n/a",Y173-INDEX(tab_MinKomp[Polityka rachunkowości / Buchführungspolitik],MATCH($B173,tab_MinKomp[[Stanowisko / Position ]:[Stanowisko / Position ]],0)))</f>
        <v>n/a</v>
      </c>
      <c r="Z174" s="315" t="str">
        <f>IF(INDEX(tab_MinKomp[Ustawa o rachunkowości / Rechnungslegungsgesetz],MATCH($B173,tab_MinKomp[[Stanowisko / Position ]:[Stanowisko / Position ]],0))="n/a","n/a",Z173-INDEX(tab_MinKomp[Ustawa o rachunkowości / Rechnungslegungsgesetz],MATCH($B173,tab_MinKomp[[Stanowisko / Position ]:[Stanowisko / Position ]],0)))</f>
        <v>n/a</v>
      </c>
      <c r="AA174" s="315" t="str">
        <f>IF(INDEX(tab_MinKomp[WORKFLOW - TS-100],MATCH($B173,tab_MinKomp[[Stanowisko / Position ]:[Stanowisko / Position ]],0))="n/a","n/a",AA173-INDEX(tab_MinKomp[WORKFLOW - TS-100],MATCH($B173,tab_MinKomp[[Stanowisko / Position ]:[Stanowisko / Position ]],0)))</f>
        <v>n/a</v>
      </c>
      <c r="AB174" s="315">
        <f>IF(INDEX(tab_MinKomp[WORKFLOW - SFMS],MATCH($B173,tab_MinKomp[[Stanowisko / Position ]:[Stanowisko / Position ]],0))="n/a","n/a",AB173-INDEX(tab_MinKomp[WORKFLOW - SFMS],MATCH($B173,tab_MinKomp[[Stanowisko / Position ]:[Stanowisko / Position ]],0)))</f>
        <v>0</v>
      </c>
      <c r="AC174" s="315">
        <f>IF(INDEX(tab_MinKomp[System ISO 9001:2015],MATCH($B173,tab_MinKomp[[Stanowisko / Position ]:[Stanowisko / Position ]],0))="n/a","n/a",AC173-INDEX(tab_MinKomp[System ISO 9001:2015],MATCH($B173,tab_MinKomp[[Stanowisko / Position ]:[Stanowisko / Position ]],0)))</f>
        <v>0</v>
      </c>
      <c r="AD174" s="315">
        <f>IF(INDEX(tab_MinKomp[System IATF 16949:2016],MATCH($B173,tab_MinKomp[[Stanowisko / Position ]:[Stanowisko / Position ]],0))="n/a","n/a",AD173-INDEX(tab_MinKomp[System IATF 16949:2016],MATCH($B173,tab_MinKomp[[Stanowisko / Position ]:[Stanowisko / Position ]],0)))</f>
        <v>0</v>
      </c>
      <c r="AE174" s="315">
        <f>IF(INDEX(tab_MinKomp[System ISO 14001:2015],MATCH($B173,tab_MinKomp[[Stanowisko / Position ]:[Stanowisko / Position ]],0))="n/a","n/a",AE173-INDEX(tab_MinKomp[System ISO 14001:2015],MATCH($B173,tab_MinKomp[[Stanowisko / Position ]:[Stanowisko / Position ]],0)))</f>
        <v>0</v>
      </c>
      <c r="AF174" s="315">
        <f>IF(INDEX(tab_MinKomp[System PN-N 18001:2004 / ISO 45001:2018],MATCH($B173,tab_MinKomp[[Stanowisko / Position ]:[Stanowisko / Position ]],0))="n/a","n/a",AF173-INDEX(tab_MinKomp[System PN-N 18001:2004 / ISO 45001:2018],MATCH($B173,tab_MinKomp[[Stanowisko / Position ]:[Stanowisko / Position ]],0)))</f>
        <v>0</v>
      </c>
      <c r="AG174" s="315">
        <f>IF(INDEX(tab_MinKomp[Wymagania VDA 6.3 Process / Forderungen],MATCH($B173,tab_MinKomp[[Stanowisko / Position ]:[Stanowisko / Position ]],0))="n/a","n/a",AG173-INDEX(tab_MinKomp[Wymagania VDA 6.3 Process / Forderungen],MATCH($B173,tab_MinKomp[[Stanowisko / Position ]:[Stanowisko / Position ]],0)))</f>
        <v>0</v>
      </c>
      <c r="AH174" s="315">
        <f>IF(INDEX(tab_MinKomp[Wymagania VDA 6.5 Product / Forderungen],MATCH($B173,tab_MinKomp[[Stanowisko / Position ]:[Stanowisko / Position ]],0))="n/a","n/a",AH173-INDEX(tab_MinKomp[Wymagania VDA 6.5 Product / Forderungen],MATCH($B173,tab_MinKomp[[Stanowisko / Position ]:[Stanowisko / Position ]],0)))</f>
        <v>0</v>
      </c>
      <c r="AI174" s="315" t="str">
        <f>IF(INDEX(tab_MinKomp[PSCR (VW Product Safety &amp; Conformity Representative)],MATCH($B173,tab_MinKomp[[Stanowisko / Position ]:[Stanowisko / Position ]],0))="n/a","n/a",AI173-INDEX(tab_MinKomp[PSCR (VW Product Safety &amp; Conformity Representative)],MATCH($B173,tab_MinKomp[[Stanowisko / Position ]:[Stanowisko / Position ]],0)))</f>
        <v>n/a</v>
      </c>
      <c r="AJ174" s="315" t="str">
        <f>IF(INDEX(tab_MinKomp[Auditor systemu ISO 17025:2018],MATCH($B173,tab_MinKomp[[Stanowisko / Position ]:[Stanowisko / Position ]],0))="n/a","n/a",AJ173-INDEX(tab_MinKomp[Auditor systemu ISO 17025:2018],MATCH($B173,tab_MinKomp[[Stanowisko / Position ]:[Stanowisko / Position ]],0)))</f>
        <v>n/a</v>
      </c>
      <c r="AK174" s="315" t="str">
        <f>IF(INDEX(tab_MinKomp[Pełnomocnik systemu / Systemvertreter],MATCH($B173,tab_MinKomp[[Stanowisko / Position ]:[Stanowisko / Position ]],0))="n/a","n/a",AK173-INDEX(tab_MinKomp[Pełnomocnik systemu / Systemvertreter],MATCH($B173,tab_MinKomp[[Stanowisko / Position ]:[Stanowisko / Position ]],0)))</f>
        <v>n/a</v>
      </c>
      <c r="AL174" s="315">
        <f>IF(INDEX(tab_MinKomp[Polityka Etyczna - Compliance],MATCH($B173,tab_MinKomp[[Stanowisko / Position ]:[Stanowisko / Position ]],0))="n/a","n/a",AL173-INDEX(tab_MinKomp[Polityka Etyczna - Compliance],MATCH($B173,tab_MinKomp[[Stanowisko / Position ]:[Stanowisko / Position ]],0)))</f>
        <v>0</v>
      </c>
      <c r="AM174" s="315">
        <f>IF(INDEX(tab_MinKomp[WDRAŻANIE NOWYCH PROJEKTÓW/ PROCEDURA CTM],MATCH($B173,tab_MinKomp[[Stanowisko / Position ]:[Stanowisko / Position ]],0))="n/a","n/a",AM173-INDEX(tab_MinKomp[WDRAŻANIE NOWYCH PROJEKTÓW/ PROCEDURA CTM],MATCH($B173,tab_MinKomp[[Stanowisko / Position ]:[Stanowisko / Position ]],0)))</f>
        <v>0</v>
      </c>
      <c r="AN174" s="315">
        <f>IF(INDEX(tab_MinKomp[KAMIENIE MILOWE MSL/PIFF],MATCH($B173,tab_MinKomp[[Stanowisko / Position ]:[Stanowisko / Position ]],0))="n/a","n/a",AN173-INDEX(tab_MinKomp[KAMIENIE MILOWE MSL/PIFF],MATCH($B173,tab_MinKomp[[Stanowisko / Position ]:[Stanowisko / Position ]],0)))</f>
        <v>0</v>
      </c>
      <c r="AO174" s="315" t="str">
        <f>IF(INDEX(tab_MinKomp[CP],MATCH($B173,tab_MinKomp[[Stanowisko / Position ]:[Stanowisko / Position ]],0))="n/a","n/a",AO173-INDEX(tab_MinKomp[CP],MATCH($B173,tab_MinKomp[[Stanowisko / Position ]:[Stanowisko / Position ]],0)))</f>
        <v>n/a</v>
      </c>
      <c r="AP174" s="315">
        <f>IF(INDEX(tab_MinKomp[FMEA],MATCH($B173,tab_MinKomp[[Stanowisko / Position ]:[Stanowisko / Position ]],0))="n/a","n/a",AP173-INDEX(tab_MinKomp[FMEA],MATCH($B173,tab_MinKomp[[Stanowisko / Position ]:[Stanowisko / Position ]],0)))</f>
        <v>0</v>
      </c>
      <c r="AQ174" s="315">
        <f>IF(INDEX(tab_MinKomp[FLOW CHART],MATCH($B173,tab_MinKomp[[Stanowisko / Position ]:[Stanowisko / Position ]],0))="n/a","n/a",AQ173-INDEX(tab_MinKomp[FLOW CHART],MATCH($B173,tab_MinKomp[[Stanowisko / Position ]:[Stanowisko / Position ]],0)))</f>
        <v>0</v>
      </c>
      <c r="AR174" s="315" t="str">
        <f>IF(INDEX(tab_MinKomp[APQP],MATCH($B173,tab_MinKomp[[Stanowisko / Position ]:[Stanowisko / Position ]],0))="n/a","n/a",AR173-INDEX(tab_MinKomp[APQP],MATCH($B173,tab_MinKomp[[Stanowisko / Position ]:[Stanowisko / Position ]],0)))</f>
        <v>n/a</v>
      </c>
      <c r="AS174" s="315" t="str">
        <f>IF(INDEX(tab_MinKomp[MSA],MATCH($B173,tab_MinKomp[[Stanowisko / Position ]:[Stanowisko / Position ]],0))="n/a","n/a",AS173-INDEX(tab_MinKomp[MSA],MATCH($B173,tab_MinKomp[[Stanowisko / Position ]:[Stanowisko / Position ]],0)))</f>
        <v>n/a</v>
      </c>
      <c r="AT174" s="315" t="str">
        <f>IF(INDEX(tab_MinKomp[SPC],MATCH($B173,tab_MinKomp[[Stanowisko / Position ]:[Stanowisko / Position ]],0))="n/a","n/a",AT173-INDEX(tab_MinKomp[SPC],MATCH($B173,tab_MinKomp[[Stanowisko / Position ]:[Stanowisko / Position ]],0)))</f>
        <v>n/a</v>
      </c>
      <c r="AU174" s="315">
        <f>IF(INDEX(tab_MinKomp[CSR (SPECYFICZNE WYMAGANIA KLIENTA)],MATCH($B173,tab_MinKomp[[Stanowisko / Position ]:[Stanowisko / Position ]],0))="n/a","n/a",AU173-INDEX(tab_MinKomp[CSR (SPECYFICZNE WYMAGANIA KLIENTA)],MATCH($B173,tab_MinKomp[[Stanowisko / Position ]:[Stanowisko / Position ]],0)))</f>
        <v>-1</v>
      </c>
      <c r="AV174" s="315">
        <f>IF(INDEX(tab_MinKomp[5S],MATCH($B173,tab_MinKomp[[Stanowisko / Position ]:[Stanowisko / Position ]],0))="n/a","n/a",AV173-INDEX(tab_MinKomp[5S],MATCH($B173,tab_MinKomp[[Stanowisko / Position ]:[Stanowisko / Position ]],0)))</f>
        <v>-1</v>
      </c>
      <c r="AW174" s="315">
        <f>IF(INDEX(tab_MinKomp[LEAN MANAGEMENT],MATCH($B173,tab_MinKomp[[Stanowisko / Position ]:[Stanowisko / Position ]],0))="n/a","n/a",AW173-INDEX(tab_MinKomp[LEAN MANAGEMENT],MATCH($B173,tab_MinKomp[[Stanowisko / Position ]:[Stanowisko / Position ]],0)))</f>
        <v>0</v>
      </c>
      <c r="AX174" s="315">
        <f>IF(INDEX(tab_MinKomp[5R],MATCH($B173,tab_MinKomp[[Stanowisko / Position ]:[Stanowisko / Position ]],0))="n/a","n/a",AX173-INDEX(tab_MinKomp[5R],MATCH($B173,tab_MinKomp[[Stanowisko / Position ]:[Stanowisko / Position ]],0)))</f>
        <v>0</v>
      </c>
      <c r="AY174" s="315" t="str">
        <f>IF(INDEX(tab_MinKomp[Six Sigma],MATCH($B173,tab_MinKomp[[Stanowisko / Position ]:[Stanowisko / Position ]],0))="n/a","n/a",AY173-INDEX(tab_MinKomp[Six Sigma],MATCH($B173,tab_MinKomp[[Stanowisko / Position ]:[Stanowisko / Position ]],0)))</f>
        <v>n/a</v>
      </c>
      <c r="AZ174" s="315">
        <f>IF(INDEX(tab_MinKomp[System BAAN / Distribution &amp; Supply Chain],MATCH($B173,tab_MinKomp[[Stanowisko / Position ]:[Stanowisko / Position ]],0))="n/a","n/a",AZ173-INDEX(tab_MinKomp[System BAAN / Distribution &amp; Supply Chain],MATCH($B173,tab_MinKomp[[Stanowisko / Position ]:[Stanowisko / Position ]],0)))</f>
        <v>0</v>
      </c>
      <c r="BA174" s="315">
        <f>IF(INDEX(tab_MinKomp[Gospodarka magazynowa / Lagerverwaltung],MATCH($B173,tab_MinKomp[[Stanowisko / Position ]:[Stanowisko / Position ]],0))="n/a","n/a",BA173-INDEX(tab_MinKomp[Gospodarka magazynowa / Lagerverwaltung],MATCH($B173,tab_MinKomp[[Stanowisko / Position ]:[Stanowisko / Position ]],0)))</f>
        <v>0</v>
      </c>
      <c r="BB174" s="315">
        <f>IF(INDEX(tab_MinKomp[Inwentaryzacja - organizacja i przebieg / Inventurprozess],MATCH($B173,tab_MinKomp[[Stanowisko / Position ]:[Stanowisko / Position ]],0))="n/a","n/a",BB173-INDEX(tab_MinKomp[Inwentaryzacja - organizacja i przebieg / Inventurprozess],MATCH($B173,tab_MinKomp[[Stanowisko / Position ]:[Stanowisko / Position ]],0)))</f>
        <v>0</v>
      </c>
      <c r="BC174" s="315">
        <f>IF(INDEX(tab_MinKomp[Organizacja dostaw / Versorgungsorganisation],MATCH($B173,tab_MinKomp[[Stanowisko / Position ]:[Stanowisko / Position ]],0))="n/a","n/a",BC173-INDEX(tab_MinKomp[Organizacja dostaw / Versorgungsorganisation],MATCH($B173,tab_MinKomp[[Stanowisko / Position ]:[Stanowisko / Position ]],0)))</f>
        <v>0</v>
      </c>
      <c r="BD174" s="315">
        <f>IF(INDEX(tab_MinKomp[Organizacja wysyłek / Organisation von Lieferungen],MATCH($B173,tab_MinKomp[[Stanowisko / Position ]:[Stanowisko / Position ]],0))="n/a","n/a",BD173-INDEX(tab_MinKomp[Organizacja wysyłek / Organisation von Lieferungen],MATCH($B173,tab_MinKomp[[Stanowisko / Position ]:[Stanowisko / Position ]],0)))</f>
        <v>0</v>
      </c>
      <c r="BE174" s="315">
        <f>IF(INDEX(tab_MinKomp[Analiza magazynowa - Program Polen.mdb / Inventuranalyse],MATCH($B173,tab_MinKomp[[Stanowisko / Position ]:[Stanowisko / Position ]],0))="n/a","n/a",BE173-INDEX(tab_MinKomp[Analiza magazynowa - Program Polen.mdb / Inventuranalyse],MATCH($B173,tab_MinKomp[[Stanowisko / Position ]:[Stanowisko / Position ]],0)))</f>
        <v>1</v>
      </c>
      <c r="BF174" s="315">
        <f>IF(INDEX(tab_MinKomp[MMOG (Materials Management Operations Guidelines)],MATCH($B173,tab_MinKomp[[Stanowisko / Position ]:[Stanowisko / Position ]],0))="n/a","n/a",BF173-INDEX(tab_MinKomp[MMOG (Materials Management Operations Guidelines)],MATCH($B173,tab_MinKomp[[Stanowisko / Position ]:[Stanowisko / Position ]],0)))</f>
        <v>-1</v>
      </c>
      <c r="BG174" s="315">
        <f>IF(INDEX(tab_MinKomp[GPP],MATCH($B173,tab_MinKomp[[Stanowisko / Position ]:[Stanowisko / Position ]],0))="n/a","n/a",BG173-INDEX(tab_MinKomp[GPP],MATCH($B173,tab_MinKomp[[Stanowisko / Position ]:[Stanowisko / Position ]],0)))</f>
        <v>0</v>
      </c>
      <c r="BH174" s="315">
        <f>IF(INDEX(tab_MinKomp[AIAG (Automotive Industry Action Group)],MATCH($B173,tab_MinKomp[[Stanowisko / Position ]:[Stanowisko / Position ]],0))="n/a","n/a",BH173-INDEX(tab_MinKomp[AIAG (Automotive Industry Action Group)],MATCH($B173,tab_MinKomp[[Stanowisko / Position ]:[Stanowisko / Position ]],0)))</f>
        <v>-1</v>
      </c>
      <c r="BI174" s="315">
        <f>IF(INDEX(tab_MinKomp[Super-G disputes],MATCH($B173,tab_MinKomp[[Stanowisko / Position ]:[Stanowisko / Position ]],0))="n/a","n/a",BI173-INDEX(tab_MinKomp[Super-G disputes],MATCH($B173,tab_MinKomp[[Stanowisko / Position ]:[Stanowisko / Position ]],0)))</f>
        <v>-1</v>
      </c>
      <c r="BJ174" s="315">
        <f>IF(INDEX(tab_MinKomp[CMMS3/eDDL (Direct Data Link)],MATCH($B173,tab_MinKomp[[Stanowisko / Position ]:[Stanowisko / Position ]],0))="n/a","n/a",BJ173-INDEX(tab_MinKomp[CMMS3/eDDL (Direct Data Link)],MATCH($B173,tab_MinKomp[[Stanowisko / Position ]:[Stanowisko / Position ]],0)))</f>
        <v>0</v>
      </c>
      <c r="BK174" s="315">
        <f>IF(INDEX(tab_MinKomp[MP&amp;L (Material Planning and Logistics)],MATCH($B173,tab_MinKomp[[Stanowisko / Position ]:[Stanowisko / Position ]],0))="n/a","n/a",BK173-INDEX(tab_MinKomp[MP&amp;L (Material Planning and Logistics)],MATCH($B173,tab_MinKomp[[Stanowisko / Position ]:[Stanowisko / Position ]],0)))</f>
        <v>1</v>
      </c>
      <c r="BL174" s="315">
        <f>IF(INDEX(tab_MinKomp[Supplier delivery rating],MATCH($B173,tab_MinKomp[[Stanowisko / Position ]:[Stanowisko / Position ]],0))="n/a","n/a",BL173-INDEX(tab_MinKomp[Supplier delivery rating],MATCH($B173,tab_MinKomp[[Stanowisko / Position ]:[Stanowisko / Position ]],0)))</f>
        <v>0</v>
      </c>
      <c r="BM174" s="315" t="str">
        <f>IF(INDEX(tab_MinKomp[Planowanie produkcji / Produktionsplanung],MATCH($B173,tab_MinKomp[[Stanowisko / Position ]:[Stanowisko / Position ]],0))="n/a","n/a",BM173-INDEX(tab_MinKomp[Planowanie produkcji / Produktionsplanung],MATCH($B173,tab_MinKomp[[Stanowisko / Position ]:[Stanowisko / Position ]],0)))</f>
        <v>n/a</v>
      </c>
      <c r="BN174" s="315" t="str">
        <f>IF(INDEX(tab_MinKomp[Obsługa maszyn Engel / Engel Maschinenbedienung],MATCH($B173,tab_MinKomp[[Stanowisko / Position ]:[Stanowisko / Position ]],0))="n/a","n/a",BN173-INDEX(tab_MinKomp[Obsługa maszyn Engel / Engel Maschinenbedienung],MATCH($B173,tab_MinKomp[[Stanowisko / Position ]:[Stanowisko / Position ]],0)))</f>
        <v>n/a</v>
      </c>
      <c r="BO174" s="315" t="str">
        <f>IF(INDEX(tab_MinKomp[Obsługa maszyn Novapax / Novapax Maschinenbedienung],MATCH($B173,tab_MinKomp[[Stanowisko / Position ]:[Stanowisko / Position ]],0))="n/a","n/a",BO173-INDEX(tab_MinKomp[Obsługa maszyn Novapax / Novapax Maschinenbedienung],MATCH($B173,tab_MinKomp[[Stanowisko / Position ]:[Stanowisko / Position ]],0)))</f>
        <v>n/a</v>
      </c>
      <c r="BP174" s="315" t="str">
        <f>IF(INDEX(tab_MinKomp[Obsługa maszyn KVT / KVT Maschinenbedienung],MATCH($B173,tab_MinKomp[[Stanowisko / Position ]:[Stanowisko / Position ]],0))="n/a","n/a",BP173-INDEX(tab_MinKomp[Obsługa maszyn KVT / KVT Maschinenbedienung],MATCH($B173,tab_MinKomp[[Stanowisko / Position ]:[Stanowisko / Position ]],0)))</f>
        <v>n/a</v>
      </c>
      <c r="BQ174" s="315" t="str">
        <f>IF(INDEX(tab_MinKomp[Obsługa maszyn ASL / ASL Maschinenbedienung],MATCH($B173,tab_MinKomp[[Stanowisko / Position ]:[Stanowisko / Position ]],0))="n/a","n/a",BQ173-INDEX(tab_MinKomp[Obsługa maszyn ASL / ASL Maschinenbedienung],MATCH($B173,tab_MinKomp[[Stanowisko / Position ]:[Stanowisko / Position ]],0)))</f>
        <v>n/a</v>
      </c>
      <c r="BR174" s="315" t="str">
        <f>IF(INDEX(tab_MinKomp[Obsługa maszyn Branson / Branson Maschinenbedienung],MATCH($B173,tab_MinKomp[[Stanowisko / Position ]:[Stanowisko / Position ]],0))="n/a","n/a",BR173-INDEX(tab_MinKomp[Obsługa maszyn Branson / Branson Maschinenbedienung],MATCH($B173,tab_MinKomp[[Stanowisko / Position ]:[Stanowisko / Position ]],0)))</f>
        <v>n/a</v>
      </c>
      <c r="BS174" s="315" t="str">
        <f>IF(INDEX(tab_MinKomp[Obsługa maszyn Kamtec / Kamtec Maschinenbedienung],MATCH($B173,tab_MinKomp[[Stanowisko / Position ]:[Stanowisko / Position ]],0))="n/a","n/a",BS173-INDEX(tab_MinKomp[Obsługa maszyn Kamtec / Kamtec Maschinenbedienung],MATCH($B173,tab_MinKomp[[Stanowisko / Position ]:[Stanowisko / Position ]],0)))</f>
        <v>n/a</v>
      </c>
      <c r="BT174" s="315" t="str">
        <f>IF(INDEX(tab_MinKomp[Obsługa maszyn Piovan / Piovan Maschinenbedienung],MATCH($B173,tab_MinKomp[[Stanowisko / Position ]:[Stanowisko / Position ]],0))="n/a","n/a",BT173-INDEX(tab_MinKomp[Obsługa maszyn Piovan / Piovan Maschinenbedienung],MATCH($B173,tab_MinKomp[[Stanowisko / Position ]:[Stanowisko / Position ]],0)))</f>
        <v>n/a</v>
      </c>
      <c r="BU174" s="315" t="str">
        <f>IF(INDEX(tab_MinKomp[Obsługa maszyn REP / REP Maschinenbedienung],MATCH($B173,tab_MinKomp[[Stanowisko / Position ]:[Stanowisko / Position ]],0))="n/a","n/a",BU173-INDEX(tab_MinKomp[Obsługa maszyn REP / REP Maschinenbedienung],MATCH($B173,tab_MinKomp[[Stanowisko / Position ]:[Stanowisko / Position ]],0)))</f>
        <v>n/a</v>
      </c>
      <c r="BV174" s="315" t="str">
        <f>IF(INDEX(tab_MinKomp[Eliminacja awarii / Beseitigung von Ausfällen],MATCH($B173,tab_MinKomp[[Stanowisko / Position ]:[Stanowisko / Position ]],0))="n/a","n/a",BV173-INDEX(tab_MinKomp[Eliminacja awarii / Beseitigung von Ausfällen],MATCH($B173,tab_MinKomp[[Stanowisko / Position ]:[Stanowisko / Position ]],0)))</f>
        <v>n/a</v>
      </c>
      <c r="BW174" s="315" t="str">
        <f>IF(INDEX(tab_MinKomp[Informatyka ogólna (techniczne i systemowe) / Allgemeine IT (Technik und System)],MATCH($B173,tab_MinKomp[[Stanowisko / Position ]:[Stanowisko / Position ]],0))="n/a","n/a",BW173-INDEX(tab_MinKomp[Informatyka ogólna (techniczne i systemowe) / Allgemeine IT (Technik und System)],MATCH($B173,tab_MinKomp[[Stanowisko / Position ]:[Stanowisko / Position ]],0)))</f>
        <v>n/a</v>
      </c>
      <c r="BX174" s="315" t="str">
        <f>IF(INDEX(tab_MinKomp[Sieci komputerowe / Computernetzwerke],MATCH($B173,tab_MinKomp[[Stanowisko / Position ]:[Stanowisko / Position ]],0))="n/a","n/a",BX173-INDEX(tab_MinKomp[Sieci komputerowe / Computernetzwerke],MATCH($B173,tab_MinKomp[[Stanowisko / Position ]:[Stanowisko / Position ]],0)))</f>
        <v>n/a</v>
      </c>
      <c r="BY174" s="315" t="str">
        <f>IF(INDEX(tab_MinKomp[Hardware (komputery PC, drukarki biurowe i etykietowe, telefonia stacjonarna i mobilna) (PC, Drucker, Telefpne, Handys)],MATCH($B173,tab_MinKomp[[Stanowisko / Position ]:[Stanowisko / Position ]],0))="n/a","n/a",BY173-INDEX(tab_MinKomp[Hardware (komputery PC, drukarki biurowe i etykietowe, telefonia stacjonarna i mobilna) (PC, Drucker, Telefpne, Handys)],MATCH($B173,tab_MinKomp[[Stanowisko / Position ]:[Stanowisko / Position ]],0)))</f>
        <v>n/a</v>
      </c>
      <c r="BZ174" s="315" t="str">
        <f>IF(INDEX(tab_MinKomp[Software &amp; Systems (MS Office, MS Remote Desktop)],MATCH($B173,tab_MinKomp[[Stanowisko / Position ]:[Stanowisko / Position ]],0))="n/a","n/a",BZ173-INDEX(tab_MinKomp[Software &amp; Systems (MS Office, MS Remote Desktop)],MATCH($B173,tab_MinKomp[[Stanowisko / Position ]:[Stanowisko / Position ]],0)))</f>
        <v>n/a</v>
      </c>
      <c r="CA174" s="315" t="str">
        <f>IF(INDEX(tab_MinKomp[Programowanie obiektowe (PHP) / Objektprogrammierung],MATCH($B173,tab_MinKomp[[Stanowisko / Position ]:[Stanowisko / Position ]],0))="n/a","n/a",CA173-INDEX(tab_MinKomp[Programowanie obiektowe (PHP) / Objektprogrammierung],MATCH($B173,tab_MinKomp[[Stanowisko / Position ]:[Stanowisko / Position ]],0)))</f>
        <v>n/a</v>
      </c>
      <c r="CB174" s="315" t="str">
        <f>IF(INDEX(tab_MinKomp[Scrum],MATCH($B173,tab_MinKomp[[Stanowisko / Position ]:[Stanowisko / Position ]],0))="n/a","n/a",CB173-INDEX(tab_MinKomp[Scrum],MATCH($B173,tab_MinKomp[[Stanowisko / Position ]:[Stanowisko / Position ]],0)))</f>
        <v>n/a</v>
      </c>
      <c r="CC174" s="315" t="str">
        <f>IF(INDEX(tab_MinKomp[SQL (MySQL)],MATCH($B173,tab_MinKomp[[Stanowisko / Position ]:[Stanowisko / Position ]],0))="n/a","n/a",CC173-INDEX(tab_MinKomp[SQL (MySQL)],MATCH($B173,tab_MinKomp[[Stanowisko / Position ]:[Stanowisko / Position ]],0)))</f>
        <v>n/a</v>
      </c>
      <c r="CD174" s="315" t="str">
        <f>IF(INDEX(tab_MinKomp[Javascript],MATCH($B173,tab_MinKomp[[Stanowisko / Position ]:[Stanowisko / Position ]],0))="n/a","n/a",CD173-INDEX(tab_MinKomp[Javascript],MATCH($B173,tab_MinKomp[[Stanowisko / Position ]:[Stanowisko / Position ]],0)))</f>
        <v>n/a</v>
      </c>
      <c r="CE174" s="315" t="str">
        <f>IF(INDEX(tab_MinKomp[Joomla],MATCH($B173,tab_MinKomp[[Stanowisko / Position ]:[Stanowisko / Position ]],0))="n/a","n/a",CE173-INDEX(tab_MinKomp[Joomla],MATCH($B173,tab_MinKomp[[Stanowisko / Position ]:[Stanowisko / Position ]],0)))</f>
        <v>n/a</v>
      </c>
      <c r="CF174" s="315" t="str">
        <f>IF(INDEX(tab_MinKomp[Bash],MATCH($B173,tab_MinKomp[[Stanowisko / Position ]:[Stanowisko / Position ]],0))="n/a","n/a",CF173-INDEX(tab_MinKomp[Bash],MATCH($B173,tab_MinKomp[[Stanowisko / Position ]:[Stanowisko / Position ]],0)))</f>
        <v>n/a</v>
      </c>
      <c r="CG174" s="315" t="str">
        <f>IF(INDEX(tab_MinKomp[Systemy MES (HYDRA / SFMS)],MATCH($B173,tab_MinKomp[[Stanowisko / Position ]:[Stanowisko / Position ]],0))="n/a","n/a",CG173-INDEX(tab_MinKomp[Systemy MES (HYDRA / SFMS)],MATCH($B173,tab_MinKomp[[Stanowisko / Position ]:[Stanowisko / Position ]],0)))</f>
        <v>n/a</v>
      </c>
      <c r="CH174" s="315" t="str">
        <f>IF(INDEX(tab_MinKomp[HTML / CSS],MATCH($B173,tab_MinKomp[[Stanowisko / Position ]:[Stanowisko / Position ]],0))="n/a","n/a",CH173-INDEX(tab_MinKomp[HTML / CSS],MATCH($B173,tab_MinKomp[[Stanowisko / Position ]:[Stanowisko / Position ]],0)))</f>
        <v>n/a</v>
      </c>
      <c r="CI174" s="315" t="str">
        <f>IF(INDEX(tab_MinKomp[Joomla],MATCH($B173,tab_MinKomp[[Stanowisko / Position ]:[Stanowisko / Position ]],0))="n/a","n/a",CI173-INDEX(tab_MinKomp[Joomla],MATCH($B173,tab_MinKomp[[Stanowisko / Position ]:[Stanowisko / Position ]],0)))</f>
        <v>n/a</v>
      </c>
      <c r="CJ174" s="315" t="str">
        <f>IF(INDEX(tab_MinKomp[Bash],MATCH($B173,tab_MinKomp[[Stanowisko / Position ]:[Stanowisko / Position ]],0))="n/a","n/a",CJ173-INDEX(tab_MinKomp[Bash],MATCH($B173,tab_MinKomp[[Stanowisko / Position ]:[Stanowisko / Position ]],0)))</f>
        <v>n/a</v>
      </c>
      <c r="CK174" s="315" t="str">
        <f>IF(INDEX(tab_MinKomp[Systemy MES (HYDRA / SFMS)],MATCH($B173,tab_MinKomp[[Stanowisko / Position ]:[Stanowisko / Position ]],0))="n/a","n/a",CK173-INDEX(tab_MinKomp[Systemy MES (HYDRA / SFMS)],MATCH($B173,tab_MinKomp[[Stanowisko / Position ]:[Stanowisko / Position ]],0)))</f>
        <v>n/a</v>
      </c>
      <c r="CL174" s="315" t="str">
        <f>IF(INDEX(tab_MinKomp[HTML / CSS],MATCH($B173,tab_MinKomp[[Stanowisko / Position ]:[Stanowisko / Position ]],0))="n/a","n/a",CL173-INDEX(tab_MinKomp[HTML / CSS],MATCH($B173,tab_MinKomp[[Stanowisko / Position ]:[Stanowisko / Position ]],0)))</f>
        <v>n/a</v>
      </c>
      <c r="CM174" s="315" t="str">
        <f>IF(INDEX(tab_MinKomp[Joomla],MATCH($B173,tab_MinKomp[[Stanowisko / Position ]:[Stanowisko / Position ]],0))="n/a","n/a",CM173-INDEX(tab_MinKomp[Joomla],MATCH($B173,tab_MinKomp[[Stanowisko / Position ]:[Stanowisko / Position ]],0)))</f>
        <v>n/a</v>
      </c>
      <c r="CN174" s="315" t="str">
        <f>IF(INDEX(tab_MinKomp[Bash],MATCH($B173,tab_MinKomp[[Stanowisko / Position ]:[Stanowisko / Position ]],0))="n/a","n/a",CN173-INDEX(tab_MinKomp[Bash],MATCH($B173,tab_MinKomp[[Stanowisko / Position ]:[Stanowisko / Position ]],0)))</f>
        <v>n/a</v>
      </c>
      <c r="CO174" s="315" t="str">
        <f>IF(INDEX(tab_MinKomp[Systemy MES (HYDRA / SFMS)],MATCH($B173,tab_MinKomp[[Stanowisko / Position ]:[Stanowisko / Position ]],0))="n/a","n/a",CO173-INDEX(tab_MinKomp[Systemy MES (HYDRA / SFMS)],MATCH($B173,tab_MinKomp[[Stanowisko / Position ]:[Stanowisko / Position ]],0)))</f>
        <v>n/a</v>
      </c>
      <c r="CP174" s="315" t="str">
        <f>IF(INDEX(tab_MinKomp[HTML / CSS],MATCH($B173,tab_MinKomp[[Stanowisko / Position ]:[Stanowisko / Position ]],0))="n/a","n/a",CP173-INDEX(tab_MinKomp[HTML / CSS],MATCH($B173,tab_MinKomp[[Stanowisko / Position ]:[Stanowisko / Position ]],0)))</f>
        <v>n/a</v>
      </c>
      <c r="CQ174" s="315" t="str">
        <f>IF(INDEX(tab_MinKomp[Bash],MATCH($B173,tab_MinKomp[[Stanowisko / Position ]:[Stanowisko / Position ]],0))="n/a","n/a",CQ173-INDEX(tab_MinKomp[Bash],MATCH($B173,tab_MinKomp[[Stanowisko / Position ]:[Stanowisko / Position ]],0)))</f>
        <v>n/a</v>
      </c>
      <c r="CR174" s="315" t="str">
        <f>IF(INDEX(tab_MinKomp[Systemy MES (HYDRA / SFMS)],MATCH($B173,tab_MinKomp[[Stanowisko / Position ]:[Stanowisko / Position ]],0))="n/a","n/a",CR173-INDEX(tab_MinKomp[Systemy MES (HYDRA / SFMS)],MATCH($B173,tab_MinKomp[[Stanowisko / Position ]:[Stanowisko / Position ]],0)))</f>
        <v>n/a</v>
      </c>
      <c r="CS174" s="315" t="str">
        <f>IF(INDEX(tab_MinKomp[HTML / CSS],MATCH($B173,tab_MinKomp[[Stanowisko / Position ]:[Stanowisko / Position ]],0))="n/a","n/a",CS173-INDEX(tab_MinKomp[HTML / CSS],MATCH($B173,tab_MinKomp[[Stanowisko / Position ]:[Stanowisko / Position ]],0)))</f>
        <v>n/a</v>
      </c>
      <c r="CT174" s="315">
        <f>IF(INDEX(tab_MinKomp[Obsługa systemu BABTECQ / BABTECQ System],MATCH($B173,tab_MinKomp[[Stanowisko / Position ]:[Stanowisko / Position ]],0))="n/a","n/a",CT173-INDEX(tab_MinKomp[Obsługa systemu BABTECQ / BABTECQ System],MATCH($B173,tab_MinKomp[[Stanowisko / Position ]:[Stanowisko / Position ]],0)))</f>
        <v>0</v>
      </c>
      <c r="CU174" s="315" t="str">
        <f>IF(INDEX(tab_MinKomp[Rekwalifikacja / Requalifizierung],MATCH($B173,tab_MinKomp[[Stanowisko / Position ]:[Stanowisko / Position ]],0))="n/a","n/a",CU173-INDEX(tab_MinKomp[Rekwalifikacja / Requalifizierung],MATCH($B173,tab_MinKomp[[Stanowisko / Position ]:[Stanowisko / Position ]],0)))</f>
        <v>n/a</v>
      </c>
      <c r="CV174" s="315" t="s">
        <v>176</v>
      </c>
      <c r="CW174" s="315" t="s">
        <v>176</v>
      </c>
      <c r="CX174" s="315" t="s">
        <v>176</v>
      </c>
      <c r="CY174" s="318" t="str">
        <f>IFERROR(IF(INDEX(tab_MinKomp[BRAK / Keine],MATCH($B173,tab_MinKomp[[Stanowisko / Position ]:[Stanowisko / Position ]],0))="n/a","n/a",INDEX(tab_MinKomp[BRAK / Keine],MATCH($B173,tab_MinKomp[[Stanowisko / Position ]:[Stanowisko / Position ]],0))-CY173),"")</f>
        <v>n/a</v>
      </c>
      <c r="CZ174" s="315" t="s">
        <v>176</v>
      </c>
      <c r="DA174" s="315" t="s">
        <v>176</v>
      </c>
      <c r="DB174" s="315" t="s">
        <v>176</v>
      </c>
      <c r="DC174" s="318" t="str">
        <f>IFERROR(IF(INDEX(tab_MinKomp[BRAK / Keine],MATCH($B173,tab_MinKomp[[Stanowisko / Position ]:[Stanowisko / Position ]],0))="n/a","n/a",INDEX(tab_MinKomp[BRAK / Keine],MATCH($B173,tab_MinKomp[[Stanowisko / Position ]:[Stanowisko / Position ]],0))-DC173),"")</f>
        <v>n/a</v>
      </c>
      <c r="DD174" s="315" t="s">
        <v>176</v>
      </c>
      <c r="DE174" s="315" t="s">
        <v>176</v>
      </c>
      <c r="DF174" s="315" t="s">
        <v>176</v>
      </c>
      <c r="DG174" s="315" t="s">
        <v>176</v>
      </c>
      <c r="DH174" s="315" t="s">
        <v>176</v>
      </c>
      <c r="DI174" s="315" t="s">
        <v>176</v>
      </c>
      <c r="DJ174" s="315" t="s">
        <v>176</v>
      </c>
      <c r="DK174" s="315" t="s">
        <v>176</v>
      </c>
      <c r="DL174" s="315" t="s">
        <v>176</v>
      </c>
      <c r="DM174" s="315" t="s">
        <v>176</v>
      </c>
      <c r="DN174" s="315" t="s">
        <v>176</v>
      </c>
      <c r="DO174" s="315" t="s">
        <v>176</v>
      </c>
      <c r="DP174" s="315" t="str">
        <f>IF(INDEX(tab_MinKomp[Rekwalifikacja / Requalifizierung],MATCH($B173,tab_MinKomp[[Stanowisko / Position ]:[Stanowisko / Position ]],0))="n/a","n/a",DP173-INDEX(tab_MinKomp[Rekwalifikacja / Requalifizierung],MATCH($B173,tab_MinKomp[[Stanowisko / Position ]:[Stanowisko / Position ]],0)))</f>
        <v>n/a</v>
      </c>
      <c r="DQ174" s="315" t="s">
        <v>176</v>
      </c>
      <c r="DR174" s="315" t="s">
        <v>176</v>
      </c>
      <c r="DS174" s="315" t="s">
        <v>176</v>
      </c>
      <c r="DT174" s="318" t="str">
        <f>IFERROR(IF(INDEX(tab_MinKomp[BRAK / Keine],MATCH($B173,tab_MinKomp[[Stanowisko / Position ]:[Stanowisko / Position ]],0))="n/a","n/a",INDEX(tab_MinKomp[BRAK / Keine],MATCH($B173,tab_MinKomp[[Stanowisko / Position ]:[Stanowisko / Position ]],0))-DT173),"")</f>
        <v>n/a</v>
      </c>
      <c r="DU174" s="315" t="s">
        <v>176</v>
      </c>
      <c r="DV174" s="315" t="s">
        <v>176</v>
      </c>
      <c r="DW174" s="315" t="s">
        <v>176</v>
      </c>
      <c r="DX174" s="318" t="str">
        <f>IFERROR(IF(INDEX(tab_MinKomp[BRAK / Keine],MATCH($B173,tab_MinKomp[[Stanowisko / Position ]:[Stanowisko / Position ]],0))="n/a","n/a",INDEX(tab_MinKomp[BRAK / Keine],MATCH($B173,tab_MinKomp[[Stanowisko / Position ]:[Stanowisko / Position ]],0))-DX173),"")</f>
        <v>n/a</v>
      </c>
      <c r="DY174" s="315" t="s">
        <v>176</v>
      </c>
      <c r="DZ174" s="315" t="s">
        <v>176</v>
      </c>
      <c r="EA174" s="315" t="s">
        <v>176</v>
      </c>
      <c r="EB174" s="315" t="s">
        <v>176</v>
      </c>
      <c r="EC174" s="315" t="s">
        <v>176</v>
      </c>
      <c r="ED174" s="315" t="s">
        <v>176</v>
      </c>
      <c r="EE174" s="315" t="s">
        <v>176</v>
      </c>
      <c r="EF174" s="315" t="s">
        <v>176</v>
      </c>
      <c r="EG174" s="315" t="s">
        <v>176</v>
      </c>
      <c r="EH174" s="315" t="s">
        <v>176</v>
      </c>
      <c r="EI174" s="315" t="s">
        <v>176</v>
      </c>
      <c r="EJ174" s="315" t="s">
        <v>176</v>
      </c>
      <c r="EK174" s="315" t="str">
        <f>IF(INDEX(tab_MinKomp[Usuwanie awarii],MATCH($B173,tab_MinKomp[[Stanowisko / Position ]:[Stanowisko / Position ]],0))="n/a","n/a",EK173-INDEX(tab_MinKomp[Usuwanie awarii],MATCH($B173,tab_MinKomp[[Stanowisko / Position ]:[Stanowisko / Position ]],0)))</f>
        <v>n/a</v>
      </c>
      <c r="EL174" s="315" t="str">
        <f>IF(INDEX(tab_MinKomp[Obsługa robotów],MATCH($B173,tab_MinKomp[[Stanowisko / Position ]:[Stanowisko / Position ]],0))="n/a","n/a",EL173-INDEX(tab_MinKomp[Obsługa robotów],MATCH($B173,tab_MinKomp[[Stanowisko / Position ]:[Stanowisko / Position ]],0)))</f>
        <v>n/a</v>
      </c>
      <c r="EM174" s="315" t="str">
        <f>IF(INDEX(tab_MinKomp[Obsługa sterowania maszyny],MATCH($B173,tab_MinKomp[[Stanowisko / Position ]:[Stanowisko / Position ]],0))="n/a","n/a",EM173-INDEX(tab_MinKomp[Obsługa sterowania maszyny],MATCH($B173,tab_MinKomp[[Stanowisko / Position ]:[Stanowisko / Position ]],0)))</f>
        <v>n/a</v>
      </c>
      <c r="EN174" s="315" t="str">
        <f>IF(INDEX(tab_MinKomp[Usuwanie przyczyn żródłowych],MATCH($B173,tab_MinKomp[[Stanowisko / Position ]:[Stanowisko / Position ]],0))="n/a","n/a",EN173-INDEX(tab_MinKomp[Usuwanie przyczyn żródłowych],MATCH($B173,tab_MinKomp[[Stanowisko / Position ]:[Stanowisko / Position ]],0)))</f>
        <v>n/a</v>
      </c>
      <c r="EO174" s="315" t="str">
        <f>IF(INDEX(tab_MinKomp[Cmms stosowanie],MATCH($B173,tab_MinKomp[[Stanowisko / Position ]:[Stanowisko / Position ]],0))="n/a","n/a",EO173-INDEX(tab_MinKomp[Cmms stosowanie],MATCH($B173,tab_MinKomp[[Stanowisko / Position ]:[Stanowisko / Position ]],0)))</f>
        <v>n/a</v>
      </c>
      <c r="EP174" s="315" t="str">
        <f>IF(INDEX(tab_MinKomp[[Czyszczenie form gumowych ]],MATCH($B173,tab_MinKomp[[Stanowisko / Position ]:[Stanowisko / Position ]],0))="n/a","n/a",EP173-INDEX(tab_MinKomp[[Czyszczenie form gumowych ]],MATCH($B173,tab_MinKomp[[Stanowisko / Position ]:[Stanowisko / Position ]],0)))</f>
        <v>n/a</v>
      </c>
      <c r="EQ174" s="315" t="str">
        <f>IF(INDEX(tab_MinKomp[Czyszczenie form plastikowych],MATCH($B173,tab_MinKomp[[Stanowisko / Position ]:[Stanowisko / Position ]],0))="n/a","n/a",EQ173-INDEX(tab_MinKomp[Czyszczenie form plastikowych],MATCH($B173,tab_MinKomp[[Stanowisko / Position ]:[Stanowisko / Position ]],0)))</f>
        <v>n/a</v>
      </c>
      <c r="ER174" s="315" t="str">
        <f>IF(INDEX(tab_MinKomp[Wymiana form plastik],MATCH($B173,tab_MinKomp[[Stanowisko / Position ]:[Stanowisko / Position ]],0))="n/a","n/a",ER173-INDEX(tab_MinKomp[Wymiana form plastik],MATCH($B173,tab_MinKomp[[Stanowisko / Position ]:[Stanowisko / Position ]],0)))</f>
        <v>n/a</v>
      </c>
      <c r="ES174" s="315" t="str">
        <f>IF(INDEX(tab_MinKomp[Wymiana form guma],MATCH($B173,tab_MinKomp[[Stanowisko / Position ]:[Stanowisko / Position ]],0))="n/a","n/a",ES173-INDEX(tab_MinKomp[Wymiana form guma],MATCH($B173,tab_MinKomp[[Stanowisko / Position ]:[Stanowisko / Position ]],0)))</f>
        <v>n/a</v>
      </c>
      <c r="ET174" s="315" t="str">
        <f>IF(INDEX(tab_MinKomp[Konserwacja KK],MATCH($B173,tab_MinKomp[[Stanowisko / Position ]:[Stanowisko / Position ]],0))="n/a","n/a",ET173-INDEX(tab_MinKomp[Konserwacja KK],MATCH($B173,tab_MinKomp[[Stanowisko / Position ]:[Stanowisko / Position ]],0)))</f>
        <v>n/a</v>
      </c>
      <c r="EU174" s="315" t="str">
        <f>IF(INDEX(tab_MinKomp[Konserwacja form guma],MATCH($B173,tab_MinKomp[[Stanowisko / Position ]:[Stanowisko / Position ]],0))="n/a","n/a",EU173-INDEX(tab_MinKomp[Konserwacja form guma],MATCH($B173,tab_MinKomp[[Stanowisko / Position ]:[Stanowisko / Position ]],0)))</f>
        <v>n/a</v>
      </c>
      <c r="EV174" s="315" t="str">
        <f>IF(INDEX(tab_MinKomp[Konserwacja form plastiki],MATCH($B173,tab_MinKomp[[Stanowisko / Position ]:[Stanowisko / Position ]],0))="n/a","n/a",EV173-INDEX(tab_MinKomp[Konserwacja form plastiki],MATCH($B173,tab_MinKomp[[Stanowisko / Position ]:[Stanowisko / Position ]],0)))</f>
        <v>n/a</v>
      </c>
      <c r="EW174" s="330" t="str">
        <f>IF(INDEX(tab_MinKomp[Konserwacja form plastiki],MATCH($B173,tab_MinKomp[[Stanowisko / Position ]:[Stanowisko / Position ]],0))="n/a","n/a",EW173-INDEX(tab_MinKomp[Konserwacja form plastiki],MATCH($B173,tab_MinKomp[[Stanowisko / Position ]:[Stanowisko / Position ]],0)))</f>
        <v>n/a</v>
      </c>
      <c r="EX174" s="315" t="str">
        <f>IF(INDEX(tab_MinKomp[Konserwacja Gorącego Kanału],MATCH($B173,tab_MinKomp[[Stanowisko / Position ]:[Stanowisko / Position ]],0))="n/a","n/a",EX173-INDEX(tab_MinKomp[Konserwacja Gorącego Kanału],MATCH($B173,tab_MinKomp[[Stanowisko / Position ]:[Stanowisko / Position ]],0)))</f>
        <v>n/a</v>
      </c>
      <c r="EY174" s="315">
        <f>IF(INDEX(tab_MinKomp[MS Office (Excel)],MATCH($B173,tab_MinKomp[[Stanowisko / Position ]:[Stanowisko / Position ]],0))="n/a","n/a",EY173-INDEX(tab_MinKomp[MS Office (Excel)],MATCH($B173,tab_MinKomp[[Stanowisko / Position ]:[Stanowisko / Position ]],0)))</f>
        <v>1</v>
      </c>
      <c r="EZ174" s="315">
        <f>IF(INDEX(tab_MinKomp[MS Office (Word)],MATCH($B173,tab_MinKomp[[Stanowisko / Position ]:[Stanowisko / Position ]],0))="n/a","n/a",EZ173-INDEX(tab_MinKomp[MS Office (Word)],MATCH($B173,tab_MinKomp[[Stanowisko / Position ]:[Stanowisko / Position ]],0)))</f>
        <v>0</v>
      </c>
      <c r="FA174" s="315">
        <f>IF(INDEX(tab_MinKomp[MS Office (Power Point)],MATCH($B173,tab_MinKomp[[Stanowisko / Position ]:[Stanowisko / Position ]],0))="n/a","n/a",FA173-INDEX(tab_MinKomp[MS Office (Power Point)],MATCH($B173,tab_MinKomp[[Stanowisko / Position ]:[Stanowisko / Position ]],0)))</f>
        <v>0</v>
      </c>
      <c r="FB174" s="317">
        <f>IF(INDEX(tab_MinKomp[Język angielski / Englisch],MATCH($B173,tab_MinKomp[[Stanowisko / Position ]:[Stanowisko / Position ]],0))="n/a","n/a",FB173-INDEX(tab_MinKomp[Język angielski / Englisch],MATCH($B173,tab_MinKomp[[Stanowisko / Position ]:[Stanowisko / Position ]],0)))</f>
        <v>0</v>
      </c>
      <c r="FC174" s="317" t="str">
        <f>IF(INDEX(tab_MinKomp[Język niemiecki / Deutsch],MATCH($B173,tab_MinKomp[[Stanowisko / Position ]:[Stanowisko / Position ]],0))="n/a","n/a",FC173-INDEX(tab_MinKomp[Język niemiecki / Deutsch],MATCH($B173,tab_MinKomp[[Stanowisko / Position ]:[Stanowisko / Position ]],0)))</f>
        <v>n/a</v>
      </c>
      <c r="FD174" s="315">
        <f>IF(INDEX(tab_MinKomp[Zarządzanie dokumentacją procesową / Process dokumentation management],MATCH($B173,tab_MinKomp[[Stanowisko / Position ]:[Stanowisko / Position ]],0))="n/a","n/a",FD173-INDEX(tab_MinKomp[Zarządzanie dokumentacją procesową / Process dokumentation management],MATCH($B173,tab_MinKomp[[Stanowisko / Position ]:[Stanowisko / Position ]],0)))</f>
        <v>0</v>
      </c>
      <c r="FE174" s="315">
        <f>IF(INDEX(tab_MinKomp[Znajomość procesów z obszaru / Kenntiss der prozesse in dem Bereich],MATCH($B173,tab_MinKomp[[Stanowisko / Position ]:[Stanowisko / Position ]],0))="n/a","n/a",FE173-INDEX(tab_MinKomp[Znajomość procesów z obszaru / Kenntiss der prozesse in dem Bereich],MATCH($B173,tab_MinKomp[[Stanowisko / Position ]:[Stanowisko / Position ]],0)))</f>
        <v>-1</v>
      </c>
      <c r="FF174" s="315">
        <f>IF(INDEX(tab_MinKomp[optymalizacja procesów / Prozessoptymalisierung],MATCH($B173,tab_MinKomp[[Stanowisko / Position ]:[Stanowisko / Position ]],0))="n/a","n/a",FF173-INDEX(tab_MinKomp[optymalizacja procesów / Prozessoptymalisierung],MATCH($B173,tab_MinKomp[[Stanowisko / Position ]:[Stanowisko / Position ]],0)))</f>
        <v>-1</v>
      </c>
      <c r="FG174" s="315">
        <f>IF(INDEX(tab_MinKomp[Umiejętności szkoleniowe / Trainingsfähigkeiten],MATCH($B173,tab_MinKomp[[Stanowisko / Position ]:[Stanowisko / Position ]],0))="n/a","n/a",FG173-INDEX(tab_MinKomp[Umiejętności szkoleniowe / Trainingsfähigkeiten],MATCH($B173,tab_MinKomp[[Stanowisko / Position ]:[Stanowisko / Position ]],0)))</f>
        <v>-1</v>
      </c>
      <c r="FH174" s="315">
        <f>IF(INDEX(tab_MinKomp[Analityczne myślenie, podejście / Analitysches Denken, Einstellung],MATCH($B173,tab_MinKomp[[Stanowisko / Position ]:[Stanowisko / Position ]],0))="n/a","n/a",FH173-INDEX(tab_MinKomp[Analityczne myślenie, podejście / Analitysches Denken, Einstellung],MATCH($B173,tab_MinKomp[[Stanowisko / Position ]:[Stanowisko / Position ]],0)))</f>
        <v>1</v>
      </c>
      <c r="FI174" s="315">
        <f>IF(INDEX(tab_MinKomp[Dokładność, precyzja w dzialaniu / Genauigkeit, Präzision in die Arbeit],MATCH($B173,tab_MinKomp[[Stanowisko / Position ]:[Stanowisko / Position ]],0))="n/a","n/a",FI173-INDEX(tab_MinKomp[Dokładność, precyzja w dzialaniu / Genauigkeit, Präzision in die Arbeit],MATCH($B173,tab_MinKomp[[Stanowisko / Position ]:[Stanowisko / Position ]],0)))</f>
        <v>-1</v>
      </c>
      <c r="FJ174" s="315">
        <f>IF(INDEX(tab_MinKomp[Dyspozycyjność / Verfügbarkeit],MATCH($B173,tab_MinKomp[[Stanowisko / Position ]:[Stanowisko / Position ]],0))="n/a","n/a",FJ173-INDEX(tab_MinKomp[Dyspozycyjność / Verfügbarkeit],MATCH($B173,tab_MinKomp[[Stanowisko / Position ]:[Stanowisko / Position ]],0)))</f>
        <v>-1</v>
      </c>
      <c r="FK174" s="315">
        <f>IF(INDEX(tab_MinKomp[Zaangażowanie / 
Engagement],MATCH($B173,tab_MinKomp[[Stanowisko / Position ]:[Stanowisko / Position ]],0))="n/a","n/a",FK173-INDEX(tab_MinKomp[Zaangażowanie / 
Engagement],MATCH($B173,tab_MinKomp[[Stanowisko / Position ]:[Stanowisko / Position ]],0)))</f>
        <v>1</v>
      </c>
      <c r="FL174" s="315">
        <f>IF(INDEX(tab_MinKomp[Planowanie strategiczne / Strategische Planung],MATCH($B173,tab_MinKomp[[Stanowisko / Position ]:[Stanowisko / Position ]],0))="n/a","n/a",FL173-INDEX(tab_MinKomp[Planowanie strategiczne / Strategische Planung],MATCH($B173,tab_MinKomp[[Stanowisko / Position ]:[Stanowisko / Position ]],0)))</f>
        <v>1</v>
      </c>
      <c r="FM174" s="315">
        <f>IF(INDEX(tab_MinKomp[Konsekwentne i dynamiczne działanie],MATCH($B173,tab_MinKomp[[Stanowisko / Position ]:[Stanowisko / Position ]],0))="n/a","n/a",FM173-INDEX(tab_MinKomp[Konsekwentne i dynamiczne działanie],MATCH($B173,tab_MinKomp[[Stanowisko / Position ]:[Stanowisko / Position ]],0)))</f>
        <v>0</v>
      </c>
      <c r="FN174" s="315">
        <f>IF(INDEX(tab_MinKomp[Elastyczność w działaniu],MATCH($B173,tab_MinKomp[[Stanowisko / Position ]:[Stanowisko / Position ]],0))="n/a","n/a",FN173-INDEX(tab_MinKomp[Elastyczność w działaniu],MATCH($B173,tab_MinKomp[[Stanowisko / Position ]:[Stanowisko / Position ]],0)))</f>
        <v>0</v>
      </c>
      <c r="FO174" s="315">
        <f>IF(INDEX(tab_MinKomp[Komunikatywność],MATCH($B173,tab_MinKomp[[Stanowisko / Position ]:[Stanowisko / Position ]],0))="n/a","n/a",FO173-INDEX(tab_MinKomp[Komunikatywność],MATCH($B173,tab_MinKomp[[Stanowisko / Position ]:[Stanowisko / Position ]],0)))</f>
        <v>-1</v>
      </c>
      <c r="FP174" s="314" t="str">
        <f>IF(INDEX(tab_MinKomp[Motywowanie i budowanie zaangażowania zespołu],MATCH($B173,tab_MinKomp[[Stanowisko / Position ]:[Stanowisko / Position ]],0))="n/a","n/a",FP173-INDEX(tab_MinKomp[Motywowanie i budowanie zaangażowania zespołu],MATCH($B173,tab_MinKomp[[Stanowisko / Position ]:[Stanowisko / Position ]],0)))</f>
        <v>n/a</v>
      </c>
      <c r="FQ174" s="318" t="str">
        <f>IFERROR(IF(INDEX(tab_MinKomp[BRAK / Keine],MATCH($B173,tab_MinKomp[[Stanowisko / Position ]:[Stanowisko / Position ]],0))="n/a","n/a",INDEX(tab_MinKomp[BRAK / Keine],MATCH($B173,tab_MinKomp[[Stanowisko / Position ]:[Stanowisko / Position ]],0))-FQ173),"")</f>
        <v>n/a</v>
      </c>
      <c r="FR174" s="315" t="str">
        <f>IF(INDEX(tab_MinKomp[MINIMUM 1 ROK / min. 1 Jahr],MATCH($B173,tab_MinKomp[[Stanowisko / Position ]:[Stanowisko / Position ]],0))="n/a","n/a",INDEX(tab_MinKomp[MINIMUM 1 ROK / min. 1 Jahr],MATCH($B173,tab_MinKomp[[Stanowisko / Position ]:[Stanowisko / Position ]],0)))</f>
        <v>n/a</v>
      </c>
      <c r="FS174" s="315" t="str">
        <f>IF(INDEX(tab_MinKomp[MINIMUM 2 LATA / min. 2 Jahre],MATCH($B173,tab_MinKomp[[Stanowisko / Position ]:[Stanowisko / Position ]],0))="n/a","n/a",INDEX(tab_MinKomp[MINIMUM 2 LATA / min. 2 Jahre],MATCH($B173,tab_MinKomp[[Stanowisko / Position ]:[Stanowisko / Position ]],0)))</f>
        <v>x</v>
      </c>
      <c r="FT174" s="315" t="str">
        <f>IF(INDEX(tab_MinKomp[MINIMUM 3 LATA / min. 3 Jahre],MATCH($B173,tab_MinKomp[[Stanowisko / Position ]:[Stanowisko / Position ]],0))="n/a","n/a",INDEX(tab_MinKomp[MINIMUM 3 LATA / min. 3 Jahre],MATCH($B173,tab_MinKomp[[Stanowisko / Position ]:[Stanowisko / Position ]],0)))</f>
        <v>n/a</v>
      </c>
      <c r="FU174" s="315" t="str">
        <f>IF(INDEX(tab_MinKomp[MINIMUM 4 LATA / min. 4 Jahre],MATCH($B173,tab_MinKomp[[Stanowisko / Position ]:[Stanowisko / Position ]],0))="n/a","n/a",INDEX(tab_MinKomp[MINIMUM 4 LATA / min. 4 Jahre],MATCH($B173,tab_MinKomp[[Stanowisko / Position ]:[Stanowisko / Position ]],0)))</f>
        <v>n/a</v>
      </c>
      <c r="FV174" s="319" t="str">
        <f>IF(INDEX(tab_MinKomp[MINIMUM 5 LAT / min. 5 Jahre],MATCH($B173,tab_MinKomp[[Stanowisko / Position ]:[Stanowisko / Position ]],0))="n/a","n/a",INDEX(tab_MinKomp[MINIMUM 5 LAT / min. 5 Jahre],MATCH($B173,tab_MinKomp[[Stanowisko / Position ]:[Stanowisko / Position ]],0)))</f>
        <v>n/a</v>
      </c>
      <c r="FW174" s="318" t="str">
        <f>IF(INDEX(tab_MinKomp[BRAK / Keine9],MATCH($B173,tab_MinKomp[[Stanowisko / Position ]:[Stanowisko / Position ]],0))="n/a","n/a",INDEX(tab_MinKomp[BRAK / Keine9],MATCH($B173,tab_MinKomp[[Stanowisko / Position ]:[Stanowisko / Position ]],0)))</f>
        <v>n/a</v>
      </c>
      <c r="FX174" s="315" t="str">
        <f>IF(INDEX(tab_MinKomp[ZAWODOWE / Berufsausbildung],MATCH($B173,tab_MinKomp[[Stanowisko / Position ]:[Stanowisko / Position ]],0))="n/a","n/a",INDEX(tab_MinKomp[ZAWODOWE / Berufsausbildung],MATCH($B173,tab_MinKomp[[Stanowisko / Position ]:[Stanowisko / Position ]],0)))</f>
        <v>n/a</v>
      </c>
      <c r="FY174" s="315" t="str">
        <f>IF(INDEX(tab_MinKomp[ŚREDNIE OGÓLNE / Abitur allgemeine],MATCH($B173,tab_MinKomp[[Stanowisko / Position ]:[Stanowisko / Position ]],0))="n/a","n/a",INDEX(tab_MinKomp[ŚREDNIE OGÓLNE / Abitur allgemeine],MATCH($B173,tab_MinKomp[[Stanowisko / Position ]:[Stanowisko / Position ]],0)))</f>
        <v>x</v>
      </c>
      <c r="FZ174" s="315" t="str">
        <f>IF(INDEX(tab_MinKomp[ŚREDNIE KIERUNKOWE / berufliches Gymnasium],MATCH($B173,tab_MinKomp[[Stanowisko / Position ]:[Stanowisko / Position ]],0))="n/a","n/a",INDEX(tab_MinKomp[ŚREDNIE KIERUNKOWE / berufliches Gymnasium],MATCH($B173,tab_MinKomp[[Stanowisko / Position ]:[Stanowisko / Position ]],0)))</f>
        <v>n/a</v>
      </c>
      <c r="GA174" s="315" t="str">
        <f>IF(INDEX(tab_MinKomp[WYŻSZE OGÓLNE / Hochschule allgemeine],MATCH($B173,tab_MinKomp[[Stanowisko / Position ]:[Stanowisko / Position ]],0))="n/a","n/a",INDEX(tab_MinKomp[WYŻSZE OGÓLNE / Hochschule allgemeine],MATCH($B173,tab_MinKomp[[Stanowisko / Position ]:[Stanowisko / Position ]],0)))</f>
        <v>n/a</v>
      </c>
      <c r="GB174" s="319" t="str">
        <f>IF(INDEX(tab_MinKomp[WYŻSZE KIERUNKOWE / Hochschule berufliche],MATCH($B173,tab_MinKomp[[Stanowisko / Position ]:[Stanowisko / Position ]],0))="n/a","n/a",INDEX(tab_MinKomp[WYŻSZE KIERUNKOWE / Hochschule berufliche],MATCH($B173,tab_MinKomp[[Stanowisko / Position ]:[Stanowisko / Position ]],0)))</f>
        <v>n/a</v>
      </c>
      <c r="GC174" s="318" t="str">
        <f>IF(INDEX(tab_MinKomp[PIERWSZA POMOC / Erste Hilfe],MATCH($B173,tab_MinKomp[[Stanowisko / Position ]:[Stanowisko / Position ]],0))="n/a","n/a",INDEX(tab_MinKomp[PIERWSZA POMOC / Erste Hilfe],MATCH($B173,tab_MinKomp[[Stanowisko / Position ]:[Stanowisko / Position ]],0)))</f>
        <v>n/a</v>
      </c>
      <c r="GD174" s="315" t="str">
        <f>IF(INDEX(tab_MinKomp[Specjalista BHP / BHP Spezialist],MATCH($B173,tab_MinKomp[[Stanowisko / Position ]:[Stanowisko / Position ]],0))="n/a","n/a",INDEX(tab_MinKomp[Specjalista BHP / BHP Spezialist],MATCH($B173,tab_MinKomp[[Stanowisko / Position ]:[Stanowisko / Position ]],0)))</f>
        <v>n/a</v>
      </c>
      <c r="GE174" s="315" t="str">
        <f>IF(INDEX(tab_MinKomp[Inspektor ochrony PPOŻ / Brandschutzinspektor],MATCH($B173,tab_MinKomp[[Stanowisko / Position ]:[Stanowisko / Position ]],0))="n/a","n/a",INDEX(tab_MinKomp[Inspektor ochrony PPOŻ / Brandschutzinspektor],MATCH($B173,tab_MinKomp[[Stanowisko / Position ]:[Stanowisko / Position ]],0)))</f>
        <v>n/a</v>
      </c>
      <c r="GF174" s="315" t="str">
        <f>IF(INDEX(tab_MinKomp[WÓZKI JEZDNIOWE / Gebelstapler],MATCH($B173,tab_MinKomp[[Stanowisko / Position ]:[Stanowisko / Position ]],0))="n/a","n/a",INDEX(tab_MinKomp[WÓZKI JEZDNIOWE / Gebelstapler],MATCH($B173,tab_MinKomp[[Stanowisko / Position ]:[Stanowisko / Position ]],0)))</f>
        <v>n/a</v>
      </c>
      <c r="GG174" s="315" t="str">
        <f>IF(INDEX(tab_MinKomp[SEP],MATCH($B173,tab_MinKomp[[Stanowisko / Position ]:[Stanowisko / Position ]],0))="n/a","n/a",INDEX(tab_MinKomp[SEP],MATCH($B173,tab_MinKomp[[Stanowisko / Position ]:[Stanowisko / Position ]],0)))</f>
        <v>n/a</v>
      </c>
      <c r="GH174" s="315" t="str">
        <f>IF(INDEX(tab_MinKomp[SEP  DOZÓR / SEP Aufsicht],MATCH($B173,tab_MinKomp[[Stanowisko / Position ]:[Stanowisko / Position ]],0))="n/a","n/a",INDEX(tab_MinKomp[SEP  DOZÓR / SEP Aufsicht],MATCH($B173,tab_MinKomp[[Stanowisko / Position ]:[Stanowisko / Position ]],0)))</f>
        <v>n/a</v>
      </c>
      <c r="GI174" s="315" t="str">
        <f>IF(INDEX(tab_MinKomp[PODNOŚNIKI / Hebevorrichtung],MATCH($B173,tab_MinKomp[[Stanowisko / Position ]:[Stanowisko / Position ]],0))="n/a","n/a",INDEX(tab_MinKomp[PODNOŚNIKI / Hebevorrichtung],MATCH($B173,tab_MinKomp[[Stanowisko / Position ]:[Stanowisko / Position ]],0)))</f>
        <v>n/a</v>
      </c>
      <c r="GJ174" s="315" t="str">
        <f>IF(INDEX(tab_MinKomp[SUWNICE / Laufkran],MATCH($B173,tab_MinKomp[[Stanowisko / Position ]:[Stanowisko / Position ]],0))="n/a","n/a",INDEX(tab_MinKomp[SUWNICE / Laufkran],MATCH($B173,tab_MinKomp[[Stanowisko / Position ]:[Stanowisko / Position ]],0)))</f>
        <v>n/a</v>
      </c>
      <c r="GK174" s="319" t="str">
        <f>IF(INDEX(tab_MinKomp[WYSOKOŚCIOWE / Höhenberechtigungen],MATCH($B173,tab_MinKomp[[Stanowisko / Position ]:[Stanowisko / Position ]],0))="n/a","n/a",INDEX(tab_MinKomp[WYSOKOŚCIOWE / Höhenberechtigungen],MATCH($B173,tab_MinKomp[[Stanowisko / Position ]:[Stanowisko / Position ]],0)))</f>
        <v>n/a</v>
      </c>
      <c r="GL174" s="376">
        <f>SUM(G174:FP174)/(GL173-(SUM(G174:FP174)))</f>
        <v>-7.6086956521739135E-2</v>
      </c>
      <c r="GM174" s="132"/>
    </row>
    <row r="175" spans="1:195" s="133" customFormat="1" ht="28.35" customHeight="1" x14ac:dyDescent="0.25">
      <c r="A175" s="135" t="s">
        <v>183</v>
      </c>
      <c r="B175" s="135" t="s">
        <v>605</v>
      </c>
      <c r="C175" s="138" t="s">
        <v>230</v>
      </c>
      <c r="D175" s="135">
        <v>1621</v>
      </c>
      <c r="E175" s="565" t="s">
        <v>644</v>
      </c>
      <c r="F175" s="307" t="s">
        <v>165</v>
      </c>
      <c r="G175" s="308">
        <v>1</v>
      </c>
      <c r="H175" s="308">
        <v>1</v>
      </c>
      <c r="I175" s="308">
        <v>1</v>
      </c>
      <c r="J175" s="308">
        <v>1</v>
      </c>
      <c r="K175" s="308">
        <v>1</v>
      </c>
      <c r="L175" s="308">
        <v>1</v>
      </c>
      <c r="M175" s="308" t="s">
        <v>176</v>
      </c>
      <c r="N175" s="308" t="s">
        <v>176</v>
      </c>
      <c r="O175" s="308">
        <v>1</v>
      </c>
      <c r="P175" s="308">
        <v>1</v>
      </c>
      <c r="Q175" s="308" t="s">
        <v>176</v>
      </c>
      <c r="R175" s="308" t="s">
        <v>176</v>
      </c>
      <c r="S175" s="308" t="s">
        <v>176</v>
      </c>
      <c r="T175" s="308" t="s">
        <v>176</v>
      </c>
      <c r="U175" s="308">
        <v>1</v>
      </c>
      <c r="V175" s="308" t="s">
        <v>176</v>
      </c>
      <c r="W175" s="308">
        <v>1</v>
      </c>
      <c r="X175" s="308" t="s">
        <v>176</v>
      </c>
      <c r="Y175" s="308" t="s">
        <v>176</v>
      </c>
      <c r="Z175" s="308" t="s">
        <v>176</v>
      </c>
      <c r="AA175" s="308" t="s">
        <v>176</v>
      </c>
      <c r="AB175" s="308">
        <v>1</v>
      </c>
      <c r="AC175" s="308">
        <v>1</v>
      </c>
      <c r="AD175" s="308">
        <v>1</v>
      </c>
      <c r="AE175" s="308">
        <v>1</v>
      </c>
      <c r="AF175" s="308">
        <v>1</v>
      </c>
      <c r="AG175" s="308">
        <v>1</v>
      </c>
      <c r="AH175" s="308">
        <v>1</v>
      </c>
      <c r="AI175" s="308" t="s">
        <v>176</v>
      </c>
      <c r="AJ175" s="308" t="s">
        <v>176</v>
      </c>
      <c r="AK175" s="308" t="s">
        <v>176</v>
      </c>
      <c r="AL175" s="308" t="s">
        <v>176</v>
      </c>
      <c r="AM175" s="308">
        <v>1</v>
      </c>
      <c r="AN175" s="308" t="s">
        <v>176</v>
      </c>
      <c r="AO175" s="308" t="s">
        <v>176</v>
      </c>
      <c r="AP175" s="308" t="s">
        <v>176</v>
      </c>
      <c r="AQ175" s="308" t="s">
        <v>176</v>
      </c>
      <c r="AR175" s="308" t="s">
        <v>176</v>
      </c>
      <c r="AS175" s="308" t="s">
        <v>176</v>
      </c>
      <c r="AT175" s="308" t="s">
        <v>176</v>
      </c>
      <c r="AU175" s="308" t="s">
        <v>176</v>
      </c>
      <c r="AV175" s="308">
        <v>1</v>
      </c>
      <c r="AW175" s="308">
        <v>1</v>
      </c>
      <c r="AX175" s="308">
        <v>2</v>
      </c>
      <c r="AY175" s="308" t="s">
        <v>176</v>
      </c>
      <c r="AZ175" s="308">
        <v>3</v>
      </c>
      <c r="BA175" s="308">
        <v>1</v>
      </c>
      <c r="BB175" s="308">
        <v>1</v>
      </c>
      <c r="BC175" s="308">
        <v>1</v>
      </c>
      <c r="BD175" s="308">
        <v>1</v>
      </c>
      <c r="BE175" s="308">
        <v>1</v>
      </c>
      <c r="BF175" s="308">
        <v>1</v>
      </c>
      <c r="BG175" s="308">
        <v>2</v>
      </c>
      <c r="BH175" s="308">
        <v>1</v>
      </c>
      <c r="BI175" s="308">
        <v>3</v>
      </c>
      <c r="BJ175" s="308">
        <v>3</v>
      </c>
      <c r="BK175" s="308">
        <v>1</v>
      </c>
      <c r="BL175" s="308">
        <v>3</v>
      </c>
      <c r="BM175" s="308" t="s">
        <v>176</v>
      </c>
      <c r="BN175" s="308" t="s">
        <v>176</v>
      </c>
      <c r="BO175" s="308" t="s">
        <v>176</v>
      </c>
      <c r="BP175" s="308" t="s">
        <v>176</v>
      </c>
      <c r="BQ175" s="308" t="s">
        <v>176</v>
      </c>
      <c r="BR175" s="308" t="s">
        <v>176</v>
      </c>
      <c r="BS175" s="308" t="s">
        <v>176</v>
      </c>
      <c r="BT175" s="308" t="s">
        <v>176</v>
      </c>
      <c r="BU175" s="308" t="s">
        <v>176</v>
      </c>
      <c r="BV175" s="308" t="s">
        <v>176</v>
      </c>
      <c r="BW175" s="308" t="s">
        <v>176</v>
      </c>
      <c r="BX175" s="308" t="s">
        <v>176</v>
      </c>
      <c r="BY175" s="308" t="s">
        <v>176</v>
      </c>
      <c r="BZ175" s="308" t="s">
        <v>176</v>
      </c>
      <c r="CA175" s="308" t="s">
        <v>176</v>
      </c>
      <c r="CB175" s="308" t="s">
        <v>176</v>
      </c>
      <c r="CC175" s="308" t="s">
        <v>176</v>
      </c>
      <c r="CD175" s="308" t="s">
        <v>176</v>
      </c>
      <c r="CE175" s="308" t="s">
        <v>176</v>
      </c>
      <c r="CF175" s="308" t="s">
        <v>176</v>
      </c>
      <c r="CG175" s="308" t="s">
        <v>176</v>
      </c>
      <c r="CH175" s="308" t="s">
        <v>176</v>
      </c>
      <c r="CI175" s="308">
        <v>1</v>
      </c>
      <c r="CJ175" s="308" t="s">
        <v>176</v>
      </c>
      <c r="CK175" s="308" t="s">
        <v>176</v>
      </c>
      <c r="CL175" s="308">
        <v>1</v>
      </c>
      <c r="CM175" s="308">
        <v>1</v>
      </c>
      <c r="CN175" s="308">
        <v>1</v>
      </c>
      <c r="CO175" s="308">
        <v>1</v>
      </c>
      <c r="CP175" s="308">
        <v>1</v>
      </c>
      <c r="CQ175" s="308">
        <v>1</v>
      </c>
      <c r="CR175" s="308">
        <v>1</v>
      </c>
      <c r="CS175" s="308">
        <v>1</v>
      </c>
      <c r="CT175" s="308">
        <v>1</v>
      </c>
      <c r="CU175" s="308" t="s">
        <v>176</v>
      </c>
      <c r="CV175" s="308" t="s">
        <v>176</v>
      </c>
      <c r="CW175" s="308" t="s">
        <v>176</v>
      </c>
      <c r="CX175" s="308" t="s">
        <v>176</v>
      </c>
      <c r="CY175" s="308" t="s">
        <v>176</v>
      </c>
      <c r="CZ175" s="308" t="s">
        <v>176</v>
      </c>
      <c r="DA175" s="308" t="s">
        <v>176</v>
      </c>
      <c r="DB175" s="308" t="s">
        <v>176</v>
      </c>
      <c r="DC175" s="308" t="s">
        <v>176</v>
      </c>
      <c r="DD175" s="308" t="s">
        <v>176</v>
      </c>
      <c r="DE175" s="308" t="s">
        <v>176</v>
      </c>
      <c r="DF175" s="308" t="s">
        <v>176</v>
      </c>
      <c r="DG175" s="308" t="s">
        <v>176</v>
      </c>
      <c r="DH175" s="308" t="s">
        <v>176</v>
      </c>
      <c r="DI175" s="308" t="s">
        <v>176</v>
      </c>
      <c r="DJ175" s="308" t="s">
        <v>176</v>
      </c>
      <c r="DK175" s="308" t="s">
        <v>176</v>
      </c>
      <c r="DL175" s="308" t="s">
        <v>176</v>
      </c>
      <c r="DM175" s="308" t="s">
        <v>176</v>
      </c>
      <c r="DN175" s="308" t="s">
        <v>176</v>
      </c>
      <c r="DO175" s="308" t="s">
        <v>176</v>
      </c>
      <c r="DP175" s="308" t="s">
        <v>176</v>
      </c>
      <c r="DQ175" s="308" t="s">
        <v>176</v>
      </c>
      <c r="DR175" s="308" t="s">
        <v>176</v>
      </c>
      <c r="DS175" s="308" t="s">
        <v>176</v>
      </c>
      <c r="DT175" s="308" t="s">
        <v>176</v>
      </c>
      <c r="DU175" s="308" t="s">
        <v>176</v>
      </c>
      <c r="DV175" s="308" t="s">
        <v>176</v>
      </c>
      <c r="DW175" s="308" t="s">
        <v>176</v>
      </c>
      <c r="DX175" s="308" t="s">
        <v>176</v>
      </c>
      <c r="DY175" s="308" t="s">
        <v>176</v>
      </c>
      <c r="DZ175" s="308" t="s">
        <v>176</v>
      </c>
      <c r="EA175" s="308" t="s">
        <v>176</v>
      </c>
      <c r="EB175" s="308" t="s">
        <v>176</v>
      </c>
      <c r="EC175" s="308" t="s">
        <v>176</v>
      </c>
      <c r="ED175" s="308" t="s">
        <v>176</v>
      </c>
      <c r="EE175" s="308" t="s">
        <v>176</v>
      </c>
      <c r="EF175" s="308" t="s">
        <v>176</v>
      </c>
      <c r="EG175" s="308" t="s">
        <v>176</v>
      </c>
      <c r="EH175" s="308" t="s">
        <v>176</v>
      </c>
      <c r="EI175" s="308" t="s">
        <v>176</v>
      </c>
      <c r="EJ175" s="308" t="s">
        <v>176</v>
      </c>
      <c r="EK175" s="308" t="s">
        <v>176</v>
      </c>
      <c r="EL175" s="308" t="s">
        <v>176</v>
      </c>
      <c r="EM175" s="308" t="s">
        <v>176</v>
      </c>
      <c r="EN175" s="308" t="s">
        <v>176</v>
      </c>
      <c r="EO175" s="308" t="s">
        <v>176</v>
      </c>
      <c r="EP175" s="308" t="s">
        <v>176</v>
      </c>
      <c r="EQ175" s="308" t="s">
        <v>176</v>
      </c>
      <c r="ER175" s="308" t="s">
        <v>176</v>
      </c>
      <c r="ES175" s="308" t="s">
        <v>176</v>
      </c>
      <c r="ET175" s="308" t="s">
        <v>176</v>
      </c>
      <c r="EU175" s="308" t="s">
        <v>176</v>
      </c>
      <c r="EV175" s="308" t="s">
        <v>176</v>
      </c>
      <c r="EW175" s="308" t="s">
        <v>176</v>
      </c>
      <c r="EX175" s="308" t="s">
        <v>176</v>
      </c>
      <c r="EY175" s="308">
        <v>1</v>
      </c>
      <c r="EZ175" s="308">
        <v>1</v>
      </c>
      <c r="FA175" s="308">
        <v>1</v>
      </c>
      <c r="FB175" s="309">
        <v>3</v>
      </c>
      <c r="FC175" s="309" t="s">
        <v>176</v>
      </c>
      <c r="FD175" s="308">
        <v>2</v>
      </c>
      <c r="FE175" s="308">
        <v>2</v>
      </c>
      <c r="FF175" s="308">
        <v>1</v>
      </c>
      <c r="FG175" s="308">
        <v>1</v>
      </c>
      <c r="FH175" s="308">
        <v>2</v>
      </c>
      <c r="FI175" s="308">
        <v>3</v>
      </c>
      <c r="FJ175" s="308">
        <v>3</v>
      </c>
      <c r="FK175" s="308">
        <v>3</v>
      </c>
      <c r="FL175" s="308">
        <v>1</v>
      </c>
      <c r="FM175" s="308">
        <v>2</v>
      </c>
      <c r="FN175" s="308">
        <v>2</v>
      </c>
      <c r="FO175" s="308">
        <v>2</v>
      </c>
      <c r="FP175" s="308" t="s">
        <v>176</v>
      </c>
      <c r="FQ175" s="310" t="s">
        <v>176</v>
      </c>
      <c r="FR175" s="310" t="s">
        <v>176</v>
      </c>
      <c r="FS175" s="308" t="s">
        <v>387</v>
      </c>
      <c r="FT175" s="310" t="s">
        <v>176</v>
      </c>
      <c r="FU175" s="310" t="s">
        <v>176</v>
      </c>
      <c r="FV175" s="310" t="s">
        <v>176</v>
      </c>
      <c r="FW175" s="310" t="s">
        <v>176</v>
      </c>
      <c r="FX175" s="310" t="s">
        <v>176</v>
      </c>
      <c r="FY175" s="308" t="s">
        <v>387</v>
      </c>
      <c r="FZ175" s="310" t="s">
        <v>176</v>
      </c>
      <c r="GA175" s="310" t="s">
        <v>176</v>
      </c>
      <c r="GB175" s="310" t="s">
        <v>176</v>
      </c>
      <c r="GC175" s="310" t="s">
        <v>176</v>
      </c>
      <c r="GD175" s="310" t="s">
        <v>176</v>
      </c>
      <c r="GE175" s="310" t="s">
        <v>176</v>
      </c>
      <c r="GF175" s="310" t="s">
        <v>176</v>
      </c>
      <c r="GG175" s="310" t="s">
        <v>176</v>
      </c>
      <c r="GH175" s="310" t="s">
        <v>176</v>
      </c>
      <c r="GI175" s="310" t="s">
        <v>176</v>
      </c>
      <c r="GJ175" s="310" t="s">
        <v>176</v>
      </c>
      <c r="GK175" s="324" t="s">
        <v>176</v>
      </c>
      <c r="GL175" s="311">
        <f>SUM(G175:FP175)</f>
        <v>84</v>
      </c>
      <c r="GM175" s="132"/>
    </row>
    <row r="176" spans="1:195" s="133" customFormat="1" ht="28.35" customHeight="1" thickBot="1" x14ac:dyDescent="0.3">
      <c r="A176" s="138" t="str">
        <f>A175</f>
        <v>Logistyka-Logistic</v>
      </c>
      <c r="B176" s="138" t="str">
        <f>B175</f>
        <v>Specialista ds. logistyki i obsługi klienta</v>
      </c>
      <c r="C176" s="138" t="str">
        <f>C175</f>
        <v>JB</v>
      </c>
      <c r="D176" s="138">
        <f>D175</f>
        <v>1621</v>
      </c>
      <c r="E176" s="567" t="str">
        <f>E175</f>
        <v>Kuczyński Bartosz</v>
      </c>
      <c r="F176" s="331" t="s">
        <v>166</v>
      </c>
      <c r="G176" s="351">
        <f>IF(INDEX(tab_MinKomp[Przepisy BHP / BHP Vorschriften],MATCH($B175,tab_MinKomp[[Stanowisko / Position ]:[Stanowisko / Position ]],0))="n/a","n/a",G175-INDEX(tab_MinKomp[Przepisy BHP / BHP Vorschriften],MATCH($B175,tab_MinKomp[[Stanowisko / Position ]:[Stanowisko / Position ]],0)))</f>
        <v>0</v>
      </c>
      <c r="H176" s="334">
        <f>IF(INDEX(tab_MinKomp[Przepisy PPOŻ / Brandschutzbestimmungen],MATCH($B175,tab_MinKomp[[Stanowisko / Position ]:[Stanowisko / Position ]],0))="n/a","n/a",H175-INDEX(tab_MinKomp[Przepisy PPOŻ / Brandschutzbestimmungen],MATCH($B175,tab_MinKomp[[Stanowisko / Position ]:[Stanowisko / Position ]],0)))</f>
        <v>0</v>
      </c>
      <c r="I176" s="334">
        <f>IF(INDEX(tab_MinKomp[Ryzyko zawodowe na stanowiskach pracyv/ Berufliche Risiken an Arbeitsstellen],MATCH($B175,tab_MinKomp[[Stanowisko / Position ]:[Stanowisko / Position ]],0))="n/a","n/a",I175-INDEX(tab_MinKomp[Ryzyko zawodowe na stanowiskach pracyv/ Berufliche Risiken an Arbeitsstellen],MATCH($B175,tab_MinKomp[[Stanowisko / Position ]:[Stanowisko / Position ]],0)))</f>
        <v>0</v>
      </c>
      <c r="J176" s="334">
        <f>IF(INDEX(tab_MinKomp[Gospodarka substancjami niebezpiecznymi / Gefahrstoffmanagement],MATCH($B175,tab_MinKomp[[Stanowisko / Position ]:[Stanowisko / Position ]],0))="n/a","n/a",J175-INDEX(tab_MinKomp[Gospodarka substancjami niebezpiecznymi / Gefahrstoffmanagement],MATCH($B175,tab_MinKomp[[Stanowisko / Position ]:[Stanowisko / Position ]],0)))</f>
        <v>0</v>
      </c>
      <c r="K176" s="334">
        <f>IF(INDEX(tab_MinKomp[Gospodarka odpadami / Abfallwirtschaft],MATCH($B175,tab_MinKomp[[Stanowisko / Position ]:[Stanowisko / Position ]],0))="n/a","n/a",K175-INDEX(tab_MinKomp[Gospodarka odpadami / Abfallwirtschaft],MATCH($B175,tab_MinKomp[[Stanowisko / Position ]:[Stanowisko / Position ]],0)))</f>
        <v>0</v>
      </c>
      <c r="L176" s="333">
        <f>IF(INDEX(tab_MinKomp[Przepisy kodeksu pracy / Bestimmungen des Arbeitsgesetzes],MATCH($B175,tab_MinKomp[[Stanowisko / Position ]:[Stanowisko / Position ]],0))="n/a","n/a",L175-INDEX(tab_MinKomp[Przepisy kodeksu pracy / Bestimmungen des Arbeitsgesetzes],MATCH($B175,tab_MinKomp[[Stanowisko / Position ]:[Stanowisko / Position ]],0)))</f>
        <v>0</v>
      </c>
      <c r="M176" s="332" t="str">
        <f>IF(INDEX(tab_MinKomp[Przepisy o ub.społ. ZUS  / Sozialversicherungsvorschriften],MATCH($B175,tab_MinKomp[[Stanowisko / Position ]:[Stanowisko / Position ]],0))="n/a","n/a",M175-INDEX(tab_MinKomp[Przepisy o ub.społ. ZUS  / Sozialversicherungsvorschriften],MATCH($B175,tab_MinKomp[[Stanowisko / Position ]:[Stanowisko / Position ]],0)))</f>
        <v>n/a</v>
      </c>
      <c r="N176" s="333" t="str">
        <f>IF(INDEX(tab_MinKomp[PRZEPISY O PDOF /persönlich Einkommensteuergesetz ],MATCH($B175,tab_MinKomp[[Stanowisko / Position ]:[Stanowisko / Position ]],0))="n/a","n/a",N175-INDEX(tab_MinKomp[PRZEPISY O PDOF /persönlich Einkommensteuergesetz ],MATCH($B175,tab_MinKomp[[Stanowisko / Position ]:[Stanowisko / Position ]],0)))</f>
        <v>n/a</v>
      </c>
      <c r="O176" s="333">
        <f>IF(INDEX(tab_MinKomp[Regulamin pracy / Arbeitsordnung],MATCH($B175,tab_MinKomp[[Stanowisko / Position ]:[Stanowisko / Position ]],0))="n/a","n/a",O175-INDEX(tab_MinKomp[Regulamin pracy / Arbeitsordnung],MATCH($B175,tab_MinKomp[[Stanowisko / Position ]:[Stanowisko / Position ]],0)))</f>
        <v>0</v>
      </c>
      <c r="P176" s="333">
        <f>IF(INDEX(tab_MinKomp[Regulamin wynagradzania / Vergütungsordnung],MATCH($B175,tab_MinKomp[[Stanowisko / Position ]:[Stanowisko / Position ]],0))="n/a","n/a",P175-INDEX(tab_MinKomp[Regulamin wynagradzania / Vergütungsordnung],MATCH($B175,tab_MinKomp[[Stanowisko / Position ]:[Stanowisko / Position ]],0)))</f>
        <v>0</v>
      </c>
      <c r="Q176" s="333" t="str">
        <f>IF(INDEX(tab_MinKomp[System R2PŁATNIK PRO: Płace / Lohnabrechnung],MATCH($B175,tab_MinKomp[[Stanowisko / Position ]:[Stanowisko / Position ]],0))="n/a","n/a",Q175-INDEX(tab_MinKomp[System R2PŁATNIK PRO: Płace / Lohnabrechnung],MATCH($B175,tab_MinKomp[[Stanowisko / Position ]:[Stanowisko / Position ]],0)))</f>
        <v>n/a</v>
      </c>
      <c r="R176" s="333" t="str">
        <f>IF(INDEX(tab_MinKomp[SystemR2PŁATNIK PRO: KADRY / Personaldaten],MATCH($B175,tab_MinKomp[[Stanowisko / Position ]:[Stanowisko / Position ]],0))="n/a","n/a",R175-INDEX(tab_MinKomp[SystemR2PŁATNIK PRO: KADRY / Personaldaten],MATCH($B175,tab_MinKomp[[Stanowisko / Position ]:[Stanowisko / Position ]],0)))</f>
        <v>n/a</v>
      </c>
      <c r="S176" s="333" t="str">
        <f>IF(INDEX(tab_MinKomp[SYSTEM R2PŁATNIK PRO: zarządzanie pracownikami / Arbeitsverwaltung],MATCH($B175,tab_MinKomp[[Stanowisko / Position ]:[Stanowisko / Position ]],0))="n/a","n/a",S175-INDEX(tab_MinKomp[SYSTEM R2PŁATNIK PRO: zarządzanie pracownikami / Arbeitsverwaltung],MATCH($B175,tab_MinKomp[[Stanowisko / Position ]:[Stanowisko / Position ]],0)))</f>
        <v>n/a</v>
      </c>
      <c r="T176" s="333" t="str">
        <f>IF(INDEX(tab_MinKomp[Doradztwo, wsparcie personalne / Personalberatung und Unterstützung],MATCH($B175,tab_MinKomp[[Stanowisko / Position ]:[Stanowisko / Position ]],0))="n/a","n/a",T175-INDEX(tab_MinKomp[Doradztwo, wsparcie personalne / Personalberatung und Unterstützung],MATCH($B175,tab_MinKomp[[Stanowisko / Position ]:[Stanowisko / Position ]],0)))</f>
        <v>n/a</v>
      </c>
      <c r="U176" s="333">
        <f>IF(INDEX(tab_MinKomp[Przepisy o podatku VAT / MwSt.- Gesetz],MATCH($B175,tab_MinKomp[[Stanowisko / Position ]:[Stanowisko / Position ]],0))="n/a","n/a",U175-INDEX(tab_MinKomp[Przepisy o podatku VAT / MwSt.- Gesetz],MATCH($B175,tab_MinKomp[[Stanowisko / Position ]:[Stanowisko / Position ]],0)))</f>
        <v>0</v>
      </c>
      <c r="V176" s="333" t="str">
        <f>IF(INDEX(tab_MinKomp[PrzepisyPDOP / geschäftlich Einkommensteuergesetz],MATCH($B175,tab_MinKomp[[Stanowisko / Position ]:[Stanowisko / Position ]],0))="n/a","n/a",V175-INDEX(tab_MinKomp[PrzepisyPDOP / geschäftlich Einkommensteuergesetz],MATCH($B175,tab_MinKomp[[Stanowisko / Position ]:[Stanowisko / Position ]],0)))</f>
        <v>n/a</v>
      </c>
      <c r="W176" s="333">
        <f>IF(INDEX(tab_MinKomp[System BAAN / FINANSE (FIBU)],MATCH($B175,tab_MinKomp[[Stanowisko / Position ]:[Stanowisko / Position ]],0))="n/a","n/a",W175-INDEX(tab_MinKomp[System BAAN / FINANSE (FIBU)],MATCH($B175,tab_MinKomp[[Stanowisko / Position ]:[Stanowisko / Position ]],0)))</f>
        <v>-1</v>
      </c>
      <c r="X176" s="333" t="str">
        <f>IF(INDEX(tab_MinKomp[Systemy pomocnicze / Hilfssysteme(STOCKPROGRAM, KALK2000 etc.)],MATCH($B175,tab_MinKomp[[Stanowisko / Position ]:[Stanowisko / Position ]],0))="n/a","n/a",X175-INDEX(tab_MinKomp[Systemy pomocnicze / Hilfssysteme(STOCKPROGRAM, KALK2000 etc.)],MATCH($B175,tab_MinKomp[[Stanowisko / Position ]:[Stanowisko / Position ]],0)))</f>
        <v>n/a</v>
      </c>
      <c r="Y176" s="333" t="str">
        <f>IF(INDEX(tab_MinKomp[Polityka rachunkowości / Buchführungspolitik],MATCH($B175,tab_MinKomp[[Stanowisko / Position ]:[Stanowisko / Position ]],0))="n/a","n/a",Y175-INDEX(tab_MinKomp[Polityka rachunkowości / Buchführungspolitik],MATCH($B175,tab_MinKomp[[Stanowisko / Position ]:[Stanowisko / Position ]],0)))</f>
        <v>n/a</v>
      </c>
      <c r="Z176" s="333" t="str">
        <f>IF(INDEX(tab_MinKomp[Ustawa o rachunkowości / Rechnungslegungsgesetz],MATCH($B175,tab_MinKomp[[Stanowisko / Position ]:[Stanowisko / Position ]],0))="n/a","n/a",Z175-INDEX(tab_MinKomp[Ustawa o rachunkowości / Rechnungslegungsgesetz],MATCH($B175,tab_MinKomp[[Stanowisko / Position ]:[Stanowisko / Position ]],0)))</f>
        <v>n/a</v>
      </c>
      <c r="AA176" s="333" t="str">
        <f>IF(INDEX(tab_MinKomp[WORKFLOW - TS-100],MATCH($B175,tab_MinKomp[[Stanowisko / Position ]:[Stanowisko / Position ]],0))="n/a","n/a",AA175-INDEX(tab_MinKomp[WORKFLOW - TS-100],MATCH($B175,tab_MinKomp[[Stanowisko / Position ]:[Stanowisko / Position ]],0)))</f>
        <v>n/a</v>
      </c>
      <c r="AB176" s="333">
        <v>2</v>
      </c>
      <c r="AC176" s="333">
        <f>IF(INDEX(tab_MinKomp[System ISO 9001:2015],MATCH($B175,tab_MinKomp[[Stanowisko / Position ]:[Stanowisko / Position ]],0))="n/a","n/a",AC175-INDEX(tab_MinKomp[System ISO 9001:2015],MATCH($B175,tab_MinKomp[[Stanowisko / Position ]:[Stanowisko / Position ]],0)))</f>
        <v>0</v>
      </c>
      <c r="AD176" s="333">
        <f>IF(INDEX(tab_MinKomp[System IATF 16949:2016],MATCH($B175,tab_MinKomp[[Stanowisko / Position ]:[Stanowisko / Position ]],0))="n/a","n/a",AD175-INDEX(tab_MinKomp[System IATF 16949:2016],MATCH($B175,tab_MinKomp[[Stanowisko / Position ]:[Stanowisko / Position ]],0)))</f>
        <v>0</v>
      </c>
      <c r="AE176" s="333">
        <f>IF(INDEX(tab_MinKomp[System ISO 14001:2015],MATCH($B175,tab_MinKomp[[Stanowisko / Position ]:[Stanowisko / Position ]],0))="n/a","n/a",AE175-INDEX(tab_MinKomp[System ISO 14001:2015],MATCH($B175,tab_MinKomp[[Stanowisko / Position ]:[Stanowisko / Position ]],0)))</f>
        <v>0</v>
      </c>
      <c r="AF176" s="333">
        <f>IF(INDEX(tab_MinKomp[System PN-N 18001:2004 / ISO 45001:2018],MATCH($B175,tab_MinKomp[[Stanowisko / Position ]:[Stanowisko / Position ]],0))="n/a","n/a",AF175-INDEX(tab_MinKomp[System PN-N 18001:2004 / ISO 45001:2018],MATCH($B175,tab_MinKomp[[Stanowisko / Position ]:[Stanowisko / Position ]],0)))</f>
        <v>0</v>
      </c>
      <c r="AG176" s="333">
        <f>IF(INDEX(tab_MinKomp[Wymagania VDA 6.3 Process / Forderungen],MATCH($B175,tab_MinKomp[[Stanowisko / Position ]:[Stanowisko / Position ]],0))="n/a","n/a",AG175-INDEX(tab_MinKomp[Wymagania VDA 6.3 Process / Forderungen],MATCH($B175,tab_MinKomp[[Stanowisko / Position ]:[Stanowisko / Position ]],0)))</f>
        <v>0</v>
      </c>
      <c r="AH176" s="333">
        <f>IF(INDEX(tab_MinKomp[Wymagania VDA 6.5 Product / Forderungen],MATCH($B175,tab_MinKomp[[Stanowisko / Position ]:[Stanowisko / Position ]],0))="n/a","n/a",AH175-INDEX(tab_MinKomp[Wymagania VDA 6.5 Product / Forderungen],MATCH($B175,tab_MinKomp[[Stanowisko / Position ]:[Stanowisko / Position ]],0)))</f>
        <v>0</v>
      </c>
      <c r="AI176" s="333" t="str">
        <f>IF(INDEX(tab_MinKomp[PSCR (VW Product Safety &amp; Conformity Representative)],MATCH($B175,tab_MinKomp[[Stanowisko / Position ]:[Stanowisko / Position ]],0))="n/a","n/a",AI175-INDEX(tab_MinKomp[PSCR (VW Product Safety &amp; Conformity Representative)],MATCH($B175,tab_MinKomp[[Stanowisko / Position ]:[Stanowisko / Position ]],0)))</f>
        <v>n/a</v>
      </c>
      <c r="AJ176" s="333" t="str">
        <f>IF(INDEX(tab_MinKomp[Auditor systemu ISO 17025:2018],MATCH($B175,tab_MinKomp[[Stanowisko / Position ]:[Stanowisko / Position ]],0))="n/a","n/a",AJ175-INDEX(tab_MinKomp[Auditor systemu ISO 17025:2018],MATCH($B175,tab_MinKomp[[Stanowisko / Position ]:[Stanowisko / Position ]],0)))</f>
        <v>n/a</v>
      </c>
      <c r="AK176" s="333" t="str">
        <f>IF(INDEX(tab_MinKomp[Pełnomocnik systemu / Systemvertreter],MATCH($B175,tab_MinKomp[[Stanowisko / Position ]:[Stanowisko / Position ]],0))="n/a","n/a",AK175-INDEX(tab_MinKomp[Pełnomocnik systemu / Systemvertreter],MATCH($B175,tab_MinKomp[[Stanowisko / Position ]:[Stanowisko / Position ]],0)))</f>
        <v>n/a</v>
      </c>
      <c r="AL176" s="333" t="str">
        <f>IF(INDEX(tab_MinKomp[PSCR (VW Product Safety &amp; Conformity Representative)],MATCH($B175,tab_MinKomp[[Stanowisko / Position ]:[Stanowisko / Position ]],0))="n/a","n/a",AL175-INDEX(tab_MinKomp[PSCR (VW Product Safety &amp; Conformity Representative)],MATCH($B175,tab_MinKomp[[Stanowisko / Position ]:[Stanowisko / Position ]],0)))</f>
        <v>n/a</v>
      </c>
      <c r="AM176" s="333">
        <f>IF(INDEX(tab_MinKomp[WDRAŻANIE NOWYCH PROJEKTÓW/ PROCEDURA CTM],MATCH($B175,tab_MinKomp[[Stanowisko / Position ]:[Stanowisko / Position ]],0))="n/a","n/a",AM175-INDEX(tab_MinKomp[WDRAŻANIE NOWYCH PROJEKTÓW/ PROCEDURA CTM],MATCH($B175,tab_MinKomp[[Stanowisko / Position ]:[Stanowisko / Position ]],0)))</f>
        <v>0</v>
      </c>
      <c r="AN176" s="333" t="str">
        <f>IF(INDEX(tab_MinKomp[KAMIENIE MILOWE MSL/PIFF],MATCH($B175,tab_MinKomp[[Stanowisko / Position ]:[Stanowisko / Position ]],0))="n/a","n/a",AN175-INDEX(tab_MinKomp[KAMIENIE MILOWE MSL/PIFF],MATCH($B175,tab_MinKomp[[Stanowisko / Position ]:[Stanowisko / Position ]],0)))</f>
        <v>n/a</v>
      </c>
      <c r="AO176" s="333" t="str">
        <f>IF(INDEX(tab_MinKomp[CP],MATCH($B175,tab_MinKomp[[Stanowisko / Position ]:[Stanowisko / Position ]],0))="n/a","n/a",AO175-INDEX(tab_MinKomp[CP],MATCH($B175,tab_MinKomp[[Stanowisko / Position ]:[Stanowisko / Position ]],0)))</f>
        <v>n/a</v>
      </c>
      <c r="AP176" s="333" t="str">
        <f>IF(INDEX(tab_MinKomp[FMEA],MATCH($B175,tab_MinKomp[[Stanowisko / Position ]:[Stanowisko / Position ]],0))="n/a","n/a",AP175-INDEX(tab_MinKomp[FMEA],MATCH($B175,tab_MinKomp[[Stanowisko / Position ]:[Stanowisko / Position ]],0)))</f>
        <v>n/a</v>
      </c>
      <c r="AQ176" s="333" t="str">
        <f>IF(INDEX(tab_MinKomp[APQP],MATCH($B175,tab_MinKomp[[Stanowisko / Position ]:[Stanowisko / Position ]],0))="n/a","n/a",AQ175-INDEX(tab_MinKomp[APQP],MATCH($B175,tab_MinKomp[[Stanowisko / Position ]:[Stanowisko / Position ]],0)))</f>
        <v>n/a</v>
      </c>
      <c r="AR176" s="333" t="str">
        <f>IF(INDEX(tab_MinKomp[APQP],MATCH($B175,tab_MinKomp[[Stanowisko / Position ]:[Stanowisko / Position ]],0))="n/a","n/a",AR175-INDEX(tab_MinKomp[APQP],MATCH($B175,tab_MinKomp[[Stanowisko / Position ]:[Stanowisko / Position ]],0)))</f>
        <v>n/a</v>
      </c>
      <c r="AS176" s="333" t="str">
        <f>IF(INDEX(tab_MinKomp[MSA],MATCH($B175,tab_MinKomp[[Stanowisko / Position ]:[Stanowisko / Position ]],0))="n/a","n/a",AS175-INDEX(tab_MinKomp[MSA],MATCH($B175,tab_MinKomp[[Stanowisko / Position ]:[Stanowisko / Position ]],0)))</f>
        <v>n/a</v>
      </c>
      <c r="AT176" s="333" t="str">
        <f>IF(INDEX(tab_MinKomp[SPC],MATCH($B175,tab_MinKomp[[Stanowisko / Position ]:[Stanowisko / Position ]],0))="n/a","n/a",AT175-INDEX(tab_MinKomp[SPC],MATCH($B175,tab_MinKomp[[Stanowisko / Position ]:[Stanowisko / Position ]],0)))</f>
        <v>n/a</v>
      </c>
      <c r="AU176" s="333" t="str">
        <f>IF(INDEX(tab_MinKomp[CSR (SPECYFICZNE WYMAGANIA KLIENTA)],MATCH($B175,tab_MinKomp[[Stanowisko / Position ]:[Stanowisko / Position ]],0))="n/a","n/a",AU175-INDEX(tab_MinKomp[CSR (SPECYFICZNE WYMAGANIA KLIENTA)],MATCH($B175,tab_MinKomp[[Stanowisko / Position ]:[Stanowisko / Position ]],0)))</f>
        <v>n/a</v>
      </c>
      <c r="AV176" s="333">
        <f>IF(INDEX(tab_MinKomp[5S],MATCH($B175,tab_MinKomp[[Stanowisko / Position ]:[Stanowisko / Position ]],0))="n/a","n/a",AV175-INDEX(tab_MinKomp[5S],MATCH($B175,tab_MinKomp[[Stanowisko / Position ]:[Stanowisko / Position ]],0)))</f>
        <v>-1</v>
      </c>
      <c r="AW176" s="333">
        <f>IF(INDEX(tab_MinKomp[LEAN MANAGEMENT],MATCH($B175,tab_MinKomp[[Stanowisko / Position ]:[Stanowisko / Position ]],0))="n/a","n/a",AW175-INDEX(tab_MinKomp[LEAN MANAGEMENT],MATCH($B175,tab_MinKomp[[Stanowisko / Position ]:[Stanowisko / Position ]],0)))</f>
        <v>0</v>
      </c>
      <c r="AX176" s="333">
        <f>IF(INDEX(tab_MinKomp[5R],MATCH($B175,tab_MinKomp[[Stanowisko / Position ]:[Stanowisko / Position ]],0))="n/a","n/a",AX175-INDEX(tab_MinKomp[5R],MATCH($B175,tab_MinKomp[[Stanowisko / Position ]:[Stanowisko / Position ]],0)))</f>
        <v>0</v>
      </c>
      <c r="AY176" s="333" t="str">
        <f>IF(INDEX(tab_MinKomp[Six Sigma],MATCH($B175,tab_MinKomp[[Stanowisko / Position ]:[Stanowisko / Position ]],0))="n/a","n/a",AY175-INDEX(tab_MinKomp[Six Sigma],MATCH($B175,tab_MinKomp[[Stanowisko / Position ]:[Stanowisko / Position ]],0)))</f>
        <v>n/a</v>
      </c>
      <c r="AZ176" s="333">
        <f>IF(INDEX(tab_MinKomp[System BAAN / Distribution &amp; Supply Chain],MATCH($B175,tab_MinKomp[[Stanowisko / Position ]:[Stanowisko / Position ]],0))="n/a","n/a",AZ175-INDEX(tab_MinKomp[System BAAN / Distribution &amp; Supply Chain],MATCH($B175,tab_MinKomp[[Stanowisko / Position ]:[Stanowisko / Position ]],0)))</f>
        <v>0</v>
      </c>
      <c r="BA176" s="333">
        <f>IF(INDEX(tab_MinKomp[Gospodarka magazynowa / Lagerverwaltung],MATCH($B175,tab_MinKomp[[Stanowisko / Position ]:[Stanowisko / Position ]],0))="n/a","n/a",BA175-INDEX(tab_MinKomp[Gospodarka magazynowa / Lagerverwaltung],MATCH($B175,tab_MinKomp[[Stanowisko / Position ]:[Stanowisko / Position ]],0)))</f>
        <v>-2</v>
      </c>
      <c r="BB176" s="333">
        <f>IF(INDEX(tab_MinKomp[Inwentaryzacja - organizacja i przebieg / Inventurprozess],MATCH($B175,tab_MinKomp[[Stanowisko / Position ]:[Stanowisko / Position ]],0))="n/a","n/a",BB175-INDEX(tab_MinKomp[Inwentaryzacja - organizacja i przebieg / Inventurprozess],MATCH($B175,tab_MinKomp[[Stanowisko / Position ]:[Stanowisko / Position ]],0)))</f>
        <v>-1</v>
      </c>
      <c r="BC176" s="333">
        <f>IF(INDEX(tab_MinKomp[Organizacja dostaw / Versorgungsorganisation],MATCH($B175,tab_MinKomp[[Stanowisko / Position ]:[Stanowisko / Position ]],0))="n/a","n/a",BC175-INDEX(tab_MinKomp[Organizacja dostaw / Versorgungsorganisation],MATCH($B175,tab_MinKomp[[Stanowisko / Position ]:[Stanowisko / Position ]],0)))</f>
        <v>-2</v>
      </c>
      <c r="BD176" s="333">
        <f>IF(INDEX(tab_MinKomp[Organizacja wysyłek / Organisation von Lieferungen],MATCH($B175,tab_MinKomp[[Stanowisko / Position ]:[Stanowisko / Position ]],0))="n/a","n/a",BD175-INDEX(tab_MinKomp[Organizacja wysyłek / Organisation von Lieferungen],MATCH($B175,tab_MinKomp[[Stanowisko / Position ]:[Stanowisko / Position ]],0)))</f>
        <v>0</v>
      </c>
      <c r="BE176" s="333">
        <f>IF(INDEX(tab_MinKomp[Analiza magazynowa - Program Polen.mdb / Inventuranalyse],MATCH($B175,tab_MinKomp[[Stanowisko / Position ]:[Stanowisko / Position ]],0))="n/a","n/a",BE175-INDEX(tab_MinKomp[Analiza magazynowa - Program Polen.mdb / Inventuranalyse],MATCH($B175,tab_MinKomp[[Stanowisko / Position ]:[Stanowisko / Position ]],0)))</f>
        <v>-1</v>
      </c>
      <c r="BF176" s="333">
        <f>IF(INDEX(tab_MinKomp[MMOG (Materials Management Operations Guidelines)],MATCH($B175,tab_MinKomp[[Stanowisko / Position ]:[Stanowisko / Position ]],0))="n/a","n/a",BF175-INDEX(tab_MinKomp[MMOG (Materials Management Operations Guidelines)],MATCH($B175,tab_MinKomp[[Stanowisko / Position ]:[Stanowisko / Position ]],0)))</f>
        <v>-1</v>
      </c>
      <c r="BG176" s="333">
        <f>IF(INDEX(tab_MinKomp[GPP],MATCH($B175,tab_MinKomp[[Stanowisko / Position ]:[Stanowisko / Position ]],0))="n/a","n/a",BG175-INDEX(tab_MinKomp[GPP],MATCH($B175,tab_MinKomp[[Stanowisko / Position ]:[Stanowisko / Position ]],0)))</f>
        <v>0</v>
      </c>
      <c r="BH176" s="333">
        <f>IF(INDEX(tab_MinKomp[AIAG (Automotive Industry Action Group)],MATCH($B175,tab_MinKomp[[Stanowisko / Position ]:[Stanowisko / Position ]],0))="n/a","n/a",BH175-INDEX(tab_MinKomp[AIAG (Automotive Industry Action Group)],MATCH($B175,tab_MinKomp[[Stanowisko / Position ]:[Stanowisko / Position ]],0)))</f>
        <v>0</v>
      </c>
      <c r="BI176" s="333">
        <f>IF(INDEX(tab_MinKomp[Super-G disputes],MATCH($B175,tab_MinKomp[[Stanowisko / Position ]:[Stanowisko / Position ]],0))="n/a","n/a",BI175-INDEX(tab_MinKomp[Super-G disputes],MATCH($B175,tab_MinKomp[[Stanowisko / Position ]:[Stanowisko / Position ]],0)))</f>
        <v>1</v>
      </c>
      <c r="BJ176" s="333">
        <f>IF(INDEX(tab_MinKomp[CMMS3/eDDL (Direct Data Link)],MATCH($B175,tab_MinKomp[[Stanowisko / Position ]:[Stanowisko / Position ]],0))="n/a","n/a",BJ175-INDEX(tab_MinKomp[CMMS3/eDDL (Direct Data Link)],MATCH($B175,tab_MinKomp[[Stanowisko / Position ]:[Stanowisko / Position ]],0)))</f>
        <v>2</v>
      </c>
      <c r="BK176" s="333">
        <f>IF(INDEX(tab_MinKomp[MP&amp;L (Material Planning and Logistics)],MATCH($B175,tab_MinKomp[[Stanowisko / Position ]:[Stanowisko / Position ]],0))="n/a","n/a",BK175-INDEX(tab_MinKomp[MP&amp;L (Material Planning and Logistics)],MATCH($B175,tab_MinKomp[[Stanowisko / Position ]:[Stanowisko / Position ]],0)))</f>
        <v>-1</v>
      </c>
      <c r="BL176" s="333">
        <f>IF(INDEX(tab_MinKomp[Supplier delivery rating],MATCH($B175,tab_MinKomp[[Stanowisko / Position ]:[Stanowisko / Position ]],0))="n/a","n/a",BL175-INDEX(tab_MinKomp[Supplier delivery rating],MATCH($B175,tab_MinKomp[[Stanowisko / Position ]:[Stanowisko / Position ]],0)))</f>
        <v>2</v>
      </c>
      <c r="BM176" s="333" t="str">
        <f>IF(INDEX(tab_MinKomp[Planowanie produkcji / Produktionsplanung],MATCH($B175,tab_MinKomp[[Stanowisko / Position ]:[Stanowisko / Position ]],0))="n/a","n/a",BM175-INDEX(tab_MinKomp[Planowanie produkcji / Produktionsplanung],MATCH($B175,tab_MinKomp[[Stanowisko / Position ]:[Stanowisko / Position ]],0)))</f>
        <v>n/a</v>
      </c>
      <c r="BN176" s="333" t="str">
        <f>IF(INDEX(tab_MinKomp[Obsługa maszyn Engel / Engel Maschinenbedienung],MATCH($B175,tab_MinKomp[[Stanowisko / Position ]:[Stanowisko / Position ]],0))="n/a","n/a",BN175-INDEX(tab_MinKomp[Obsługa maszyn Engel / Engel Maschinenbedienung],MATCH($B175,tab_MinKomp[[Stanowisko / Position ]:[Stanowisko / Position ]],0)))</f>
        <v>n/a</v>
      </c>
      <c r="BO176" s="333" t="str">
        <f>IF(INDEX(tab_MinKomp[Obsługa maszyn Novapax / Novapax Maschinenbedienung],MATCH($B175,tab_MinKomp[[Stanowisko / Position ]:[Stanowisko / Position ]],0))="n/a","n/a",BO175-INDEX(tab_MinKomp[Obsługa maszyn Novapax / Novapax Maschinenbedienung],MATCH($B175,tab_MinKomp[[Stanowisko / Position ]:[Stanowisko / Position ]],0)))</f>
        <v>n/a</v>
      </c>
      <c r="BP176" s="333" t="str">
        <f>IF(INDEX(tab_MinKomp[Obsługa maszyn KVT / KVT Maschinenbedienung],MATCH($B175,tab_MinKomp[[Stanowisko / Position ]:[Stanowisko / Position ]],0))="n/a","n/a",BP175-INDEX(tab_MinKomp[Obsługa maszyn KVT / KVT Maschinenbedienung],MATCH($B175,tab_MinKomp[[Stanowisko / Position ]:[Stanowisko / Position ]],0)))</f>
        <v>n/a</v>
      </c>
      <c r="BQ176" s="333" t="str">
        <f>IF(INDEX(tab_MinKomp[Obsługa maszyn ASL / ASL Maschinenbedienung],MATCH($B175,tab_MinKomp[[Stanowisko / Position ]:[Stanowisko / Position ]],0))="n/a","n/a",BQ175-INDEX(tab_MinKomp[Obsługa maszyn ASL / ASL Maschinenbedienung],MATCH($B175,tab_MinKomp[[Stanowisko / Position ]:[Stanowisko / Position ]],0)))</f>
        <v>n/a</v>
      </c>
      <c r="BR176" s="333" t="str">
        <f>IF(INDEX(tab_MinKomp[Obsługa maszyn Branson / Branson Maschinenbedienung],MATCH($B175,tab_MinKomp[[Stanowisko / Position ]:[Stanowisko / Position ]],0))="n/a","n/a",BR175-INDEX(tab_MinKomp[Obsługa maszyn Branson / Branson Maschinenbedienung],MATCH($B175,tab_MinKomp[[Stanowisko / Position ]:[Stanowisko / Position ]],0)))</f>
        <v>n/a</v>
      </c>
      <c r="BS176" s="333" t="str">
        <f>IF(INDEX(tab_MinKomp[Obsługa maszyn Kamtec / Kamtec Maschinenbedienung],MATCH($B175,tab_MinKomp[[Stanowisko / Position ]:[Stanowisko / Position ]],0))="n/a","n/a",BS175-INDEX(tab_MinKomp[Obsługa maszyn Kamtec / Kamtec Maschinenbedienung],MATCH($B175,tab_MinKomp[[Stanowisko / Position ]:[Stanowisko / Position ]],0)))</f>
        <v>n/a</v>
      </c>
      <c r="BT176" s="333" t="str">
        <f>IF(INDEX(tab_MinKomp[Obsługa maszyn Piovan / Piovan Maschinenbedienung],MATCH($B175,tab_MinKomp[[Stanowisko / Position ]:[Stanowisko / Position ]],0))="n/a","n/a",BT175-INDEX(tab_MinKomp[Obsługa maszyn Piovan / Piovan Maschinenbedienung],MATCH($B175,tab_MinKomp[[Stanowisko / Position ]:[Stanowisko / Position ]],0)))</f>
        <v>n/a</v>
      </c>
      <c r="BU176" s="333" t="str">
        <f>IF(INDEX(tab_MinKomp[Obsługa maszyn REP / REP Maschinenbedienung],MATCH($B175,tab_MinKomp[[Stanowisko / Position ]:[Stanowisko / Position ]],0))="n/a","n/a",BU175-INDEX(tab_MinKomp[Obsługa maszyn REP / REP Maschinenbedienung],MATCH($B175,tab_MinKomp[[Stanowisko / Position ]:[Stanowisko / Position ]],0)))</f>
        <v>n/a</v>
      </c>
      <c r="BV176" s="333" t="str">
        <f>IF(INDEX(tab_MinKomp[Eliminacja awarii / Beseitigung von Ausfällen],MATCH($B175,tab_MinKomp[[Stanowisko / Position ]:[Stanowisko / Position ]],0))="n/a","n/a",BV175-INDEX(tab_MinKomp[Eliminacja awarii / Beseitigung von Ausfällen],MATCH($B175,tab_MinKomp[[Stanowisko / Position ]:[Stanowisko / Position ]],0)))</f>
        <v>n/a</v>
      </c>
      <c r="BW176" s="333" t="str">
        <f>IF(INDEX(tab_MinKomp[Informatyka ogólna (techniczne i systemowe) / Allgemeine IT (Technik und System)],MATCH($B175,tab_MinKomp[[Stanowisko / Position ]:[Stanowisko / Position ]],0))="n/a","n/a",BW175-INDEX(tab_MinKomp[Informatyka ogólna (techniczne i systemowe) / Allgemeine IT (Technik und System)],MATCH($B175,tab_MinKomp[[Stanowisko / Position ]:[Stanowisko / Position ]],0)))</f>
        <v>n/a</v>
      </c>
      <c r="BX176" s="333" t="str">
        <f>IF(INDEX(tab_MinKomp[Sieci komputerowe / Computernetzwerke],MATCH($B175,tab_MinKomp[[Stanowisko / Position ]:[Stanowisko / Position ]],0))="n/a","n/a",BX175-INDEX(tab_MinKomp[Sieci komputerowe / Computernetzwerke],MATCH($B175,tab_MinKomp[[Stanowisko / Position ]:[Stanowisko / Position ]],0)))</f>
        <v>n/a</v>
      </c>
      <c r="BY176" s="333" t="str">
        <f>IF(INDEX(tab_MinKomp[Hardware (komputery PC, drukarki biurowe i etykietowe, telefonia stacjonarna i mobilna) (PC, Drucker, Telefpne, Handys)],MATCH($B175,tab_MinKomp[[Stanowisko / Position ]:[Stanowisko / Position ]],0))="n/a","n/a",BY175-INDEX(tab_MinKomp[Hardware (komputery PC, drukarki biurowe i etykietowe, telefonia stacjonarna i mobilna) (PC, Drucker, Telefpne, Handys)],MATCH($B175,tab_MinKomp[[Stanowisko / Position ]:[Stanowisko / Position ]],0)))</f>
        <v>n/a</v>
      </c>
      <c r="BZ176" s="333" t="str">
        <f>IF(INDEX(tab_MinKomp[Software &amp; Systems (MS Office, MS Remote Desktop)],MATCH($B175,tab_MinKomp[[Stanowisko / Position ]:[Stanowisko / Position ]],0))="n/a","n/a",BZ175-INDEX(tab_MinKomp[Software &amp; Systems (MS Office, MS Remote Desktop)],MATCH($B175,tab_MinKomp[[Stanowisko / Position ]:[Stanowisko / Position ]],0)))</f>
        <v>n/a</v>
      </c>
      <c r="CA176" s="333" t="str">
        <f>IF(INDEX(tab_MinKomp[Programowanie obiektowe (PHP) / Objektprogrammierung],MATCH($B175,tab_MinKomp[[Stanowisko / Position ]:[Stanowisko / Position ]],0))="n/a","n/a",CA175-INDEX(tab_MinKomp[Programowanie obiektowe (PHP) / Objektprogrammierung],MATCH($B175,tab_MinKomp[[Stanowisko / Position ]:[Stanowisko / Position ]],0)))</f>
        <v>n/a</v>
      </c>
      <c r="CB176" s="333" t="str">
        <f>IF(INDEX(tab_MinKomp[Scrum],MATCH($B175,tab_MinKomp[[Stanowisko / Position ]:[Stanowisko / Position ]],0))="n/a","n/a",CB175-INDEX(tab_MinKomp[Scrum],MATCH($B175,tab_MinKomp[[Stanowisko / Position ]:[Stanowisko / Position ]],0)))</f>
        <v>n/a</v>
      </c>
      <c r="CC176" s="333" t="str">
        <f>IF(INDEX(tab_MinKomp[SQL (MySQL)],MATCH($B175,tab_MinKomp[[Stanowisko / Position ]:[Stanowisko / Position ]],0))="n/a","n/a",CC175-INDEX(tab_MinKomp[SQL (MySQL)],MATCH($B175,tab_MinKomp[[Stanowisko / Position ]:[Stanowisko / Position ]],0)))</f>
        <v>n/a</v>
      </c>
      <c r="CD176" s="333" t="str">
        <f>IF(INDEX(tab_MinKomp[Javascript],MATCH($B175,tab_MinKomp[[Stanowisko / Position ]:[Stanowisko / Position ]],0))="n/a","n/a",CD175-INDEX(tab_MinKomp[Javascript],MATCH($B175,tab_MinKomp[[Stanowisko / Position ]:[Stanowisko / Position ]],0)))</f>
        <v>n/a</v>
      </c>
      <c r="CE176" s="333" t="str">
        <f>IF(INDEX(tab_MinKomp[Joomla],MATCH($B175,tab_MinKomp[[Stanowisko / Position ]:[Stanowisko / Position ]],0))="n/a","n/a",CE175-INDEX(tab_MinKomp[Joomla],MATCH($B175,tab_MinKomp[[Stanowisko / Position ]:[Stanowisko / Position ]],0)))</f>
        <v>n/a</v>
      </c>
      <c r="CF176" s="333" t="str">
        <f>IF(INDEX(tab_MinKomp[Bash],MATCH($B175,tab_MinKomp[[Stanowisko / Position ]:[Stanowisko / Position ]],0))="n/a","n/a",CF175-INDEX(tab_MinKomp[Bash],MATCH($B175,tab_MinKomp[[Stanowisko / Position ]:[Stanowisko / Position ]],0)))</f>
        <v>n/a</v>
      </c>
      <c r="CG176" s="333" t="str">
        <f>IF(INDEX(tab_MinKomp[Systemy MES (HYDRA / SFMS)],MATCH($B175,tab_MinKomp[[Stanowisko / Position ]:[Stanowisko / Position ]],0))="n/a","n/a",CG175-INDEX(tab_MinKomp[Systemy MES (HYDRA / SFMS)],MATCH($B175,tab_MinKomp[[Stanowisko / Position ]:[Stanowisko / Position ]],0)))</f>
        <v>n/a</v>
      </c>
      <c r="CH176" s="333" t="str">
        <f>IF(INDEX(tab_MinKomp[HTML / CSS],MATCH($B175,tab_MinKomp[[Stanowisko / Position ]:[Stanowisko / Position ]],0))="n/a","n/a",CH175-INDEX(tab_MinKomp[HTML / CSS],MATCH($B175,tab_MinKomp[[Stanowisko / Position ]:[Stanowisko / Position ]],0)))</f>
        <v>n/a</v>
      </c>
      <c r="CI176" s="333">
        <f>IF(INDEX(tab_MinKomp[SYSTEM PR],MATCH($B175,tab_MinKomp[[Stanowisko / Position ]:[Stanowisko / Position ]],0))="n/a","n/a",CI175-INDEX(tab_MinKomp[SYSTEM PR],MATCH($B175,tab_MinKomp[[Stanowisko / Position ]:[Stanowisko / Position ]],0)))</f>
        <v>-1</v>
      </c>
      <c r="CJ176" s="333" t="str">
        <f>IF(INDEX(tab_MinKomp[System Einkauf XP / EBA],MATCH($B175,tab_MinKomp[[Stanowisko / Position ]:[Stanowisko / Position ]],0))="n/a","n/a",CJ175-INDEX(tab_MinKomp[System Einkauf XP / EBA],MATCH($B175,tab_MinKomp[[Stanowisko / Position ]:[Stanowisko / Position ]],0)))</f>
        <v>n/a</v>
      </c>
      <c r="CK176" s="333" t="str">
        <f>IF(INDEX(tab_MinKomp[Techniki negocjacyjne / Verhandlungstechniken],MATCH($B175,tab_MinKomp[[Stanowisko / Position ]:[Stanowisko / Position ]],0))="n/a","n/a",CK175-INDEX(tab_MinKomp[Techniki negocjacyjne / Verhandlungstechniken],MATCH($B175,tab_MinKomp[[Stanowisko / Position ]:[Stanowisko / Position ]],0)))</f>
        <v>n/a</v>
      </c>
      <c r="CL176" s="333">
        <f>IF(INDEX(tab_MinKomp[Znajomość rynku branżowego / Kenntnis des Industrie Marktes],MATCH($B175,tab_MinKomp[[Stanowisko / Position ]:[Stanowisko / Position ]],0))="n/a","n/a",CL175-INDEX(tab_MinKomp[Znajomość rynku branżowego / Kenntnis des Industrie Marktes],MATCH($B175,tab_MinKomp[[Stanowisko / Position ]:[Stanowisko / Position ]],0)))</f>
        <v>0</v>
      </c>
      <c r="CM176" s="333">
        <f>IF(INDEX(tab_MinKomp[RAPORTY 8D / 8D Berichten],MATCH($B175,tab_MinKomp[[Stanowisko / Position ]:[Stanowisko / Position ]],0))="n/a","n/a",CM175-INDEX(tab_MinKomp[RAPORTY 8D / 8D Berichten],MATCH($B175,tab_MinKomp[[Stanowisko / Position ]:[Stanowisko / Position ]],0)))</f>
        <v>0</v>
      </c>
      <c r="CN176" s="333">
        <f>IF(INDEX(tab_MinKomp[NARZĘDZIA JAKOŚCIOWE (5WHY, Ishikawa, etc) / QS-Werkzeuge],MATCH($B175,tab_MinKomp[[Stanowisko / Position ]:[Stanowisko / Position ]],0))="n/a","n/a",CN175-INDEX(tab_MinKomp[NARZĘDZIA JAKOŚCIOWE (5WHY, Ishikawa, etc) / QS-Werkzeuge],MATCH($B175,tab_MinKomp[[Stanowisko / Position ]:[Stanowisko / Position ]],0)))</f>
        <v>0</v>
      </c>
      <c r="CO176" s="333">
        <f>IF(INDEX(tab_MinKomp[PDCA],MATCH($B175,tab_MinKomp[[Stanowisko / Position ]:[Stanowisko / Position ]],0))="n/a","n/a",CO175-INDEX(tab_MinKomp[PDCA],MATCH($B175,tab_MinKomp[[Stanowisko / Position ]:[Stanowisko / Position ]],0)))</f>
        <v>0</v>
      </c>
      <c r="CP176" s="333">
        <f>IF(INDEX(tab_MinKomp[Pareto],MATCH($B175,tab_MinKomp[[Stanowisko / Position ]:[Stanowisko / Position ]],0))="n/a","n/a",CP175-INDEX(tab_MinKomp[Pareto],MATCH($B175,tab_MinKomp[[Stanowisko / Position ]:[Stanowisko / Position ]],0)))</f>
        <v>0</v>
      </c>
      <c r="CQ176" s="333">
        <f>IF(INDEX(tab_MinKomp[PPAP/PSW],MATCH($B175,tab_MinKomp[[Stanowisko / Position ]:[Stanowisko / Position ]],0))="n/a","n/a",CQ175-INDEX(tab_MinKomp[PPAP/PSW],MATCH($B175,tab_MinKomp[[Stanowisko / Position ]:[Stanowisko / Position ]],0)))</f>
        <v>0</v>
      </c>
      <c r="CR176" s="333">
        <f>IF(INDEX(tab_MinKomp[PPAP/PSW],MATCH($B175,tab_MinKomp[[Stanowisko / Position ]:[Stanowisko / Position ]],0))="n/a","n/a",CR175-INDEX(tab_MinKomp[PPAP/PSW],MATCH($B175,tab_MinKomp[[Stanowisko / Position ]:[Stanowisko / Position ]],0)))</f>
        <v>0</v>
      </c>
      <c r="CS176" s="333">
        <f>IF(INDEX(tab_MinKomp[OBSŁUGA PORTALI KLIENTA / Kundenportale],MATCH($B175,tab_MinKomp[[Stanowisko / Position ]:[Stanowisko / Position ]],0))="n/a","n/a",CS175-INDEX(tab_MinKomp[OBSŁUGA PORTALI KLIENTA / Kundenportale],MATCH($B175,tab_MinKomp[[Stanowisko / Position ]:[Stanowisko / Position ]],0)))</f>
        <v>-1</v>
      </c>
      <c r="CT176" s="333">
        <f>IF(INDEX(tab_MinKomp[Obsługa systemu BABTECQ / BABTECQ System],MATCH($B175,tab_MinKomp[[Stanowisko / Position ]:[Stanowisko / Position ]],0))="n/a","n/a",CT175-INDEX(tab_MinKomp[Obsługa systemu BABTECQ / BABTECQ System],MATCH($B175,tab_MinKomp[[Stanowisko / Position ]:[Stanowisko / Position ]],0)))</f>
        <v>0</v>
      </c>
      <c r="CU176" s="333" t="str">
        <f>IF(INDEX(tab_MinKomp[Rysunek techniczny / technische Zeichnung],MATCH($B175,tab_MinKomp[[Stanowisko / Position ]:[Stanowisko / Position ]],0))="n/a","n/a",CU175-INDEX(tab_MinKomp[Rysunek techniczny / technische Zeichnung],MATCH($B175,tab_MinKomp[[Stanowisko / Position ]:[Stanowisko / Position ]],0)))</f>
        <v>n/a</v>
      </c>
      <c r="CV176" s="333" t="str">
        <f>IF(INDEX(tab_MinKomp[Kalibracja / Kalibrierung],MATCH($B175,tab_MinKomp[[Stanowisko / Position ]:[Stanowisko / Position ]],0))="n/a","n/a",CV175-INDEX(tab_MinKomp[Kalibracja / Kalibrierung],MATCH($B175,tab_MinKomp[[Stanowisko / Position ]:[Stanowisko / Position ]],0)))</f>
        <v>n/a</v>
      </c>
      <c r="CW176" s="333" t="str">
        <f>IF(INDEX(tab_MinKomp[Rekwalifikacja / Requalifizierung],MATCH($B175,tab_MinKomp[[Stanowisko / Position ]:[Stanowisko / Position ]],0))="n/a","n/a",CW175-INDEX(tab_MinKomp[Rekwalifikacja / Requalifizierung],MATCH($B175,tab_MinKomp[[Stanowisko / Position ]:[Stanowisko / Position ]],0)))</f>
        <v>n/a</v>
      </c>
      <c r="CX176" s="333" t="s">
        <v>176</v>
      </c>
      <c r="CY176" s="333" t="s">
        <v>176</v>
      </c>
      <c r="CZ176" s="333" t="s">
        <v>176</v>
      </c>
      <c r="DA176" s="333" t="s">
        <v>176</v>
      </c>
      <c r="DB176" s="333" t="s">
        <v>176</v>
      </c>
      <c r="DC176" s="333" t="s">
        <v>176</v>
      </c>
      <c r="DD176" s="333" t="s">
        <v>176</v>
      </c>
      <c r="DE176" s="333" t="s">
        <v>176</v>
      </c>
      <c r="DF176" s="333" t="s">
        <v>176</v>
      </c>
      <c r="DG176" s="333" t="s">
        <v>176</v>
      </c>
      <c r="DH176" s="333" t="s">
        <v>176</v>
      </c>
      <c r="DI176" s="333" t="s">
        <v>176</v>
      </c>
      <c r="DJ176" s="333" t="s">
        <v>176</v>
      </c>
      <c r="DK176" s="333" t="s">
        <v>176</v>
      </c>
      <c r="DL176" s="333" t="s">
        <v>176</v>
      </c>
      <c r="DM176" s="333" t="s">
        <v>176</v>
      </c>
      <c r="DN176" s="333" t="s">
        <v>176</v>
      </c>
      <c r="DO176" s="333" t="s">
        <v>176</v>
      </c>
      <c r="DP176" s="333" t="s">
        <v>176</v>
      </c>
      <c r="DQ176" s="333" t="s">
        <v>176</v>
      </c>
      <c r="DR176" s="333" t="s">
        <v>176</v>
      </c>
      <c r="DS176" s="333" t="s">
        <v>176</v>
      </c>
      <c r="DT176" s="333" t="s">
        <v>176</v>
      </c>
      <c r="DU176" s="333" t="s">
        <v>176</v>
      </c>
      <c r="DV176" s="333" t="str">
        <f>IF(INDEX(tab_MinKomp[Kontrola wejściowa komponentów/ Eingangskontrolle],MATCH($B175,tab_MinKomp[[Stanowisko / Position ]:[Stanowisko / Position ]],0))="n/a","n/a",DV175-INDEX(tab_MinKomp[Kontrola wejściowa komponentów/ Eingangskontrolle],MATCH($B175,tab_MinKomp[[Stanowisko / Position ]:[Stanowisko / Position ]],0)))</f>
        <v>n/a</v>
      </c>
      <c r="DW176" s="333" t="str">
        <f>IF(INDEX(tab_MinKomp[Kontrola wyjściowa produktu / Ausgangskontrolle],MATCH($B175,tab_MinKomp[[Stanowisko / Position ]:[Stanowisko / Position ]],0))="n/a","n/a",DW175-INDEX(tab_MinKomp[Kontrola wyjściowa produktu / Ausgangskontrolle],MATCH($B175,tab_MinKomp[[Stanowisko / Position ]:[Stanowisko / Position ]],0)))</f>
        <v>n/a</v>
      </c>
      <c r="DX176" s="333" t="str">
        <f>IF(INDEX(tab_MinKomp[Kontrola codzienna produkcji / Tägliche Produktionskontrolle],MATCH($B175,tab_MinKomp[[Stanowisko / Position ]:[Stanowisko / Position ]],0))="n/a","n/a",DX175-INDEX(tab_MinKomp[Kontrola codzienna produkcji / Tägliche Produktionskontrolle],MATCH($B175,tab_MinKomp[[Stanowisko / Position ]:[Stanowisko / Position ]],0)))</f>
        <v>n/a</v>
      </c>
      <c r="DY176" s="333" t="str">
        <f>IF(INDEX(tab_MinKomp[Konserwacja Rep],MATCH($B175,tab_MinKomp[[Stanowisko / Position ]:[Stanowisko / Position ]],0))="n/a","n/a",DY175-INDEX(tab_MinKomp[Konserwacja Rep],MATCH($B175,tab_MinKomp[[Stanowisko / Position ]:[Stanowisko / Position ]],0)))</f>
        <v>n/a</v>
      </c>
      <c r="DZ176" s="333" t="str">
        <f>IF(INDEX(tab_MinKomp[[Konserwacja Engel ]],MATCH($B175,tab_MinKomp[[Stanowisko / Position ]:[Stanowisko / Position ]],0))="n/a","n/a",DZ175-INDEX(tab_MinKomp[[Konserwacja Engel ]],MATCH($B175,tab_MinKomp[[Stanowisko / Position ]:[Stanowisko / Position ]],0)))</f>
        <v>n/a</v>
      </c>
      <c r="EA176" s="333" t="str">
        <f>IF(INDEX(tab_MinKomp[Konserwacja B 50],MATCH($B175,tab_MinKomp[[Stanowisko / Position ]:[Stanowisko / Position ]],0))="n/a","n/a",EA175-INDEX(tab_MinKomp[Konserwacja B 50],MATCH($B175,tab_MinKomp[[Stanowisko / Position ]:[Stanowisko / Position ]],0)))</f>
        <v>n/a</v>
      </c>
      <c r="EB176" s="333" t="str">
        <f>IF(INDEX(tab_MinKomp[[Konserwacja EOL ]],MATCH($B175,tab_MinKomp[[Stanowisko / Position ]:[Stanowisko / Position ]],0))="n/a","n/a",EB175-INDEX(tab_MinKomp[[Konserwacja EOL ]],MATCH($B175,tab_MinKomp[[Stanowisko / Position ]:[Stanowisko / Position ]],0)))</f>
        <v>n/a</v>
      </c>
      <c r="EC176" s="333" t="str">
        <f>IF(INDEX(tab_MinKomp[Konserwacja Branson],MATCH($B175,tab_MinKomp[[Stanowisko / Position ]:[Stanowisko / Position ]],0))="n/a","n/a",EC175-INDEX(tab_MinKomp[Konserwacja Branson],MATCH($B175,tab_MinKomp[[Stanowisko / Position ]:[Stanowisko / Position ]],0)))</f>
        <v>n/a</v>
      </c>
      <c r="ED176" s="333" t="str">
        <f>IF(INDEX(tab_MinKomp[Konserwacja coolery],MATCH($B175,tab_MinKomp[[Stanowisko / Position ]:[Stanowisko / Position ]],0))="n/a","n/a",ED175-INDEX(tab_MinKomp[Konserwacja coolery],MATCH($B175,tab_MinKomp[[Stanowisko / Position ]:[Stanowisko / Position ]],0)))</f>
        <v>n/a</v>
      </c>
      <c r="EE176" s="333" t="str">
        <f>IF(INDEX(tab_MinKomp[Konserwacja piecy],MATCH($B175,tab_MinKomp[[Stanowisko / Position ]:[Stanowisko / Position ]],0))="n/a","n/a",EE175-INDEX(tab_MinKomp[Konserwacja piecy],MATCH($B175,tab_MinKomp[[Stanowisko / Position ]:[Stanowisko / Position ]],0)))</f>
        <v>n/a</v>
      </c>
      <c r="EF176" s="333" t="str">
        <f>IF(INDEX(tab_MinKomp[Rysunek techniczny- czytanie],MATCH($B175,tab_MinKomp[[Stanowisko / Position ]:[Stanowisko / Position ]],0))="n/a","n/a",EF175-INDEX(tab_MinKomp[Rysunek techniczny- czytanie],MATCH($B175,tab_MinKomp[[Stanowisko / Position ]:[Stanowisko / Position ]],0)))</f>
        <v>n/a</v>
      </c>
      <c r="EG176" s="333" t="str">
        <f>IF(INDEX(tab_MinKomp[Elektryka],MATCH($B175,tab_MinKomp[[Stanowisko / Position ]:[Stanowisko / Position ]],0))="n/a","n/a",EG175-INDEX(tab_MinKomp[Elektryka],MATCH($B175,tab_MinKomp[[Stanowisko / Position ]:[Stanowisko / Position ]],0)))</f>
        <v>n/a</v>
      </c>
      <c r="EH176" s="333" t="str">
        <f>IF(INDEX(tab_MinKomp[Pneumatyka],MATCH($B175,tab_MinKomp[[Stanowisko / Position ]:[Stanowisko / Position ]],0))="n/a","n/a",EH175-INDEX(tab_MinKomp[Pneumatyka],MATCH($B175,tab_MinKomp[[Stanowisko / Position ]:[Stanowisko / Position ]],0)))</f>
        <v>n/a</v>
      </c>
      <c r="EI176" s="333" t="str">
        <f>IF(INDEX(tab_MinKomp[[Hydraulika ]],MATCH($B175,tab_MinKomp[[Stanowisko / Position ]:[Stanowisko / Position ]],0))="n/a","n/a",EI175-INDEX(tab_MinKomp[[Hydraulika ]],MATCH($B175,tab_MinKomp[[Stanowisko / Position ]:[Stanowisko / Position ]],0)))</f>
        <v>n/a</v>
      </c>
      <c r="EJ176" s="333" t="str">
        <f>IF(INDEX(tab_MinKomp[Podciśnienie],MATCH($B175,tab_MinKomp[[Stanowisko / Position ]:[Stanowisko / Position ]],0))="n/a","n/a",EJ175-INDEX(tab_MinKomp[Podciśnienie],MATCH($B175,tab_MinKomp[[Stanowisko / Position ]:[Stanowisko / Position ]],0)))</f>
        <v>n/a</v>
      </c>
      <c r="EK176" s="333" t="str">
        <f>IF(INDEX(tab_MinKomp[Usuwanie awarii],MATCH($B175,tab_MinKomp[[Stanowisko / Position ]:[Stanowisko / Position ]],0))="n/a","n/a",EK175-INDEX(tab_MinKomp[Usuwanie awarii],MATCH($B175,tab_MinKomp[[Stanowisko / Position ]:[Stanowisko / Position ]],0)))</f>
        <v>n/a</v>
      </c>
      <c r="EL176" s="333" t="str">
        <f>IF(INDEX(tab_MinKomp[Obsługa robotów],MATCH($B175,tab_MinKomp[[Stanowisko / Position ]:[Stanowisko / Position ]],0))="n/a","n/a",EL175-INDEX(tab_MinKomp[Obsługa robotów],MATCH($B175,tab_MinKomp[[Stanowisko / Position ]:[Stanowisko / Position ]],0)))</f>
        <v>n/a</v>
      </c>
      <c r="EM176" s="333" t="str">
        <f>IF(INDEX(tab_MinKomp[Obsługa sterowania maszyny],MATCH($B175,tab_MinKomp[[Stanowisko / Position ]:[Stanowisko / Position ]],0))="n/a","n/a",EM175-INDEX(tab_MinKomp[Obsługa sterowania maszyny],MATCH($B175,tab_MinKomp[[Stanowisko / Position ]:[Stanowisko / Position ]],0)))</f>
        <v>n/a</v>
      </c>
      <c r="EN176" s="333" t="str">
        <f>IF(INDEX(tab_MinKomp[Usuwanie przyczyn żródłowych],MATCH($B175,tab_MinKomp[[Stanowisko / Position ]:[Stanowisko / Position ]],0))="n/a","n/a",EN175-INDEX(tab_MinKomp[Usuwanie przyczyn żródłowych],MATCH($B175,tab_MinKomp[[Stanowisko / Position ]:[Stanowisko / Position ]],0)))</f>
        <v>n/a</v>
      </c>
      <c r="EO176" s="333" t="str">
        <f>IF(INDEX(tab_MinKomp[Cmms stosowanie],MATCH($B175,tab_MinKomp[[Stanowisko / Position ]:[Stanowisko / Position ]],0))="n/a","n/a",EO175-INDEX(tab_MinKomp[Cmms stosowanie],MATCH($B175,tab_MinKomp[[Stanowisko / Position ]:[Stanowisko / Position ]],0)))</f>
        <v>n/a</v>
      </c>
      <c r="EP176" s="333" t="str">
        <f>IF(INDEX(tab_MinKomp[[Czyszczenie form gumowych ]],MATCH($B175,tab_MinKomp[[Stanowisko / Position ]:[Stanowisko / Position ]],0))="n/a","n/a",EP175-INDEX(tab_MinKomp[[Czyszczenie form gumowych ]],MATCH($B175,tab_MinKomp[[Stanowisko / Position ]:[Stanowisko / Position ]],0)))</f>
        <v>n/a</v>
      </c>
      <c r="EQ176" s="333" t="str">
        <f>IF(INDEX(tab_MinKomp[Czyszczenie form plastikowych],MATCH($B175,tab_MinKomp[[Stanowisko / Position ]:[Stanowisko / Position ]],0))="n/a","n/a",EQ175-INDEX(tab_MinKomp[Czyszczenie form plastikowych],MATCH($B175,tab_MinKomp[[Stanowisko / Position ]:[Stanowisko / Position ]],0)))</f>
        <v>n/a</v>
      </c>
      <c r="ER176" s="333" t="str">
        <f>IF(INDEX(tab_MinKomp[Wymiana form plastik],MATCH($B175,tab_MinKomp[[Stanowisko / Position ]:[Stanowisko / Position ]],0))="n/a","n/a",ER175-INDEX(tab_MinKomp[Wymiana form plastik],MATCH($B175,tab_MinKomp[[Stanowisko / Position ]:[Stanowisko / Position ]],0)))</f>
        <v>n/a</v>
      </c>
      <c r="ES176" s="333" t="str">
        <f>IF(INDEX(tab_MinKomp[Wymiana form guma],MATCH($B175,tab_MinKomp[[Stanowisko / Position ]:[Stanowisko / Position ]],0))="n/a","n/a",ES175-INDEX(tab_MinKomp[Wymiana form guma],MATCH($B175,tab_MinKomp[[Stanowisko / Position ]:[Stanowisko / Position ]],0)))</f>
        <v>n/a</v>
      </c>
      <c r="ET176" s="333" t="str">
        <f>IF(INDEX(tab_MinKomp[Konserwacja KK],MATCH($B175,tab_MinKomp[[Stanowisko / Position ]:[Stanowisko / Position ]],0))="n/a","n/a",ET175-INDEX(tab_MinKomp[Konserwacja KK],MATCH($B175,tab_MinKomp[[Stanowisko / Position ]:[Stanowisko / Position ]],0)))</f>
        <v>n/a</v>
      </c>
      <c r="EU176" s="333" t="str">
        <f>IF(INDEX(tab_MinKomp[Konserwacja form guma],MATCH($B175,tab_MinKomp[[Stanowisko / Position ]:[Stanowisko / Position ]],0))="n/a","n/a",EU175-INDEX(tab_MinKomp[Konserwacja form guma],MATCH($B175,tab_MinKomp[[Stanowisko / Position ]:[Stanowisko / Position ]],0)))</f>
        <v>n/a</v>
      </c>
      <c r="EV176" s="333" t="str">
        <f>IF(INDEX(tab_MinKomp[Konserwacja form plastiki],MATCH($B175,tab_MinKomp[[Stanowisko / Position ]:[Stanowisko / Position ]],0))="n/a","n/a",EV175-INDEX(tab_MinKomp[Konserwacja form plastiki],MATCH($B175,tab_MinKomp[[Stanowisko / Position ]:[Stanowisko / Position ]],0)))</f>
        <v>n/a</v>
      </c>
      <c r="EW176" s="330" t="str">
        <f>IF(INDEX(tab_MinKomp[Konserwacja form plastiki],MATCH($B175,tab_MinKomp[[Stanowisko / Position ]:[Stanowisko / Position ]],0))="n/a","n/a",EW175-INDEX(tab_MinKomp[Konserwacja form plastiki],MATCH($B175,tab_MinKomp[[Stanowisko / Position ]:[Stanowisko / Position ]],0)))</f>
        <v>n/a</v>
      </c>
      <c r="EX176" s="333" t="str">
        <f>IF(INDEX(tab_MinKomp[Konserwacja Gorącego Kanału],MATCH($B175,tab_MinKomp[[Stanowisko / Position ]:[Stanowisko / Position ]],0))="n/a","n/a",EX175-INDEX(tab_MinKomp[Konserwacja Gorącego Kanału],MATCH($B175,tab_MinKomp[[Stanowisko / Position ]:[Stanowisko / Position ]],0)))</f>
        <v>n/a</v>
      </c>
      <c r="EY176" s="333">
        <f>IF(INDEX(tab_MinKomp[MS Office (Excel)],MATCH($B175,tab_MinKomp[[Stanowisko / Position ]:[Stanowisko / Position ]],0))="n/a","n/a",EY175-INDEX(tab_MinKomp[MS Office (Excel)],MATCH($B175,tab_MinKomp[[Stanowisko / Position ]:[Stanowisko / Position ]],0)))</f>
        <v>-1</v>
      </c>
      <c r="EZ176" s="333">
        <f>IF(INDEX(tab_MinKomp[MS Office (Word)],MATCH($B175,tab_MinKomp[[Stanowisko / Position ]:[Stanowisko / Position ]],0))="n/a","n/a",EZ175-INDEX(tab_MinKomp[MS Office (Word)],MATCH($B175,tab_MinKomp[[Stanowisko / Position ]:[Stanowisko / Position ]],0)))</f>
        <v>-1</v>
      </c>
      <c r="FA176" s="333">
        <f>IF(INDEX(tab_MinKomp[MS Office (Power Point)],MATCH($B175,tab_MinKomp[[Stanowisko / Position ]:[Stanowisko / Position ]],0))="n/a","n/a",FA175-INDEX(tab_MinKomp[MS Office (Power Point)],MATCH($B175,tab_MinKomp[[Stanowisko / Position ]:[Stanowisko / Position ]],0)))</f>
        <v>-1</v>
      </c>
      <c r="FB176" s="354">
        <f>IF(INDEX(tab_MinKomp[Język angielski / Englisch],MATCH($B175,tab_MinKomp[[Stanowisko / Position ]:[Stanowisko / Position ]],0))="n/a","n/a",FB175-INDEX(tab_MinKomp[Język angielski / Englisch],MATCH($B175,tab_MinKomp[[Stanowisko / Position ]:[Stanowisko / Position ]],0)))</f>
        <v>1</v>
      </c>
      <c r="FC176" s="354" t="str">
        <f>IF(INDEX(tab_MinKomp[Język niemiecki / Deutsch],MATCH($B175,tab_MinKomp[[Stanowisko / Position ]:[Stanowisko / Position ]],0))="n/a","n/a",FC175-INDEX(tab_MinKomp[Język niemiecki / Deutsch],MATCH($B175,tab_MinKomp[[Stanowisko / Position ]:[Stanowisko / Position ]],0)))</f>
        <v>n/a</v>
      </c>
      <c r="FD176" s="333">
        <f>IF(INDEX(tab_MinKomp[Zarządzanie dokumentacją procesową / Process dokumentation management],MATCH($B175,tab_MinKomp[[Stanowisko / Position ]:[Stanowisko / Position ]],0))="n/a","n/a",FD175-INDEX(tab_MinKomp[Zarządzanie dokumentacją procesową / Process dokumentation management],MATCH($B175,tab_MinKomp[[Stanowisko / Position ]:[Stanowisko / Position ]],0)))</f>
        <v>0</v>
      </c>
      <c r="FE176" s="333">
        <f>IF(INDEX(tab_MinKomp[Znajomość procesów z obszaru / Kenntiss der prozesse in dem Bereich],MATCH($B175,tab_MinKomp[[Stanowisko / Position ]:[Stanowisko / Position ]],0))="n/a","n/a",FE175-INDEX(tab_MinKomp[Znajomość procesów z obszaru / Kenntiss der prozesse in dem Bereich],MATCH($B175,tab_MinKomp[[Stanowisko / Position ]:[Stanowisko / Position ]],0)))</f>
        <v>-1</v>
      </c>
      <c r="FF176" s="333">
        <f>IF(INDEX(tab_MinKomp[optymalizacja procesów / Prozessoptymalisierung],MATCH($B175,tab_MinKomp[[Stanowisko / Position ]:[Stanowisko / Position ]],0))="n/a","n/a",FF175-INDEX(tab_MinKomp[optymalizacja procesów / Prozessoptymalisierung],MATCH($B175,tab_MinKomp[[Stanowisko / Position ]:[Stanowisko / Position ]],0)))</f>
        <v>-2</v>
      </c>
      <c r="FG176" s="333">
        <f>IF(INDEX(tab_MinKomp[Umiejętności szkoleniowe / Trainingsfähigkeiten],MATCH($B175,tab_MinKomp[[Stanowisko / Position ]:[Stanowisko / Position ]],0))="n/a","n/a",FG175-INDEX(tab_MinKomp[Umiejętności szkoleniowe / Trainingsfähigkeiten],MATCH($B175,tab_MinKomp[[Stanowisko / Position ]:[Stanowisko / Position ]],0)))</f>
        <v>-1</v>
      </c>
      <c r="FH176" s="333">
        <f>IF(INDEX(tab_MinKomp[Analityczne myślenie, podejście / Analitysches Denken, Einstellung],MATCH($B175,tab_MinKomp[[Stanowisko / Position ]:[Stanowisko / Position ]],0))="n/a","n/a",FH175-INDEX(tab_MinKomp[Analityczne myślenie, podejście / Analitysches Denken, Einstellung],MATCH($B175,tab_MinKomp[[Stanowisko / Position ]:[Stanowisko / Position ]],0)))</f>
        <v>0</v>
      </c>
      <c r="FI176" s="333">
        <f>IF(INDEX(tab_MinKomp[Dokładność, precyzja w dzialaniu / Genauigkeit, Präzision in die Arbeit],MATCH($B175,tab_MinKomp[[Stanowisko / Position ]:[Stanowisko / Position ]],0))="n/a","n/a",FI175-INDEX(tab_MinKomp[Dokładność, precyzja w dzialaniu / Genauigkeit, Präzision in die Arbeit],MATCH($B175,tab_MinKomp[[Stanowisko / Position ]:[Stanowisko / Position ]],0)))</f>
        <v>0</v>
      </c>
      <c r="FJ176" s="333">
        <f>IF(INDEX(tab_MinKomp[Dyspozycyjność / Verfügbarkeit],MATCH($B175,tab_MinKomp[[Stanowisko / Position ]:[Stanowisko / Position ]],0))="n/a","n/a",FJ175-INDEX(tab_MinKomp[Dyspozycyjność / Verfügbarkeit],MATCH($B175,tab_MinKomp[[Stanowisko / Position ]:[Stanowisko / Position ]],0)))</f>
        <v>0</v>
      </c>
      <c r="FK176" s="333">
        <f>IF(INDEX(tab_MinKomp[Zaangażowanie / 
Engagement],MATCH($B175,tab_MinKomp[[Stanowisko / Position ]:[Stanowisko / Position ]],0))="n/a","n/a",FK175-INDEX(tab_MinKomp[Zaangażowanie / 
Engagement],MATCH($B175,tab_MinKomp[[Stanowisko / Position ]:[Stanowisko / Position ]],0)))</f>
        <v>1</v>
      </c>
      <c r="FL176" s="333">
        <f>IF(INDEX(tab_MinKomp[Planowanie strategiczne / Strategische Planung],MATCH($B175,tab_MinKomp[[Stanowisko / Position ]:[Stanowisko / Position ]],0))="n/a","n/a",FL175-INDEX(tab_MinKomp[Planowanie strategiczne / Strategische Planung],MATCH($B175,tab_MinKomp[[Stanowisko / Position ]:[Stanowisko / Position ]],0)))</f>
        <v>-1</v>
      </c>
      <c r="FM176" s="333">
        <f>IF(INDEX(tab_MinKomp[Konsekwentne i dynamiczne działanie],MATCH($B175,tab_MinKomp[[Stanowisko / Position ]:[Stanowisko / Position ]],0))="n/a","n/a",FM175-INDEX(tab_MinKomp[Konsekwentne i dynamiczne działanie],MATCH($B175,tab_MinKomp[[Stanowisko / Position ]:[Stanowisko / Position ]],0)))</f>
        <v>0</v>
      </c>
      <c r="FN176" s="333">
        <f>IF(INDEX(tab_MinKomp[Elastyczność w działaniu],MATCH($B175,tab_MinKomp[[Stanowisko / Position ]:[Stanowisko / Position ]],0))="n/a","n/a",FN175-INDEX(tab_MinKomp[Elastyczność w działaniu],MATCH($B175,tab_MinKomp[[Stanowisko / Position ]:[Stanowisko / Position ]],0)))</f>
        <v>0</v>
      </c>
      <c r="FO176" s="333">
        <f>IF(INDEX(tab_MinKomp[Komunikatywność],MATCH($B175,tab_MinKomp[[Stanowisko / Position ]:[Stanowisko / Position ]],0))="n/a","n/a",FO175-INDEX(tab_MinKomp[Komunikatywność],MATCH($B175,tab_MinKomp[[Stanowisko / Position ]:[Stanowisko / Position ]],0)))</f>
        <v>0</v>
      </c>
      <c r="FP176" s="334" t="str">
        <f>IF(INDEX(tab_MinKomp[Motywowanie i budowanie zaangażowania zespołu],MATCH($B175,tab_MinKomp[[Stanowisko / Position ]:[Stanowisko / Position ]],0))="n/a","n/a",FP175-INDEX(tab_MinKomp[Motywowanie i budowanie zaangażowania zespołu],MATCH($B175,tab_MinKomp[[Stanowisko / Position ]:[Stanowisko / Position ]],0)))</f>
        <v>n/a</v>
      </c>
      <c r="FQ176" s="335" t="str">
        <f>IFERROR(IF(INDEX(tab_MinKomp[BRAK / Keine],MATCH($B175,tab_MinKomp[[Stanowisko / Position ]:[Stanowisko / Position ]],0))="n/a","n/a",INDEX(tab_MinKomp[BRAK / Keine],MATCH($B175,tab_MinKomp[[Stanowisko / Position ]:[Stanowisko / Position ]],0))-FQ175),"")</f>
        <v>n/a</v>
      </c>
      <c r="FR176" s="333" t="str">
        <f>IF(INDEX(tab_MinKomp[MINIMUM 1 ROK / min. 1 Jahr],MATCH($B175,tab_MinKomp[[Stanowisko / Position ]:[Stanowisko / Position ]],0))="n/a","n/a",INDEX(tab_MinKomp[MINIMUM 1 ROK / min. 1 Jahr],MATCH($B175,tab_MinKomp[[Stanowisko / Position ]:[Stanowisko / Position ]],0)))</f>
        <v>n/a</v>
      </c>
      <c r="FS176" s="333" t="str">
        <f>IF(INDEX(tab_MinKomp[MINIMUM 2 LATA / min. 2 Jahre],MATCH($B175,tab_MinKomp[[Stanowisko / Position ]:[Stanowisko / Position ]],0))="n/a","n/a",INDEX(tab_MinKomp[MINIMUM 2 LATA / min. 2 Jahre],MATCH($B175,tab_MinKomp[[Stanowisko / Position ]:[Stanowisko / Position ]],0)))</f>
        <v>x</v>
      </c>
      <c r="FT176" s="333" t="str">
        <f>IF(INDEX(tab_MinKomp[MINIMUM 3 LATA / min. 3 Jahre],MATCH($B175,tab_MinKomp[[Stanowisko / Position ]:[Stanowisko / Position ]],0))="n/a","n/a",INDEX(tab_MinKomp[MINIMUM 3 LATA / min. 3 Jahre],MATCH($B175,tab_MinKomp[[Stanowisko / Position ]:[Stanowisko / Position ]],0)))</f>
        <v>n/a</v>
      </c>
      <c r="FU176" s="333" t="str">
        <f>IF(INDEX(tab_MinKomp[MINIMUM 4 LATA / min. 4 Jahre],MATCH($B175,tab_MinKomp[[Stanowisko / Position ]:[Stanowisko / Position ]],0))="n/a","n/a",INDEX(tab_MinKomp[MINIMUM 4 LATA / min. 4 Jahre],MATCH($B175,tab_MinKomp[[Stanowisko / Position ]:[Stanowisko / Position ]],0)))</f>
        <v>n/a</v>
      </c>
      <c r="FV176" s="336" t="str">
        <f>IF(INDEX(tab_MinKomp[MINIMUM 5 LAT / min. 5 Jahre],MATCH($B175,tab_MinKomp[[Stanowisko / Position ]:[Stanowisko / Position ]],0))="n/a","n/a",INDEX(tab_MinKomp[MINIMUM 5 LAT / min. 5 Jahre],MATCH($B175,tab_MinKomp[[Stanowisko / Position ]:[Stanowisko / Position ]],0)))</f>
        <v>n/a</v>
      </c>
      <c r="FW176" s="335" t="str">
        <f>IF(INDEX(tab_MinKomp[BRAK / Keine9],MATCH($B175,tab_MinKomp[[Stanowisko / Position ]:[Stanowisko / Position ]],0))="n/a","n/a",INDEX(tab_MinKomp[BRAK / Keine9],MATCH($B175,tab_MinKomp[[Stanowisko / Position ]:[Stanowisko / Position ]],0)))</f>
        <v>n/a</v>
      </c>
      <c r="FX176" s="333" t="str">
        <f>IF(INDEX(tab_MinKomp[ZAWODOWE / Berufsausbildung],MATCH($B175,tab_MinKomp[[Stanowisko / Position ]:[Stanowisko / Position ]],0))="n/a","n/a",INDEX(tab_MinKomp[ZAWODOWE / Berufsausbildung],MATCH($B175,tab_MinKomp[[Stanowisko / Position ]:[Stanowisko / Position ]],0)))</f>
        <v>n/a</v>
      </c>
      <c r="FY176" s="333" t="str">
        <f>IF(INDEX(tab_MinKomp[ŚREDNIE OGÓLNE / Abitur allgemeine],MATCH($B175,tab_MinKomp[[Stanowisko / Position ]:[Stanowisko / Position ]],0))="n/a","n/a",INDEX(tab_MinKomp[ŚREDNIE OGÓLNE / Abitur allgemeine],MATCH($B175,tab_MinKomp[[Stanowisko / Position ]:[Stanowisko / Position ]],0)))</f>
        <v>x</v>
      </c>
      <c r="FZ176" s="333" t="str">
        <f>IF(INDEX(tab_MinKomp[ŚREDNIE KIERUNKOWE / berufliches Gymnasium],MATCH($B175,tab_MinKomp[[Stanowisko / Position ]:[Stanowisko / Position ]],0))="n/a","n/a",INDEX(tab_MinKomp[ŚREDNIE KIERUNKOWE / berufliches Gymnasium],MATCH($B175,tab_MinKomp[[Stanowisko / Position ]:[Stanowisko / Position ]],0)))</f>
        <v>n/a</v>
      </c>
      <c r="GA176" s="333" t="str">
        <f>IF(INDEX(tab_MinKomp[WYŻSZE OGÓLNE / Hochschule allgemeine],MATCH($B175,tab_MinKomp[[Stanowisko / Position ]:[Stanowisko / Position ]],0))="n/a","n/a",INDEX(tab_MinKomp[WYŻSZE OGÓLNE / Hochschule allgemeine],MATCH($B175,tab_MinKomp[[Stanowisko / Position ]:[Stanowisko / Position ]],0)))</f>
        <v>n/a</v>
      </c>
      <c r="GB176" s="336" t="str">
        <f>IF(INDEX(tab_MinKomp[WYŻSZE KIERUNKOWE / Hochschule berufliche],MATCH($B175,tab_MinKomp[[Stanowisko / Position ]:[Stanowisko / Position ]],0))="n/a","n/a",INDEX(tab_MinKomp[WYŻSZE KIERUNKOWE / Hochschule berufliche],MATCH($B175,tab_MinKomp[[Stanowisko / Position ]:[Stanowisko / Position ]],0)))</f>
        <v>n/a</v>
      </c>
      <c r="GC176" s="335" t="str">
        <f>IF(INDEX(tab_MinKomp[PIERWSZA POMOC / Erste Hilfe],MATCH($B175,tab_MinKomp[[Stanowisko / Position ]:[Stanowisko / Position ]],0))="n/a","n/a",INDEX(tab_MinKomp[PIERWSZA POMOC / Erste Hilfe],MATCH($B175,tab_MinKomp[[Stanowisko / Position ]:[Stanowisko / Position ]],0)))</f>
        <v>n/a</v>
      </c>
      <c r="GD176" s="333" t="str">
        <f>IF(INDEX(tab_MinKomp[Specjalista BHP / BHP Spezialist],MATCH($B175,tab_MinKomp[[Stanowisko / Position ]:[Stanowisko / Position ]],0))="n/a","n/a",INDEX(tab_MinKomp[Specjalista BHP / BHP Spezialist],MATCH($B175,tab_MinKomp[[Stanowisko / Position ]:[Stanowisko / Position ]],0)))</f>
        <v>n/a</v>
      </c>
      <c r="GE176" s="333" t="str">
        <f>IF(INDEX(tab_MinKomp[Inspektor ochrony PPOŻ / Brandschutzinspektor],MATCH($B175,tab_MinKomp[[Stanowisko / Position ]:[Stanowisko / Position ]],0))="n/a","n/a",INDEX(tab_MinKomp[Inspektor ochrony PPOŻ / Brandschutzinspektor],MATCH($B175,tab_MinKomp[[Stanowisko / Position ]:[Stanowisko / Position ]],0)))</f>
        <v>n/a</v>
      </c>
      <c r="GF176" s="333" t="str">
        <f>IF(INDEX(tab_MinKomp[WÓZKI JEZDNIOWE / Gebelstapler],MATCH($B175,tab_MinKomp[[Stanowisko / Position ]:[Stanowisko / Position ]],0))="n/a","n/a",INDEX(tab_MinKomp[WÓZKI JEZDNIOWE / Gebelstapler],MATCH($B175,tab_MinKomp[[Stanowisko / Position ]:[Stanowisko / Position ]],0)))</f>
        <v>n/a</v>
      </c>
      <c r="GG176" s="333" t="str">
        <f>IF(INDEX(tab_MinKomp[SEP],MATCH($B175,tab_MinKomp[[Stanowisko / Position ]:[Stanowisko / Position ]],0))="n/a","n/a",INDEX(tab_MinKomp[SEP],MATCH($B175,tab_MinKomp[[Stanowisko / Position ]:[Stanowisko / Position ]],0)))</f>
        <v>n/a</v>
      </c>
      <c r="GH176" s="333" t="str">
        <f>IF(INDEX(tab_MinKomp[SEP  DOZÓR / SEP Aufsicht],MATCH($B175,tab_MinKomp[[Stanowisko / Position ]:[Stanowisko / Position ]],0))="n/a","n/a",INDEX(tab_MinKomp[SEP  DOZÓR / SEP Aufsicht],MATCH($B175,tab_MinKomp[[Stanowisko / Position ]:[Stanowisko / Position ]],0)))</f>
        <v>n/a</v>
      </c>
      <c r="GI176" s="333" t="str">
        <f>IF(INDEX(tab_MinKomp[PODNOŚNIKI / Hebevorrichtung],MATCH($B175,tab_MinKomp[[Stanowisko / Position ]:[Stanowisko / Position ]],0))="n/a","n/a",INDEX(tab_MinKomp[PODNOŚNIKI / Hebevorrichtung],MATCH($B175,tab_MinKomp[[Stanowisko / Position ]:[Stanowisko / Position ]],0)))</f>
        <v>n/a</v>
      </c>
      <c r="GJ176" s="333" t="str">
        <f>IF(INDEX(tab_MinKomp[SUWNICE / Laufkran],MATCH($B175,tab_MinKomp[[Stanowisko / Position ]:[Stanowisko / Position ]],0))="n/a","n/a",INDEX(tab_MinKomp[SUWNICE / Laufkran],MATCH($B175,tab_MinKomp[[Stanowisko / Position ]:[Stanowisko / Position ]],0)))</f>
        <v>n/a</v>
      </c>
      <c r="GK176" s="336" t="str">
        <f>IF(INDEX(tab_MinKomp[WYSOKOŚCIOWE / Höhenberechtigungen],MATCH($B175,tab_MinKomp[[Stanowisko / Position ]:[Stanowisko / Position ]],0))="n/a","n/a",INDEX(tab_MinKomp[WYSOKOŚCIOWE / Höhenberechtigungen],MATCH($B175,tab_MinKomp[[Stanowisko / Position ]:[Stanowisko / Position ]],0)))</f>
        <v>n/a</v>
      </c>
      <c r="GL176" s="376">
        <f>SUM(G176:FP176)/(GL175-(SUM(G176:FP176)))</f>
        <v>-0.11578947368421053</v>
      </c>
      <c r="GM176" s="132"/>
    </row>
    <row r="177" spans="1:195" s="197" customFormat="1" ht="28.35" customHeight="1" x14ac:dyDescent="0.25">
      <c r="A177" s="135" t="s">
        <v>181</v>
      </c>
      <c r="B177" s="135" t="s">
        <v>252</v>
      </c>
      <c r="C177" s="135" t="s">
        <v>613</v>
      </c>
      <c r="D177" s="135">
        <v>2159</v>
      </c>
      <c r="E177" s="565" t="s">
        <v>767</v>
      </c>
      <c r="F177" s="307" t="s">
        <v>165</v>
      </c>
      <c r="G177" s="308"/>
      <c r="H177" s="308"/>
      <c r="I177" s="308"/>
      <c r="J177" s="308"/>
      <c r="K177" s="308"/>
      <c r="L177" s="308"/>
      <c r="M177" s="308" t="s">
        <v>176</v>
      </c>
      <c r="N177" s="308" t="s">
        <v>176</v>
      </c>
      <c r="O177" s="308"/>
      <c r="P177" s="308"/>
      <c r="Q177" s="308" t="s">
        <v>176</v>
      </c>
      <c r="R177" s="308" t="s">
        <v>176</v>
      </c>
      <c r="S177" s="308" t="s">
        <v>176</v>
      </c>
      <c r="T177" s="308" t="s">
        <v>176</v>
      </c>
      <c r="U177" s="308" t="s">
        <v>176</v>
      </c>
      <c r="V177" s="308" t="s">
        <v>176</v>
      </c>
      <c r="W177" s="308" t="s">
        <v>176</v>
      </c>
      <c r="X177" s="308" t="s">
        <v>176</v>
      </c>
      <c r="Y177" s="308" t="s">
        <v>176</v>
      </c>
      <c r="Z177" s="308" t="s">
        <v>176</v>
      </c>
      <c r="AA177" s="308" t="s">
        <v>176</v>
      </c>
      <c r="AB177" s="308" t="s">
        <v>176</v>
      </c>
      <c r="AC177" s="308" t="s">
        <v>176</v>
      </c>
      <c r="AD177" s="308" t="s">
        <v>176</v>
      </c>
      <c r="AE177" s="308" t="s">
        <v>176</v>
      </c>
      <c r="AF177" s="308" t="s">
        <v>176</v>
      </c>
      <c r="AG177" s="308" t="s">
        <v>176</v>
      </c>
      <c r="AH177" s="308" t="s">
        <v>176</v>
      </c>
      <c r="AI177" s="308" t="s">
        <v>176</v>
      </c>
      <c r="AJ177" s="308" t="s">
        <v>176</v>
      </c>
      <c r="AK177" s="308" t="s">
        <v>176</v>
      </c>
      <c r="AL177" s="308"/>
      <c r="AM177" s="308" t="s">
        <v>176</v>
      </c>
      <c r="AN177" s="308" t="s">
        <v>176</v>
      </c>
      <c r="AO177" s="308" t="s">
        <v>176</v>
      </c>
      <c r="AP177" s="308" t="s">
        <v>176</v>
      </c>
      <c r="AQ177" s="308" t="s">
        <v>176</v>
      </c>
      <c r="AR177" s="308" t="s">
        <v>176</v>
      </c>
      <c r="AS177" s="308" t="s">
        <v>176</v>
      </c>
      <c r="AT177" s="308" t="s">
        <v>176</v>
      </c>
      <c r="AU177" s="308" t="s">
        <v>176</v>
      </c>
      <c r="AV177" s="308"/>
      <c r="AW177" s="308"/>
      <c r="AX177" s="308"/>
      <c r="AY177" s="308" t="s">
        <v>176</v>
      </c>
      <c r="AZ177" s="308" t="s">
        <v>176</v>
      </c>
      <c r="BA177" s="308" t="s">
        <v>176</v>
      </c>
      <c r="BB177" s="308" t="s">
        <v>176</v>
      </c>
      <c r="BC177" s="308" t="s">
        <v>176</v>
      </c>
      <c r="BD177" s="308" t="s">
        <v>176</v>
      </c>
      <c r="BE177" s="308" t="s">
        <v>176</v>
      </c>
      <c r="BF177" s="308" t="s">
        <v>176</v>
      </c>
      <c r="BG177" s="308" t="s">
        <v>176</v>
      </c>
      <c r="BH177" s="308" t="s">
        <v>176</v>
      </c>
      <c r="BI177" s="308" t="s">
        <v>176</v>
      </c>
      <c r="BJ177" s="308" t="s">
        <v>176</v>
      </c>
      <c r="BK177" s="308" t="s">
        <v>176</v>
      </c>
      <c r="BL177" s="308" t="s">
        <v>176</v>
      </c>
      <c r="BM177" s="308" t="s">
        <v>176</v>
      </c>
      <c r="BN177" s="308"/>
      <c r="BO177" s="308"/>
      <c r="BP177" s="308"/>
      <c r="BQ177" s="308"/>
      <c r="BR177" s="308"/>
      <c r="BS177" s="308"/>
      <c r="BT177" s="308"/>
      <c r="BU177" s="308"/>
      <c r="BV177" s="308"/>
      <c r="BW177" s="308" t="s">
        <v>176</v>
      </c>
      <c r="BX177" s="308" t="s">
        <v>176</v>
      </c>
      <c r="BY177" s="308" t="s">
        <v>176</v>
      </c>
      <c r="BZ177" s="308" t="s">
        <v>176</v>
      </c>
      <c r="CA177" s="308" t="s">
        <v>176</v>
      </c>
      <c r="CB177" s="308" t="s">
        <v>176</v>
      </c>
      <c r="CC177" s="308" t="s">
        <v>176</v>
      </c>
      <c r="CD177" s="308" t="s">
        <v>176</v>
      </c>
      <c r="CE177" s="308" t="s">
        <v>176</v>
      </c>
      <c r="CF177" s="308" t="s">
        <v>176</v>
      </c>
      <c r="CG177" s="308" t="s">
        <v>176</v>
      </c>
      <c r="CH177" s="308" t="s">
        <v>176</v>
      </c>
      <c r="CI177" s="308"/>
      <c r="CJ177" s="308" t="s">
        <v>176</v>
      </c>
      <c r="CK177" s="308" t="s">
        <v>176</v>
      </c>
      <c r="CL177" s="308"/>
      <c r="CM177" s="308" t="s">
        <v>176</v>
      </c>
      <c r="CN177" s="308"/>
      <c r="CO177" s="308"/>
      <c r="CP177" s="308"/>
      <c r="CQ177" s="308" t="s">
        <v>176</v>
      </c>
      <c r="CR177" s="308" t="s">
        <v>176</v>
      </c>
      <c r="CS177" s="308" t="s">
        <v>176</v>
      </c>
      <c r="CT177" s="308" t="s">
        <v>176</v>
      </c>
      <c r="CU177" s="308"/>
      <c r="CV177" s="308" t="s">
        <v>176</v>
      </c>
      <c r="CW177" s="308" t="s">
        <v>176</v>
      </c>
      <c r="CX177" s="308" t="s">
        <v>176</v>
      </c>
      <c r="CY177" s="308" t="s">
        <v>176</v>
      </c>
      <c r="CZ177" s="308" t="s">
        <v>176</v>
      </c>
      <c r="DA177" s="308" t="s">
        <v>176</v>
      </c>
      <c r="DB177" s="308" t="s">
        <v>176</v>
      </c>
      <c r="DC177" s="308" t="s">
        <v>176</v>
      </c>
      <c r="DD177" s="308" t="s">
        <v>176</v>
      </c>
      <c r="DE177" s="308" t="s">
        <v>176</v>
      </c>
      <c r="DF177" s="308" t="s">
        <v>176</v>
      </c>
      <c r="DG177" s="308" t="s">
        <v>176</v>
      </c>
      <c r="DH177" s="308" t="s">
        <v>176</v>
      </c>
      <c r="DI177" s="308" t="s">
        <v>176</v>
      </c>
      <c r="DJ177" s="308" t="s">
        <v>176</v>
      </c>
      <c r="DK177" s="308" t="s">
        <v>176</v>
      </c>
      <c r="DL177" s="308" t="s">
        <v>176</v>
      </c>
      <c r="DM177" s="308" t="s">
        <v>176</v>
      </c>
      <c r="DN177" s="308" t="s">
        <v>176</v>
      </c>
      <c r="DO177" s="308" t="s">
        <v>176</v>
      </c>
      <c r="DP177" s="308" t="s">
        <v>176</v>
      </c>
      <c r="DQ177" s="308" t="s">
        <v>176</v>
      </c>
      <c r="DR177" s="308" t="s">
        <v>176</v>
      </c>
      <c r="DS177" s="308" t="s">
        <v>176</v>
      </c>
      <c r="DT177" s="308" t="s">
        <v>176</v>
      </c>
      <c r="DU177" s="308" t="s">
        <v>176</v>
      </c>
      <c r="DV177" s="308" t="s">
        <v>176</v>
      </c>
      <c r="DW177" s="308" t="s">
        <v>176</v>
      </c>
      <c r="DX177" s="308" t="s">
        <v>176</v>
      </c>
      <c r="DY177" s="308"/>
      <c r="DZ177" s="308"/>
      <c r="EA177" s="308"/>
      <c r="EB177" s="308"/>
      <c r="EC177" s="308"/>
      <c r="ED177" s="308"/>
      <c r="EE177" s="308"/>
      <c r="EF177" s="308"/>
      <c r="EG177" s="308"/>
      <c r="EH177" s="308"/>
      <c r="EI177" s="308"/>
      <c r="EJ177" s="308"/>
      <c r="EK177" s="308"/>
      <c r="EL177" s="308"/>
      <c r="EM177" s="308"/>
      <c r="EN177" s="308"/>
      <c r="EO177" s="308"/>
      <c r="EP177" s="308" t="s">
        <v>176</v>
      </c>
      <c r="EQ177" s="308" t="s">
        <v>176</v>
      </c>
      <c r="ER177" s="308" t="s">
        <v>176</v>
      </c>
      <c r="ES177" s="308" t="s">
        <v>176</v>
      </c>
      <c r="ET177" s="308" t="s">
        <v>176</v>
      </c>
      <c r="EU177" s="308" t="s">
        <v>176</v>
      </c>
      <c r="EV177" s="308" t="s">
        <v>176</v>
      </c>
      <c r="EW177" s="308" t="s">
        <v>176</v>
      </c>
      <c r="EX177" s="308" t="s">
        <v>176</v>
      </c>
      <c r="EY177" s="308"/>
      <c r="EZ177" s="308"/>
      <c r="FA177" s="308"/>
      <c r="FB177" s="308" t="s">
        <v>176</v>
      </c>
      <c r="FC177" s="308" t="s">
        <v>176</v>
      </c>
      <c r="FD177" s="308"/>
      <c r="FE177" s="308"/>
      <c r="FF177" s="308"/>
      <c r="FG177" s="308"/>
      <c r="FH177" s="308"/>
      <c r="FI177" s="308"/>
      <c r="FJ177" s="308"/>
      <c r="FK177" s="308"/>
      <c r="FL177" s="323" t="s">
        <v>176</v>
      </c>
      <c r="FM177" s="308"/>
      <c r="FN177" s="308"/>
      <c r="FO177" s="308"/>
      <c r="FP177" s="308" t="s">
        <v>176</v>
      </c>
      <c r="FQ177" s="308" t="s">
        <v>176</v>
      </c>
      <c r="FR177" s="308" t="s">
        <v>176</v>
      </c>
      <c r="FS177" s="308" t="s">
        <v>176</v>
      </c>
      <c r="FT177" s="308" t="s">
        <v>176</v>
      </c>
      <c r="FU177" s="308" t="s">
        <v>176</v>
      </c>
      <c r="FV177" s="308" t="s">
        <v>176</v>
      </c>
      <c r="FW177" s="308" t="s">
        <v>176</v>
      </c>
      <c r="FX177" s="308" t="s">
        <v>176</v>
      </c>
      <c r="FY177" s="308" t="s">
        <v>176</v>
      </c>
      <c r="FZ177" s="308" t="s">
        <v>176</v>
      </c>
      <c r="GA177" s="308" t="s">
        <v>176</v>
      </c>
      <c r="GB177" s="308" t="s">
        <v>176</v>
      </c>
      <c r="GC177" s="308" t="s">
        <v>176</v>
      </c>
      <c r="GD177" s="308" t="s">
        <v>176</v>
      </c>
      <c r="GE177" s="308" t="s">
        <v>176</v>
      </c>
      <c r="GF177" s="308"/>
      <c r="GG177" s="308"/>
      <c r="GH177" s="308" t="s">
        <v>176</v>
      </c>
      <c r="GI177" s="308"/>
      <c r="GJ177" s="308" t="s">
        <v>176</v>
      </c>
      <c r="GK177" s="308"/>
      <c r="GL177" s="311">
        <f>SUM(G177:FP177)</f>
        <v>0</v>
      </c>
      <c r="GM177" s="132"/>
    </row>
    <row r="178" spans="1:195" s="197" customFormat="1" ht="28.35" customHeight="1" thickBot="1" x14ac:dyDescent="0.3">
      <c r="A178" s="138" t="s">
        <v>181</v>
      </c>
      <c r="B178" s="135" t="s">
        <v>252</v>
      </c>
      <c r="C178" s="138" t="str">
        <f>C177</f>
        <v>KS</v>
      </c>
      <c r="D178" s="138">
        <f>D177</f>
        <v>2159</v>
      </c>
      <c r="E178" s="566" t="str">
        <f>E177</f>
        <v>Szymański Marcin</v>
      </c>
      <c r="F178" s="312" t="s">
        <v>166</v>
      </c>
      <c r="G178" s="341">
        <f>IF(INDEX(tab_MinKomp[Przepisy BHP / BHP Vorschriften],MATCH($B177,tab_MinKomp[[Stanowisko / Position ]:[Stanowisko / Position ]],0))="n/a","n/a",G177-INDEX(tab_MinKomp[Przepisy BHP / BHP Vorschriften],MATCH($B177,tab_MinKomp[[Stanowisko / Position ]:[Stanowisko / Position ]],0)))</f>
        <v>-2</v>
      </c>
      <c r="H178" s="341">
        <f>IF(INDEX(tab_MinKomp[Przepisy PPOŻ / Brandschutzbestimmungen],MATCH($B177,tab_MinKomp[[Stanowisko / Position ]:[Stanowisko / Position ]],0))="n/a","n/a",H177-INDEX(tab_MinKomp[Przepisy PPOŻ / Brandschutzbestimmungen],MATCH($B177,tab_MinKomp[[Stanowisko / Position ]:[Stanowisko / Position ]],0)))</f>
        <v>-2</v>
      </c>
      <c r="I178" s="341">
        <f>IF(INDEX(tab_MinKomp[Ryzyko zawodowe na stanowiskach pracyv/ Berufliche Risiken an Arbeitsstellen],MATCH($B177,tab_MinKomp[[Stanowisko / Position ]:[Stanowisko / Position ]],0))="n/a","n/a",I177-INDEX(tab_MinKomp[Ryzyko zawodowe na stanowiskach pracyv/ Berufliche Risiken an Arbeitsstellen],MATCH($B177,tab_MinKomp[[Stanowisko / Position ]:[Stanowisko / Position ]],0)))</f>
        <v>-2</v>
      </c>
      <c r="J178" s="341">
        <f>IF(INDEX(tab_MinKomp[Gospodarka substancjami niebezpiecznymi / Gefahrstoffmanagement],MATCH($B177,tab_MinKomp[[Stanowisko / Position ]:[Stanowisko / Position ]],0))="n/a","n/a",J177-INDEX(tab_MinKomp[Gospodarka substancjami niebezpiecznymi / Gefahrstoffmanagement],MATCH($B177,tab_MinKomp[[Stanowisko / Position ]:[Stanowisko / Position ]],0)))</f>
        <v>-2</v>
      </c>
      <c r="K178" s="341">
        <f>IF(INDEX(tab_MinKomp[Gospodarka odpadami / Abfallwirtschaft],MATCH($B177,tab_MinKomp[[Stanowisko / Position ]:[Stanowisko / Position ]],0))="n/a","n/a",K177-INDEX(tab_MinKomp[Gospodarka odpadami / Abfallwirtschaft],MATCH($B177,tab_MinKomp[[Stanowisko / Position ]:[Stanowisko / Position ]],0)))</f>
        <v>-2</v>
      </c>
      <c r="L178" s="341">
        <f>IF(INDEX(tab_MinKomp[Przepisy kodeksu pracy / Bestimmungen des Arbeitsgesetzes],MATCH($B177,tab_MinKomp[[Stanowisko / Position ]:[Stanowisko / Position ]],0))="n/a","n/a",L177-INDEX(tab_MinKomp[Przepisy kodeksu pracy / Bestimmungen des Arbeitsgesetzes],MATCH($B177,tab_MinKomp[[Stanowisko / Position ]:[Stanowisko / Position ]],0)))</f>
        <v>-1</v>
      </c>
      <c r="M178" s="341" t="str">
        <f>IF(INDEX(tab_MinKomp[Przepisy o ub.społ. ZUS  / Sozialversicherungsvorschriften],MATCH($B177,tab_MinKomp[[Stanowisko / Position ]:[Stanowisko / Position ]],0))="n/a","n/a",M177-INDEX(tab_MinKomp[Przepisy o ub.społ. ZUS  / Sozialversicherungsvorschriften],MATCH($B177,tab_MinKomp[[Stanowisko / Position ]:[Stanowisko / Position ]],0)))</f>
        <v>n/a</v>
      </c>
      <c r="N178" s="341" t="str">
        <f>IF(INDEX(tab_MinKomp[PRZEPISY O PDOF /persönlich Einkommensteuergesetz ],MATCH($B177,tab_MinKomp[[Stanowisko / Position ]:[Stanowisko / Position ]],0))="n/a","n/a",N177-INDEX(tab_MinKomp[PRZEPISY O PDOF /persönlich Einkommensteuergesetz ],MATCH($B177,tab_MinKomp[[Stanowisko / Position ]:[Stanowisko / Position ]],0)))</f>
        <v>n/a</v>
      </c>
      <c r="O178" s="341">
        <f>IF(INDEX(tab_MinKomp[Regulamin pracy / Arbeitsordnung],MATCH($B177,tab_MinKomp[[Stanowisko / Position ]:[Stanowisko / Position ]],0))="n/a","n/a",O177-INDEX(tab_MinKomp[Regulamin pracy / Arbeitsordnung],MATCH($B177,tab_MinKomp[[Stanowisko / Position ]:[Stanowisko / Position ]],0)))</f>
        <v>-1</v>
      </c>
      <c r="P178" s="341">
        <f>IF(INDEX(tab_MinKomp[Regulamin wynagradzania / Vergütungsordnung],MATCH($B177,tab_MinKomp[[Stanowisko / Position ]:[Stanowisko / Position ]],0))="n/a","n/a",P177-INDEX(tab_MinKomp[Regulamin wynagradzania / Vergütungsordnung],MATCH($B177,tab_MinKomp[[Stanowisko / Position ]:[Stanowisko / Position ]],0)))</f>
        <v>-1</v>
      </c>
      <c r="Q178" s="341" t="str">
        <f>IF(INDEX(tab_MinKomp[System R2PŁATNIK PRO: Płace / Lohnabrechnung],MATCH($B177,tab_MinKomp[[Stanowisko / Position ]:[Stanowisko / Position ]],0))="n/a","n/a",Q177-INDEX(tab_MinKomp[System R2PŁATNIK PRO: Płace / Lohnabrechnung],MATCH($B177,tab_MinKomp[[Stanowisko / Position ]:[Stanowisko / Position ]],0)))</f>
        <v>n/a</v>
      </c>
      <c r="R178" s="341" t="str">
        <f>IF(INDEX(tab_MinKomp[SystemR2PŁATNIK PRO: KADRY / Personaldaten],MATCH($B177,tab_MinKomp[[Stanowisko / Position ]:[Stanowisko / Position ]],0))="n/a","n/a",R177-INDEX(tab_MinKomp[SystemR2PŁATNIK PRO: KADRY / Personaldaten],MATCH($B177,tab_MinKomp[[Stanowisko / Position ]:[Stanowisko / Position ]],0)))</f>
        <v>n/a</v>
      </c>
      <c r="S178" s="341" t="str">
        <f>IF(INDEX(tab_MinKomp[SYSTEM R2PŁATNIK PRO: zarządzanie pracownikami / Arbeitsverwaltung],MATCH($B177,tab_MinKomp[[Stanowisko / Position ]:[Stanowisko / Position ]],0))="n/a","n/a",S177-INDEX(tab_MinKomp[SYSTEM R2PŁATNIK PRO: zarządzanie pracownikami / Arbeitsverwaltung],MATCH($B177,tab_MinKomp[[Stanowisko / Position ]:[Stanowisko / Position ]],0)))</f>
        <v>n/a</v>
      </c>
      <c r="T178" s="341" t="str">
        <f>IF(INDEX(tab_MinKomp[Doradztwo, wsparcie personalne / Personalberatung und Unterstützung],MATCH($B177,tab_MinKomp[[Stanowisko / Position ]:[Stanowisko / Position ]],0))="n/a","n/a",T177-INDEX(tab_MinKomp[Doradztwo, wsparcie personalne / Personalberatung und Unterstützung],MATCH($B177,tab_MinKomp[[Stanowisko / Position ]:[Stanowisko / Position ]],0)))</f>
        <v>n/a</v>
      </c>
      <c r="U178" s="341" t="str">
        <f>IF(INDEX(tab_MinKomp[Przepisy o podatku VAT / MwSt.- Gesetz],MATCH($B177,tab_MinKomp[[Stanowisko / Position ]:[Stanowisko / Position ]],0))="n/a","n/a",U177-INDEX(tab_MinKomp[Przepisy o podatku VAT / MwSt.- Gesetz],MATCH($B177,tab_MinKomp[[Stanowisko / Position ]:[Stanowisko / Position ]],0)))</f>
        <v>n/a</v>
      </c>
      <c r="V178" s="341" t="str">
        <f>IF(INDEX(tab_MinKomp[PrzepisyPDOP / geschäftlich Einkommensteuergesetz],MATCH($B177,tab_MinKomp[[Stanowisko / Position ]:[Stanowisko / Position ]],0))="n/a","n/a",V177-INDEX(tab_MinKomp[PrzepisyPDOP / geschäftlich Einkommensteuergesetz],MATCH($B177,tab_MinKomp[[Stanowisko / Position ]:[Stanowisko / Position ]],0)))</f>
        <v>n/a</v>
      </c>
      <c r="W178" s="341" t="str">
        <f>IF(INDEX(tab_MinKomp[System BAAN / FINANSE (FIBU)],MATCH($B177,tab_MinKomp[[Stanowisko / Position ]:[Stanowisko / Position ]],0))="n/a","n/a",W177-INDEX(tab_MinKomp[System BAAN / FINANSE (FIBU)],MATCH($B177,tab_MinKomp[[Stanowisko / Position ]:[Stanowisko / Position ]],0)))</f>
        <v>n/a</v>
      </c>
      <c r="X178" s="341" t="str">
        <f>IF(INDEX(tab_MinKomp[Systemy pomocnicze / Hilfssysteme(STOCKPROGRAM, KALK2000 etc.)],MATCH($B177,tab_MinKomp[[Stanowisko / Position ]:[Stanowisko / Position ]],0))="n/a","n/a",X177-INDEX(tab_MinKomp[Systemy pomocnicze / Hilfssysteme(STOCKPROGRAM, KALK2000 etc.)],MATCH($B177,tab_MinKomp[[Stanowisko / Position ]:[Stanowisko / Position ]],0)))</f>
        <v>n/a</v>
      </c>
      <c r="Y178" s="341" t="str">
        <f>IF(INDEX(tab_MinKomp[Polityka rachunkowości / Buchführungspolitik],MATCH($B177,tab_MinKomp[[Stanowisko / Position ]:[Stanowisko / Position ]],0))="n/a","n/a",Y177-INDEX(tab_MinKomp[Polityka rachunkowości / Buchführungspolitik],MATCH($B177,tab_MinKomp[[Stanowisko / Position ]:[Stanowisko / Position ]],0)))</f>
        <v>n/a</v>
      </c>
      <c r="Z178" s="341" t="str">
        <f>IF(INDEX(tab_MinKomp[Ustawa o rachunkowości / Rechnungslegungsgesetz],MATCH($B177,tab_MinKomp[[Stanowisko / Position ]:[Stanowisko / Position ]],0))="n/a","n/a",Z177-INDEX(tab_MinKomp[Ustawa o rachunkowości / Rechnungslegungsgesetz],MATCH($B177,tab_MinKomp[[Stanowisko / Position ]:[Stanowisko / Position ]],0)))</f>
        <v>n/a</v>
      </c>
      <c r="AA178" s="341" t="str">
        <f>IF(INDEX(tab_MinKomp[WORKFLOW - TS-100],MATCH($B177,tab_MinKomp[[Stanowisko / Position ]:[Stanowisko / Position ]],0))="n/a","n/a",AA177-INDEX(tab_MinKomp[WORKFLOW - TS-100],MATCH($B177,tab_MinKomp[[Stanowisko / Position ]:[Stanowisko / Position ]],0)))</f>
        <v>n/a</v>
      </c>
      <c r="AB178" s="341" t="str">
        <f>IF(INDEX(tab_MinKomp[WORKFLOW - SFMS],MATCH($B177,tab_MinKomp[[Stanowisko / Position ]:[Stanowisko / Position ]],0))="n/a","n/a",AB177-INDEX(tab_MinKomp[WORKFLOW - SFMS],MATCH($B177,tab_MinKomp[[Stanowisko / Position ]:[Stanowisko / Position ]],0)))</f>
        <v>n/a</v>
      </c>
      <c r="AC178" s="341" t="str">
        <f>IF(INDEX(tab_MinKomp[System ISO 9001:2015],MATCH($B177,tab_MinKomp[[Stanowisko / Position ]:[Stanowisko / Position ]],0))="n/a","n/a",AC177-INDEX(tab_MinKomp[System ISO 9001:2015],MATCH($B177,tab_MinKomp[[Stanowisko / Position ]:[Stanowisko / Position ]],0)))</f>
        <v>n/a</v>
      </c>
      <c r="AD178" s="341" t="str">
        <f>IF(INDEX(tab_MinKomp[System IATF 16949:2016],MATCH($B177,tab_MinKomp[[Stanowisko / Position ]:[Stanowisko / Position ]],0))="n/a","n/a",AD177-INDEX(tab_MinKomp[System IATF 16949:2016],MATCH($B177,tab_MinKomp[[Stanowisko / Position ]:[Stanowisko / Position ]],0)))</f>
        <v>n/a</v>
      </c>
      <c r="AE178" s="341" t="str">
        <f>IF(INDEX(tab_MinKomp[System ISO 14001:2015],MATCH($B177,tab_MinKomp[[Stanowisko / Position ]:[Stanowisko / Position ]],0))="n/a","n/a",AE177-INDEX(tab_MinKomp[System ISO 14001:2015],MATCH($B177,tab_MinKomp[[Stanowisko / Position ]:[Stanowisko / Position ]],0)))</f>
        <v>n/a</v>
      </c>
      <c r="AF178" s="341" t="str">
        <f>IF(INDEX(tab_MinKomp[System PN-N 18001:2004 / ISO 45001:2018],MATCH($B177,tab_MinKomp[[Stanowisko / Position ]:[Stanowisko / Position ]],0))="n/a","n/a",AF177-INDEX(tab_MinKomp[System PN-N 18001:2004 / ISO 45001:2018],MATCH($B177,tab_MinKomp[[Stanowisko / Position ]:[Stanowisko / Position ]],0)))</f>
        <v>n/a</v>
      </c>
      <c r="AG178" s="341" t="str">
        <f>IF(INDEX(tab_MinKomp[Wymagania VDA 6.3 Process / Forderungen],MATCH($B177,tab_MinKomp[[Stanowisko / Position ]:[Stanowisko / Position ]],0))="n/a","n/a",AG177-INDEX(tab_MinKomp[Wymagania VDA 6.3 Process / Forderungen],MATCH($B177,tab_MinKomp[[Stanowisko / Position ]:[Stanowisko / Position ]],0)))</f>
        <v>n/a</v>
      </c>
      <c r="AH178" s="341" t="str">
        <f>IF(INDEX(tab_MinKomp[Wymagania VDA 6.5 Product / Forderungen],MATCH($B177,tab_MinKomp[[Stanowisko / Position ]:[Stanowisko / Position ]],0))="n/a","n/a",AH177-INDEX(tab_MinKomp[Wymagania VDA 6.5 Product / Forderungen],MATCH($B177,tab_MinKomp[[Stanowisko / Position ]:[Stanowisko / Position ]],0)))</f>
        <v>n/a</v>
      </c>
      <c r="AI178" s="341" t="str">
        <f>IF(INDEX(tab_MinKomp[PSCR (VW Product Safety &amp; Conformity Representative)],MATCH($B177,tab_MinKomp[[Stanowisko / Position ]:[Stanowisko / Position ]],0))="n/a","n/a",AI177-INDEX(tab_MinKomp[PSCR (VW Product Safety &amp; Conformity Representative)],MATCH($B177,tab_MinKomp[[Stanowisko / Position ]:[Stanowisko / Position ]],0)))</f>
        <v>n/a</v>
      </c>
      <c r="AJ178" s="341" t="str">
        <f>IF(INDEX(tab_MinKomp[Auditor systemu ISO 17025:2018],MATCH($B177,tab_MinKomp[[Stanowisko / Position ]:[Stanowisko / Position ]],0))="n/a","n/a",AJ177-INDEX(tab_MinKomp[Auditor systemu ISO 17025:2018],MATCH($B177,tab_MinKomp[[Stanowisko / Position ]:[Stanowisko / Position ]],0)))</f>
        <v>n/a</v>
      </c>
      <c r="AK178" s="341" t="str">
        <f>IF(INDEX(tab_MinKomp[Pełnomocnik systemu / Systemvertreter],MATCH($B177,tab_MinKomp[[Stanowisko / Position ]:[Stanowisko / Position ]],0))="n/a","n/a",AK177-INDEX(tab_MinKomp[Pełnomocnik systemu / Systemvertreter],MATCH($B177,tab_MinKomp[[Stanowisko / Position ]:[Stanowisko / Position ]],0)))</f>
        <v>n/a</v>
      </c>
      <c r="AL178" s="341">
        <f>IF(INDEX(tab_MinKomp[Polityka Etyczna - Compliance],MATCH($B177,tab_MinKomp[[Stanowisko / Position ]:[Stanowisko / Position ]],0))="n/a","n/a",AL177-INDEX(tab_MinKomp[Polityka Etyczna - Compliance],MATCH($B177,tab_MinKomp[[Stanowisko / Position ]:[Stanowisko / Position ]],0)))</f>
        <v>-1</v>
      </c>
      <c r="AM178" s="341" t="str">
        <f>IF(INDEX(tab_MinKomp[WDRAŻANIE NOWYCH PROJEKTÓW/ PROCEDURA CTM],MATCH($B177,tab_MinKomp[[Stanowisko / Position ]:[Stanowisko / Position ]],0))="n/a","n/a",AM177-INDEX(tab_MinKomp[WDRAŻANIE NOWYCH PROJEKTÓW/ PROCEDURA CTM],MATCH($B177,tab_MinKomp[[Stanowisko / Position ]:[Stanowisko / Position ]],0)))</f>
        <v>n/a</v>
      </c>
      <c r="AN178" s="341" t="str">
        <f>IF(INDEX(tab_MinKomp[KAMIENIE MILOWE MSL/PIFF],MATCH($B177,tab_MinKomp[[Stanowisko / Position ]:[Stanowisko / Position ]],0))="n/a","n/a",AN177-INDEX(tab_MinKomp[KAMIENIE MILOWE MSL/PIFF],MATCH($B177,tab_MinKomp[[Stanowisko / Position ]:[Stanowisko / Position ]],0)))</f>
        <v>n/a</v>
      </c>
      <c r="AO178" s="341" t="str">
        <f>IF(INDEX(tab_MinKomp[CP],MATCH($B177,tab_MinKomp[[Stanowisko / Position ]:[Stanowisko / Position ]],0))="n/a","n/a",AO177-INDEX(tab_MinKomp[CP],MATCH($B177,tab_MinKomp[[Stanowisko / Position ]:[Stanowisko / Position ]],0)))</f>
        <v>n/a</v>
      </c>
      <c r="AP178" s="341" t="str">
        <f>IF(INDEX(tab_MinKomp[FMEA],MATCH($B177,tab_MinKomp[[Stanowisko / Position ]:[Stanowisko / Position ]],0))="n/a","n/a",AP177-INDEX(tab_MinKomp[FMEA],MATCH($B177,tab_MinKomp[[Stanowisko / Position ]:[Stanowisko / Position ]],0)))</f>
        <v>n/a</v>
      </c>
      <c r="AQ178" s="341" t="str">
        <f>IF(INDEX(tab_MinKomp[FLOW CHART],MATCH($B177,tab_MinKomp[[Stanowisko / Position ]:[Stanowisko / Position ]],0))="n/a","n/a",AQ177-INDEX(tab_MinKomp[FLOW CHART],MATCH($B177,tab_MinKomp[[Stanowisko / Position ]:[Stanowisko / Position ]],0)))</f>
        <v>n/a</v>
      </c>
      <c r="AR178" s="341" t="str">
        <f>IF(INDEX(tab_MinKomp[APQP],MATCH($B177,tab_MinKomp[[Stanowisko / Position ]:[Stanowisko / Position ]],0))="n/a","n/a",AR177-INDEX(tab_MinKomp[APQP],MATCH($B177,tab_MinKomp[[Stanowisko / Position ]:[Stanowisko / Position ]],0)))</f>
        <v>n/a</v>
      </c>
      <c r="AS178" s="341" t="str">
        <f>IF(INDEX(tab_MinKomp[MSA],MATCH($B177,tab_MinKomp[[Stanowisko / Position ]:[Stanowisko / Position ]],0))="n/a","n/a",AS177-INDEX(tab_MinKomp[MSA],MATCH($B177,tab_MinKomp[[Stanowisko / Position ]:[Stanowisko / Position ]],0)))</f>
        <v>n/a</v>
      </c>
      <c r="AT178" s="341" t="str">
        <f>IF(INDEX(tab_MinKomp[SPC],MATCH($B177,tab_MinKomp[[Stanowisko / Position ]:[Stanowisko / Position ]],0))="n/a","n/a",AT177-INDEX(tab_MinKomp[SPC],MATCH($B177,tab_MinKomp[[Stanowisko / Position ]:[Stanowisko / Position ]],0)))</f>
        <v>n/a</v>
      </c>
      <c r="AU178" s="341" t="str">
        <f>IF(INDEX(tab_MinKomp[CSR (SPECYFICZNE WYMAGANIA KLIENTA)],MATCH($B177,tab_MinKomp[[Stanowisko / Position ]:[Stanowisko / Position ]],0))="n/a","n/a",AU177-INDEX(tab_MinKomp[CSR (SPECYFICZNE WYMAGANIA KLIENTA)],MATCH($B177,tab_MinKomp[[Stanowisko / Position ]:[Stanowisko / Position ]],0)))</f>
        <v>n/a</v>
      </c>
      <c r="AV178" s="341">
        <f>IF(INDEX(tab_MinKomp[5S],MATCH($B177,tab_MinKomp[[Stanowisko / Position ]:[Stanowisko / Position ]],0))="n/a","n/a",AV177-INDEX(tab_MinKomp[5S],MATCH($B177,tab_MinKomp[[Stanowisko / Position ]:[Stanowisko / Position ]],0)))</f>
        <v>-2</v>
      </c>
      <c r="AW178" s="341">
        <f>IF(INDEX(tab_MinKomp[LEAN MANAGEMENT],MATCH($B177,tab_MinKomp[[Stanowisko / Position ]:[Stanowisko / Position ]],0))="n/a","n/a",AW177-INDEX(tab_MinKomp[LEAN MANAGEMENT],MATCH($B177,tab_MinKomp[[Stanowisko / Position ]:[Stanowisko / Position ]],0)))</f>
        <v>-1</v>
      </c>
      <c r="AX178" s="341">
        <f>IF(INDEX(tab_MinKomp[5R],MATCH($B177,tab_MinKomp[[Stanowisko / Position ]:[Stanowisko / Position ]],0))="n/a","n/a",AX177-INDEX(tab_MinKomp[5R],MATCH($B177,tab_MinKomp[[Stanowisko / Position ]:[Stanowisko / Position ]],0)))</f>
        <v>-1</v>
      </c>
      <c r="AY178" s="341" t="str">
        <f>IF(INDEX(tab_MinKomp[Six Sigma],MATCH($B177,tab_MinKomp[[Stanowisko / Position ]:[Stanowisko / Position ]],0))="n/a","n/a",AY177-INDEX(tab_MinKomp[Six Sigma],MATCH($B177,tab_MinKomp[[Stanowisko / Position ]:[Stanowisko / Position ]],0)))</f>
        <v>n/a</v>
      </c>
      <c r="AZ178" s="341" t="str">
        <f>IF(INDEX(tab_MinKomp[System BAAN / Distribution &amp; Supply Chain],MATCH($B177,tab_MinKomp[[Stanowisko / Position ]:[Stanowisko / Position ]],0))="n/a","n/a",AZ177-INDEX(tab_MinKomp[System BAAN / Distribution &amp; Supply Chain],MATCH($B177,tab_MinKomp[[Stanowisko / Position ]:[Stanowisko / Position ]],0)))</f>
        <v>n/a</v>
      </c>
      <c r="BA178" s="341" t="str">
        <f>IF(INDEX(tab_MinKomp[Gospodarka magazynowa / Lagerverwaltung],MATCH($B177,tab_MinKomp[[Stanowisko / Position ]:[Stanowisko / Position ]],0))="n/a","n/a",BA177-INDEX(tab_MinKomp[Gospodarka magazynowa / Lagerverwaltung],MATCH($B177,tab_MinKomp[[Stanowisko / Position ]:[Stanowisko / Position ]],0)))</f>
        <v>n/a</v>
      </c>
      <c r="BB178" s="341" t="str">
        <f>IF(INDEX(tab_MinKomp[Inwentaryzacja - organizacja i przebieg / Inventurprozess],MATCH($B177,tab_MinKomp[[Stanowisko / Position ]:[Stanowisko / Position ]],0))="n/a","n/a",BB177-INDEX(tab_MinKomp[Inwentaryzacja - organizacja i przebieg / Inventurprozess],MATCH($B177,tab_MinKomp[[Stanowisko / Position ]:[Stanowisko / Position ]],0)))</f>
        <v>n/a</v>
      </c>
      <c r="BC178" s="341" t="str">
        <f>IF(INDEX(tab_MinKomp[Organizacja dostaw / Versorgungsorganisation],MATCH($B177,tab_MinKomp[[Stanowisko / Position ]:[Stanowisko / Position ]],0))="n/a","n/a",BC177-INDEX(tab_MinKomp[Organizacja dostaw / Versorgungsorganisation],MATCH($B177,tab_MinKomp[[Stanowisko / Position ]:[Stanowisko / Position ]],0)))</f>
        <v>n/a</v>
      </c>
      <c r="BD178" s="341" t="str">
        <f>IF(INDEX(tab_MinKomp[Organizacja wysyłek / Organisation von Lieferungen],MATCH($B177,tab_MinKomp[[Stanowisko / Position ]:[Stanowisko / Position ]],0))="n/a","n/a",BD177-INDEX(tab_MinKomp[Organizacja wysyłek / Organisation von Lieferungen],MATCH($B177,tab_MinKomp[[Stanowisko / Position ]:[Stanowisko / Position ]],0)))</f>
        <v>n/a</v>
      </c>
      <c r="BE178" s="341" t="str">
        <f>IF(INDEX(tab_MinKomp[Analiza magazynowa - Program Polen.mdb / Inventuranalyse],MATCH($B177,tab_MinKomp[[Stanowisko / Position ]:[Stanowisko / Position ]],0))="n/a","n/a",BE177-INDEX(tab_MinKomp[Analiza magazynowa - Program Polen.mdb / Inventuranalyse],MATCH($B177,tab_MinKomp[[Stanowisko / Position ]:[Stanowisko / Position ]],0)))</f>
        <v>n/a</v>
      </c>
      <c r="BF178" s="341" t="str">
        <f>IF(INDEX(tab_MinKomp[MMOG (Materials Management Operations Guidelines)],MATCH($B177,tab_MinKomp[[Stanowisko / Position ]:[Stanowisko / Position ]],0))="n/a","n/a",BF177-INDEX(tab_MinKomp[MMOG (Materials Management Operations Guidelines)],MATCH($B177,tab_MinKomp[[Stanowisko / Position ]:[Stanowisko / Position ]],0)))</f>
        <v>n/a</v>
      </c>
      <c r="BG178" s="341" t="str">
        <f>IF(INDEX(tab_MinKomp[DETC],MATCH($B177,tab_MinKomp[[Stanowisko / Position ]:[Stanowisko / Position ]],0))="n/a","n/a",BG177-INDEX(tab_MinKomp[DETC],MATCH($B177,tab_MinKomp[[Stanowisko / Position ]:[Stanowisko / Position ]],0)))</f>
        <v>n/a</v>
      </c>
      <c r="BH178" s="341" t="str">
        <f>IF(INDEX(tab_MinKomp[GPP],MATCH($B177,tab_MinKomp[[Stanowisko / Position ]:[Stanowisko / Position ]],0))="n/a","n/a",BH177-INDEX(tab_MinKomp[GPP],MATCH($B177,tab_MinKomp[[Stanowisko / Position ]:[Stanowisko / Position ]],0)))</f>
        <v>n/a</v>
      </c>
      <c r="BI178" s="341" t="str">
        <f>IF(INDEX(tab_MinKomp[AIAG (Automotive Industry Action Group)],MATCH($B177,tab_MinKomp[[Stanowisko / Position ]:[Stanowisko / Position ]],0))="n/a","n/a",BI177-INDEX(tab_MinKomp[AIAG (Automotive Industry Action Group)],MATCH($B177,tab_MinKomp[[Stanowisko / Position ]:[Stanowisko / Position ]],0)))</f>
        <v>n/a</v>
      </c>
      <c r="BJ178" s="341" t="str">
        <f>IF(INDEX(tab_MinKomp[Super-G disputes],MATCH($B177,tab_MinKomp[[Stanowisko / Position ]:[Stanowisko / Position ]],0))="n/a","n/a",BJ177-INDEX(tab_MinKomp[Super-G disputes],MATCH($B177,tab_MinKomp[[Stanowisko / Position ]:[Stanowisko / Position ]],0)))</f>
        <v>n/a</v>
      </c>
      <c r="BK178" s="341" t="str">
        <f>IF(INDEX(tab_MinKomp[CMMS3/eDDL (Direct Data Link)],MATCH($B177,tab_MinKomp[[Stanowisko / Position ]:[Stanowisko / Position ]],0))="n/a","n/a",BK177-INDEX(tab_MinKomp[CMMS3/eDDL (Direct Data Link)],MATCH($B177,tab_MinKomp[[Stanowisko / Position ]:[Stanowisko / Position ]],0)))</f>
        <v>n/a</v>
      </c>
      <c r="BL178" s="341" t="str">
        <f>IF(INDEX(tab_MinKomp[MP&amp;L (Material Planning and Logistics)],MATCH($B177,tab_MinKomp[[Stanowisko / Position ]:[Stanowisko / Position ]],0))="n/a","n/a",BL177-INDEX(tab_MinKomp[MP&amp;L (Material Planning and Logistics)],MATCH($B177,tab_MinKomp[[Stanowisko / Position ]:[Stanowisko / Position ]],0)))</f>
        <v>n/a</v>
      </c>
      <c r="BM178" s="341" t="str">
        <f>IF(INDEX(tab_MinKomp[Planowanie produkcji / Produktionsplanung],MATCH($B177,tab_MinKomp[[Stanowisko / Position ]:[Stanowisko / Position ]],0))="n/a","n/a",BM177-INDEX(tab_MinKomp[Planowanie produkcji / Produktionsplanung],MATCH($B177,tab_MinKomp[[Stanowisko / Position ]:[Stanowisko / Position ]],0)))</f>
        <v>n/a</v>
      </c>
      <c r="BN178" s="341">
        <f>IF(INDEX(tab_MinKomp[Obsługa maszyn Engel / Engel Maschinenbedienung],MATCH($B177,tab_MinKomp[[Stanowisko / Position ]:[Stanowisko / Position ]],0))="n/a","n/a",BN177-INDEX(tab_MinKomp[Obsługa maszyn Engel / Engel Maschinenbedienung],MATCH($B177,tab_MinKomp[[Stanowisko / Position ]:[Stanowisko / Position ]],0)))</f>
        <v>-1</v>
      </c>
      <c r="BO178" s="341">
        <f>IF(INDEX(tab_MinKomp[Obsługa maszyn Novapax / Novapax Maschinenbedienung],MATCH($B177,tab_MinKomp[[Stanowisko / Position ]:[Stanowisko / Position ]],0))="n/a","n/a",BO177-INDEX(tab_MinKomp[Obsługa maszyn Novapax / Novapax Maschinenbedienung],MATCH($B177,tab_MinKomp[[Stanowisko / Position ]:[Stanowisko / Position ]],0)))</f>
        <v>-1</v>
      </c>
      <c r="BP178" s="341">
        <f>IF(INDEX(tab_MinKomp[Obsługa maszyn KVT / KVT Maschinenbedienung],MATCH($B177,tab_MinKomp[[Stanowisko / Position ]:[Stanowisko / Position ]],0))="n/a","n/a",BP177-INDEX(tab_MinKomp[Obsługa maszyn KVT / KVT Maschinenbedienung],MATCH($B177,tab_MinKomp[[Stanowisko / Position ]:[Stanowisko / Position ]],0)))</f>
        <v>-1</v>
      </c>
      <c r="BQ178" s="341">
        <f>IF(INDEX(tab_MinKomp[Obsługa maszyn ASL / ASL Maschinenbedienung],MATCH($B177,tab_MinKomp[[Stanowisko / Position ]:[Stanowisko / Position ]],0))="n/a","n/a",BQ177-INDEX(tab_MinKomp[Obsługa maszyn ASL / ASL Maschinenbedienung],MATCH($B177,tab_MinKomp[[Stanowisko / Position ]:[Stanowisko / Position ]],0)))</f>
        <v>-1</v>
      </c>
      <c r="BR178" s="341">
        <f>IF(INDEX(tab_MinKomp[Obsługa maszyn Branson / Branson Maschinenbedienung],MATCH($B177,tab_MinKomp[[Stanowisko / Position ]:[Stanowisko / Position ]],0))="n/a","n/a",BR177-INDEX(tab_MinKomp[Obsługa maszyn Branson / Branson Maschinenbedienung],MATCH($B177,tab_MinKomp[[Stanowisko / Position ]:[Stanowisko / Position ]],0)))</f>
        <v>-1</v>
      </c>
      <c r="BS178" s="341">
        <f>IF(INDEX(tab_MinKomp[Obsługa maszyn Kamtec / Kamtec Maschinenbedienung],MATCH($B177,tab_MinKomp[[Stanowisko / Position ]:[Stanowisko / Position ]],0))="n/a","n/a",BS177-INDEX(tab_MinKomp[Obsługa maszyn Kamtec / Kamtec Maschinenbedienung],MATCH($B177,tab_MinKomp[[Stanowisko / Position ]:[Stanowisko / Position ]],0)))</f>
        <v>-1</v>
      </c>
      <c r="BT178" s="341">
        <f>IF(INDEX(tab_MinKomp[Obsługa maszyn Piovan / Piovan Maschinenbedienung],MATCH($B177,tab_MinKomp[[Stanowisko / Position ]:[Stanowisko / Position ]],0))="n/a","n/a",BT177-INDEX(tab_MinKomp[Obsługa maszyn Piovan / Piovan Maschinenbedienung],MATCH($B177,tab_MinKomp[[Stanowisko / Position ]:[Stanowisko / Position ]],0)))</f>
        <v>-1</v>
      </c>
      <c r="BU178" s="341">
        <f>IF(INDEX(tab_MinKomp[Obsługa maszyn REP / REP Maschinenbedienung],MATCH($B177,tab_MinKomp[[Stanowisko / Position ]:[Stanowisko / Position ]],0))="n/a","n/a",BU177-INDEX(tab_MinKomp[Obsługa maszyn REP / REP Maschinenbedienung],MATCH($B177,tab_MinKomp[[Stanowisko / Position ]:[Stanowisko / Position ]],0)))</f>
        <v>-1</v>
      </c>
      <c r="BV178" s="341">
        <f>IF(INDEX(tab_MinKomp[Eliminacja awarii / Beseitigung von Ausfällen],MATCH($B177,tab_MinKomp[[Stanowisko / Position ]:[Stanowisko / Position ]],0))="n/a","n/a",BV177-INDEX(tab_MinKomp[Eliminacja awarii / Beseitigung von Ausfällen],MATCH($B177,tab_MinKomp[[Stanowisko / Position ]:[Stanowisko / Position ]],0)))</f>
        <v>-2</v>
      </c>
      <c r="BW178" s="341" t="str">
        <f>IF(INDEX(tab_MinKomp[Informatyka ogólna (techniczne i systemowe) / Allgemeine IT (Technik und System)],MATCH($B177,tab_MinKomp[[Stanowisko / Position ]:[Stanowisko / Position ]],0))="n/a","n/a",BW177-INDEX(tab_MinKomp[Informatyka ogólna (techniczne i systemowe) / Allgemeine IT (Technik und System)],MATCH($B177,tab_MinKomp[[Stanowisko / Position ]:[Stanowisko / Position ]],0)))</f>
        <v>n/a</v>
      </c>
      <c r="BX178" s="341" t="str">
        <f>IF(INDEX(tab_MinKomp[Sieci komputerowe / Computernetzwerke],MATCH($B177,tab_MinKomp[[Stanowisko / Position ]:[Stanowisko / Position ]],0))="n/a","n/a",BX177-INDEX(tab_MinKomp[Sieci komputerowe / Computernetzwerke],MATCH($B177,tab_MinKomp[[Stanowisko / Position ]:[Stanowisko / Position ]],0)))</f>
        <v>n/a</v>
      </c>
      <c r="BY178" s="341" t="str">
        <f>IF(INDEX(tab_MinKomp[Hardware (komputery PC, drukarki biurowe i etykietowe, telefonia stacjonarna i mobilna) (PC, Drucker, Telefpne, Handys)],MATCH($B177,tab_MinKomp[[Stanowisko / Position ]:[Stanowisko / Position ]],0))="n/a","n/a",BY177-INDEX(tab_MinKomp[Hardware (komputery PC, drukarki biurowe i etykietowe, telefonia stacjonarna i mobilna) (PC, Drucker, Telefpne, Handys)],MATCH($B177,tab_MinKomp[[Stanowisko / Position ]:[Stanowisko / Position ]],0)))</f>
        <v>n/a</v>
      </c>
      <c r="BZ178" s="341" t="str">
        <f>IF(INDEX(tab_MinKomp[Software &amp; Systems (MS Office, MS Remote Desktop)],MATCH($B177,tab_MinKomp[[Stanowisko / Position ]:[Stanowisko / Position ]],0))="n/a","n/a",BZ177-INDEX(tab_MinKomp[Software &amp; Systems (MS Office, MS Remote Desktop)],MATCH($B177,tab_MinKomp[[Stanowisko / Position ]:[Stanowisko / Position ]],0)))</f>
        <v>n/a</v>
      </c>
      <c r="CA178" s="341" t="str">
        <f>IF(INDEX(tab_MinKomp[Programowanie obiektowe (PHP) / Objektprogrammierung],MATCH($B177,tab_MinKomp[[Stanowisko / Position ]:[Stanowisko / Position ]],0))="n/a","n/a",CA177-INDEX(tab_MinKomp[Programowanie obiektowe (PHP) / Objektprogrammierung],MATCH($B177,tab_MinKomp[[Stanowisko / Position ]:[Stanowisko / Position ]],0)))</f>
        <v>n/a</v>
      </c>
      <c r="CB178" s="341" t="str">
        <f>IF(INDEX(tab_MinKomp[Scrum],MATCH($B177,tab_MinKomp[[Stanowisko / Position ]:[Stanowisko / Position ]],0))="n/a","n/a",CB177-INDEX(tab_MinKomp[Scrum],MATCH($B177,tab_MinKomp[[Stanowisko / Position ]:[Stanowisko / Position ]],0)))</f>
        <v>n/a</v>
      </c>
      <c r="CC178" s="341" t="str">
        <f>IF(INDEX(tab_MinKomp[SQL (MySQL)],MATCH($B177,tab_MinKomp[[Stanowisko / Position ]:[Stanowisko / Position ]],0))="n/a","n/a",CC177-INDEX(tab_MinKomp[SQL (MySQL)],MATCH($B177,tab_MinKomp[[Stanowisko / Position ]:[Stanowisko / Position ]],0)))</f>
        <v>n/a</v>
      </c>
      <c r="CD178" s="341" t="str">
        <f>IF(INDEX(tab_MinKomp[Javascript],MATCH($B177,tab_MinKomp[[Stanowisko / Position ]:[Stanowisko / Position ]],0))="n/a","n/a",CD177-INDEX(tab_MinKomp[Javascript],MATCH($B177,tab_MinKomp[[Stanowisko / Position ]:[Stanowisko / Position ]],0)))</f>
        <v>n/a</v>
      </c>
      <c r="CE178" s="341" t="str">
        <f>IF(INDEX(tab_MinKomp[Joomla],MATCH($B177,tab_MinKomp[[Stanowisko / Position ]:[Stanowisko / Position ]],0))="n/a","n/a",CE177-INDEX(tab_MinKomp[Joomla],MATCH($B177,tab_MinKomp[[Stanowisko / Position ]:[Stanowisko / Position ]],0)))</f>
        <v>n/a</v>
      </c>
      <c r="CF178" s="341" t="str">
        <f>IF(INDEX(tab_MinKomp[Bash],MATCH($B177,tab_MinKomp[[Stanowisko / Position ]:[Stanowisko / Position ]],0))="n/a","n/a",CF177-INDEX(tab_MinKomp[Bash],MATCH($B177,tab_MinKomp[[Stanowisko / Position ]:[Stanowisko / Position ]],0)))</f>
        <v>n/a</v>
      </c>
      <c r="CG178" s="341" t="str">
        <f>IF(INDEX(tab_MinKomp[Systemy MES (HYDRA / SFMS)],MATCH($B177,tab_MinKomp[[Stanowisko / Position ]:[Stanowisko / Position ]],0))="n/a","n/a",CG177-INDEX(tab_MinKomp[Systemy MES (HYDRA / SFMS)],MATCH($B177,tab_MinKomp[[Stanowisko / Position ]:[Stanowisko / Position ]],0)))</f>
        <v>n/a</v>
      </c>
      <c r="CH178" s="341" t="str">
        <f>IF(INDEX(tab_MinKomp[HTML / CSS],MATCH($B177,tab_MinKomp[[Stanowisko / Position ]:[Stanowisko / Position ]],0))="n/a","n/a",CH177-INDEX(tab_MinKomp[HTML / CSS],MATCH($B177,tab_MinKomp[[Stanowisko / Position ]:[Stanowisko / Position ]],0)))</f>
        <v>n/a</v>
      </c>
      <c r="CI178" s="341">
        <f>IF(INDEX(tab_MinKomp[SYSTEM PR],MATCH($B177,tab_MinKomp[[Stanowisko / Position ]:[Stanowisko / Position ]],0))="n/a","n/a",CI177-INDEX(tab_MinKomp[SYSTEM PR],MATCH($B177,tab_MinKomp[[Stanowisko / Position ]:[Stanowisko / Position ]],0)))</f>
        <v>-1</v>
      </c>
      <c r="CJ178" s="341" t="str">
        <f>IF(INDEX(tab_MinKomp[System Einkauf XP / EBA],MATCH($B177,tab_MinKomp[[Stanowisko / Position ]:[Stanowisko / Position ]],0))="n/a","n/a",CJ177-INDEX(tab_MinKomp[System Einkauf XP / EBA],MATCH($B177,tab_MinKomp[[Stanowisko / Position ]:[Stanowisko / Position ]],0)))</f>
        <v>n/a</v>
      </c>
      <c r="CK178" s="341" t="str">
        <f>IF(INDEX(tab_MinKomp[Techniki negocjacyjne / Verhandlungstechniken],MATCH($B177,tab_MinKomp[[Stanowisko / Position ]:[Stanowisko / Position ]],0))="n/a","n/a",CK177-INDEX(tab_MinKomp[Techniki negocjacyjne / Verhandlungstechniken],MATCH($B177,tab_MinKomp[[Stanowisko / Position ]:[Stanowisko / Position ]],0)))</f>
        <v>n/a</v>
      </c>
      <c r="CL178" s="341">
        <f>IF(INDEX(tab_MinKomp[Znajomość rynku branżowego / Kenntnis des Industrie Marktes],MATCH($B177,tab_MinKomp[[Stanowisko / Position ]:[Stanowisko / Position ]],0))="n/a","n/a",CL177-INDEX(tab_MinKomp[Znajomość rynku branżowego / Kenntnis des Industrie Marktes],MATCH($B177,tab_MinKomp[[Stanowisko / Position ]:[Stanowisko / Position ]],0)))</f>
        <v>-1</v>
      </c>
      <c r="CM178" s="341" t="str">
        <f>IF(INDEX(tab_MinKomp[RAPORTY 8D / 8D Berichten],MATCH($B177,tab_MinKomp[[Stanowisko / Position ]:[Stanowisko / Position ]],0))="n/a","n/a",CM177-INDEX(tab_MinKomp[RAPORTY 8D / 8D Berichten],MATCH($B177,tab_MinKomp[[Stanowisko / Position ]:[Stanowisko / Position ]],0)))</f>
        <v>n/a</v>
      </c>
      <c r="CN178" s="341">
        <f>IF(INDEX(tab_MinKomp[NARZĘDZIA JAKOŚCIOWE (5WHY, Ishikawa, etc) / QS-Werkzeuge],MATCH($B177,tab_MinKomp[[Stanowisko / Position ]:[Stanowisko / Position ]],0))="n/a","n/a",CN177-INDEX(tab_MinKomp[NARZĘDZIA JAKOŚCIOWE (5WHY, Ishikawa, etc) / QS-Werkzeuge],MATCH($B177,tab_MinKomp[[Stanowisko / Position ]:[Stanowisko / Position ]],0)))</f>
        <v>-2</v>
      </c>
      <c r="CO178" s="341">
        <f>IF(INDEX(tab_MinKomp[PDCA],MATCH($B177,tab_MinKomp[[Stanowisko / Position ]:[Stanowisko / Position ]],0))="n/a","n/a",CO177-INDEX(tab_MinKomp[PDCA],MATCH($B177,tab_MinKomp[[Stanowisko / Position ]:[Stanowisko / Position ]],0)))</f>
        <v>-2</v>
      </c>
      <c r="CP178" s="341">
        <f>IF(INDEX(tab_MinKomp[Pareto],MATCH($B177,tab_MinKomp[[Stanowisko / Position ]:[Stanowisko / Position ]],0))="n/a","n/a",CP177-INDEX(tab_MinKomp[Pareto],MATCH($B177,tab_MinKomp[[Stanowisko / Position ]:[Stanowisko / Position ]],0)))</f>
        <v>-2</v>
      </c>
      <c r="CQ178" s="341" t="str">
        <f>IF(INDEX(tab_MinKomp[PPAP/PSW],MATCH($B177,tab_MinKomp[[Stanowisko / Position ]:[Stanowisko / Position ]],0))="n/a","n/a",CQ177-INDEX(tab_MinKomp[PPAP/PSW],MATCH($B177,tab_MinKomp[[Stanowisko / Position ]:[Stanowisko / Position ]],0)))</f>
        <v>n/a</v>
      </c>
      <c r="CR178" s="341" t="str">
        <f>IF(INDEX(tab_MinKomp[SUPPLIER MANAGEMENT],MATCH($B177,tab_MinKomp[[Stanowisko / Position ]:[Stanowisko / Position ]],0))="n/a","n/a",CR177-INDEX(tab_MinKomp[SUPPLIER MANAGEMENT],MATCH($B177,tab_MinKomp[[Stanowisko / Position ]:[Stanowisko / Position ]],0)))</f>
        <v>n/a</v>
      </c>
      <c r="CS178" s="341" t="str">
        <f>IF(INDEX(tab_MinKomp[OBSŁUGA PORTALI KLIENTA / Kundenportale],MATCH($B177,tab_MinKomp[[Stanowisko / Position ]:[Stanowisko / Position ]],0))="n/a","n/a",CS177-INDEX(tab_MinKomp[OBSŁUGA PORTALI KLIENTA / Kundenportale],MATCH($B177,tab_MinKomp[[Stanowisko / Position ]:[Stanowisko / Position ]],0)))</f>
        <v>n/a</v>
      </c>
      <c r="CT178" s="341" t="str">
        <f>IF(INDEX(tab_MinKomp[Obsługa systemu BABTECQ / BABTECQ System],MATCH($B177,tab_MinKomp[[Stanowisko / Position ]:[Stanowisko / Position ]],0))="n/a","n/a",CT177-INDEX(tab_MinKomp[Obsługa systemu BABTECQ / BABTECQ System],MATCH($B177,tab_MinKomp[[Stanowisko / Position ]:[Stanowisko / Position ]],0)))</f>
        <v>n/a</v>
      </c>
      <c r="CU178" s="341">
        <f>IF(INDEX(tab_MinKomp[Rysunek techniczny / technische Zeichnung],MATCH($B177,tab_MinKomp[[Stanowisko / Position ]:[Stanowisko / Position ]],0))="n/a","n/a",CU177-INDEX(tab_MinKomp[Rysunek techniczny / technische Zeichnung],MATCH($B177,tab_MinKomp[[Stanowisko / Position ]:[Stanowisko / Position ]],0)))</f>
        <v>-2</v>
      </c>
      <c r="CV178" s="341" t="str">
        <f>IF(INDEX(tab_MinKomp[Kalibracja / Kalibrierung],MATCH($B177,tab_MinKomp[[Stanowisko / Position ]:[Stanowisko / Position ]],0))="n/a","n/a",CV177-INDEX(tab_MinKomp[Kalibracja / Kalibrierung],MATCH($B177,tab_MinKomp[[Stanowisko / Position ]:[Stanowisko / Position ]],0)))</f>
        <v>n/a</v>
      </c>
      <c r="CW178" s="341" t="str">
        <f>IF(INDEX(tab_MinKomp[Rekwalifikacja / Requalifizierung],MATCH($B177,tab_MinKomp[[Stanowisko / Position ]:[Stanowisko / Position ]],0))="n/a","n/a",CW177-INDEX(tab_MinKomp[Rekwalifikacja / Requalifizierung],MATCH($B177,tab_MinKomp[[Stanowisko / Position ]:[Stanowisko / Position ]],0)))</f>
        <v>n/a</v>
      </c>
      <c r="CX178" s="341" t="str">
        <f>IF(INDEX(tab_MinKomp[Obsługa mikroskopu optycznego / Bedienung eines optischen Mikroskops],MATCH($B177,tab_MinKomp[[Stanowisko / Position ]:[Stanowisko / Position ]],0))="n/a","n/a",CX177-INDEX(tab_MinKomp[Obsługa mikroskopu optycznego / Bedienung eines optischen Mikroskops],MATCH($B177,tab_MinKomp[[Stanowisko / Position ]:[Stanowisko / Position ]],0)))</f>
        <v>n/a</v>
      </c>
      <c r="CY178" s="341" t="str">
        <f>IF(INDEX(tab_MinKomp[Wykonywanie pomiarów optycznych - ocena wizualna / Optische Messungen durchführen – visuelle Beurteilung],MATCH($B177,tab_MinKomp[[Stanowisko / Position ]:[Stanowisko / Position ]],0))="n/a","n/a",CY177-INDEX(tab_MinKomp[Wykonywanie pomiarów optycznych - ocena wizualna / Optische Messungen durchführen – visuelle Beurteilung],MATCH($B177,tab_MinKomp[[Stanowisko / Position ]:[Stanowisko / Position ]],0)))</f>
        <v>n/a</v>
      </c>
      <c r="CZ178" s="341" t="str">
        <f>IF(INDEX(tab_MinKomp[Obsługa Rheometra / Rheometra-Unterstützung],MATCH($B177,tab_MinKomp[[Stanowisko / Position ]:[Stanowisko / Position ]],0))="n/a","n/a",CZ177-INDEX(tab_MinKomp[Obsługa Rheometra / Rheometra-Unterstützung],MATCH($B177,tab_MinKomp[[Stanowisko / Position ]:[Stanowisko / Position ]],0)))</f>
        <v>n/a</v>
      </c>
      <c r="DA178" s="341" t="str">
        <f>IF(INDEX(tab_MinKomp[Testy właściwości Rheometra mieszanki gumy],MATCH($B177,tab_MinKomp[[Stanowisko / Position ]:[Stanowisko / Position ]],0))="n/a","n/a",DA177-INDEX(tab_MinKomp[Testy właściwości Rheometra mieszanki gumy],MATCH($B177,tab_MinKomp[[Stanowisko / Position ]:[Stanowisko / Position ]],0)))</f>
        <v>n/a</v>
      </c>
      <c r="DB178" s="341" t="str">
        <f>IF(INDEX(tab_MinKomp[CMM - Contura Zeiss],MATCH($B177,tab_MinKomp[[Stanowisko / Position ]:[Stanowisko / Position ]],0))="n/a","n/a",DB177-INDEX(tab_MinKomp[CMM - Contura Zeiss],MATCH($B177,tab_MinKomp[[Stanowisko / Position ]:[Stanowisko / Position ]],0)))</f>
        <v>n/a</v>
      </c>
      <c r="DC178" s="341" t="str">
        <f>IF(INDEX(tab_MinKomp[Wykonywanie precyzyjnych pomiarów metrycznych, pomiary 3D],MATCH($B177,tab_MinKomp[[Stanowisko / Position ]:[Stanowisko / Position ]],0))="n/a","n/a",DC177-INDEX(tab_MinKomp[Wykonywanie precyzyjnych pomiarów metrycznych, pomiary 3D],MATCH($B177,tab_MinKomp[[Stanowisko / Position ]:[Stanowisko / Position ]],0)))</f>
        <v>n/a</v>
      </c>
      <c r="DD178" s="341" t="str">
        <f>IF(INDEX(tab_MinKomp[Pisanie programów / Programme schreiben],MATCH($B177,tab_MinKomp[[Stanowisko / Position ]:[Stanowisko / Position ]],0))="n/a","n/a",DD177-INDEX(tab_MinKomp[Pisanie programów / Programme schreiben],MATCH($B177,tab_MinKomp[[Stanowisko / Position ]:[Stanowisko / Position ]],0)))</f>
        <v>n/a</v>
      </c>
      <c r="DE178" s="341" t="str">
        <f>IF(INDEX(tab_MinKomp[Obsługa wyposażenia do testów czystości (myjka + analizator) / Betrieb von Sauberkeitsprüfgeräten (Waschmaschine + Analysegerät)],MATCH($B177,tab_MinKomp[[Stanowisko / Position ]:[Stanowisko / Position ]],0))="n/a","n/a",DE177-INDEX(tab_MinKomp[Obsługa wyposażenia do testów czystości (myjka + analizator) / Betrieb von Sauberkeitsprüfgeräten (Waschmaschine + Analysegerät)],MATCH($B177,tab_MinKomp[[Stanowisko / Position ]:[Stanowisko / Position ]],0)))</f>
        <v>n/a</v>
      </c>
      <c r="DF178" s="341" t="str">
        <f>IF(INDEX(tab_MinKomp[Testy czystości / Reinheitstests],MATCH($B177,tab_MinKomp[[Stanowisko / Position ]:[Stanowisko / Position ]],0))="n/a","n/a",DF177-INDEX(tab_MinKomp[Testy czystości / Reinheitstests],MATCH($B177,tab_MinKomp[[Stanowisko / Position ]:[Stanowisko / Position ]],0)))</f>
        <v>n/a</v>
      </c>
      <c r="DG178" s="341" t="str">
        <f>IF(INDEX(tab_MinKomp[Obsługa wysokościomierza / Unterstützung für Höhenmesser],MATCH($B177,tab_MinKomp[[Stanowisko / Position ]:[Stanowisko / Position ]],0))="n/a","n/a",DG177-INDEX(tab_MinKomp[Obsługa wysokościomierza / Unterstützung für Höhenmesser],MATCH($B177,tab_MinKomp[[Stanowisko / Position ]:[Stanowisko / Position ]],0)))</f>
        <v>n/a</v>
      </c>
      <c r="DH178" s="341" t="str">
        <f>IF(INDEX(tab_MinKomp[Pomiary wysokości materiału / Materialhöhenmessungen],MATCH($B177,tab_MinKomp[[Stanowisko / Position ]:[Stanowisko / Position ]],0))="n/a","n/a",DH177-INDEX(tab_MinKomp[Pomiary wysokości materiału / Materialhöhenmessungen],MATCH($B177,tab_MinKomp[[Stanowisko / Position ]:[Stanowisko / Position ]],0)))</f>
        <v>n/a</v>
      </c>
      <c r="DI178" s="341" t="str">
        <f>IF(INDEX(tab_MinKomp[Obsługa okrągłościomierza / Unterstützung für Rundheitsmessgeräte],MATCH($B177,tab_MinKomp[[Stanowisko / Position ]:[Stanowisko / Position ]],0))="n/a","n/a",DI177-INDEX(tab_MinKomp[Obsługa okrągłościomierza / Unterstützung für Rundheitsmessgeräte],MATCH($B177,tab_MinKomp[[Stanowisko / Position ]:[Stanowisko / Position ]],0)))</f>
        <v>n/a</v>
      </c>
      <c r="DJ178" s="341" t="str">
        <f>IF(INDEX(tab_MinKomp[Wykonywania pomiarów owalności, srednicy materiału / Messung der Ovalität und des Durchmessers des Materials],MATCH($B177,tab_MinKomp[[Stanowisko / Position ]:[Stanowisko / Position ]],0))="n/a","n/a",DJ177-INDEX(tab_MinKomp[Wykonywania pomiarów owalności, srednicy materiału / Messung der Ovalität und des Durchmessers des Materials],MATCH($B177,tab_MinKomp[[Stanowisko / Position ]:[Stanowisko / Position ]],0)))</f>
        <v>n/a</v>
      </c>
      <c r="DK178" s="341" t="str">
        <f>IF(INDEX(tab_MinKomp[Obsługa urządzenia do pomiarów chropowoatości powierzchni materiału],MATCH($B177,tab_MinKomp[[Stanowisko / Position ]:[Stanowisko / Position ]],0))="n/a","n/a",DK177-INDEX(tab_MinKomp[Obsługa urządzenia do pomiarów chropowoatości powierzchni materiału],MATCH($B177,tab_MinKomp[[Stanowisko / Position ]:[Stanowisko / Position ]],0)))</f>
        <v>n/a</v>
      </c>
      <c r="DL178" s="341" t="str">
        <f>IF(INDEX(tab_MinKomp[Wykonywanie pomiarów chropowatości powierzchni materiału / Durchführung von Messungen der Materialoberflächenrauheit],MATCH($B177,tab_MinKomp[[Stanowisko / Position ]:[Stanowisko / Position ]],0))="n/a","n/a",DL177-INDEX(tab_MinKomp[Wykonywanie pomiarów chropowatości powierzchni materiału / Durchführung von Messungen der Materialoberflächenrauheit],MATCH($B177,tab_MinKomp[[Stanowisko / Position ]:[Stanowisko / Position ]],0)))</f>
        <v>n/a</v>
      </c>
      <c r="DM178" s="341" t="str">
        <f>IF(INDEX(tab_MinKomp[Obsługa urządzenia do pomiaru siły radialnej części - postępowanie z trzpieniami. / Funktionsweise des Geräts zur Messung der Radialkraft von Teilen – Handhabungsstifte.],MATCH($B177,tab_MinKomp[[Stanowisko / Position ]:[Stanowisko / Position ]],0))="n/a","n/a",DM177-INDEX(tab_MinKomp[Obsługa urządzenia do pomiaru siły radialnej części - postępowanie z trzpieniami. / Funktionsweise des Geräts zur Messung der Radialkraft von Teilen – Handhabungsstifte.],MATCH($B177,tab_MinKomp[[Stanowisko / Position ]:[Stanowisko / Position ]],0)))</f>
        <v>n/a</v>
      </c>
      <c r="DN178" s="341" t="str">
        <f>IF(INDEX(tab_MinKomp[Wykonywanie pomiarów siły radialnej części / Führen Sie Radialkraftmessungen an Teilen durch],MATCH($B177,tab_MinKomp[[Stanowisko / Position ]:[Stanowisko / Position ]],0))="n/a","n/a",DN177-INDEX(tab_MinKomp[Wykonywanie pomiarów siły radialnej części / Führen Sie Radialkraftmessungen an Teilen durch],MATCH($B177,tab_MinKomp[[Stanowisko / Position ]:[Stanowisko / Position ]],0)))</f>
        <v>n/a</v>
      </c>
      <c r="DO178" s="341" t="str">
        <f>IF(INDEX(tab_MinKomp[Obsługa komory do testów wybuchwych / Betrieb einer Explosionsprüfkammer],MATCH($B177,tab_MinKomp[[Stanowisko / Position ]:[Stanowisko / Position ]],0))="n/a","n/a",DO177-INDEX(tab_MinKomp[Obsługa komory do testów wybuchwych / Betrieb einer Explosionsprüfkammer],MATCH($B177,tab_MinKomp[[Stanowisko / Position ]:[Stanowisko / Position ]],0)))</f>
        <v>n/a</v>
      </c>
      <c r="DP178" s="341" t="str">
        <f>IF(INDEX(tab_MinKomp[Wykonywanie testów wybuchowych części / Durchführung von Explosionstests an Teilen],MATCH($B177,tab_MinKomp[[Stanowisko / Position ]:[Stanowisko / Position ]],0))="n/a","n/a",DP177-INDEX(tab_MinKomp[Wykonywanie testów wybuchowych części / Durchführung von Explosionstests an Teilen],MATCH($B177,tab_MinKomp[[Stanowisko / Position ]:[Stanowisko / Position ]],0)))</f>
        <v>n/a</v>
      </c>
      <c r="DQ178" s="341" t="str">
        <f>IF(INDEX(tab_MinKomp[Obsługa urządzeń do mierzenia siły trzymania i/lub rozciągania / Betrieb von Geräten zur Messung der Halte- und/oder Dehnkraft],MATCH($B177,tab_MinKomp[[Stanowisko / Position ]:[Stanowisko / Position ]],0))="n/a","n/a",DQ177-INDEX(tab_MinKomp[Obsługa urządzeń do mierzenia siły trzymania i/lub rozciągania / Betrieb von Geräten zur Messung der Halte- und/oder Dehnkraft],MATCH($B177,tab_MinKomp[[Stanowisko / Position ]:[Stanowisko / Position ]],0)))</f>
        <v>n/a</v>
      </c>
      <c r="DR178" s="341" t="str">
        <f>IF(INDEX(tab_MinKomp[Wykonywanie testów mierzenia siły trzymania i/lub rozciągania / Durchführung von Tests zur Messung der Halte- und/oder Streckkraft],MATCH($B177,tab_MinKomp[[Stanowisko / Position ]:[Stanowisko / Position ]],0))="n/a","n/a",DR177-INDEX(tab_MinKomp[Wykonywanie testów mierzenia siły trzymania i/lub rozciągania / Durchführung von Tests zur Messung der Halte- und/oder Streckkraft],MATCH($B177,tab_MinKomp[[Stanowisko / Position ]:[Stanowisko / Position ]],0)))</f>
        <v>n/a</v>
      </c>
      <c r="DS178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Luftstrom)],MATCH($B177,tab_MinKomp[[Stanowisko / Position ]:[Stanowisko / Position ]],0))="n/a","n/a",DS177-INDEX(tab_MinKomp[Obsługa multimetru do pomiarów środowiskowych (temperatura, wilgotność, hałas, oświetlenie, przepływ powietrza) / Betrieb eines Multimeters für Umweltmessungen (Temperatur, Luftfeuchtigkeit, Lärm, Beleuchtung, Luftstrom)],MATCH($B177,tab_MinKomp[[Stanowisko / Position ]:[Stanowisko / Position ]],0)))</f>
        <v>n/a</v>
      </c>
      <c r="DT178" s="341" t="str">
        <f>IF(INDEX(tab_MinKomp[Kontrola warunków środowiskowych pracy (temperatura, wilgotność, hałas, oświetlenie, przepływ powietrza) / Kontrolle der Arbeitsumgebungsbedingungen (Temperatur, Luftfeuchtigkeit, Lärm, Beleuchtung, Luftstrom)],MATCH($B177,tab_MinKomp[[Stanowisko / Position ]:[Stanowisko / Position ]],0))="n/a","n/a",DT177-INDEX(tab_MinKomp[Kontrola warunków środowiskowych pracy (temperatura, wilgotność, hałas, oświetlenie, przepływ powietrza) / Kontrolle der Arbeitsumgebungsbedingungen (Temperatur, Luftfeuchtigkeit, Lärm, Beleuchtung, Luftstrom)],MATCH($B177,tab_MinKomp[[Stanowisko / Position ]:[Stanowisko / Position ]],0)))</f>
        <v>n/a</v>
      </c>
      <c r="DU178" s="341" t="str">
        <f>IF(INDEX(tab_MinKomp[MSA i SPC],MATCH($B177,tab_MinKomp[[Stanowisko / Position ]:[Stanowisko / Position ]],0))="n/a","n/a",DU177-INDEX(tab_MinKomp[MSA i SPC],MATCH($B177,tab_MinKomp[[Stanowisko / Position ]:[Stanowisko / Position ]],0)))</f>
        <v>n/a</v>
      </c>
      <c r="DV178" s="341" t="str">
        <f>IF(INDEX(tab_MinKomp[Kontrola wejściowa komponentów/ Eingangskontrolle],MATCH($B177,tab_MinKomp[[Stanowisko / Position ]:[Stanowisko / Position ]],0))="n/a","n/a",DV177-INDEX(tab_MinKomp[Kontrola wejściowa komponentów/ Eingangskontrolle],MATCH($B177,tab_MinKomp[[Stanowisko / Position ]:[Stanowisko / Position ]],0)))</f>
        <v>n/a</v>
      </c>
      <c r="DW178" s="341" t="str">
        <f>IF(INDEX(tab_MinKomp[Kontrola wyjściowa produktu / Ausgangskontrolle],MATCH($B177,tab_MinKomp[[Stanowisko / Position ]:[Stanowisko / Position ]],0))="n/a","n/a",DW177-INDEX(tab_MinKomp[Kontrola wyjściowa produktu / Ausgangskontrolle],MATCH($B177,tab_MinKomp[[Stanowisko / Position ]:[Stanowisko / Position ]],0)))</f>
        <v>n/a</v>
      </c>
      <c r="DX178" s="341" t="str">
        <f>IF(INDEX(tab_MinKomp[Kontrola codzienna produkcji / Tägliche Produktionskontrolle],MATCH($B177,tab_MinKomp[[Stanowisko / Position ]:[Stanowisko / Position ]],0))="n/a","n/a",DX177-INDEX(tab_MinKomp[Kontrola codzienna produkcji / Tägliche Produktionskontrolle],MATCH($B177,tab_MinKomp[[Stanowisko / Position ]:[Stanowisko / Position ]],0)))</f>
        <v>n/a</v>
      </c>
      <c r="DY178" s="341">
        <f>IF(INDEX(tab_MinKomp[Konserwacja Rep],MATCH($B177,tab_MinKomp[[Stanowisko / Position ]:[Stanowisko / Position ]],0))="n/a","n/a",DY177-INDEX(tab_MinKomp[Konserwacja Rep],MATCH($B177,tab_MinKomp[[Stanowisko / Position ]:[Stanowisko / Position ]],0)))</f>
        <v>-2</v>
      </c>
      <c r="DZ178" s="341">
        <f>IF(INDEX(tab_MinKomp[[Konserwacja Engel ]],MATCH($B177,tab_MinKomp[[Stanowisko / Position ]:[Stanowisko / Position ]],0))="n/a","n/a",DZ177-INDEX(tab_MinKomp[[Konserwacja Engel ]],MATCH($B177,tab_MinKomp[[Stanowisko / Position ]:[Stanowisko / Position ]],0)))</f>
        <v>-2</v>
      </c>
      <c r="EA178" s="341">
        <f>IF(INDEX(tab_MinKomp[Konserwacja B 50],MATCH($B177,tab_MinKomp[[Stanowisko / Position ]:[Stanowisko / Position ]],0))="n/a","n/a",EA177-INDEX(tab_MinKomp[Konserwacja B 50],MATCH($B177,tab_MinKomp[[Stanowisko / Position ]:[Stanowisko / Position ]],0)))</f>
        <v>-2</v>
      </c>
      <c r="EB178" s="341">
        <f>IF(INDEX(tab_MinKomp[[Konserwacja EOL ]],MATCH($B177,tab_MinKomp[[Stanowisko / Position ]:[Stanowisko / Position ]],0))="n/a","n/a",EB177-INDEX(tab_MinKomp[[Konserwacja EOL ]],MATCH($B177,tab_MinKomp[[Stanowisko / Position ]:[Stanowisko / Position ]],0)))</f>
        <v>-2</v>
      </c>
      <c r="EC178" s="341">
        <f>IF(INDEX(tab_MinKomp[Konserwacja Branson],MATCH($B177,tab_MinKomp[[Stanowisko / Position ]:[Stanowisko / Position ]],0))="n/a","n/a",EC177-INDEX(tab_MinKomp[Konserwacja Branson],MATCH($B177,tab_MinKomp[[Stanowisko / Position ]:[Stanowisko / Position ]],0)))</f>
        <v>-2</v>
      </c>
      <c r="ED178" s="341">
        <f>IF(INDEX(tab_MinKomp[Konserwacja coolery],MATCH($B177,tab_MinKomp[[Stanowisko / Position ]:[Stanowisko / Position ]],0))="n/a","n/a",ED177-INDEX(tab_MinKomp[Konserwacja coolery],MATCH($B177,tab_MinKomp[[Stanowisko / Position ]:[Stanowisko / Position ]],0)))</f>
        <v>-2</v>
      </c>
      <c r="EE178" s="341">
        <f>IF(INDEX(tab_MinKomp[Konserwacja piecy],MATCH($B177,tab_MinKomp[[Stanowisko / Position ]:[Stanowisko / Position ]],0))="n/a","n/a",EE177-INDEX(tab_MinKomp[Konserwacja piecy],MATCH($B177,tab_MinKomp[[Stanowisko / Position ]:[Stanowisko / Position ]],0)))</f>
        <v>-2</v>
      </c>
      <c r="EF178" s="341">
        <f>IF(INDEX(tab_MinKomp[Rysunek techniczny- czytanie],MATCH($B177,tab_MinKomp[[Stanowisko / Position ]:[Stanowisko / Position ]],0))="n/a","n/a",EF177-INDEX(tab_MinKomp[Rysunek techniczny- czytanie],MATCH($B177,tab_MinKomp[[Stanowisko / Position ]:[Stanowisko / Position ]],0)))</f>
        <v>-2</v>
      </c>
      <c r="EG178" s="341">
        <f>IF(INDEX(tab_MinKomp[Elektryka],MATCH($B177,tab_MinKomp[[Stanowisko / Position ]:[Stanowisko / Position ]],0))="n/a","n/a",EG177-INDEX(tab_MinKomp[Elektryka],MATCH($B177,tab_MinKomp[[Stanowisko / Position ]:[Stanowisko / Position ]],0)))</f>
        <v>-2</v>
      </c>
      <c r="EH178" s="341">
        <f>IF(INDEX(tab_MinKomp[Pneumatyka],MATCH($B177,tab_MinKomp[[Stanowisko / Position ]:[Stanowisko / Position ]],0))="n/a","n/a",EH177-INDEX(tab_MinKomp[Pneumatyka],MATCH($B177,tab_MinKomp[[Stanowisko / Position ]:[Stanowisko / Position ]],0)))</f>
        <v>-2</v>
      </c>
      <c r="EI178" s="341">
        <f>IF(INDEX(tab_MinKomp[[Hydraulika ]],MATCH($B177,tab_MinKomp[[Stanowisko / Position ]:[Stanowisko / Position ]],0))="n/a","n/a",EI177-INDEX(tab_MinKomp[[Hydraulika ]],MATCH($B177,tab_MinKomp[[Stanowisko / Position ]:[Stanowisko / Position ]],0)))</f>
        <v>-2</v>
      </c>
      <c r="EJ178" s="341">
        <f>IF(INDEX(tab_MinKomp[Podciśnienie],MATCH($B177,tab_MinKomp[[Stanowisko / Position ]:[Stanowisko / Position ]],0))="n/a","n/a",EJ177-INDEX(tab_MinKomp[Podciśnienie],MATCH($B177,tab_MinKomp[[Stanowisko / Position ]:[Stanowisko / Position ]],0)))</f>
        <v>-2</v>
      </c>
      <c r="EK178" s="341">
        <f>IF(INDEX(tab_MinKomp[Usuwanie awarii],MATCH($B177,tab_MinKomp[[Stanowisko / Position ]:[Stanowisko / Position ]],0))="n/a","n/a",EK177-INDEX(tab_MinKomp[Usuwanie awarii],MATCH($B177,tab_MinKomp[[Stanowisko / Position ]:[Stanowisko / Position ]],0)))</f>
        <v>-2</v>
      </c>
      <c r="EL178" s="341">
        <f>IF(INDEX(tab_MinKomp[Obsługa robotów],MATCH($B177,tab_MinKomp[[Stanowisko / Position ]:[Stanowisko / Position ]],0))="n/a","n/a",EL177-INDEX(tab_MinKomp[Obsługa robotów],MATCH($B177,tab_MinKomp[[Stanowisko / Position ]:[Stanowisko / Position ]],0)))</f>
        <v>-2</v>
      </c>
      <c r="EM178" s="341">
        <f>IF(INDEX(tab_MinKomp[Obsługa sterowania maszyny],MATCH($B177,tab_MinKomp[[Stanowisko / Position ]:[Stanowisko / Position ]],0))="n/a","n/a",EM177-INDEX(tab_MinKomp[Obsługa sterowania maszyny],MATCH($B177,tab_MinKomp[[Stanowisko / Position ]:[Stanowisko / Position ]],0)))</f>
        <v>-2</v>
      </c>
      <c r="EN178" s="341">
        <f>IF(INDEX(tab_MinKomp[Usuwanie przyczyn żródłowych],MATCH($B177,tab_MinKomp[[Stanowisko / Position ]:[Stanowisko / Position ]],0))="n/a","n/a",EN177-INDEX(tab_MinKomp[Usuwanie przyczyn żródłowych],MATCH($B177,tab_MinKomp[[Stanowisko / Position ]:[Stanowisko / Position ]],0)))</f>
        <v>-3</v>
      </c>
      <c r="EO178" s="341">
        <f>IF(INDEX(tab_MinKomp[Cmms stosowanie],MATCH($B177,tab_MinKomp[[Stanowisko / Position ]:[Stanowisko / Position ]],0))="n/a","n/a",EO177-INDEX(tab_MinKomp[Cmms stosowanie],MATCH($B177,tab_MinKomp[[Stanowisko / Position ]:[Stanowisko / Position ]],0)))</f>
        <v>-2</v>
      </c>
      <c r="EP178" s="341" t="str">
        <f>IF(INDEX(tab_MinKomp[[Czyszczenie form gumowych ]],MATCH($B177,tab_MinKomp[[Stanowisko / Position ]:[Stanowisko / Position ]],0))="n/a","n/a",EP177-INDEX(tab_MinKomp[[Czyszczenie form gumowych ]],MATCH($B177,tab_MinKomp[[Stanowisko / Position ]:[Stanowisko / Position ]],0)))</f>
        <v>n/a</v>
      </c>
      <c r="EQ178" s="341" t="str">
        <f>IF(INDEX(tab_MinKomp[Czyszczenie form plastikowych],MATCH($B177,tab_MinKomp[[Stanowisko / Position ]:[Stanowisko / Position ]],0))="n/a","n/a",EQ177-INDEX(tab_MinKomp[Czyszczenie form plastikowych],MATCH($B177,tab_MinKomp[[Stanowisko / Position ]:[Stanowisko / Position ]],0)))</f>
        <v>n/a</v>
      </c>
      <c r="ER178" s="341" t="str">
        <f>IF(INDEX(tab_MinKomp[Wymiana form plastik],MATCH($B177,tab_MinKomp[[Stanowisko / Position ]:[Stanowisko / Position ]],0))="n/a","n/a",ER177-INDEX(tab_MinKomp[Wymiana form plastik],MATCH($B177,tab_MinKomp[[Stanowisko / Position ]:[Stanowisko / Position ]],0)))</f>
        <v>n/a</v>
      </c>
      <c r="ES178" s="341" t="str">
        <f>IF(INDEX(tab_MinKomp[Wymiana form guma],MATCH($B177,tab_MinKomp[[Stanowisko / Position ]:[Stanowisko / Position ]],0))="n/a","n/a",ES177-INDEX(tab_MinKomp[Wymiana form guma],MATCH($B177,tab_MinKomp[[Stanowisko / Position ]:[Stanowisko / Position ]],0)))</f>
        <v>n/a</v>
      </c>
      <c r="ET178" s="341" t="str">
        <f>IF(INDEX(tab_MinKomp[Konserwacja KK],MATCH($B177,tab_MinKomp[[Stanowisko / Position ]:[Stanowisko / Position ]],0))="n/a","n/a",ET177-INDEX(tab_MinKomp[Konserwacja KK],MATCH($B177,tab_MinKomp[[Stanowisko / Position ]:[Stanowisko / Position ]],0)))</f>
        <v>n/a</v>
      </c>
      <c r="EU178" s="341" t="str">
        <f>IF(INDEX(tab_MinKomp[Konserwacja form guma],MATCH($B177,tab_MinKomp[[Stanowisko / Position ]:[Stanowisko / Position ]],0))="n/a","n/a",EU177-INDEX(tab_MinKomp[Konserwacja form guma],MATCH($B177,tab_MinKomp[[Stanowisko / Position ]:[Stanowisko / Position ]],0)))</f>
        <v>n/a</v>
      </c>
      <c r="EV178" s="341" t="str">
        <f>IF(INDEX(tab_MinKomp[Konserwacja form plastiki],MATCH($B177,tab_MinKomp[[Stanowisko / Position ]:[Stanowisko / Position ]],0))="n/a","n/a",EV177-INDEX(tab_MinKomp[Konserwacja form plastiki],MATCH($B177,tab_MinKomp[[Stanowisko / Position ]:[Stanowisko / Position ]],0)))</f>
        <v>n/a</v>
      </c>
      <c r="EW178" s="330" t="str">
        <f>IF(INDEX(tab_MinKomp[Konserwacja form plastiki],MATCH($B177,tab_MinKomp[[Stanowisko / Position ]:[Stanowisko / Position ]],0))="n/a","n/a",EW177-INDEX(tab_MinKomp[Konserwacja form plastiki],MATCH($B177,tab_MinKomp[[Stanowisko / Position ]:[Stanowisko / Position ]],0)))</f>
        <v>n/a</v>
      </c>
      <c r="EX178" s="341" t="str">
        <f>IF(INDEX(tab_MinKomp[Konserwacja Gorącego Kanału],MATCH($B177,tab_MinKomp[[Stanowisko / Position ]:[Stanowisko / Position ]],0))="n/a","n/a",EX177-INDEX(tab_MinKomp[Konserwacja Gorącego Kanału],MATCH($B177,tab_MinKomp[[Stanowisko / Position ]:[Stanowisko / Position ]],0)))</f>
        <v>n/a</v>
      </c>
      <c r="EY178" s="341">
        <f>IF(INDEX(tab_MinKomp[MS Office (Excel)],MATCH($B177,tab_MinKomp[[Stanowisko / Position ]:[Stanowisko / Position ]],0))="n/a","n/a",EY177-INDEX(tab_MinKomp[MS Office (Excel)],MATCH($B177,tab_MinKomp[[Stanowisko / Position ]:[Stanowisko / Position ]],0)))</f>
        <v>-1</v>
      </c>
      <c r="EZ178" s="341">
        <f>IF(INDEX(tab_MinKomp[MS Office (Word)],MATCH($B177,tab_MinKomp[[Stanowisko / Position ]:[Stanowisko / Position ]],0))="n/a","n/a",EZ177-INDEX(tab_MinKomp[MS Office (Word)],MATCH($B177,tab_MinKomp[[Stanowisko / Position ]:[Stanowisko / Position ]],0)))</f>
        <v>-1</v>
      </c>
      <c r="FA178" s="341">
        <f>IF(INDEX(tab_MinKomp[MS Office (Power Point)],MATCH($B177,tab_MinKomp[[Stanowisko / Position ]:[Stanowisko / Position ]],0))="n/a","n/a",FA177-INDEX(tab_MinKomp[MS Office (Power Point)],MATCH($B177,tab_MinKomp[[Stanowisko / Position ]:[Stanowisko / Position ]],0)))</f>
        <v>-1</v>
      </c>
      <c r="FB178" s="341" t="str">
        <f>IF(INDEX(tab_MinKomp[Język angielski / Englisch],MATCH($B177,tab_MinKomp[[Stanowisko / Position ]:[Stanowisko / Position ]],0))="n/a","n/a",FB177-INDEX(tab_MinKomp[Język angielski / Englisch],MATCH($B177,tab_MinKomp[[Stanowisko / Position ]:[Stanowisko / Position ]],0)))</f>
        <v>n/a</v>
      </c>
      <c r="FC178" s="341" t="str">
        <f>IF(INDEX(tab_MinKomp[Język niemiecki / Deutsch],MATCH($B177,tab_MinKomp[[Stanowisko / Position ]:[Stanowisko / Position ]],0))="n/a","n/a",FC177-INDEX(tab_MinKomp[Język niemiecki / Deutsch],MATCH($B177,tab_MinKomp[[Stanowisko / Position ]:[Stanowisko / Position ]],0)))</f>
        <v>n/a</v>
      </c>
      <c r="FD178" s="341">
        <f>IF(INDEX(tab_MinKomp[Zarządzanie dokumentacją procesową / Process dokumentation management],MATCH($B177,tab_MinKomp[[Stanowisko / Position ]:[Stanowisko / Position ]],0))="n/a","n/a",FD177-INDEX(tab_MinKomp[Zarządzanie dokumentacją procesową / Process dokumentation management],MATCH($B177,tab_MinKomp[[Stanowisko / Position ]:[Stanowisko / Position ]],0)))</f>
        <v>-1</v>
      </c>
      <c r="FE178" s="341">
        <f>IF(INDEX(tab_MinKomp[Znajomość procesów z obszaru / Kenntiss der prozesse in dem Bereich],MATCH($B177,tab_MinKomp[[Stanowisko / Position ]:[Stanowisko / Position ]],0))="n/a","n/a",FE177-INDEX(tab_MinKomp[Znajomość procesów z obszaru / Kenntiss der prozesse in dem Bereich],MATCH($B177,tab_MinKomp[[Stanowisko / Position ]:[Stanowisko / Position ]],0)))</f>
        <v>-2</v>
      </c>
      <c r="FF178" s="341">
        <f>IF(INDEX(tab_MinKomp[optymalizacja procesów / Prozessoptymalisierung],MATCH($B177,tab_MinKomp[[Stanowisko / Position ]:[Stanowisko / Position ]],0))="n/a","n/a",FF177-INDEX(tab_MinKomp[optymalizacja procesów / Prozessoptymalisierung],MATCH($B177,tab_MinKomp[[Stanowisko / Position ]:[Stanowisko / Position ]],0)))</f>
        <v>-2</v>
      </c>
      <c r="FG178" s="341">
        <f>IF(INDEX(tab_MinKomp[Umiejętności szkoleniowe / Trainingsfähigkeiten],MATCH($B177,tab_MinKomp[[Stanowisko / Position ]:[Stanowisko / Position ]],0))="n/a","n/a",FG177-INDEX(tab_MinKomp[Umiejętności szkoleniowe / Trainingsfähigkeiten],MATCH($B177,tab_MinKomp[[Stanowisko / Position ]:[Stanowisko / Position ]],0)))</f>
        <v>-1</v>
      </c>
      <c r="FH178" s="341">
        <f>IF(INDEX(tab_MinKomp[Analityczne myślenie, podejście / Analitysches Denken, Einstellung],MATCH($B177,tab_MinKomp[[Stanowisko / Position ]:[Stanowisko / Position ]],0))="n/a","n/a",FH177-INDEX(tab_MinKomp[Analityczne myślenie, podejście / Analitysches Denken, Einstellung],MATCH($B177,tab_MinKomp[[Stanowisko / Position ]:[Stanowisko / Position ]],0)))</f>
        <v>-2</v>
      </c>
      <c r="FI178" s="341">
        <f>IF(INDEX(tab_MinKomp[Dokładność, precyzja w dzialaniu / Genauigkeit, Präzision in die Arbeit],MATCH($B177,tab_MinKomp[[Stanowisko / Position ]:[Stanowisko / Position ]],0))="n/a","n/a",FI177-INDEX(tab_MinKomp[Dokładność, precyzja w dzialaniu / Genauigkeit, Präzision in die Arbeit],MATCH($B177,tab_MinKomp[[Stanowisko / Position ]:[Stanowisko / Position ]],0)))</f>
        <v>-2</v>
      </c>
      <c r="FJ178" s="341">
        <f>IF(INDEX(tab_MinKomp[Dyspozycyjność / Verfügbarkeit],MATCH($B177,tab_MinKomp[[Stanowisko / Position ]:[Stanowisko / Position ]],0))="n/a","n/a",FJ177-INDEX(tab_MinKomp[Dyspozycyjność / Verfügbarkeit],MATCH($B177,tab_MinKomp[[Stanowisko / Position ]:[Stanowisko / Position ]],0)))</f>
        <v>-2</v>
      </c>
      <c r="FK178" s="341">
        <f>IF(INDEX(tab_MinKomp[Zaangażowanie / 
Engagement],MATCH($B177,tab_MinKomp[[Stanowisko / Position ]:[Stanowisko / Position ]],0))="n/a","n/a",FK177-INDEX(tab_MinKomp[Zaangażowanie / 
Engagement],MATCH($B177,tab_MinKomp[[Stanowisko / Position ]:[Stanowisko / Position ]],0)))</f>
        <v>-2</v>
      </c>
      <c r="FL178" s="341" t="str">
        <f>IF(INDEX(tab_MinKomp[Planowanie strategiczne / Strategische Planung],MATCH($B177,tab_MinKomp[[Stanowisko / Position ]:[Stanowisko / Position ]],0))="n/a","n/a",FL177-INDEX(tab_MinKomp[Planowanie strategiczne / Strategische Planung],MATCH($B177,tab_MinKomp[[Stanowisko / Position ]:[Stanowisko / Position ]],0)))</f>
        <v>n/a</v>
      </c>
      <c r="FM178" s="341">
        <f>IF(INDEX(tab_MinKomp[Konsekwentne i dynamiczne działanie],MATCH($B177,tab_MinKomp[[Stanowisko / Position ]:[Stanowisko / Position ]],0))="n/a","n/a",FM177-INDEX(tab_MinKomp[Konsekwentne i dynamiczne działanie],MATCH($B177,tab_MinKomp[[Stanowisko / Position ]:[Stanowisko / Position ]],0)))</f>
        <v>-2</v>
      </c>
      <c r="FN178" s="341">
        <f>IF(INDEX(tab_MinKomp[Elastyczność w działaniu],MATCH($B177,tab_MinKomp[[Stanowisko / Position ]:[Stanowisko / Position ]],0))="n/a","n/a",FN177-INDEX(tab_MinKomp[Elastyczność w działaniu],MATCH($B177,tab_MinKomp[[Stanowisko / Position ]:[Stanowisko / Position ]],0)))</f>
        <v>-2</v>
      </c>
      <c r="FO178" s="341">
        <f>IF(INDEX(tab_MinKomp[Komunikatywność],MATCH($B177,tab_MinKomp[[Stanowisko / Position ]:[Stanowisko / Position ]],0))="n/a","n/a",FO177-INDEX(tab_MinKomp[Komunikatywność],MATCH($B177,tab_MinKomp[[Stanowisko / Position ]:[Stanowisko / Position ]],0)))</f>
        <v>-2</v>
      </c>
      <c r="FP178" s="341" t="str">
        <f>IF(INDEX(tab_MinKomp[Motywowanie i budowanie zaangażowania zespołu],MATCH($B177,tab_MinKomp[[Stanowisko / Position ]:[Stanowisko / Position ]],0))="n/a","n/a",FP177-INDEX(tab_MinKomp[Motywowanie i budowanie zaangażowania zespołu],MATCH($B177,tab_MinKomp[[Stanowisko / Position ]:[Stanowisko / Position ]],0)))</f>
        <v>n/a</v>
      </c>
      <c r="FQ178" s="346" t="str">
        <f>IFERROR(IF(INDEX(tab_MinKomp[BRAK / Keine],MATCH($B177,tab_MinKomp[[Stanowisko / Position ]:[Stanowisko / Position ]],0))="n/a","n/a",INDEX(tab_MinKomp[BRAK / Keine],MATCH($B177,tab_MinKomp[[Stanowisko / Position ]:[Stanowisko / Position ]],0))-FQ177),"")</f>
        <v>n/a</v>
      </c>
      <c r="FR178" s="343" t="str">
        <f>IF(INDEX(tab_MinKomp[MINIMUM 1 ROK / min. 1 Jahr],MATCH($B177,tab_MinKomp[[Stanowisko / Position ]:[Stanowisko / Position ]],0))="n/a","n/a",INDEX(tab_MinKomp[MINIMUM 1 ROK / min. 1 Jahr],MATCH($B177,tab_MinKomp[[Stanowisko / Position ]:[Stanowisko / Position ]],0)))</f>
        <v>n/a</v>
      </c>
      <c r="FS178" s="343" t="str">
        <f>IF(INDEX(tab_MinKomp[MINIMUM 2 LATA / min. 2 Jahre],MATCH($B177,tab_MinKomp[[Stanowisko / Position ]:[Stanowisko / Position ]],0))="n/a","n/a",INDEX(tab_MinKomp[MINIMUM 2 LATA / min. 2 Jahre],MATCH($B177,tab_MinKomp[[Stanowisko / Position ]:[Stanowisko / Position ]],0)))</f>
        <v>n/a</v>
      </c>
      <c r="FT178" s="343" t="str">
        <f>IF(INDEX(tab_MinKomp[MINIMUM 3 LATA / min. 3 Jahre],MATCH($B177,tab_MinKomp[[Stanowisko / Position ]:[Stanowisko / Position ]],0))="n/a","n/a",INDEX(tab_MinKomp[MINIMUM 3 LATA / min. 3 Jahre],MATCH($B177,tab_MinKomp[[Stanowisko / Position ]:[Stanowisko / Position ]],0)))</f>
        <v>n/a</v>
      </c>
      <c r="FU178" s="343" t="str">
        <f>IF(INDEX(tab_MinKomp[MINIMUM 4 LATA / min. 4 Jahre],MATCH($B177,tab_MinKomp[[Stanowisko / Position ]:[Stanowisko / Position ]],0))="n/a","n/a",INDEX(tab_MinKomp[MINIMUM 4 LATA / min. 4 Jahre],MATCH($B177,tab_MinKomp[[Stanowisko / Position ]:[Stanowisko / Position ]],0)))</f>
        <v>n/a</v>
      </c>
      <c r="FV178" s="347" t="str">
        <f>IF(INDEX(tab_MinKomp[MINIMUM 5 LAT / min. 5 Jahre],MATCH($B177,tab_MinKomp[[Stanowisko / Position ]:[Stanowisko / Position ]],0))="n/a","n/a",INDEX(tab_MinKomp[MINIMUM 5 LAT / min. 5 Jahre],MATCH($B177,tab_MinKomp[[Stanowisko / Position ]:[Stanowisko / Position ]],0)))</f>
        <v>n/a</v>
      </c>
      <c r="FW178" s="346" t="str">
        <f>IF(INDEX(tab_MinKomp[BRAK / Keine9],MATCH($B177,tab_MinKomp[[Stanowisko / Position ]:[Stanowisko / Position ]],0))="n/a","n/a",INDEX(tab_MinKomp[BRAK / Keine9],MATCH($B177,tab_MinKomp[[Stanowisko / Position ]:[Stanowisko / Position ]],0)))</f>
        <v>n/a</v>
      </c>
      <c r="FX178" s="343" t="str">
        <f>IF(INDEX(tab_MinKomp[ZAWODOWE / Berufsausbildung],MATCH($B177,tab_MinKomp[[Stanowisko / Position ]:[Stanowisko / Position ]],0))="n/a","n/a",INDEX(tab_MinKomp[ZAWODOWE / Berufsausbildung],MATCH($B177,tab_MinKomp[[Stanowisko / Position ]:[Stanowisko / Position ]],0)))</f>
        <v>n/a</v>
      </c>
      <c r="FY178" s="343" t="str">
        <f>IF(INDEX(tab_MinKomp[ŚREDNIE OGÓLNE / Abitur allgemeine],MATCH($B177,tab_MinKomp[[Stanowisko / Position ]:[Stanowisko / Position ]],0))="n/a","n/a",INDEX(tab_MinKomp[ŚREDNIE OGÓLNE / Abitur allgemeine],MATCH($B177,tab_MinKomp[[Stanowisko / Position ]:[Stanowisko / Position ]],0)))</f>
        <v>n/a</v>
      </c>
      <c r="FZ178" s="343" t="str">
        <f>IF(INDEX(tab_MinKomp[ŚREDNIE KIERUNKOWE / berufliches Gymnasium],MATCH($B177,tab_MinKomp[[Stanowisko / Position ]:[Stanowisko / Position ]],0))="n/a","n/a",INDEX(tab_MinKomp[ŚREDNIE KIERUNKOWE / berufliches Gymnasium],MATCH($B177,tab_MinKomp[[Stanowisko / Position ]:[Stanowisko / Position ]],0)))</f>
        <v>n/a</v>
      </c>
      <c r="GA178" s="343" t="str">
        <f>IF(INDEX(tab_MinKomp[WYŻSZE OGÓLNE / Hochschule allgemeine],MATCH($B177,tab_MinKomp[[Stanowisko / Position ]:[Stanowisko / Position ]],0))="n/a","n/a",INDEX(tab_MinKomp[WYŻSZE OGÓLNE / Hochschule allgemeine],MATCH($B177,tab_MinKomp[[Stanowisko / Position ]:[Stanowisko / Position ]],0)))</f>
        <v>n/a</v>
      </c>
      <c r="GB178" s="347" t="str">
        <f>IF(INDEX(tab_MinKomp[WYŻSZE KIERUNKOWE / Hochschule berufliche],MATCH($B177,tab_MinKomp[[Stanowisko / Position ]:[Stanowisko / Position ]],0))="n/a","n/a",INDEX(tab_MinKomp[WYŻSZE KIERUNKOWE / Hochschule berufliche],MATCH($B177,tab_MinKomp[[Stanowisko / Position ]:[Stanowisko / Position ]],0)))</f>
        <v>n/a</v>
      </c>
      <c r="GC178" s="346" t="str">
        <f>IF(INDEX(tab_MinKomp[PIERWSZA POMOC / Erste Hilfe],MATCH($B177,tab_MinKomp[[Stanowisko / Position ]:[Stanowisko / Position ]],0))="n/a","n/a",INDEX(tab_MinKomp[PIERWSZA POMOC / Erste Hilfe],MATCH($B177,tab_MinKomp[[Stanowisko / Position ]:[Stanowisko / Position ]],0)))</f>
        <v>n/a</v>
      </c>
      <c r="GD178" s="343" t="str">
        <f>IF(INDEX(tab_MinKomp[Specjalista BHP / BHP Spezialist],MATCH($B177,tab_MinKomp[[Stanowisko / Position ]:[Stanowisko / Position ]],0))="n/a","n/a",INDEX(tab_MinKomp[Specjalista BHP / BHP Spezialist],MATCH($B177,tab_MinKomp[[Stanowisko / Position ]:[Stanowisko / Position ]],0)))</f>
        <v>n/a</v>
      </c>
      <c r="GE178" s="343" t="str">
        <f>IF(INDEX(tab_MinKomp[Inspektor ochrony PPOŻ / Brandschutzinspektor],MATCH($B177,tab_MinKomp[[Stanowisko / Position ]:[Stanowisko / Position ]],0))="n/a","n/a",INDEX(tab_MinKomp[Inspektor ochrony PPOŻ / Brandschutzinspektor],MATCH($B177,tab_MinKomp[[Stanowisko / Position ]:[Stanowisko / Position ]],0)))</f>
        <v>n/a</v>
      </c>
      <c r="GF178" s="343" t="str">
        <f>IF(INDEX(tab_MinKomp[WÓZKI JEZDNIOWE / Gebelstapler],MATCH($B177,tab_MinKomp[[Stanowisko / Position ]:[Stanowisko / Position ]],0))="n/a","n/a",INDEX(tab_MinKomp[WÓZKI JEZDNIOWE / Gebelstapler],MATCH($B177,tab_MinKomp[[Stanowisko / Position ]:[Stanowisko / Position ]],0)))</f>
        <v>x</v>
      </c>
      <c r="GG178" s="343" t="str">
        <f>IF(INDEX(tab_MinKomp[SEP],MATCH($B177,tab_MinKomp[[Stanowisko / Position ]:[Stanowisko / Position ]],0))="n/a","n/a",INDEX(tab_MinKomp[SEP],MATCH($B177,tab_MinKomp[[Stanowisko / Position ]:[Stanowisko / Position ]],0)))</f>
        <v>x</v>
      </c>
      <c r="GH178" s="343" t="str">
        <f>IF(INDEX(tab_MinKomp[SEP  DOZÓR / SEP Aufsicht],MATCH($B177,tab_MinKomp[[Stanowisko / Position ]:[Stanowisko / Position ]],0))="n/a","n/a",INDEX(tab_MinKomp[SEP  DOZÓR / SEP Aufsicht],MATCH($B177,tab_MinKomp[[Stanowisko / Position ]:[Stanowisko / Position ]],0)))</f>
        <v>n/a</v>
      </c>
      <c r="GI178" s="343" t="str">
        <f>IF(INDEX(tab_MinKomp[PODNOŚNIKI / Hebevorrichtung],MATCH($B177,tab_MinKomp[[Stanowisko / Position ]:[Stanowisko / Position ]],0))="n/a","n/a",INDEX(tab_MinKomp[PODNOŚNIKI / Hebevorrichtung],MATCH($B177,tab_MinKomp[[Stanowisko / Position ]:[Stanowisko / Position ]],0)))</f>
        <v>x</v>
      </c>
      <c r="GJ178" s="343" t="str">
        <f>IF(INDEX(tab_MinKomp[SUWNICE / Laufkran],MATCH($B177,tab_MinKomp[[Stanowisko / Position ]:[Stanowisko / Position ]],0))="n/a","n/a",INDEX(tab_MinKomp[SUWNICE / Laufkran],MATCH($B177,tab_MinKomp[[Stanowisko / Position ]:[Stanowisko / Position ]],0)))</f>
        <v>n/a</v>
      </c>
      <c r="GK178" s="347" t="str">
        <f>IF(INDEX(tab_MinKomp[WYSOKOŚCIOWE / Höhenberechtigungen],MATCH($B177,tab_MinKomp[[Stanowisko / Position ]:[Stanowisko / Position ]],0))="n/a","n/a",INDEX(tab_MinKomp[WYSOKOŚCIOWE / Höhenberechtigungen],MATCH($B177,tab_MinKomp[[Stanowisko / Position ]:[Stanowisko / Position ]],0)))</f>
        <v>x</v>
      </c>
      <c r="GL178" s="320">
        <f>SUM(G178:FP178)/(GL177-(SUM(G178:FP178)))</f>
        <v>-1</v>
      </c>
      <c r="GM178" s="132"/>
    </row>
    <row r="179" spans="1:195" s="133" customFormat="1" ht="28.35" customHeight="1" thickBot="1" x14ac:dyDescent="0.3">
      <c r="A179" s="138" t="s">
        <v>181</v>
      </c>
      <c r="B179" s="138" t="s">
        <v>199</v>
      </c>
      <c r="C179" s="138" t="s">
        <v>613</v>
      </c>
      <c r="D179" s="138">
        <v>1719</v>
      </c>
      <c r="E179" s="619" t="s">
        <v>664</v>
      </c>
      <c r="F179" s="377" t="s">
        <v>165</v>
      </c>
      <c r="G179" s="308">
        <v>2</v>
      </c>
      <c r="H179" s="308">
        <v>2</v>
      </c>
      <c r="I179" s="308">
        <v>2</v>
      </c>
      <c r="J179" s="308">
        <v>1</v>
      </c>
      <c r="K179" s="308">
        <v>2</v>
      </c>
      <c r="L179" s="308">
        <v>1</v>
      </c>
      <c r="M179" s="308" t="s">
        <v>176</v>
      </c>
      <c r="N179" s="308" t="s">
        <v>176</v>
      </c>
      <c r="O179" s="308">
        <v>1</v>
      </c>
      <c r="P179" s="308">
        <v>1</v>
      </c>
      <c r="Q179" s="308" t="s">
        <v>176</v>
      </c>
      <c r="R179" s="308" t="s">
        <v>176</v>
      </c>
      <c r="S179" s="308" t="s">
        <v>176</v>
      </c>
      <c r="T179" s="308" t="s">
        <v>176</v>
      </c>
      <c r="U179" s="308" t="s">
        <v>176</v>
      </c>
      <c r="V179" s="308" t="s">
        <v>176</v>
      </c>
      <c r="W179" s="308" t="s">
        <v>176</v>
      </c>
      <c r="X179" s="308" t="s">
        <v>176</v>
      </c>
      <c r="Y179" s="308" t="s">
        <v>176</v>
      </c>
      <c r="Z179" s="308" t="s">
        <v>176</v>
      </c>
      <c r="AA179" s="308" t="s">
        <v>176</v>
      </c>
      <c r="AB179" s="308">
        <v>1</v>
      </c>
      <c r="AC179" s="308">
        <v>1</v>
      </c>
      <c r="AD179" s="341">
        <v>0</v>
      </c>
      <c r="AE179" s="308">
        <v>1</v>
      </c>
      <c r="AF179" s="308">
        <v>1</v>
      </c>
      <c r="AG179" s="308" t="s">
        <v>176</v>
      </c>
      <c r="AH179" s="308" t="s">
        <v>176</v>
      </c>
      <c r="AI179" s="308" t="s">
        <v>176</v>
      </c>
      <c r="AJ179" s="308" t="s">
        <v>176</v>
      </c>
      <c r="AK179" s="308" t="s">
        <v>176</v>
      </c>
      <c r="AL179" s="308">
        <v>1</v>
      </c>
      <c r="AM179" s="308">
        <v>1</v>
      </c>
      <c r="AN179" s="308" t="s">
        <v>176</v>
      </c>
      <c r="AO179" s="308" t="s">
        <v>176</v>
      </c>
      <c r="AP179" s="308" t="s">
        <v>176</v>
      </c>
      <c r="AQ179" s="308" t="s">
        <v>176</v>
      </c>
      <c r="AR179" s="308" t="s">
        <v>176</v>
      </c>
      <c r="AS179" s="308" t="s">
        <v>176</v>
      </c>
      <c r="AT179" s="308" t="s">
        <v>176</v>
      </c>
      <c r="AU179" s="308" t="s">
        <v>176</v>
      </c>
      <c r="AV179" s="308">
        <v>2</v>
      </c>
      <c r="AW179" s="308">
        <v>1</v>
      </c>
      <c r="AX179" s="308"/>
      <c r="AY179" s="308" t="s">
        <v>176</v>
      </c>
      <c r="AZ179" s="308" t="s">
        <v>176</v>
      </c>
      <c r="BA179" s="308" t="s">
        <v>176</v>
      </c>
      <c r="BB179" s="308" t="s">
        <v>176</v>
      </c>
      <c r="BC179" s="308" t="s">
        <v>176</v>
      </c>
      <c r="BD179" s="308" t="s">
        <v>176</v>
      </c>
      <c r="BE179" s="308" t="s">
        <v>176</v>
      </c>
      <c r="BF179" s="308" t="s">
        <v>176</v>
      </c>
      <c r="BG179" s="308" t="s">
        <v>176</v>
      </c>
      <c r="BH179" s="308" t="s">
        <v>176</v>
      </c>
      <c r="BI179" s="308" t="s">
        <v>176</v>
      </c>
      <c r="BJ179" s="308" t="s">
        <v>176</v>
      </c>
      <c r="BK179" s="308" t="s">
        <v>176</v>
      </c>
      <c r="BL179" s="308" t="s">
        <v>176</v>
      </c>
      <c r="BM179" s="308" t="s">
        <v>176</v>
      </c>
      <c r="BN179" s="308">
        <v>1</v>
      </c>
      <c r="BO179" s="308">
        <v>1</v>
      </c>
      <c r="BP179" s="308">
        <v>1</v>
      </c>
      <c r="BQ179" s="308">
        <v>1</v>
      </c>
      <c r="BR179" s="308">
        <v>1</v>
      </c>
      <c r="BS179" s="308">
        <v>1</v>
      </c>
      <c r="BT179" s="308">
        <v>1</v>
      </c>
      <c r="BU179" s="308">
        <v>1</v>
      </c>
      <c r="BV179" s="308">
        <v>1</v>
      </c>
      <c r="BW179" s="308">
        <v>2</v>
      </c>
      <c r="BX179" s="308">
        <v>2</v>
      </c>
      <c r="BY179" s="308">
        <v>1</v>
      </c>
      <c r="BZ179" s="308" t="s">
        <v>176</v>
      </c>
      <c r="CA179" s="308" t="s">
        <v>176</v>
      </c>
      <c r="CB179" s="308" t="s">
        <v>176</v>
      </c>
      <c r="CC179" s="308" t="s">
        <v>176</v>
      </c>
      <c r="CD179" s="308" t="s">
        <v>176</v>
      </c>
      <c r="CE179" s="308" t="s">
        <v>176</v>
      </c>
      <c r="CF179" s="308" t="s">
        <v>176</v>
      </c>
      <c r="CG179" s="308" t="s">
        <v>176</v>
      </c>
      <c r="CH179" s="308" t="s">
        <v>176</v>
      </c>
      <c r="CI179" s="308">
        <v>2</v>
      </c>
      <c r="CJ179" s="308" t="s">
        <v>176</v>
      </c>
      <c r="CK179" s="308">
        <v>1</v>
      </c>
      <c r="CL179" s="308">
        <v>1</v>
      </c>
      <c r="CM179" s="308">
        <v>1</v>
      </c>
      <c r="CN179" s="308">
        <v>1</v>
      </c>
      <c r="CO179" s="308">
        <v>1</v>
      </c>
      <c r="CP179" s="308">
        <v>1</v>
      </c>
      <c r="CQ179" s="308" t="s">
        <v>176</v>
      </c>
      <c r="CR179" s="308">
        <v>1</v>
      </c>
      <c r="CS179" s="308" t="s">
        <v>176</v>
      </c>
      <c r="CT179" s="308" t="s">
        <v>176</v>
      </c>
      <c r="CU179" s="308">
        <v>2</v>
      </c>
      <c r="CV179" s="308">
        <v>1</v>
      </c>
      <c r="CW179" s="308" t="s">
        <v>176</v>
      </c>
      <c r="CX179" s="308" t="s">
        <v>176</v>
      </c>
      <c r="CY179" s="308" t="s">
        <v>176</v>
      </c>
      <c r="CZ179" s="308" t="s">
        <v>176</v>
      </c>
      <c r="DA179" s="308" t="s">
        <v>176</v>
      </c>
      <c r="DB179" s="308" t="s">
        <v>176</v>
      </c>
      <c r="DC179" s="308" t="s">
        <v>176</v>
      </c>
      <c r="DD179" s="308" t="s">
        <v>176</v>
      </c>
      <c r="DE179" s="308" t="s">
        <v>176</v>
      </c>
      <c r="DF179" s="308" t="s">
        <v>176</v>
      </c>
      <c r="DG179" s="308" t="s">
        <v>176</v>
      </c>
      <c r="DH179" s="308" t="s">
        <v>176</v>
      </c>
      <c r="DI179" s="308" t="s">
        <v>176</v>
      </c>
      <c r="DJ179" s="308" t="s">
        <v>176</v>
      </c>
      <c r="DK179" s="308" t="s">
        <v>176</v>
      </c>
      <c r="DL179" s="308" t="s">
        <v>176</v>
      </c>
      <c r="DM179" s="308" t="s">
        <v>176</v>
      </c>
      <c r="DN179" s="308" t="s">
        <v>176</v>
      </c>
      <c r="DO179" s="308" t="s">
        <v>176</v>
      </c>
      <c r="DP179" s="308" t="s">
        <v>176</v>
      </c>
      <c r="DQ179" s="308" t="s">
        <v>176</v>
      </c>
      <c r="DR179" s="308" t="s">
        <v>176</v>
      </c>
      <c r="DS179" s="308" t="s">
        <v>176</v>
      </c>
      <c r="DT179" s="308" t="s">
        <v>176</v>
      </c>
      <c r="DU179" s="308"/>
      <c r="DV179" s="306" t="s">
        <v>176</v>
      </c>
      <c r="DW179" s="306" t="s">
        <v>176</v>
      </c>
      <c r="DX179" s="306" t="s">
        <v>176</v>
      </c>
      <c r="DY179" s="308">
        <v>0</v>
      </c>
      <c r="DZ179" s="308">
        <v>0</v>
      </c>
      <c r="EA179" s="308">
        <v>0</v>
      </c>
      <c r="EB179" s="308">
        <v>1</v>
      </c>
      <c r="EC179" s="308">
        <v>0</v>
      </c>
      <c r="ED179" s="308">
        <v>0</v>
      </c>
      <c r="EE179" s="308">
        <v>0</v>
      </c>
      <c r="EF179" s="308">
        <v>2</v>
      </c>
      <c r="EG179" s="308">
        <v>2</v>
      </c>
      <c r="EH179" s="308">
        <v>2</v>
      </c>
      <c r="EI179" s="308">
        <v>0</v>
      </c>
      <c r="EJ179" s="308">
        <v>1</v>
      </c>
      <c r="EK179" s="308">
        <v>3</v>
      </c>
      <c r="EL179" s="308">
        <v>2</v>
      </c>
      <c r="EM179" s="308">
        <v>2</v>
      </c>
      <c r="EN179" s="308">
        <v>3</v>
      </c>
      <c r="EO179" s="308">
        <v>2</v>
      </c>
      <c r="EP179" s="308" t="s">
        <v>176</v>
      </c>
      <c r="EQ179" s="308" t="s">
        <v>176</v>
      </c>
      <c r="ER179" s="308" t="s">
        <v>176</v>
      </c>
      <c r="ES179" s="308" t="s">
        <v>176</v>
      </c>
      <c r="ET179" s="308" t="s">
        <v>176</v>
      </c>
      <c r="EU179" s="308" t="s">
        <v>176</v>
      </c>
      <c r="EV179" s="308" t="s">
        <v>176</v>
      </c>
      <c r="EW179" s="308" t="s">
        <v>176</v>
      </c>
      <c r="EX179" s="308" t="s">
        <v>176</v>
      </c>
      <c r="EY179" s="308">
        <v>2</v>
      </c>
      <c r="EZ179" s="308">
        <v>2</v>
      </c>
      <c r="FA179" s="308">
        <v>2</v>
      </c>
      <c r="FB179" s="309">
        <v>2</v>
      </c>
      <c r="FC179" s="309" t="s">
        <v>176</v>
      </c>
      <c r="FD179" s="308">
        <v>1</v>
      </c>
      <c r="FE179" s="308">
        <v>1</v>
      </c>
      <c r="FF179" s="308">
        <v>1</v>
      </c>
      <c r="FG179" s="308">
        <v>1</v>
      </c>
      <c r="FH179" s="308">
        <v>3</v>
      </c>
      <c r="FI179" s="308">
        <v>2</v>
      </c>
      <c r="FJ179" s="308">
        <v>3</v>
      </c>
      <c r="FK179" s="308">
        <v>3</v>
      </c>
      <c r="FL179" s="308">
        <v>2</v>
      </c>
      <c r="FM179" s="308">
        <v>2</v>
      </c>
      <c r="FN179" s="308">
        <v>2</v>
      </c>
      <c r="FO179" s="308">
        <v>2</v>
      </c>
      <c r="FP179" s="308" t="s">
        <v>176</v>
      </c>
      <c r="FQ179" s="308" t="s">
        <v>176</v>
      </c>
      <c r="FR179" s="308" t="s">
        <v>176</v>
      </c>
      <c r="FS179" s="308" t="s">
        <v>176</v>
      </c>
      <c r="FT179" s="308" t="s">
        <v>176</v>
      </c>
      <c r="FU179" s="308" t="s">
        <v>176</v>
      </c>
      <c r="FV179" s="308" t="s">
        <v>176</v>
      </c>
      <c r="FW179" s="308" t="s">
        <v>176</v>
      </c>
      <c r="FX179" s="308" t="s">
        <v>176</v>
      </c>
      <c r="FY179" s="308" t="s">
        <v>176</v>
      </c>
      <c r="FZ179" s="308" t="s">
        <v>176</v>
      </c>
      <c r="GA179" s="308" t="s">
        <v>176</v>
      </c>
      <c r="GB179" s="308" t="s">
        <v>176</v>
      </c>
      <c r="GC179" s="308" t="s">
        <v>176</v>
      </c>
      <c r="GD179" s="308" t="s">
        <v>176</v>
      </c>
      <c r="GE179" s="308" t="s">
        <v>176</v>
      </c>
      <c r="GF179" s="308" t="s">
        <v>176</v>
      </c>
      <c r="GG179" s="308" t="s">
        <v>176</v>
      </c>
      <c r="GH179" s="308" t="s">
        <v>176</v>
      </c>
      <c r="GI179" s="308" t="s">
        <v>176</v>
      </c>
      <c r="GJ179" s="308" t="s">
        <v>176</v>
      </c>
      <c r="GK179" s="308" t="s">
        <v>176</v>
      </c>
      <c r="GL179" s="311">
        <f>SUM(G179:FP179)</f>
        <v>98</v>
      </c>
      <c r="GM179" s="132"/>
    </row>
    <row r="180" spans="1:195" s="133" customFormat="1" ht="28.35" customHeight="1" thickBot="1" x14ac:dyDescent="0.3">
      <c r="A180" s="138" t="s">
        <v>181</v>
      </c>
      <c r="B180" s="138" t="s">
        <v>199</v>
      </c>
      <c r="C180" s="138" t="s">
        <v>613</v>
      </c>
      <c r="D180" s="138">
        <v>1719</v>
      </c>
      <c r="E180" s="620"/>
      <c r="F180" s="378" t="s">
        <v>166</v>
      </c>
      <c r="G180" s="341">
        <f>IF(INDEX(tab_MinKomp[Przepisy BHP / BHP Vorschriften],MATCH($B179,tab_MinKomp[[Stanowisko / Position ]:[Stanowisko / Position ]],0))="n/a","n/a",G179-INDEX(tab_MinKomp[Przepisy BHP / BHP Vorschriften],MATCH($B179,tab_MinKomp[[Stanowisko / Position ]:[Stanowisko / Position ]],0)))</f>
        <v>0</v>
      </c>
      <c r="H180" s="341">
        <f>IF(INDEX(tab_MinKomp[Przepisy PPOŻ / Brandschutzbestimmungen],MATCH($B179,tab_MinKomp[[Stanowisko / Position ]:[Stanowisko / Position ]],0))="n/a","n/a",H179-INDEX(tab_MinKomp[Przepisy PPOŻ / Brandschutzbestimmungen],MATCH($B179,tab_MinKomp[[Stanowisko / Position ]:[Stanowisko / Position ]],0)))</f>
        <v>0</v>
      </c>
      <c r="I180" s="341">
        <f>IF(INDEX(tab_MinKomp[Ryzyko zawodowe na stanowiskach pracyv/ Berufliche Risiken an Arbeitsstellen],MATCH($B179,tab_MinKomp[[Stanowisko / Position ]:[Stanowisko / Position ]],0))="n/a","n/a",I179-INDEX(tab_MinKomp[Ryzyko zawodowe na stanowiskach pracyv/ Berufliche Risiken an Arbeitsstellen],MATCH($B179,tab_MinKomp[[Stanowisko / Position ]:[Stanowisko / Position ]],0)))</f>
        <v>0</v>
      </c>
      <c r="J180" s="341">
        <f>IF(INDEX(tab_MinKomp[Gospodarka substancjami niebezpiecznymi / Gefahrstoffmanagement],MATCH($B179,tab_MinKomp[[Stanowisko / Position ]:[Stanowisko / Position ]],0))="n/a","n/a",J179-INDEX(tab_MinKomp[Gospodarka substancjami niebezpiecznymi / Gefahrstoffmanagement],MATCH($B179,tab_MinKomp[[Stanowisko / Position ]:[Stanowisko / Position ]],0)))</f>
        <v>-1</v>
      </c>
      <c r="K180" s="341">
        <f>IF(INDEX(tab_MinKomp[Gospodarka odpadami / Abfallwirtschaft],MATCH($B179,tab_MinKomp[[Stanowisko / Position ]:[Stanowisko / Position ]],0))="n/a","n/a",K179-INDEX(tab_MinKomp[Gospodarka odpadami / Abfallwirtschaft],MATCH($B179,tab_MinKomp[[Stanowisko / Position ]:[Stanowisko / Position ]],0)))</f>
        <v>0</v>
      </c>
      <c r="L180" s="341">
        <f>IF(INDEX(tab_MinKomp[Przepisy kodeksu pracy / Bestimmungen des Arbeitsgesetzes],MATCH($B179,tab_MinKomp[[Stanowisko / Position ]:[Stanowisko / Position ]],0))="n/a","n/a",L179-INDEX(tab_MinKomp[Przepisy kodeksu pracy / Bestimmungen des Arbeitsgesetzes],MATCH($B179,tab_MinKomp[[Stanowisko / Position ]:[Stanowisko / Position ]],0)))</f>
        <v>0</v>
      </c>
      <c r="M180" s="341" t="str">
        <f>IF(INDEX(tab_MinKomp[Przepisy o ub.społ. ZUS  / Sozialversicherungsvorschriften],MATCH($B179,tab_MinKomp[[Stanowisko / Position ]:[Stanowisko / Position ]],0))="n/a","n/a",M179-INDEX(tab_MinKomp[Przepisy o ub.społ. ZUS  / Sozialversicherungsvorschriften],MATCH($B179,tab_MinKomp[[Stanowisko / Position ]:[Stanowisko / Position ]],0)))</f>
        <v>n/a</v>
      </c>
      <c r="N180" s="341" t="str">
        <f>IF(INDEX(tab_MinKomp[PRZEPISY O PDOF /persönlich Einkommensteuergesetz ],MATCH($B179,tab_MinKomp[[Stanowisko / Position ]:[Stanowisko / Position ]],0))="n/a","n/a",N179-INDEX(tab_MinKomp[PRZEPISY O PDOF /persönlich Einkommensteuergesetz ],MATCH($B179,tab_MinKomp[[Stanowisko / Position ]:[Stanowisko / Position ]],0)))</f>
        <v>n/a</v>
      </c>
      <c r="O180" s="341">
        <f>IF(INDEX(tab_MinKomp[Regulamin pracy / Arbeitsordnung],MATCH($B179,tab_MinKomp[[Stanowisko / Position ]:[Stanowisko / Position ]],0))="n/a","n/a",O179-INDEX(tab_MinKomp[Regulamin pracy / Arbeitsordnung],MATCH($B179,tab_MinKomp[[Stanowisko / Position ]:[Stanowisko / Position ]],0)))</f>
        <v>0</v>
      </c>
      <c r="P180" s="341">
        <f>IF(INDEX(tab_MinKomp[Regulamin wynagradzania / Vergütungsordnung],MATCH($B179,tab_MinKomp[[Stanowisko / Position ]:[Stanowisko / Position ]],0))="n/a","n/a",P179-INDEX(tab_MinKomp[Regulamin wynagradzania / Vergütungsordnung],MATCH($B179,tab_MinKomp[[Stanowisko / Position ]:[Stanowisko / Position ]],0)))</f>
        <v>0</v>
      </c>
      <c r="Q180" s="341" t="str">
        <f>IF(INDEX(tab_MinKomp[System R2PŁATNIK PRO: Płace / Lohnabrechnung],MATCH($B179,tab_MinKomp[[Stanowisko / Position ]:[Stanowisko / Position ]],0))="n/a","n/a",Q179-INDEX(tab_MinKomp[System R2PŁATNIK PRO: Płace / Lohnabrechnung],MATCH($B179,tab_MinKomp[[Stanowisko / Position ]:[Stanowisko / Position ]],0)))</f>
        <v>n/a</v>
      </c>
      <c r="R180" s="341" t="str">
        <f>IF(INDEX(tab_MinKomp[SystemR2PŁATNIK PRO: KADRY / Personaldaten],MATCH($B179,tab_MinKomp[[Stanowisko / Position ]:[Stanowisko / Position ]],0))="n/a","n/a",R179-INDEX(tab_MinKomp[SystemR2PŁATNIK PRO: KADRY / Personaldaten],MATCH($B179,tab_MinKomp[[Stanowisko / Position ]:[Stanowisko / Position ]],0)))</f>
        <v>n/a</v>
      </c>
      <c r="S180" s="341" t="str">
        <f>IF(INDEX(tab_MinKomp[SYSTEM R2PŁATNIK PRO: zarządzanie pracownikami / Arbeitsverwaltung],MATCH($B179,tab_MinKomp[[Stanowisko / Position ]:[Stanowisko / Position ]],0))="n/a","n/a",S179-INDEX(tab_MinKomp[SYSTEM R2PŁATNIK PRO: zarządzanie pracownikami / Arbeitsverwaltung],MATCH($B179,tab_MinKomp[[Stanowisko / Position ]:[Stanowisko / Position ]],0)))</f>
        <v>n/a</v>
      </c>
      <c r="T180" s="341" t="str">
        <f>IF(INDEX(tab_MinKomp[Doradztwo, wsparcie personalne / Personalberatung und Unterstützung],MATCH($B179,tab_MinKomp[[Stanowisko / Position ]:[Stanowisko / Position ]],0))="n/a","n/a",T179-INDEX(tab_MinKomp[Doradztwo, wsparcie personalne / Personalberatung und Unterstützung],MATCH($B179,tab_MinKomp[[Stanowisko / Position ]:[Stanowisko / Position ]],0)))</f>
        <v>n/a</v>
      </c>
      <c r="U180" s="341" t="str">
        <f>IF(INDEX(tab_MinKomp[Przepisy o podatku VAT / MwSt.- Gesetz],MATCH($B179,tab_MinKomp[[Stanowisko / Position ]:[Stanowisko / Position ]],0))="n/a","n/a",U179-INDEX(tab_MinKomp[Przepisy o podatku VAT / MwSt.- Gesetz],MATCH($B179,tab_MinKomp[[Stanowisko / Position ]:[Stanowisko / Position ]],0)))</f>
        <v>n/a</v>
      </c>
      <c r="V180" s="341" t="str">
        <f>IF(INDEX(tab_MinKomp[PrzepisyPDOP / geschäftlich Einkommensteuergesetz],MATCH($B179,tab_MinKomp[[Stanowisko / Position ]:[Stanowisko / Position ]],0))="n/a","n/a",V179-INDEX(tab_MinKomp[PrzepisyPDOP / geschäftlich Einkommensteuergesetz],MATCH($B179,tab_MinKomp[[Stanowisko / Position ]:[Stanowisko / Position ]],0)))</f>
        <v>n/a</v>
      </c>
      <c r="W180" s="341" t="str">
        <f>IF(INDEX(tab_MinKomp[System BAAN / FINANSE (FIBU)],MATCH($B179,tab_MinKomp[[Stanowisko / Position ]:[Stanowisko / Position ]],0))="n/a","n/a",W179-INDEX(tab_MinKomp[System BAAN / FINANSE (FIBU)],MATCH($B179,tab_MinKomp[[Stanowisko / Position ]:[Stanowisko / Position ]],0)))</f>
        <v>n/a</v>
      </c>
      <c r="X180" s="341" t="str">
        <f>IF(INDEX(tab_MinKomp[Systemy pomocnicze / Hilfssysteme(STOCKPROGRAM, KALK2000 etc.)],MATCH($B179,tab_MinKomp[[Stanowisko / Position ]:[Stanowisko / Position ]],0))="n/a","n/a",X179-INDEX(tab_MinKomp[Systemy pomocnicze / Hilfssysteme(STOCKPROGRAM, KALK2000 etc.)],MATCH($B179,tab_MinKomp[[Stanowisko / Position ]:[Stanowisko / Position ]],0)))</f>
        <v>n/a</v>
      </c>
      <c r="Y180" s="341" t="str">
        <f>IF(INDEX(tab_MinKomp[Polityka rachunkowości / Buchführungspolitik],MATCH($B179,tab_MinKomp[[Stanowisko / Position ]:[Stanowisko / Position ]],0))="n/a","n/a",Y179-INDEX(tab_MinKomp[Polityka rachunkowości / Buchführungspolitik],MATCH($B179,tab_MinKomp[[Stanowisko / Position ]:[Stanowisko / Position ]],0)))</f>
        <v>n/a</v>
      </c>
      <c r="Z180" s="341" t="str">
        <f>IF(INDEX(tab_MinKomp[Ustawa o rachunkowości / Rechnungslegungsgesetz],MATCH($B179,tab_MinKomp[[Stanowisko / Position ]:[Stanowisko / Position ]],0))="n/a","n/a",Z179-INDEX(tab_MinKomp[Ustawa o rachunkowości / Rechnungslegungsgesetz],MATCH($B179,tab_MinKomp[[Stanowisko / Position ]:[Stanowisko / Position ]],0)))</f>
        <v>n/a</v>
      </c>
      <c r="AA180" s="341" t="str">
        <f>IF(INDEX(tab_MinKomp[WORKFLOW - TS-100],MATCH($B179,tab_MinKomp[[Stanowisko / Position ]:[Stanowisko / Position ]],0))="n/a","n/a",AA179-INDEX(tab_MinKomp[WORKFLOW - TS-100],MATCH($B179,tab_MinKomp[[Stanowisko / Position ]:[Stanowisko / Position ]],0)))</f>
        <v>n/a</v>
      </c>
      <c r="AB180" s="341">
        <f>IF(INDEX(tab_MinKomp[WORKFLOW - SFMS],MATCH($B179,tab_MinKomp[[Stanowisko / Position ]:[Stanowisko / Position ]],0))="n/a","n/a",AB179-INDEX(tab_MinKomp[WORKFLOW - SFMS],MATCH($B179,tab_MinKomp[[Stanowisko / Position ]:[Stanowisko / Position ]],0)))</f>
        <v>-1</v>
      </c>
      <c r="AC180" s="341">
        <f>IF(INDEX(tab_MinKomp[System ISO 9001:2015],MATCH($B179,tab_MinKomp[[Stanowisko / Position ]:[Stanowisko / Position ]],0))="n/a","n/a",AC179-INDEX(tab_MinKomp[System ISO 9001:2015],MATCH($B179,tab_MinKomp[[Stanowisko / Position ]:[Stanowisko / Position ]],0)))</f>
        <v>0</v>
      </c>
      <c r="AD180" s="341">
        <f>IF(INDEX(tab_MinKomp[System IATF 16949:2016],MATCH($B179,tab_MinKomp[[Stanowisko / Position ]:[Stanowisko / Position ]],0))="n/a","n/a",AD179-INDEX(tab_MinKomp[System IATF 16949:2016],MATCH($B179,tab_MinKomp[[Stanowisko / Position ]:[Stanowisko / Position ]],0)))</f>
        <v>-1</v>
      </c>
      <c r="AE180" s="341">
        <f>IF(INDEX(tab_MinKomp[System ISO 14001:2015],MATCH($B179,tab_MinKomp[[Stanowisko / Position ]:[Stanowisko / Position ]],0))="n/a","n/a",AE179-INDEX(tab_MinKomp[System ISO 14001:2015],MATCH($B179,tab_MinKomp[[Stanowisko / Position ]:[Stanowisko / Position ]],0)))</f>
        <v>0</v>
      </c>
      <c r="AF180" s="341">
        <f>IF(INDEX(tab_MinKomp[System PN-N 18001:2004 / ISO 45001:2018],MATCH($B179,tab_MinKomp[[Stanowisko / Position ]:[Stanowisko / Position ]],0))="n/a","n/a",AF179-INDEX(tab_MinKomp[System PN-N 18001:2004 / ISO 45001:2018],MATCH($B179,tab_MinKomp[[Stanowisko / Position ]:[Stanowisko / Position ]],0)))</f>
        <v>0</v>
      </c>
      <c r="AG180" s="341" t="str">
        <f>IF(INDEX(tab_MinKomp[Wymagania VDA 6.3 Process / Forderungen],MATCH($B179,tab_MinKomp[[Stanowisko / Position ]:[Stanowisko / Position ]],0))="n/a","n/a",AG179-INDEX(tab_MinKomp[Wymagania VDA 6.3 Process / Forderungen],MATCH($B179,tab_MinKomp[[Stanowisko / Position ]:[Stanowisko / Position ]],0)))</f>
        <v>n/a</v>
      </c>
      <c r="AH180" s="341" t="str">
        <f>IF(INDEX(tab_MinKomp[Wymagania VDA 6.5 Product / Forderungen],MATCH($B179,tab_MinKomp[[Stanowisko / Position ]:[Stanowisko / Position ]],0))="n/a","n/a",AH179-INDEX(tab_MinKomp[Wymagania VDA 6.5 Product / Forderungen],MATCH($B179,tab_MinKomp[[Stanowisko / Position ]:[Stanowisko / Position ]],0)))</f>
        <v>n/a</v>
      </c>
      <c r="AI180" s="341" t="str">
        <f>IF(INDEX(tab_MinKomp[PSCR (VW Product Safety &amp; Conformity Representative)],MATCH($B179,tab_MinKomp[[Stanowisko / Position ]:[Stanowisko / Position ]],0))="n/a","n/a",AI179-INDEX(tab_MinKomp[PSCR (VW Product Safety &amp; Conformity Representative)],MATCH($B179,tab_MinKomp[[Stanowisko / Position ]:[Stanowisko / Position ]],0)))</f>
        <v>n/a</v>
      </c>
      <c r="AJ180" s="341" t="str">
        <f>IF(INDEX(tab_MinKomp[Auditor systemu ISO 17025:2018],MATCH($B179,tab_MinKomp[[Stanowisko / Position ]:[Stanowisko / Position ]],0))="n/a","n/a",AJ179-INDEX(tab_MinKomp[Auditor systemu ISO 17025:2018],MATCH($B179,tab_MinKomp[[Stanowisko / Position ]:[Stanowisko / Position ]],0)))</f>
        <v>n/a</v>
      </c>
      <c r="AK180" s="341" t="str">
        <f>IF(INDEX(tab_MinKomp[Pełnomocnik systemu / Systemvertreter],MATCH($B179,tab_MinKomp[[Stanowisko / Position ]:[Stanowisko / Position ]],0))="n/a","n/a",AK179-INDEX(tab_MinKomp[Pełnomocnik systemu / Systemvertreter],MATCH($B179,tab_MinKomp[[Stanowisko / Position ]:[Stanowisko / Position ]],0)))</f>
        <v>n/a</v>
      </c>
      <c r="AL180" s="341">
        <f>IF(INDEX(tab_MinKomp[Polityka Etyczna - Compliance],MATCH($B179,tab_MinKomp[[Stanowisko / Position ]:[Stanowisko / Position ]],0))="n/a","n/a",AL179-INDEX(tab_MinKomp[Polityka Etyczna - Compliance],MATCH($B179,tab_MinKomp[[Stanowisko / Position ]:[Stanowisko / Position ]],0)))</f>
        <v>0</v>
      </c>
      <c r="AM180" s="341">
        <f>IF(INDEX(tab_MinKomp[WDRAŻANIE NOWYCH PROJEKTÓW/ PROCEDURA CTM],MATCH($B179,tab_MinKomp[[Stanowisko / Position ]:[Stanowisko / Position ]],0))="n/a","n/a",AM179-INDEX(tab_MinKomp[WDRAŻANIE NOWYCH PROJEKTÓW/ PROCEDURA CTM],MATCH($B179,tab_MinKomp[[Stanowisko / Position ]:[Stanowisko / Position ]],0)))</f>
        <v>0</v>
      </c>
      <c r="AN180" s="341" t="str">
        <f>IF(INDEX(tab_MinKomp[KAMIENIE MILOWE MSL/PIFF],MATCH($B179,tab_MinKomp[[Stanowisko / Position ]:[Stanowisko / Position ]],0))="n/a","n/a",AN179-INDEX(tab_MinKomp[KAMIENIE MILOWE MSL/PIFF],MATCH($B179,tab_MinKomp[[Stanowisko / Position ]:[Stanowisko / Position ]],0)))</f>
        <v>n/a</v>
      </c>
      <c r="AO180" s="341" t="str">
        <f>IF(INDEX(tab_MinKomp[CP],MATCH($B179,tab_MinKomp[[Stanowisko / Position ]:[Stanowisko / Position ]],0))="n/a","n/a",AO179-INDEX(tab_MinKomp[CP],MATCH($B179,tab_MinKomp[[Stanowisko / Position ]:[Stanowisko / Position ]],0)))</f>
        <v>n/a</v>
      </c>
      <c r="AP180" s="341" t="str">
        <f>IF(INDEX(tab_MinKomp[FMEA],MATCH($B179,tab_MinKomp[[Stanowisko / Position ]:[Stanowisko / Position ]],0))="n/a","n/a",AP179-INDEX(tab_MinKomp[FMEA],MATCH($B179,tab_MinKomp[[Stanowisko / Position ]:[Stanowisko / Position ]],0)))</f>
        <v>n/a</v>
      </c>
      <c r="AQ180" s="341" t="str">
        <f>IF(INDEX(tab_MinKomp[FLOW CHART],MATCH($B179,tab_MinKomp[[Stanowisko / Position ]:[Stanowisko / Position ]],0))="n/a","n/a",AQ179-INDEX(tab_MinKomp[FLOW CHART],MATCH($B179,tab_MinKomp[[Stanowisko / Position ]:[Stanowisko / Position ]],0)))</f>
        <v>n/a</v>
      </c>
      <c r="AR180" s="341" t="str">
        <f>IF(INDEX(tab_MinKomp[APQP],MATCH($B179,tab_MinKomp[[Stanowisko / Position ]:[Stanowisko / Position ]],0))="n/a","n/a",AR179-INDEX(tab_MinKomp[APQP],MATCH($B179,tab_MinKomp[[Stanowisko / Position ]:[Stanowisko / Position ]],0)))</f>
        <v>n/a</v>
      </c>
      <c r="AS180" s="341" t="str">
        <f>IF(INDEX(tab_MinKomp[MSA],MATCH($B179,tab_MinKomp[[Stanowisko / Position ]:[Stanowisko / Position ]],0))="n/a","n/a",AS179-INDEX(tab_MinKomp[MSA],MATCH($B179,tab_MinKomp[[Stanowisko / Position ]:[Stanowisko / Position ]],0)))</f>
        <v>n/a</v>
      </c>
      <c r="AT180" s="341" t="str">
        <f>IF(INDEX(tab_MinKomp[SPC],MATCH($B179,tab_MinKomp[[Stanowisko / Position ]:[Stanowisko / Position ]],0))="n/a","n/a",AT179-INDEX(tab_MinKomp[SPC],MATCH($B179,tab_MinKomp[[Stanowisko / Position ]:[Stanowisko / Position ]],0)))</f>
        <v>n/a</v>
      </c>
      <c r="AU180" s="341" t="str">
        <f>IF(INDEX(tab_MinKomp[CSR (SPECYFICZNE WYMAGANIA KLIENTA)],MATCH($B179,tab_MinKomp[[Stanowisko / Position ]:[Stanowisko / Position ]],0))="n/a","n/a",AU179-INDEX(tab_MinKomp[CSR (SPECYFICZNE WYMAGANIA KLIENTA)],MATCH($B179,tab_MinKomp[[Stanowisko / Position ]:[Stanowisko / Position ]],0)))</f>
        <v>n/a</v>
      </c>
      <c r="AV180" s="341">
        <f>IF(INDEX(tab_MinKomp[5S],MATCH($B179,tab_MinKomp[[Stanowisko / Position ]:[Stanowisko / Position ]],0))="n/a","n/a",AV179-INDEX(tab_MinKomp[5S],MATCH($B179,tab_MinKomp[[Stanowisko / Position ]:[Stanowisko / Position ]],0)))</f>
        <v>0</v>
      </c>
      <c r="AW180" s="341">
        <f>IF(INDEX(tab_MinKomp[LEAN MANAGEMENT],MATCH($B179,tab_MinKomp[[Stanowisko / Position ]:[Stanowisko / Position ]],0))="n/a","n/a",AW179-INDEX(tab_MinKomp[LEAN MANAGEMENT],MATCH($B179,tab_MinKomp[[Stanowisko / Position ]:[Stanowisko / Position ]],0)))</f>
        <v>0</v>
      </c>
      <c r="AX180" s="341">
        <f>IF(INDEX(tab_MinKomp[5R],MATCH($B179,tab_MinKomp[[Stanowisko / Position ]:[Stanowisko / Position ]],0))="n/a","n/a",AX179-INDEX(tab_MinKomp[5R],MATCH($B179,tab_MinKomp[[Stanowisko / Position ]:[Stanowisko / Position ]],0)))</f>
        <v>-1</v>
      </c>
      <c r="AY180" s="341" t="str">
        <f>IF(INDEX(tab_MinKomp[Six Sigma],MATCH($B179,tab_MinKomp[[Stanowisko / Position ]:[Stanowisko / Position ]],0))="n/a","n/a",AY179-INDEX(tab_MinKomp[Six Sigma],MATCH($B179,tab_MinKomp[[Stanowisko / Position ]:[Stanowisko / Position ]],0)))</f>
        <v>n/a</v>
      </c>
      <c r="AZ180" s="341" t="str">
        <f>IF(INDEX(tab_MinKomp[System BAAN / Distribution &amp; Supply Chain],MATCH($B179,tab_MinKomp[[Stanowisko / Position ]:[Stanowisko / Position ]],0))="n/a","n/a",AZ179-INDEX(tab_MinKomp[System BAAN / Distribution &amp; Supply Chain],MATCH($B179,tab_MinKomp[[Stanowisko / Position ]:[Stanowisko / Position ]],0)))</f>
        <v>n/a</v>
      </c>
      <c r="BA180" s="341" t="str">
        <f>IF(INDEX(tab_MinKomp[Gospodarka magazynowa / Lagerverwaltung],MATCH($B179,tab_MinKomp[[Stanowisko / Position ]:[Stanowisko / Position ]],0))="n/a","n/a",BA179-INDEX(tab_MinKomp[Gospodarka magazynowa / Lagerverwaltung],MATCH($B179,tab_MinKomp[[Stanowisko / Position ]:[Stanowisko / Position ]],0)))</f>
        <v>n/a</v>
      </c>
      <c r="BB180" s="341" t="str">
        <f>IF(INDEX(tab_MinKomp[Inwentaryzacja - organizacja i przebieg / Inventurprozess],MATCH($B179,tab_MinKomp[[Stanowisko / Position ]:[Stanowisko / Position ]],0))="n/a","n/a",BB179-INDEX(tab_MinKomp[Inwentaryzacja - organizacja i przebieg / Inventurprozess],MATCH($B179,tab_MinKomp[[Stanowisko / Position ]:[Stanowisko / Position ]],0)))</f>
        <v>n/a</v>
      </c>
      <c r="BC180" s="341" t="str">
        <f>IF(INDEX(tab_MinKomp[Organizacja dostaw / Versorgungsorganisation],MATCH($B179,tab_MinKomp[[Stanowisko / Position ]:[Stanowisko / Position ]],0))="n/a","n/a",BC179-INDEX(tab_MinKomp[Organizacja dostaw / Versorgungsorganisation],MATCH($B179,tab_MinKomp[[Stanowisko / Position ]:[Stanowisko / Position ]],0)))</f>
        <v>n/a</v>
      </c>
      <c r="BD180" s="341" t="str">
        <f>IF(INDEX(tab_MinKomp[Organizacja wysyłek / Organisation von Lieferungen],MATCH($B179,tab_MinKomp[[Stanowisko / Position ]:[Stanowisko / Position ]],0))="n/a","n/a",BD179-INDEX(tab_MinKomp[Organizacja wysyłek / Organisation von Lieferungen],MATCH($B179,tab_MinKomp[[Stanowisko / Position ]:[Stanowisko / Position ]],0)))</f>
        <v>n/a</v>
      </c>
      <c r="BE180" s="341" t="str">
        <f>IF(INDEX(tab_MinKomp[Analiza magazynowa - Program Polen.mdb / Inventuranalyse],MATCH($B179,tab_MinKomp[[Stanowisko / Position ]:[Stanowisko / Position ]],0))="n/a","n/a",BE179-INDEX(tab_MinKomp[Analiza magazynowa - Program Polen.mdb / Inventuranalyse],MATCH($B179,tab_MinKomp[[Stanowisko / Position ]:[Stanowisko / Position ]],0)))</f>
        <v>n/a</v>
      </c>
      <c r="BF180" s="341" t="str">
        <f>IF(INDEX(tab_MinKomp[MMOG (Materials Management Operations Guidelines)],MATCH($B179,tab_MinKomp[[Stanowisko / Position ]:[Stanowisko / Position ]],0))="n/a","n/a",BF179-INDEX(tab_MinKomp[MMOG (Materials Management Operations Guidelines)],MATCH($B179,tab_MinKomp[[Stanowisko / Position ]:[Stanowisko / Position ]],0)))</f>
        <v>n/a</v>
      </c>
      <c r="BG180" s="341" t="str">
        <f>IF(INDEX(tab_MinKomp[DETC],MATCH($B179,tab_MinKomp[[Stanowisko / Position ]:[Stanowisko / Position ]],0))="n/a","n/a",BG179-INDEX(tab_MinKomp[DETC],MATCH($B179,tab_MinKomp[[Stanowisko / Position ]:[Stanowisko / Position ]],0)))</f>
        <v>n/a</v>
      </c>
      <c r="BH180" s="341" t="str">
        <f>IF(INDEX(tab_MinKomp[GPP],MATCH($B179,tab_MinKomp[[Stanowisko / Position ]:[Stanowisko / Position ]],0))="n/a","n/a",BH179-INDEX(tab_MinKomp[GPP],MATCH($B179,tab_MinKomp[[Stanowisko / Position ]:[Stanowisko / Position ]],0)))</f>
        <v>n/a</v>
      </c>
      <c r="BI180" s="341" t="str">
        <f>IF(INDEX(tab_MinKomp[AIAG (Automotive Industry Action Group)],MATCH($B179,tab_MinKomp[[Stanowisko / Position ]:[Stanowisko / Position ]],0))="n/a","n/a",BI179-INDEX(tab_MinKomp[AIAG (Automotive Industry Action Group)],MATCH($B179,tab_MinKomp[[Stanowisko / Position ]:[Stanowisko / Position ]],0)))</f>
        <v>n/a</v>
      </c>
      <c r="BJ180" s="341" t="str">
        <f>IF(INDEX(tab_MinKomp[Super-G disputes],MATCH($B179,tab_MinKomp[[Stanowisko / Position ]:[Stanowisko / Position ]],0))="n/a","n/a",BJ179-INDEX(tab_MinKomp[Super-G disputes],MATCH($B179,tab_MinKomp[[Stanowisko / Position ]:[Stanowisko / Position ]],0)))</f>
        <v>n/a</v>
      </c>
      <c r="BK180" s="341" t="str">
        <f>IF(INDEX(tab_MinKomp[CMMS3/eDDL (Direct Data Link)],MATCH($B179,tab_MinKomp[[Stanowisko / Position ]:[Stanowisko / Position ]],0))="n/a","n/a",BK179-INDEX(tab_MinKomp[CMMS3/eDDL (Direct Data Link)],MATCH($B179,tab_MinKomp[[Stanowisko / Position ]:[Stanowisko / Position ]],0)))</f>
        <v>n/a</v>
      </c>
      <c r="BL180" s="341" t="str">
        <f>IF(INDEX(tab_MinKomp[MP&amp;L (Material Planning and Logistics)],MATCH($B179,tab_MinKomp[[Stanowisko / Position ]:[Stanowisko / Position ]],0))="n/a","n/a",BL179-INDEX(tab_MinKomp[MP&amp;L (Material Planning and Logistics)],MATCH($B179,tab_MinKomp[[Stanowisko / Position ]:[Stanowisko / Position ]],0)))</f>
        <v>n/a</v>
      </c>
      <c r="BM180" s="341" t="str">
        <f>IF(INDEX(tab_MinKomp[Supplier delivery rating],MATCH($B179,tab_MinKomp[[Stanowisko / Position ]:[Stanowisko / Position ]],0))="n/a","n/a",BM179-INDEX(tab_MinKomp[Supplier delivery rating],MATCH($B179,tab_MinKomp[[Stanowisko / Position ]:[Stanowisko / Position ]],0)))</f>
        <v>n/a</v>
      </c>
      <c r="BN180" s="341" t="str">
        <f>IF(INDEX(tab_MinKomp[Planowanie produkcji / Produktionsplanung],MATCH($B179,tab_MinKomp[[Stanowisko / Position ]:[Stanowisko / Position ]],0))="n/a","n/a",BN179-INDEX(tab_MinKomp[Planowanie produkcji / Produktionsplanung],MATCH($B179,tab_MinKomp[[Stanowisko / Position ]:[Stanowisko / Position ]],0)))</f>
        <v>n/a</v>
      </c>
      <c r="BO180" s="341">
        <f>IF(INDEX(tab_MinKomp[Obsługa maszyn Engel / Engel Maschinenbedienung],MATCH($B179,tab_MinKomp[[Stanowisko / Position ]:[Stanowisko / Position ]],0))="n/a","n/a",BO179-INDEX(tab_MinKomp[Obsługa maszyn Engel / Engel Maschinenbedienung],MATCH($B179,tab_MinKomp[[Stanowisko / Position ]:[Stanowisko / Position ]],0)))</f>
        <v>0</v>
      </c>
      <c r="BP180" s="341">
        <f>IF(INDEX(tab_MinKomp[Obsługa maszyn Novapax / Novapax Maschinenbedienung],MATCH($B179,tab_MinKomp[[Stanowisko / Position ]:[Stanowisko / Position ]],0))="n/a","n/a",BP179-INDEX(tab_MinKomp[Obsługa maszyn Novapax / Novapax Maschinenbedienung],MATCH($B179,tab_MinKomp[[Stanowisko / Position ]:[Stanowisko / Position ]],0)))</f>
        <v>0</v>
      </c>
      <c r="BQ180" s="341">
        <f>IF(INDEX(tab_MinKomp[Obsługa maszyn KVT / KVT Maschinenbedienung],MATCH($B179,tab_MinKomp[[Stanowisko / Position ]:[Stanowisko / Position ]],0))="n/a","n/a",BQ179-INDEX(tab_MinKomp[Obsługa maszyn KVT / KVT Maschinenbedienung],MATCH($B179,tab_MinKomp[[Stanowisko / Position ]:[Stanowisko / Position ]],0)))</f>
        <v>0</v>
      </c>
      <c r="BR180" s="341">
        <f>IF(INDEX(tab_MinKomp[Obsługa maszyn ASL / ASL Maschinenbedienung],MATCH($B179,tab_MinKomp[[Stanowisko / Position ]:[Stanowisko / Position ]],0))="n/a","n/a",BR179-INDEX(tab_MinKomp[Obsługa maszyn ASL / ASL Maschinenbedienung],MATCH($B179,tab_MinKomp[[Stanowisko / Position ]:[Stanowisko / Position ]],0)))</f>
        <v>0</v>
      </c>
      <c r="BS180" s="341">
        <f>IF(INDEX(tab_MinKomp[Obsługa maszyn Branson / Branson Maschinenbedienung],MATCH($B179,tab_MinKomp[[Stanowisko / Position ]:[Stanowisko / Position ]],0))="n/a","n/a",BS179-INDEX(tab_MinKomp[Obsługa maszyn Branson / Branson Maschinenbedienung],MATCH($B179,tab_MinKomp[[Stanowisko / Position ]:[Stanowisko / Position ]],0)))</f>
        <v>0</v>
      </c>
      <c r="BT180" s="341">
        <f>IF(INDEX(tab_MinKomp[Obsługa maszyn Kamtec / Kamtec Maschinenbedienung],MATCH($B179,tab_MinKomp[[Stanowisko / Position ]:[Stanowisko / Position ]],0))="n/a","n/a",BT179-INDEX(tab_MinKomp[Obsługa maszyn Kamtec / Kamtec Maschinenbedienung],MATCH($B179,tab_MinKomp[[Stanowisko / Position ]:[Stanowisko / Position ]],0)))</f>
        <v>0</v>
      </c>
      <c r="BU180" s="341">
        <f>IF(INDEX(tab_MinKomp[Obsługa maszyn REP / REP Maschinenbedienung],MATCH($B179,tab_MinKomp[[Stanowisko / Position ]:[Stanowisko / Position ]],0))="n/a","n/a",BU179-INDEX(tab_MinKomp[Obsługa maszyn REP / REP Maschinenbedienung],MATCH($B179,tab_MinKomp[[Stanowisko / Position ]:[Stanowisko / Position ]],0)))</f>
        <v>0</v>
      </c>
      <c r="BV180" s="341">
        <f>IF(INDEX(tab_MinKomp[Eliminacja awarii / Beseitigung von Ausfällen],MATCH($B179,tab_MinKomp[[Stanowisko / Position ]:[Stanowisko / Position ]],0))="n/a","n/a",BV179-INDEX(tab_MinKomp[Eliminacja awarii / Beseitigung von Ausfällen],MATCH($B179,tab_MinKomp[[Stanowisko / Position ]:[Stanowisko / Position ]],0)))</f>
        <v>-1</v>
      </c>
      <c r="BW180" s="341">
        <f>IF(INDEX(tab_MinKomp[Informatyka ogólna (techniczne i systemowe) / Allgemeine IT (Technik und System)],MATCH($B179,tab_MinKomp[[Stanowisko / Position ]:[Stanowisko / Position ]],0))="n/a","n/a",BW179-INDEX(tab_MinKomp[Informatyka ogólna (techniczne i systemowe) / Allgemeine IT (Technik und System)],MATCH($B179,tab_MinKomp[[Stanowisko / Position ]:[Stanowisko / Position ]],0)))</f>
        <v>0</v>
      </c>
      <c r="BX180" s="341">
        <f>IF(INDEX(tab_MinKomp[Sieci komputerowe / Computernetzwerke],MATCH($B179,tab_MinKomp[[Stanowisko / Position ]:[Stanowisko / Position ]],0))="n/a","n/a",BX179-INDEX(tab_MinKomp[Sieci komputerowe / Computernetzwerke],MATCH($B179,tab_MinKomp[[Stanowisko / Position ]:[Stanowisko / Position ]],0)))</f>
        <v>0</v>
      </c>
      <c r="BY180" s="341">
        <f>IF(INDEX(tab_MinKomp[Hardware (komputery PC, drukarki biurowe i etykietowe, telefonia stacjonarna i mobilna) (PC, Drucker, Telefpne, Handys)],MATCH($B179,tab_MinKomp[[Stanowisko / Position ]:[Stanowisko / Position ]],0))="n/a","n/a",BY179-INDEX(tab_MinKomp[Hardware (komputery PC, drukarki biurowe i etykietowe, telefonia stacjonarna i mobilna) (PC, Drucker, Telefpne, Handys)],MATCH($B179,tab_MinKomp[[Stanowisko / Position ]:[Stanowisko / Position ]],0)))</f>
        <v>0</v>
      </c>
      <c r="BZ180" s="341" t="str">
        <f>IF(INDEX(tab_MinKomp[Software &amp; Systems (MS Office, MS Remote Desktop)],MATCH($B179,tab_MinKomp[[Stanowisko / Position ]:[Stanowisko / Position ]],0))="n/a","n/a",BZ179-INDEX(tab_MinKomp[Software &amp; Systems (MS Office, MS Remote Desktop)],MATCH($B179,tab_MinKomp[[Stanowisko / Position ]:[Stanowisko / Position ]],0)))</f>
        <v>n/a</v>
      </c>
      <c r="CA180" s="341" t="str">
        <f>IF(INDEX(tab_MinKomp[Software &amp; Systems (MS Office, MS Remote Desktop)],MATCH($B179,tab_MinKomp[[Stanowisko / Position ]:[Stanowisko / Position ]],0))="n/a","n/a",CA179-INDEX(tab_MinKomp[Software &amp; Systems (MS Office, MS Remote Desktop)],MATCH($B179,tab_MinKomp[[Stanowisko / Position ]:[Stanowisko / Position ]],0)))</f>
        <v>n/a</v>
      </c>
      <c r="CB180" s="341" t="str">
        <f>IF(INDEX(tab_MinKomp[Programowanie obiektowe (PHP) / Objektprogrammierung],MATCH($B179,tab_MinKomp[[Stanowisko / Position ]:[Stanowisko / Position ]],0))="n/a","n/a",CB179-INDEX(tab_MinKomp[Programowanie obiektowe (PHP) / Objektprogrammierung],MATCH($B179,tab_MinKomp[[Stanowisko / Position ]:[Stanowisko / Position ]],0)))</f>
        <v>n/a</v>
      </c>
      <c r="CC180" s="341" t="str">
        <f>IF(INDEX(tab_MinKomp[Scrum],MATCH($B179,tab_MinKomp[[Stanowisko / Position ]:[Stanowisko / Position ]],0))="n/a","n/a",CC179-INDEX(tab_MinKomp[Scrum],MATCH($B179,tab_MinKomp[[Stanowisko / Position ]:[Stanowisko / Position ]],0)))</f>
        <v>n/a</v>
      </c>
      <c r="CD180" s="341" t="str">
        <f>IF(INDEX(tab_MinKomp[SQL (MySQL)],MATCH($B179,tab_MinKomp[[Stanowisko / Position ]:[Stanowisko / Position ]],0))="n/a","n/a",CD179-INDEX(tab_MinKomp[SQL (MySQL)],MATCH($B179,tab_MinKomp[[Stanowisko / Position ]:[Stanowisko / Position ]],0)))</f>
        <v>n/a</v>
      </c>
      <c r="CE180" s="341" t="str">
        <f>IF(INDEX(tab_MinKomp[Javascript],MATCH($B179,tab_MinKomp[[Stanowisko / Position ]:[Stanowisko / Position ]],0))="n/a","n/a",CE179-INDEX(tab_MinKomp[Javascript],MATCH($B179,tab_MinKomp[[Stanowisko / Position ]:[Stanowisko / Position ]],0)))</f>
        <v>n/a</v>
      </c>
      <c r="CF180" s="341" t="str">
        <f>IF(INDEX(tab_MinKomp[Joomla],MATCH($B179,tab_MinKomp[[Stanowisko / Position ]:[Stanowisko / Position ]],0))="n/a","n/a",CF179-INDEX(tab_MinKomp[Joomla],MATCH($B179,tab_MinKomp[[Stanowisko / Position ]:[Stanowisko / Position ]],0)))</f>
        <v>n/a</v>
      </c>
      <c r="CG180" s="341" t="str">
        <f>IF(INDEX(tab_MinKomp[Bash],MATCH($B179,tab_MinKomp[[Stanowisko / Position ]:[Stanowisko / Position ]],0))="n/a","n/a",CG179-INDEX(tab_MinKomp[Bash],MATCH($B179,tab_MinKomp[[Stanowisko / Position ]:[Stanowisko / Position ]],0)))</f>
        <v>n/a</v>
      </c>
      <c r="CH180" s="341" t="str">
        <f>IF(INDEX(tab_MinKomp[Systemy MES (HYDRA / SFMS)],MATCH($B179,tab_MinKomp[[Stanowisko / Position ]:[Stanowisko / Position ]],0))="n/a","n/a",CH179-INDEX(tab_MinKomp[Systemy MES (HYDRA / SFMS)],MATCH($B179,tab_MinKomp[[Stanowisko / Position ]:[Stanowisko / Position ]],0)))</f>
        <v>n/a</v>
      </c>
      <c r="CI180" s="341">
        <f>IF(INDEX(tab_MinKomp[SYSTEM PR],MATCH($B179,tab_MinKomp[[Stanowisko / Position ]:[Stanowisko / Position ]],0))="n/a","n/a",CI179-INDEX(tab_MinKomp[SYSTEM PR],MATCH($B179,tab_MinKomp[[Stanowisko / Position ]:[Stanowisko / Position ]],0)))</f>
        <v>0</v>
      </c>
      <c r="CJ180" s="341" t="str">
        <f>IF(INDEX(tab_MinKomp[System Einkauf XP / EBA],MATCH($B179,tab_MinKomp[[Stanowisko / Position ]:[Stanowisko / Position ]],0))="n/a","n/a",CJ179-INDEX(tab_MinKomp[System Einkauf XP / EBA],MATCH($B179,tab_MinKomp[[Stanowisko / Position ]:[Stanowisko / Position ]],0)))</f>
        <v>n/a</v>
      </c>
      <c r="CK180" s="341">
        <f>IF(INDEX(tab_MinKomp[Techniki negocjacyjne / Verhandlungstechniken],MATCH($B179,tab_MinKomp[[Stanowisko / Position ]:[Stanowisko / Position ]],0))="n/a","n/a",CK179-INDEX(tab_MinKomp[Techniki negocjacyjne / Verhandlungstechniken],MATCH($B179,tab_MinKomp[[Stanowisko / Position ]:[Stanowisko / Position ]],0)))</f>
        <v>-1</v>
      </c>
      <c r="CL180" s="341">
        <f>IF(INDEX(tab_MinKomp[Znajomość rynku branżowego / Kenntnis des Industrie Marktes],MATCH($B179,tab_MinKomp[[Stanowisko / Position ]:[Stanowisko / Position ]],0))="n/a","n/a",CL179-INDEX(tab_MinKomp[Znajomość rynku branżowego / Kenntnis des Industrie Marktes],MATCH($B179,tab_MinKomp[[Stanowisko / Position ]:[Stanowisko / Position ]],0)))</f>
        <v>-1</v>
      </c>
      <c r="CM180" s="341" t="str">
        <f>IF(INDEX(tab_MinKomp[RAPORTY 8D / 8D Berichten],MATCH($B179,tab_MinKomp[[Stanowisko / Position ]:[Stanowisko / Position ]],0))="n/a","n/a",CM179-INDEX(tab_MinKomp[RAPORTY 8D / 8D Berichten],MATCH($B179,tab_MinKomp[[Stanowisko / Position ]:[Stanowisko / Position ]],0)))</f>
        <v>n/a</v>
      </c>
      <c r="CN180" s="341">
        <f>IF(INDEX(tab_MinKomp[NARZĘDZIA JAKOŚCIOWE (5WHY, Ishikawa, etc) / QS-Werkzeuge],MATCH($B179,tab_MinKomp[[Stanowisko / Position ]:[Stanowisko / Position ]],0))="n/a","n/a",CN179-INDEX(tab_MinKomp[NARZĘDZIA JAKOŚCIOWE (5WHY, Ishikawa, etc) / QS-Werkzeuge],MATCH($B179,tab_MinKomp[[Stanowisko / Position ]:[Stanowisko / Position ]],0)))</f>
        <v>-1</v>
      </c>
      <c r="CO180" s="341">
        <f>IF(INDEX(tab_MinKomp[PDCA],MATCH($B179,tab_MinKomp[[Stanowisko / Position ]:[Stanowisko / Position ]],0))="n/a","n/a",CO179-INDEX(tab_MinKomp[PDCA],MATCH($B179,tab_MinKomp[[Stanowisko / Position ]:[Stanowisko / Position ]],0)))</f>
        <v>-1</v>
      </c>
      <c r="CP180" s="341">
        <f>IF(INDEX(tab_MinKomp[Pareto],MATCH($B179,tab_MinKomp[[Stanowisko / Position ]:[Stanowisko / Position ]],0))="n/a","n/a",CP179-INDEX(tab_MinKomp[Pareto],MATCH($B179,tab_MinKomp[[Stanowisko / Position ]:[Stanowisko / Position ]],0)))</f>
        <v>-1</v>
      </c>
      <c r="CQ180" s="341" t="str">
        <f>IF(INDEX(tab_MinKomp[PPAP/PSW],MATCH($B179,tab_MinKomp[[Stanowisko / Position ]:[Stanowisko / Position ]],0))="n/a","n/a",CQ179-INDEX(tab_MinKomp[PPAP/PSW],MATCH($B179,tab_MinKomp[[Stanowisko / Position ]:[Stanowisko / Position ]],0)))</f>
        <v>n/a</v>
      </c>
      <c r="CR180" s="341">
        <f>IF(INDEX(tab_MinKomp[SUPPLIER MANAGEMENT],MATCH($B179,tab_MinKomp[[Stanowisko / Position ]:[Stanowisko / Position ]],0))="n/a","n/a",CR179-INDEX(tab_MinKomp[SUPPLIER MANAGEMENT],MATCH($B179,tab_MinKomp[[Stanowisko / Position ]:[Stanowisko / Position ]],0)))</f>
        <v>0</v>
      </c>
      <c r="CS180" s="341" t="str">
        <f>IF(INDEX(tab_MinKomp[OBSŁUGA PORTALI KLIENTA / Kundenportale],MATCH($B179,tab_MinKomp[[Stanowisko / Position ]:[Stanowisko / Position ]],0))="n/a","n/a",CS179-INDEX(tab_MinKomp[OBSŁUGA PORTALI KLIENTA / Kundenportale],MATCH($B179,tab_MinKomp[[Stanowisko / Position ]:[Stanowisko / Position ]],0)))</f>
        <v>n/a</v>
      </c>
      <c r="CT180" s="341" t="str">
        <f>IF(INDEX(tab_MinKomp[Obsługa systemu BABTECQ / BABTECQ System],MATCH($B179,tab_MinKomp[[Stanowisko / Position ]:[Stanowisko / Position ]],0))="n/a","n/a",CT179-INDEX(tab_MinKomp[Obsługa systemu BABTECQ / BABTECQ System],MATCH($B179,tab_MinKomp[[Stanowisko / Position ]:[Stanowisko / Position ]],0)))</f>
        <v>n/a</v>
      </c>
      <c r="CU180" s="341">
        <f>IF(INDEX(tab_MinKomp[Rysunek techniczny / technische Zeichnung],MATCH($B179,tab_MinKomp[[Stanowisko / Position ]:[Stanowisko / Position ]],0))="n/a","n/a",CU179-INDEX(tab_MinKomp[Rysunek techniczny / technische Zeichnung],MATCH($B179,tab_MinKomp[[Stanowisko / Position ]:[Stanowisko / Position ]],0)))</f>
        <v>0</v>
      </c>
      <c r="CV180" s="341">
        <f>IF(INDEX(tab_MinKomp[Kalibracja / Kalibrierung],MATCH($B179,tab_MinKomp[[Stanowisko / Position ]:[Stanowisko / Position ]],0))="n/a","n/a",CV179-INDEX(tab_MinKomp[Kalibracja / Kalibrierung],MATCH($B179,tab_MinKomp[[Stanowisko / Position ]:[Stanowisko / Position ]],0)))</f>
        <v>0</v>
      </c>
      <c r="CW180" s="341" t="str">
        <f>IF(INDEX(tab_MinKomp[Rekwalifikacja / Requalifizierung],MATCH($B179,tab_MinKomp[[Stanowisko / Position ]:[Stanowisko / Position ]],0))="n/a","n/a",CW179-INDEX(tab_MinKomp[Rekwalifikacja / Requalifizierung],MATCH($B179,tab_MinKomp[[Stanowisko / Position ]:[Stanowisko / Position ]],0)))</f>
        <v>n/a</v>
      </c>
      <c r="CX180" s="341" t="str">
        <f>IF(INDEX(tab_MinKomp[Obsługa mikroskopu optycznego / Bedienung eines optischen Mikroskops],MATCH($B179,tab_MinKomp[[Stanowisko / Position ]:[Stanowisko / Position ]],0))="n/a","n/a",CX179-INDEX(tab_MinKomp[Obsługa mikroskopu optycznego / Bedienung eines optischen Mikroskops],MATCH($B179,tab_MinKomp[[Stanowisko / Position ]:[Stanowisko / Position ]],0)))</f>
        <v>n/a</v>
      </c>
      <c r="CY180" s="341" t="str">
        <f>IF(INDEX(tab_MinKomp[Wykonywanie pomiarów optycznych - ocena wizualna / Optische Messungen durchführen – visuelle Beurteilung],MATCH($B179,tab_MinKomp[[Stanowisko / Position ]:[Stanowisko / Position ]],0))="n/a","n/a",CY179-INDEX(tab_MinKomp[Wykonywanie pomiarów optycznych - ocena wizualna / Optische Messungen durchführen – visuelle Beurteilung],MATCH($B179,tab_MinKomp[[Stanowisko / Position ]:[Stanowisko / Position ]],0)))</f>
        <v>n/a</v>
      </c>
      <c r="CZ180" s="341" t="str">
        <f>IF(INDEX(tab_MinKomp[Obsługa Rheometra / Rheometra-Unterstützung],MATCH($B179,tab_MinKomp[[Stanowisko / Position ]:[Stanowisko / Position ]],0))="n/a","n/a",CZ179-INDEX(tab_MinKomp[Obsługa Rheometra / Rheometra-Unterstützung],MATCH($B179,tab_MinKomp[[Stanowisko / Position ]:[Stanowisko / Position ]],0)))</f>
        <v>n/a</v>
      </c>
      <c r="DA180" s="341" t="str">
        <f>IF(INDEX(tab_MinKomp[Testy właściwości Rheometra mieszanki gumy],MATCH($B179,tab_MinKomp[[Stanowisko / Position ]:[Stanowisko / Position ]],0))="n/a","n/a",DA179-INDEX(tab_MinKomp[Testy właściwości Rheometra mieszanki gumy],MATCH($B179,tab_MinKomp[[Stanowisko / Position ]:[Stanowisko / Position ]],0)))</f>
        <v>n/a</v>
      </c>
      <c r="DB180" s="341" t="str">
        <f>IF(INDEX(tab_MinKomp[CMM - Contura Zeiss],MATCH($B179,tab_MinKomp[[Stanowisko / Position ]:[Stanowisko / Position ]],0))="n/a","n/a",DB179-INDEX(tab_MinKomp[CMM - Contura Zeiss],MATCH($B179,tab_MinKomp[[Stanowisko / Position ]:[Stanowisko / Position ]],0)))</f>
        <v>n/a</v>
      </c>
      <c r="DC180" s="341" t="str">
        <f>IF(INDEX(tab_MinKomp[Wykonywanie precyzyjnych pomiarów metrycznych, pomiary 3D],MATCH($B179,tab_MinKomp[[Stanowisko / Position ]:[Stanowisko / Position ]],0))="n/a","n/a",DC179-INDEX(tab_MinKomp[Wykonywanie precyzyjnych pomiarów metrycznych, pomiary 3D],MATCH($B179,tab_MinKomp[[Stanowisko / Position ]:[Stanowisko / Position ]],0)))</f>
        <v>n/a</v>
      </c>
      <c r="DD180" s="341" t="str">
        <f>IF(INDEX(tab_MinKomp[Pisanie programów / Programme schreiben],MATCH($B179,tab_MinKomp[[Stanowisko / Position ]:[Stanowisko / Position ]],0))="n/a","n/a",DD179-INDEX(tab_MinKomp[Pisanie programów / Programme schreiben],MATCH($B179,tab_MinKomp[[Stanowisko / Position ]:[Stanowisko / Position ]],0)))</f>
        <v>n/a</v>
      </c>
      <c r="DE180" s="341" t="str">
        <f>IF(INDEX(tab_MinKomp[Obsługa wyposażenia do testów czystości (myjka + analizator) / Betrieb von Sauberkeitsprüfgeräten (Waschmaschine + Analysegerät)],MATCH($B179,tab_MinKomp[[Stanowisko / Position ]:[Stanowisko / Position ]],0))="n/a","n/a",DE179-INDEX(tab_MinKomp[Obsługa wyposażenia do testów czystości (myjka + analizator) / Betrieb von Sauberkeitsprüfgeräten (Waschmaschine + Analysegerät)],MATCH($B179,tab_MinKomp[[Stanowisko / Position ]:[Stanowisko / Position ]],0)))</f>
        <v>n/a</v>
      </c>
      <c r="DF180" s="341" t="str">
        <f>IF(INDEX(tab_MinKomp[Testy czystości / Reinheitstests],MATCH($B179,tab_MinKomp[[Stanowisko / Position ]:[Stanowisko / Position ]],0))="n/a","n/a",DF179-INDEX(tab_MinKomp[Testy czystości / Reinheitstests],MATCH($B179,tab_MinKomp[[Stanowisko / Position ]:[Stanowisko / Position ]],0)))</f>
        <v>n/a</v>
      </c>
      <c r="DG180" s="341" t="str">
        <f>IF(INDEX(tab_MinKomp[Obsługa wysokościomierza / Unterstützung für Höhenmesser],MATCH($B179,tab_MinKomp[[Stanowisko / Position ]:[Stanowisko / Position ]],0))="n/a","n/a",DG179-INDEX(tab_MinKomp[Obsługa wysokościomierza / Unterstützung für Höhenmesser],MATCH($B179,tab_MinKomp[[Stanowisko / Position ]:[Stanowisko / Position ]],0)))</f>
        <v>n/a</v>
      </c>
      <c r="DH180" s="341" t="str">
        <f>IF(INDEX(tab_MinKomp[Pomiary wysokości materiału / Materialhöhenmessungen],MATCH($B179,tab_MinKomp[[Stanowisko / Position ]:[Stanowisko / Position ]],0))="n/a","n/a",DH179-INDEX(tab_MinKomp[Pomiary wysokości materiału / Materialhöhenmessungen],MATCH($B179,tab_MinKomp[[Stanowisko / Position ]:[Stanowisko / Position ]],0)))</f>
        <v>n/a</v>
      </c>
      <c r="DI180" s="341" t="str">
        <f>IF(INDEX(tab_MinKomp[Obsługa okrągłościomierza / Unterstützung für Rundheitsmessgeräte],MATCH($B179,tab_MinKomp[[Stanowisko / Position ]:[Stanowisko / Position ]],0))="n/a","n/a",DI179-INDEX(tab_MinKomp[Obsługa okrągłościomierza / Unterstützung für Rundheitsmessgeräte],MATCH($B179,tab_MinKomp[[Stanowisko / Position ]:[Stanowisko / Position ]],0)))</f>
        <v>n/a</v>
      </c>
      <c r="DJ180" s="341" t="str">
        <f>IF(INDEX(tab_MinKomp[Wykonywania pomiarów owalności, srednicy materiału / Messung der Ovalität und des Durchmessers des Materials],MATCH($B179,tab_MinKomp[[Stanowisko / Position ]:[Stanowisko / Position ]],0))="n/a","n/a",DJ179-INDEX(tab_MinKomp[Wykonywania pomiarów owalności, srednicy materiału / Messung der Ovalität und des Durchmessers des Materials],MATCH($B179,tab_MinKomp[[Stanowisko / Position ]:[Stanowisko / Position ]],0)))</f>
        <v>n/a</v>
      </c>
      <c r="DK180" s="341" t="str">
        <f>IF(INDEX(tab_MinKomp[Obsługa urządzenia do pomiarów chropowoatości powierzchni materiału],MATCH($B179,tab_MinKomp[[Stanowisko / Position ]:[Stanowisko / Position ]],0))="n/a","n/a",DK179-INDEX(tab_MinKomp[Obsługa urządzenia do pomiarów chropowoatości powierzchni materiału],MATCH($B179,tab_MinKomp[[Stanowisko / Position ]:[Stanowisko / Position ]],0)))</f>
        <v>n/a</v>
      </c>
      <c r="DL180" s="341" t="str">
        <f>IF(INDEX(tab_MinKomp[Wykonywanie pomiarów chropowatości powierzchni materiału / Durchführung von Messungen der Materialoberflächenrauheit],MATCH($B179,tab_MinKomp[[Stanowisko / Position ]:[Stanowisko / Position ]],0))="n/a","n/a",DL179-INDEX(tab_MinKomp[Wykonywanie pomiarów chropowatości powierzchni materiału / Durchführung von Messungen der Materialoberflächenrauheit],MATCH($B179,tab_MinKomp[[Stanowisko / Position ]:[Stanowisko / Position ]],0)))</f>
        <v>n/a</v>
      </c>
      <c r="DM180" s="341" t="str">
        <f>IF(INDEX(tab_MinKomp[Obsługa urządzenia do pomiaru siły radialnej części - postępowanie z trzpieniami. / Funktionsweise des Geräts zur Messung der Radialkraft von Teilen – Handhabungsstifte.],MATCH($B179,tab_MinKomp[[Stanowisko / Position ]:[Stanowisko / Position ]],0))="n/a","n/a",DM179-INDEX(tab_MinKomp[Obsługa urządzenia do pomiaru siły radialnej części - postępowanie z trzpieniami. / Funktionsweise des Geräts zur Messung der Radialkraft von Teilen – Handhabungsstifte.],MATCH($B179,tab_MinKomp[[Stanowisko / Position ]:[Stanowisko / Position ]],0)))</f>
        <v>n/a</v>
      </c>
      <c r="DN180" s="341" t="str">
        <f>IF(INDEX(tab_MinKomp[Wykonywanie pomiarów siły radialnej części / Führen Sie Radialkraftmessungen an Teilen durch],MATCH($B179,tab_MinKomp[[Stanowisko / Position ]:[Stanowisko / Position ]],0))="n/a","n/a",DN179-INDEX(tab_MinKomp[Wykonywanie pomiarów siły radialnej części / Führen Sie Radialkraftmessungen an Teilen durch],MATCH($B179,tab_MinKomp[[Stanowisko / Position ]:[Stanowisko / Position ]],0)))</f>
        <v>n/a</v>
      </c>
      <c r="DO180" s="341" t="str">
        <f>IF(INDEX(tab_MinKomp[Obsługa komory do testów wybuchwych / Betrieb einer Explosionsprüfkammer],MATCH($B179,tab_MinKomp[[Stanowisko / Position ]:[Stanowisko / Position ]],0))="n/a","n/a",DO179-INDEX(tab_MinKomp[Obsługa komory do testów wybuchwych / Betrieb einer Explosionsprüfkammer],MATCH($B179,tab_MinKomp[[Stanowisko / Position ]:[Stanowisko / Position ]],0)))</f>
        <v>n/a</v>
      </c>
      <c r="DP180" s="341" t="str">
        <f>IF(INDEX(tab_MinKomp[Wykonywanie testów wybuchowych części / Durchführung von Explosionstests an Teilen],MATCH($B179,tab_MinKomp[[Stanowisko / Position ]:[Stanowisko / Position ]],0))="n/a","n/a",DP179-INDEX(tab_MinKomp[Wykonywanie testów wybuchowych części / Durchführung von Explosionstests an Teilen],MATCH($B179,tab_MinKomp[[Stanowisko / Position ]:[Stanowisko / Position ]],0)))</f>
        <v>n/a</v>
      </c>
      <c r="DQ180" s="341" t="str">
        <f>IF(INDEX(tab_MinKomp[Obsługa urządzeń do mierzenia siły trzymania i/lub rozciągania / Betrieb von Geräten zur Messung der Halte- und/oder Dehnkraft],MATCH($B179,tab_MinKomp[[Stanowisko / Position ]:[Stanowisko / Position ]],0))="n/a","n/a",DQ179-INDEX(tab_MinKomp[Obsługa urządzeń do mierzenia siły trzymania i/lub rozciągania / Betrieb von Geräten zur Messung der Halte- und/oder Dehnkraft],MATCH($B179,tab_MinKomp[[Stanowisko / Position ]:[Stanowisko / Position ]],0)))</f>
        <v>n/a</v>
      </c>
      <c r="DR180" s="341" t="str">
        <f>IF(INDEX(tab_MinKomp[Wykonywanie testów mierzenia siły trzymania i/lub rozciągania / Durchführung von Tests zur Messung der Halte- und/oder Streckkraft],MATCH($B179,tab_MinKomp[[Stanowisko / Position ]:[Stanowisko / Position ]],0))="n/a","n/a",DR179-INDEX(tab_MinKomp[Wykonywanie testów mierzenia siły trzymania i/lub rozciągania / Durchführung von Tests zur Messung der Halte- und/oder Streckkraft],MATCH($B179,tab_MinKomp[[Stanowisko / Position ]:[Stanowisko / Position ]],0)))</f>
        <v>n/a</v>
      </c>
      <c r="DS180" s="341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Luftstrom)],MATCH($B179,tab_MinKomp[[Stanowisko / Position ]:[Stanowisko / Position ]],0))="n/a","n/a",DS179-INDEX(tab_MinKomp[Obsługa multimetru do pomiarów środowiskowych (temperatura, wilgotność, hałas, oświetlenie, przepływ powietrza) / Betrieb eines Multimeters für Umweltmessungen (Temperatur, Luftfeuchtigkeit, Lärm, Beleuchtung, Luftstrom)],MATCH($B179,tab_MinKomp[[Stanowisko / Position ]:[Stanowisko / Position ]],0)))</f>
        <v>n/a</v>
      </c>
      <c r="DT180" s="341" t="str">
        <f>IF(INDEX(tab_MinKomp[Kontrola warunków środowiskowych pracy (temperatura, wilgotność, hałas, oświetlenie, przepływ powietrza) / Kontrolle der Arbeitsumgebungsbedingungen (Temperatur, Luftfeuchtigkeit, Lärm, Beleuchtung, Luftstrom)],MATCH($B179,tab_MinKomp[[Stanowisko / Position ]:[Stanowisko / Position ]],0))="n/a","n/a",DT179-INDEX(tab_MinKomp[Kontrola warunków środowiskowych pracy (temperatura, wilgotność, hałas, oświetlenie, przepływ powietrza) / Kontrolle der Arbeitsumgebungsbedingungen (Temperatur, Luftfeuchtigkeit, Lärm, Beleuchtung, Luftstrom)],MATCH($B179,tab_MinKomp[[Stanowisko / Position ]:[Stanowisko / Position ]],0)))</f>
        <v>n/a</v>
      </c>
      <c r="DU180" s="341">
        <f>IF(INDEX(tab_MinKomp[MSA i SPC],MATCH($B179,tab_MinKomp[[Stanowisko / Position ]:[Stanowisko / Position ]],0))="n/a","n/a",DU179-INDEX(tab_MinKomp[MSA i SPC],MATCH($B179,tab_MinKomp[[Stanowisko / Position ]:[Stanowisko / Position ]],0)))</f>
        <v>-1</v>
      </c>
      <c r="DV180" s="341" t="str">
        <f>IF(INDEX(tab_MinKomp[Kontrola wejściowa komponentów/ Eingangskontrolle],MATCH($B179,tab_MinKomp[[Stanowisko / Position ]:[Stanowisko / Position ]],0))="n/a","n/a",DV179-INDEX(tab_MinKomp[Kontrola wejściowa komponentów/ Eingangskontrolle],MATCH($B179,tab_MinKomp[[Stanowisko / Position ]:[Stanowisko / Position ]],0)))</f>
        <v>n/a</v>
      </c>
      <c r="DW180" s="341" t="str">
        <f>IF(INDEX(tab_MinKomp[Kontrola wyjściowa produktu / Ausgangskontrolle],MATCH($B179,tab_MinKomp[[Stanowisko / Position ]:[Stanowisko / Position ]],0))="n/a","n/a",DW179-INDEX(tab_MinKomp[Kontrola wyjściowa produktu / Ausgangskontrolle],MATCH($B179,tab_MinKomp[[Stanowisko / Position ]:[Stanowisko / Position ]],0)))</f>
        <v>n/a</v>
      </c>
      <c r="DX180" s="341" t="str">
        <f>IF(INDEX(tab_MinKomp[Kontrola codzienna produkcji / Tägliche Produktionskontrolle],MATCH($B179,tab_MinKomp[[Stanowisko / Position ]:[Stanowisko / Position ]],0))="n/a","n/a",DX179-INDEX(tab_MinKomp[Kontrola codzienna produkcji / Tägliche Produktionskontrolle],MATCH($B179,tab_MinKomp[[Stanowisko / Position ]:[Stanowisko / Position ]],0)))</f>
        <v>n/a</v>
      </c>
      <c r="DY180" s="341">
        <f>IF(INDEX(tab_MinKomp[Konserwacja Rep],MATCH($B179,tab_MinKomp[[Stanowisko / Position ]:[Stanowisko / Position ]],0))="n/a","n/a",DY179-INDEX(tab_MinKomp[Konserwacja Rep],MATCH($B179,tab_MinKomp[[Stanowisko / Position ]:[Stanowisko / Position ]],0)))</f>
        <v>-1</v>
      </c>
      <c r="DZ180" s="341">
        <f>IF(INDEX(tab_MinKomp[[Konserwacja Engel ]],MATCH($B179,tab_MinKomp[[Stanowisko / Position ]:[Stanowisko / Position ]],0))="n/a","n/a",DZ179-INDEX(tab_MinKomp[[Konserwacja Engel ]],MATCH($B179,tab_MinKomp[[Stanowisko / Position ]:[Stanowisko / Position ]],0)))</f>
        <v>-1</v>
      </c>
      <c r="EA180" s="341">
        <f>IF(INDEX(tab_MinKomp[Konserwacja B 50],MATCH($B179,tab_MinKomp[[Stanowisko / Position ]:[Stanowisko / Position ]],0))="n/a","n/a",EA179-INDEX(tab_MinKomp[Konserwacja B 50],MATCH($B179,tab_MinKomp[[Stanowisko / Position ]:[Stanowisko / Position ]],0)))</f>
        <v>-1</v>
      </c>
      <c r="EB180" s="341">
        <f>IF(INDEX(tab_MinKomp[[Konserwacja EOL ]],MATCH($B179,tab_MinKomp[[Stanowisko / Position ]:[Stanowisko / Position ]],0))="n/a","n/a",EB179-INDEX(tab_MinKomp[[Konserwacja EOL ]],MATCH($B179,tab_MinKomp[[Stanowisko / Position ]:[Stanowisko / Position ]],0)))</f>
        <v>0</v>
      </c>
      <c r="EC180" s="341">
        <f>IF(INDEX(tab_MinKomp[Konserwacja Branson],MATCH($B179,tab_MinKomp[[Stanowisko / Position ]:[Stanowisko / Position ]],0))="n/a","n/a",EC179-INDEX(tab_MinKomp[Konserwacja Branson],MATCH($B179,tab_MinKomp[[Stanowisko / Position ]:[Stanowisko / Position ]],0)))</f>
        <v>-1</v>
      </c>
      <c r="ED180" s="341">
        <f>IF(INDEX(tab_MinKomp[Konserwacja coolery],MATCH($B179,tab_MinKomp[[Stanowisko / Position ]:[Stanowisko / Position ]],0))="n/a","n/a",ED179-INDEX(tab_MinKomp[Konserwacja coolery],MATCH($B179,tab_MinKomp[[Stanowisko / Position ]:[Stanowisko / Position ]],0)))</f>
        <v>-1</v>
      </c>
      <c r="EE180" s="341">
        <f>IF(INDEX(tab_MinKomp[Konserwacja piecy],MATCH($B179,tab_MinKomp[[Stanowisko / Position ]:[Stanowisko / Position ]],0))="n/a","n/a",EE179-INDEX(tab_MinKomp[Konserwacja piecy],MATCH($B179,tab_MinKomp[[Stanowisko / Position ]:[Stanowisko / Position ]],0)))</f>
        <v>-1</v>
      </c>
      <c r="EF180" s="341">
        <f>IF(INDEX(tab_MinKomp[Rysunek techniczny- czytanie],MATCH($B179,tab_MinKomp[[Stanowisko / Position ]:[Stanowisko / Position ]],0))="n/a","n/a",EF179-INDEX(tab_MinKomp[Rysunek techniczny- czytanie],MATCH($B179,tab_MinKomp[[Stanowisko / Position ]:[Stanowisko / Position ]],0)))</f>
        <v>0</v>
      </c>
      <c r="EG180" s="341">
        <f>IF(INDEX(tab_MinKomp[Elektryka],MATCH($B179,tab_MinKomp[[Stanowisko / Position ]:[Stanowisko / Position ]],0))="n/a","n/a",EG179-INDEX(tab_MinKomp[Elektryka],MATCH($B179,tab_MinKomp[[Stanowisko / Position ]:[Stanowisko / Position ]],0)))</f>
        <v>0</v>
      </c>
      <c r="EH180" s="341">
        <f>IF(INDEX(tab_MinKomp[Pneumatyka],MATCH($B179,tab_MinKomp[[Stanowisko / Position ]:[Stanowisko / Position ]],0))="n/a","n/a",EH179-INDEX(tab_MinKomp[Pneumatyka],MATCH($B179,tab_MinKomp[[Stanowisko / Position ]:[Stanowisko / Position ]],0)))</f>
        <v>0</v>
      </c>
      <c r="EI180" s="341">
        <f>IF(INDEX(tab_MinKomp[[Hydraulika ]],MATCH($B179,tab_MinKomp[[Stanowisko / Position ]:[Stanowisko / Position ]],0))="n/a","n/a",EI179-INDEX(tab_MinKomp[[Hydraulika ]],MATCH($B179,tab_MinKomp[[Stanowisko / Position ]:[Stanowisko / Position ]],0)))</f>
        <v>-2</v>
      </c>
      <c r="EJ180" s="341">
        <f>IF(INDEX(tab_MinKomp[Podciśnienie],MATCH($B179,tab_MinKomp[[Stanowisko / Position ]:[Stanowisko / Position ]],0))="n/a","n/a",EJ179-INDEX(tab_MinKomp[Podciśnienie],MATCH($B179,tab_MinKomp[[Stanowisko / Position ]:[Stanowisko / Position ]],0)))</f>
        <v>-1</v>
      </c>
      <c r="EK180" s="341">
        <f>IF(INDEX(tab_MinKomp[Usuwanie awarii],MATCH($B179,tab_MinKomp[[Stanowisko / Position ]:[Stanowisko / Position ]],0))="n/a","n/a",EK179-INDEX(tab_MinKomp[Usuwanie awarii],MATCH($B179,tab_MinKomp[[Stanowisko / Position ]:[Stanowisko / Position ]],0)))</f>
        <v>1</v>
      </c>
      <c r="EL180" s="341">
        <f>IF(INDEX(tab_MinKomp[Obsługa robotów],MATCH($B179,tab_MinKomp[[Stanowisko / Position ]:[Stanowisko / Position ]],0))="n/a","n/a",EL179-INDEX(tab_MinKomp[Obsługa robotów],MATCH($B179,tab_MinKomp[[Stanowisko / Position ]:[Stanowisko / Position ]],0)))</f>
        <v>0</v>
      </c>
      <c r="EM180" s="341">
        <f>IF(INDEX(tab_MinKomp[Obsługa sterowania maszyny],MATCH($B179,tab_MinKomp[[Stanowisko / Position ]:[Stanowisko / Position ]],0))="n/a","n/a",EM179-INDEX(tab_MinKomp[Obsługa sterowania maszyny],MATCH($B179,tab_MinKomp[[Stanowisko / Position ]:[Stanowisko / Position ]],0)))</f>
        <v>-1</v>
      </c>
      <c r="EN180" s="341">
        <f>IF(INDEX(tab_MinKomp[Usuwanie przyczyn żródłowych],MATCH($B179,tab_MinKomp[[Stanowisko / Position ]:[Stanowisko / Position ]],0))="n/a","n/a",EN179-INDEX(tab_MinKomp[Usuwanie przyczyn żródłowych],MATCH($B179,tab_MinKomp[[Stanowisko / Position ]:[Stanowisko / Position ]],0)))</f>
        <v>0</v>
      </c>
      <c r="EO180" s="341">
        <f>IF(INDEX(tab_MinKomp[Cmms stosowanie],MATCH($B179,tab_MinKomp[[Stanowisko / Position ]:[Stanowisko / Position ]],0))="n/a","n/a",EO179-INDEX(tab_MinKomp[Cmms stosowanie],MATCH($B179,tab_MinKomp[[Stanowisko / Position ]:[Stanowisko / Position ]],0)))</f>
        <v>0</v>
      </c>
      <c r="EP180" s="341" t="str">
        <f>IF(INDEX(tab_MinKomp[[Czyszczenie form gumowych ]],MATCH($B179,tab_MinKomp[[Stanowisko / Position ]:[Stanowisko / Position ]],0))="n/a","n/a",EP179-INDEX(tab_MinKomp[[Czyszczenie form gumowych ]],MATCH($B179,tab_MinKomp[[Stanowisko / Position ]:[Stanowisko / Position ]],0)))</f>
        <v>n/a</v>
      </c>
      <c r="EQ180" s="341" t="str">
        <f>IF(INDEX(tab_MinKomp[Czyszczenie form plastikowych],MATCH($B179,tab_MinKomp[[Stanowisko / Position ]:[Stanowisko / Position ]],0))="n/a","n/a",EQ179-INDEX(tab_MinKomp[Czyszczenie form plastikowych],MATCH($B179,tab_MinKomp[[Stanowisko / Position ]:[Stanowisko / Position ]],0)))</f>
        <v>n/a</v>
      </c>
      <c r="ER180" s="341" t="str">
        <f>IF(INDEX(tab_MinKomp[Wymiana form plastik],MATCH($B179,tab_MinKomp[[Stanowisko / Position ]:[Stanowisko / Position ]],0))="n/a","n/a",ER179-INDEX(tab_MinKomp[Wymiana form plastik],MATCH($B179,tab_MinKomp[[Stanowisko / Position ]:[Stanowisko / Position ]],0)))</f>
        <v>n/a</v>
      </c>
      <c r="ES180" s="341" t="str">
        <f>IF(INDEX(tab_MinKomp[Wymiana form guma],MATCH($B179,tab_MinKomp[[Stanowisko / Position ]:[Stanowisko / Position ]],0))="n/a","n/a",ES179-INDEX(tab_MinKomp[Wymiana form guma],MATCH($B179,tab_MinKomp[[Stanowisko / Position ]:[Stanowisko / Position ]],0)))</f>
        <v>n/a</v>
      </c>
      <c r="ET180" s="341" t="str">
        <f>IF(INDEX(tab_MinKomp[Konserwacja KK],MATCH($B179,tab_MinKomp[[Stanowisko / Position ]:[Stanowisko / Position ]],0))="n/a","n/a",ET179-INDEX(tab_MinKomp[Konserwacja KK],MATCH($B179,tab_MinKomp[[Stanowisko / Position ]:[Stanowisko / Position ]],0)))</f>
        <v>n/a</v>
      </c>
      <c r="EU180" s="341" t="str">
        <f>IF(INDEX(tab_MinKomp[Konserwacja form guma],MATCH($B179,tab_MinKomp[[Stanowisko / Position ]:[Stanowisko / Position ]],0))="n/a","n/a",EU179-INDEX(tab_MinKomp[Konserwacja form guma],MATCH($B179,tab_MinKomp[[Stanowisko / Position ]:[Stanowisko / Position ]],0)))</f>
        <v>n/a</v>
      </c>
      <c r="EV180" s="341" t="str">
        <f>IF(INDEX(tab_MinKomp[Konserwacja form plastiki],MATCH($B179,tab_MinKomp[[Stanowisko / Position ]:[Stanowisko / Position ]],0))="n/a","n/a",EV179-INDEX(tab_MinKomp[Konserwacja form plastiki],MATCH($B179,tab_MinKomp[[Stanowisko / Position ]:[Stanowisko / Position ]],0)))</f>
        <v>n/a</v>
      </c>
      <c r="EW180" s="330" t="str">
        <f>IF(INDEX(tab_MinKomp[Konserwacja form plastiki],MATCH($B179,tab_MinKomp[[Stanowisko / Position ]:[Stanowisko / Position ]],0))="n/a","n/a",EW179-INDEX(tab_MinKomp[Konserwacja form plastiki],MATCH($B179,tab_MinKomp[[Stanowisko / Position ]:[Stanowisko / Position ]],0)))</f>
        <v>n/a</v>
      </c>
      <c r="EX180" s="341" t="str">
        <f>IF(INDEX(tab_MinKomp[Konserwacja Gorącego Kanału],MATCH($B179,tab_MinKomp[[Stanowisko / Position ]:[Stanowisko / Position ]],0))="n/a","n/a",EX179-INDEX(tab_MinKomp[Konserwacja Gorącego Kanału],MATCH($B179,tab_MinKomp[[Stanowisko / Position ]:[Stanowisko / Position ]],0)))</f>
        <v>n/a</v>
      </c>
      <c r="EY180" s="341">
        <f>IF(INDEX(tab_MinKomp[MS Office (Excel)],MATCH($B179,tab_MinKomp[[Stanowisko / Position ]:[Stanowisko / Position ]],0))="n/a","n/a",EY179-INDEX(tab_MinKomp[MS Office (Excel)],MATCH($B179,tab_MinKomp[[Stanowisko / Position ]:[Stanowisko / Position ]],0)))</f>
        <v>0</v>
      </c>
      <c r="EZ180" s="341">
        <f>IF(INDEX(tab_MinKomp[MS Office (Word)],MATCH($B179,tab_MinKomp[[Stanowisko / Position ]:[Stanowisko / Position ]],0))="n/a","n/a",EZ179-INDEX(tab_MinKomp[MS Office (Word)],MATCH($B179,tab_MinKomp[[Stanowisko / Position ]:[Stanowisko / Position ]],0)))</f>
        <v>0</v>
      </c>
      <c r="FA180" s="341">
        <f>IF(INDEX(tab_MinKomp[MS Office (Power Point)],MATCH($B179,tab_MinKomp[[Stanowisko / Position ]:[Stanowisko / Position ]],0))="n/a","n/a",FA179-INDEX(tab_MinKomp[MS Office (Power Point)],MATCH($B179,tab_MinKomp[[Stanowisko / Position ]:[Stanowisko / Position ]],0)))</f>
        <v>0</v>
      </c>
      <c r="FB180" s="341">
        <f>IF(INDEX(tab_MinKomp[Język angielski / Englisch],MATCH($B179,tab_MinKomp[[Stanowisko / Position ]:[Stanowisko / Position ]],0))="n/a","n/a",FB179-INDEX(tab_MinKomp[Język angielski / Englisch],MATCH($B179,tab_MinKomp[[Stanowisko / Position ]:[Stanowisko / Position ]],0)))</f>
        <v>0</v>
      </c>
      <c r="FC180" s="341" t="str">
        <f>IF(INDEX(tab_MinKomp[Język niemiecki / Deutsch],MATCH($B179,tab_MinKomp[[Stanowisko / Position ]:[Stanowisko / Position ]],0))="n/a","n/a",FC179-INDEX(tab_MinKomp[Język niemiecki / Deutsch],MATCH($B179,tab_MinKomp[[Stanowisko / Position ]:[Stanowisko / Position ]],0)))</f>
        <v>n/a</v>
      </c>
      <c r="FD180" s="341">
        <f>IF(INDEX(tab_MinKomp[Zarządzanie dokumentacją procesową / Process dokumentation management],MATCH($B179,tab_MinKomp[[Stanowisko / Position ]:[Stanowisko / Position ]],0))="n/a","n/a",FD179-INDEX(tab_MinKomp[Zarządzanie dokumentacją procesową / Process dokumentation management],MATCH($B179,tab_MinKomp[[Stanowisko / Position ]:[Stanowisko / Position ]],0)))</f>
        <v>-1</v>
      </c>
      <c r="FE180" s="341">
        <f>IF(INDEX(tab_MinKomp[Znajomość procesów z obszaru / Kenntiss der prozesse in dem Bereich],MATCH($B179,tab_MinKomp[[Stanowisko / Position ]:[Stanowisko / Position ]],0))="n/a","n/a",FE179-INDEX(tab_MinKomp[Znajomość procesów z obszaru / Kenntiss der prozesse in dem Bereich],MATCH($B179,tab_MinKomp[[Stanowisko / Position ]:[Stanowisko / Position ]],0)))</f>
        <v>-1</v>
      </c>
      <c r="FF180" s="341">
        <f>IF(INDEX(tab_MinKomp[optymalizacja procesów / Prozessoptymalisierung],MATCH($B179,tab_MinKomp[[Stanowisko / Position ]:[Stanowisko / Position ]],0))="n/a","n/a",FF179-INDEX(tab_MinKomp[optymalizacja procesów / Prozessoptymalisierung],MATCH($B179,tab_MinKomp[[Stanowisko / Position ]:[Stanowisko / Position ]],0)))</f>
        <v>-1</v>
      </c>
      <c r="FG180" s="341">
        <f>IF(INDEX(tab_MinKomp[Umiejętności szkoleniowe / Trainingsfähigkeiten],MATCH($B179,tab_MinKomp[[Stanowisko / Position ]:[Stanowisko / Position ]],0))="n/a","n/a",FG179-INDEX(tab_MinKomp[Umiejętności szkoleniowe / Trainingsfähigkeiten],MATCH($B179,tab_MinKomp[[Stanowisko / Position ]:[Stanowisko / Position ]],0)))</f>
        <v>-1</v>
      </c>
      <c r="FH180" s="341">
        <f>IF(INDEX(tab_MinKomp[Analityczne myślenie, podejście / Analitysches Denken, Einstellung],MATCH($B179,tab_MinKomp[[Stanowisko / Position ]:[Stanowisko / Position ]],0))="n/a","n/a",FH179-INDEX(tab_MinKomp[Analityczne myślenie, podejście / Analitysches Denken, Einstellung],MATCH($B179,tab_MinKomp[[Stanowisko / Position ]:[Stanowisko / Position ]],0)))</f>
        <v>1</v>
      </c>
      <c r="FI180" s="341">
        <f>IF(INDEX(tab_MinKomp[Dokładność, precyzja w dzialaniu / Genauigkeit, Präzision in die Arbeit],MATCH($B179,tab_MinKomp[[Stanowisko / Position ]:[Stanowisko / Position ]],0))="n/a","n/a",FI179-INDEX(tab_MinKomp[Dokładność, precyzja w dzialaniu / Genauigkeit, Präzision in die Arbeit],MATCH($B179,tab_MinKomp[[Stanowisko / Position ]:[Stanowisko / Position ]],0)))</f>
        <v>-1</v>
      </c>
      <c r="FJ180" s="341">
        <f>IF(INDEX(tab_MinKomp[Dyspozycyjność / Verfügbarkeit],MATCH($B179,tab_MinKomp[[Stanowisko / Position ]:[Stanowisko / Position ]],0))="n/a","n/a",FJ179-INDEX(tab_MinKomp[Dyspozycyjność / Verfügbarkeit],MATCH($B179,tab_MinKomp[[Stanowisko / Position ]:[Stanowisko / Position ]],0)))</f>
        <v>1</v>
      </c>
      <c r="FK180" s="341">
        <f>IF(INDEX(tab_MinKomp[Zaangażowanie / 
Engagement],MATCH($B179,tab_MinKomp[[Stanowisko / Position ]:[Stanowisko / Position ]],0))="n/a","n/a",FK179-INDEX(tab_MinKomp[Zaangażowanie / 
Engagement],MATCH($B179,tab_MinKomp[[Stanowisko / Position ]:[Stanowisko / Position ]],0)))</f>
        <v>1</v>
      </c>
      <c r="FL180" s="341">
        <f>IF(INDEX(tab_MinKomp[Planowanie strategiczne / Strategische Planung],MATCH($B179,tab_MinKomp[[Stanowisko / Position ]:[Stanowisko / Position ]],0))="n/a","n/a",FL179-INDEX(tab_MinKomp[Planowanie strategiczne / Strategische Planung],MATCH($B179,tab_MinKomp[[Stanowisko / Position ]:[Stanowisko / Position ]],0)))</f>
        <v>1</v>
      </c>
      <c r="FM180" s="341">
        <f>IF(INDEX(tab_MinKomp[Konsekwentne i dynamiczne działanie],MATCH($B179,tab_MinKomp[[Stanowisko / Position ]:[Stanowisko / Position ]],0))="n/a","n/a",FM179-INDEX(tab_MinKomp[Konsekwentne i dynamiczne działanie],MATCH($B179,tab_MinKomp[[Stanowisko / Position ]:[Stanowisko / Position ]],0)))</f>
        <v>0</v>
      </c>
      <c r="FN180" s="341">
        <f>IF(INDEX(tab_MinKomp[Elastyczność w działaniu],MATCH($B179,tab_MinKomp[[Stanowisko / Position ]:[Stanowisko / Position ]],0))="n/a","n/a",FN179-INDEX(tab_MinKomp[Elastyczność w działaniu],MATCH($B179,tab_MinKomp[[Stanowisko / Position ]:[Stanowisko / Position ]],0)))</f>
        <v>0</v>
      </c>
      <c r="FO180" s="341">
        <f>IF(INDEX(tab_MinKomp[Komunikatywność],MATCH($B179,tab_MinKomp[[Stanowisko / Position ]:[Stanowisko / Position ]],0))="n/a","n/a",FO179-INDEX(tab_MinKomp[Komunikatywność],MATCH($B179,tab_MinKomp[[Stanowisko / Position ]:[Stanowisko / Position ]],0)))</f>
        <v>0</v>
      </c>
      <c r="FP180" s="341" t="str">
        <f>IF(INDEX(tab_MinKomp[Motywowanie i budowanie zaangażowania zespołu],MATCH($B179,tab_MinKomp[[Stanowisko / Position ]:[Stanowisko / Position ]],0))="n/a","n/a",FP179-INDEX(tab_MinKomp[Motywowanie i budowanie zaangażowania zespołu],MATCH($B179,tab_MinKomp[[Stanowisko / Position ]:[Stanowisko / Position ]],0)))</f>
        <v>n/a</v>
      </c>
      <c r="FQ180" s="341" t="str">
        <f>IF(INDEX(tab_MinKomp[Motywowanie i budowanie zaangażowania zespołu],MATCH($B179,tab_MinKomp[[Stanowisko / Position ]:[Stanowisko / Position ]],0))="n/a","n/a",FQ179-INDEX(tab_MinKomp[Motywowanie i budowanie zaangażowania zespołu],MATCH($B179,tab_MinKomp[[Stanowisko / Position ]:[Stanowisko / Position ]],0)))</f>
        <v>n/a</v>
      </c>
      <c r="FR180" s="341" t="str">
        <f>IF(INDEX(tab_MinKomp[BRAK / Keine],MATCH($B179,tab_MinKomp[[Stanowisko / Position ]:[Stanowisko / Position ]],0))="n/a","n/a",FR179-INDEX(tab_MinKomp[BRAK / Keine],MATCH($B179,tab_MinKomp[[Stanowisko / Position ]:[Stanowisko / Position ]],0)))</f>
        <v>n/a</v>
      </c>
      <c r="FS180" s="341" t="str">
        <f>IF(INDEX(tab_MinKomp[MINIMUM 1 ROK / min. 1 Jahr],MATCH($B179,tab_MinKomp[[Stanowisko / Position ]:[Stanowisko / Position ]],0))="n/a","n/a",FS179-INDEX(tab_MinKomp[MINIMUM 1 ROK / min. 1 Jahr],MATCH($B179,tab_MinKomp[[Stanowisko / Position ]:[Stanowisko / Position ]],0)))</f>
        <v>n/a</v>
      </c>
      <c r="FT180" s="341" t="str">
        <f>IF(INDEX(tab_MinKomp[MINIMUM 2 LATA / min. 2 Jahre],MATCH($B179,tab_MinKomp[[Stanowisko / Position ]:[Stanowisko / Position ]],0))="n/a","n/a",FT179-INDEX(tab_MinKomp[MINIMUM 2 LATA / min. 2 Jahre],MATCH($B179,tab_MinKomp[[Stanowisko / Position ]:[Stanowisko / Position ]],0)))</f>
        <v>n/a</v>
      </c>
      <c r="FU180" s="341" t="str">
        <f>IF(INDEX(tab_MinKomp[MINIMUM 3 LATA / min. 3 Jahre],MATCH($B179,tab_MinKomp[[Stanowisko / Position ]:[Stanowisko / Position ]],0))="n/a","n/a",FU179-INDEX(tab_MinKomp[MINIMUM 3 LATA / min. 3 Jahre],MATCH($B179,tab_MinKomp[[Stanowisko / Position ]:[Stanowisko / Position ]],0)))</f>
        <v>n/a</v>
      </c>
      <c r="FV180" s="341" t="str">
        <f>IF(INDEX(tab_MinKomp[MINIMUM 4 LATA / min. 4 Jahre],MATCH($B179,tab_MinKomp[[Stanowisko / Position ]:[Stanowisko / Position ]],0))="n/a","n/a",FV179-INDEX(tab_MinKomp[MINIMUM 4 LATA / min. 4 Jahre],MATCH($B179,tab_MinKomp[[Stanowisko / Position ]:[Stanowisko / Position ]],0)))</f>
        <v>n/a</v>
      </c>
      <c r="FW180" s="341" t="str">
        <f>IF(INDEX(tab_MinKomp[MINIMUM 5 LAT / min. 5 Jahre],MATCH($B179,tab_MinKomp[[Stanowisko / Position ]:[Stanowisko / Position ]],0))="n/a","n/a",FW179-INDEX(tab_MinKomp[MINIMUM 5 LAT / min. 5 Jahre],MATCH($B179,tab_MinKomp[[Stanowisko / Position ]:[Stanowisko / Position ]],0)))</f>
        <v>n/a</v>
      </c>
      <c r="FX180" s="341" t="str">
        <f>IF(INDEX(tab_MinKomp[BRAK / Keine9],MATCH($B179,tab_MinKomp[[Stanowisko / Position ]:[Stanowisko / Position ]],0))="n/a","n/a",FX179-INDEX(tab_MinKomp[BRAK / Keine9],MATCH($B179,tab_MinKomp[[Stanowisko / Position ]:[Stanowisko / Position ]],0)))</f>
        <v>n/a</v>
      </c>
      <c r="FY180" s="341" t="str">
        <f>IF(INDEX(tab_MinKomp[ZAWODOWE / Berufsausbildung],MATCH($B179,tab_MinKomp[[Stanowisko / Position ]:[Stanowisko / Position ]],0))="n/a","n/a",FY179-INDEX(tab_MinKomp[ZAWODOWE / Berufsausbildung],MATCH($B179,tab_MinKomp[[Stanowisko / Position ]:[Stanowisko / Position ]],0)))</f>
        <v>n/a</v>
      </c>
      <c r="FZ180" s="341" t="s">
        <v>387</v>
      </c>
      <c r="GA180" s="341" t="str">
        <f>IF(INDEX(tab_MinKomp[WYŻSZE OGÓLNE / Hochschule allgemeine],MATCH($B179,tab_MinKomp[[Stanowisko / Position ]:[Stanowisko / Position ]],0))="n/a","n/a",GA179-INDEX(tab_MinKomp[WYŻSZE OGÓLNE / Hochschule allgemeine],MATCH($B179,tab_MinKomp[[Stanowisko / Position ]:[Stanowisko / Position ]],0)))</f>
        <v>n/a</v>
      </c>
      <c r="GB180" s="341" t="str">
        <f>IF(INDEX(tab_MinKomp[WYŻSZE OGÓLNE / Hochschule allgemeine],MATCH($B179,tab_MinKomp[[Stanowisko / Position ]:[Stanowisko / Position ]],0))="n/a","n/a",GB179-INDEX(tab_MinKomp[WYŻSZE OGÓLNE / Hochschule allgemeine],MATCH($B179,tab_MinKomp[[Stanowisko / Position ]:[Stanowisko / Position ]],0)))</f>
        <v>n/a</v>
      </c>
      <c r="GC180" s="341" t="str">
        <f>IF(INDEX(tab_MinKomp[WYŻSZE KIERUNKOWE / Hochschule berufliche],MATCH($B179,tab_MinKomp[[Stanowisko / Position ]:[Stanowisko / Position ]],0))="n/a","n/a",GC179-INDEX(tab_MinKomp[WYŻSZE KIERUNKOWE / Hochschule berufliche],MATCH($B179,tab_MinKomp[[Stanowisko / Position ]:[Stanowisko / Position ]],0)))</f>
        <v>n/a</v>
      </c>
      <c r="GD180" s="341" t="str">
        <f>IF(INDEX(tab_MinKomp[PIERWSZA POMOC / Erste Hilfe],MATCH($B179,tab_MinKomp[[Stanowisko / Position ]:[Stanowisko / Position ]],0))="n/a","n/a",GD179-INDEX(tab_MinKomp[PIERWSZA POMOC / Erste Hilfe],MATCH($B179,tab_MinKomp[[Stanowisko / Position ]:[Stanowisko / Position ]],0)))</f>
        <v>n/a</v>
      </c>
      <c r="GE180" s="341" t="str">
        <f>IF(INDEX(tab_MinKomp[Specjalista BHP / BHP Spezialist],MATCH($B179,tab_MinKomp[[Stanowisko / Position ]:[Stanowisko / Position ]],0))="n/a","n/a",GE179-INDEX(tab_MinKomp[Specjalista BHP / BHP Spezialist],MATCH($B179,tab_MinKomp[[Stanowisko / Position ]:[Stanowisko / Position ]],0)))</f>
        <v>n/a</v>
      </c>
      <c r="GF180" s="341" t="str">
        <f>IF(INDEX(tab_MinKomp[Inspektor ochrony PPOŻ / Brandschutzinspektor],MATCH($B179,tab_MinKomp[[Stanowisko / Position ]:[Stanowisko / Position ]],0))="n/a","n/a",GD179-INDEX(tab_MinKomp[Inspektor ochrony PPOŻ / Brandschutzinspektor],MATCH($B179,tab_MinKomp[[Stanowisko / Position ]:[Stanowisko / Position ]],0)))</f>
        <v>n/a</v>
      </c>
      <c r="GG180" s="341" t="s">
        <v>387</v>
      </c>
      <c r="GH180" s="341" t="str">
        <f>IF(INDEX(tab_MinKomp[Inspektor ochrony PPOŻ / Brandschutzinspektor],MATCH($B179,tab_MinKomp[[Stanowisko / Position ]:[Stanowisko / Position ]],0))="n/a","n/a",GF179-INDEX(tab_MinKomp[Inspektor ochrony PPOŻ / Brandschutzinspektor],MATCH($B179,tab_MinKomp[[Stanowisko / Position ]:[Stanowisko / Position ]],0)))</f>
        <v>n/a</v>
      </c>
      <c r="GI180" s="341" t="s">
        <v>387</v>
      </c>
      <c r="GJ180" s="341" t="str">
        <f>IF(INDEX(tab_MinKomp[Inspektor ochrony PPOŻ / Brandschutzinspektor],MATCH($B179,tab_MinKomp[[Stanowisko / Position ]:[Stanowisko / Position ]],0))="n/a","n/a",#REF!-INDEX(tab_MinKomp[Inspektor ochrony PPOŻ / Brandschutzinspektor],MATCH($B179,tab_MinKomp[[Stanowisko / Position ]:[Stanowisko / Position ]],0)))</f>
        <v>n/a</v>
      </c>
      <c r="GK180" s="341" t="s">
        <v>387</v>
      </c>
      <c r="GL180" s="320">
        <f>SUM(G180:FP180)/(GL179-(SUM(G180:FP180)))</f>
        <v>-0.17647058823529413</v>
      </c>
      <c r="GM180" s="132"/>
    </row>
    <row r="181" spans="1:195" s="133" customFormat="1" ht="28.35" customHeight="1" x14ac:dyDescent="0.25">
      <c r="A181" s="138" t="s">
        <v>181</v>
      </c>
      <c r="B181" s="138" t="s">
        <v>597</v>
      </c>
      <c r="C181" s="138" t="s">
        <v>613</v>
      </c>
      <c r="D181" s="138">
        <v>1928</v>
      </c>
      <c r="E181" s="568" t="s">
        <v>717</v>
      </c>
      <c r="F181" s="339" t="s">
        <v>165</v>
      </c>
      <c r="G181" s="308">
        <v>2</v>
      </c>
      <c r="H181" s="308">
        <v>2</v>
      </c>
      <c r="I181" s="308">
        <v>2</v>
      </c>
      <c r="J181" s="308">
        <v>2</v>
      </c>
      <c r="K181" s="308">
        <v>2</v>
      </c>
      <c r="L181" s="308">
        <v>1</v>
      </c>
      <c r="M181" s="308" t="s">
        <v>176</v>
      </c>
      <c r="N181" s="308" t="s">
        <v>176</v>
      </c>
      <c r="O181" s="308">
        <v>1</v>
      </c>
      <c r="P181" s="308">
        <v>1</v>
      </c>
      <c r="Q181" s="308" t="s">
        <v>176</v>
      </c>
      <c r="R181" s="308" t="s">
        <v>176</v>
      </c>
      <c r="S181" s="308" t="s">
        <v>176</v>
      </c>
      <c r="T181" s="308" t="s">
        <v>176</v>
      </c>
      <c r="U181" s="308" t="s">
        <v>176</v>
      </c>
      <c r="V181" s="308" t="s">
        <v>176</v>
      </c>
      <c r="W181" s="308" t="s">
        <v>176</v>
      </c>
      <c r="X181" s="308" t="s">
        <v>176</v>
      </c>
      <c r="Y181" s="308" t="s">
        <v>176</v>
      </c>
      <c r="Z181" s="308" t="s">
        <v>176</v>
      </c>
      <c r="AA181" s="308" t="s">
        <v>176</v>
      </c>
      <c r="AB181" s="308" t="s">
        <v>176</v>
      </c>
      <c r="AC181" s="308" t="s">
        <v>176</v>
      </c>
      <c r="AD181" s="308" t="s">
        <v>176</v>
      </c>
      <c r="AE181" s="308" t="s">
        <v>176</v>
      </c>
      <c r="AF181" s="308" t="s">
        <v>176</v>
      </c>
      <c r="AG181" s="308" t="s">
        <v>176</v>
      </c>
      <c r="AH181" s="308" t="s">
        <v>176</v>
      </c>
      <c r="AI181" s="308" t="s">
        <v>176</v>
      </c>
      <c r="AJ181" s="308" t="s">
        <v>176</v>
      </c>
      <c r="AK181" s="308" t="s">
        <v>176</v>
      </c>
      <c r="AL181" s="308">
        <v>1</v>
      </c>
      <c r="AM181" s="308" t="s">
        <v>176</v>
      </c>
      <c r="AN181" s="308" t="s">
        <v>176</v>
      </c>
      <c r="AO181" s="308" t="s">
        <v>176</v>
      </c>
      <c r="AP181" s="308" t="s">
        <v>176</v>
      </c>
      <c r="AQ181" s="308" t="s">
        <v>176</v>
      </c>
      <c r="AR181" s="308" t="s">
        <v>176</v>
      </c>
      <c r="AS181" s="308" t="s">
        <v>176</v>
      </c>
      <c r="AT181" s="308" t="s">
        <v>176</v>
      </c>
      <c r="AU181" s="308" t="s">
        <v>176</v>
      </c>
      <c r="AV181" s="308">
        <v>2</v>
      </c>
      <c r="AW181" s="308"/>
      <c r="AX181" s="308"/>
      <c r="AY181" s="308" t="s">
        <v>176</v>
      </c>
      <c r="AZ181" s="308" t="s">
        <v>176</v>
      </c>
      <c r="BA181" s="308" t="s">
        <v>176</v>
      </c>
      <c r="BB181" s="308" t="s">
        <v>176</v>
      </c>
      <c r="BC181" s="308" t="s">
        <v>176</v>
      </c>
      <c r="BD181" s="308" t="s">
        <v>176</v>
      </c>
      <c r="BE181" s="308" t="s">
        <v>176</v>
      </c>
      <c r="BF181" s="308" t="s">
        <v>176</v>
      </c>
      <c r="BG181" s="308" t="s">
        <v>176</v>
      </c>
      <c r="BH181" s="308" t="s">
        <v>176</v>
      </c>
      <c r="BI181" s="308" t="s">
        <v>176</v>
      </c>
      <c r="BJ181" s="308" t="s">
        <v>176</v>
      </c>
      <c r="BK181" s="308" t="s">
        <v>176</v>
      </c>
      <c r="BL181" s="308" t="s">
        <v>176</v>
      </c>
      <c r="BM181" s="308" t="s">
        <v>176</v>
      </c>
      <c r="BN181" s="308">
        <v>0</v>
      </c>
      <c r="BO181" s="308">
        <v>1</v>
      </c>
      <c r="BP181" s="308">
        <v>1</v>
      </c>
      <c r="BQ181" s="308">
        <v>1</v>
      </c>
      <c r="BR181" s="308">
        <v>1</v>
      </c>
      <c r="BS181" s="308">
        <v>1</v>
      </c>
      <c r="BT181" s="308">
        <v>1</v>
      </c>
      <c r="BU181" s="308">
        <v>1</v>
      </c>
      <c r="BV181" s="308">
        <v>1</v>
      </c>
      <c r="BW181" s="308" t="s">
        <v>176</v>
      </c>
      <c r="BX181" s="308" t="s">
        <v>176</v>
      </c>
      <c r="BY181" s="308" t="s">
        <v>176</v>
      </c>
      <c r="BZ181" s="308" t="s">
        <v>176</v>
      </c>
      <c r="CA181" s="308" t="s">
        <v>176</v>
      </c>
      <c r="CB181" s="308" t="s">
        <v>176</v>
      </c>
      <c r="CC181" s="308" t="s">
        <v>176</v>
      </c>
      <c r="CD181" s="308" t="s">
        <v>176</v>
      </c>
      <c r="CE181" s="308" t="s">
        <v>176</v>
      </c>
      <c r="CF181" s="308" t="s">
        <v>176</v>
      </c>
      <c r="CG181" s="308" t="s">
        <v>176</v>
      </c>
      <c r="CH181" s="308" t="s">
        <v>176</v>
      </c>
      <c r="CI181" s="308" t="s">
        <v>176</v>
      </c>
      <c r="CJ181" s="308" t="s">
        <v>176</v>
      </c>
      <c r="CK181" s="308" t="s">
        <v>176</v>
      </c>
      <c r="CL181" s="308" t="s">
        <v>176</v>
      </c>
      <c r="CM181" s="308" t="s">
        <v>176</v>
      </c>
      <c r="CN181" s="308"/>
      <c r="CO181" s="308"/>
      <c r="CP181" s="308"/>
      <c r="CQ181" s="308" t="s">
        <v>176</v>
      </c>
      <c r="CR181" s="308" t="s">
        <v>176</v>
      </c>
      <c r="CS181" s="308" t="s">
        <v>176</v>
      </c>
      <c r="CT181" s="308" t="s">
        <v>176</v>
      </c>
      <c r="CU181" s="308">
        <v>1</v>
      </c>
      <c r="CV181" s="308" t="s">
        <v>176</v>
      </c>
      <c r="CW181" s="308" t="s">
        <v>176</v>
      </c>
      <c r="CX181" s="308" t="s">
        <v>176</v>
      </c>
      <c r="CY181" s="308" t="s">
        <v>176</v>
      </c>
      <c r="CZ181" s="308" t="s">
        <v>176</v>
      </c>
      <c r="DA181" s="308" t="s">
        <v>176</v>
      </c>
      <c r="DB181" s="308" t="s">
        <v>176</v>
      </c>
      <c r="DC181" s="308" t="s">
        <v>176</v>
      </c>
      <c r="DD181" s="308" t="s">
        <v>176</v>
      </c>
      <c r="DE181" s="308" t="s">
        <v>176</v>
      </c>
      <c r="DF181" s="308" t="s">
        <v>176</v>
      </c>
      <c r="DG181" s="308" t="s">
        <v>176</v>
      </c>
      <c r="DH181" s="308" t="s">
        <v>176</v>
      </c>
      <c r="DI181" s="308" t="s">
        <v>176</v>
      </c>
      <c r="DJ181" s="308" t="s">
        <v>176</v>
      </c>
      <c r="DK181" s="308" t="s">
        <v>176</v>
      </c>
      <c r="DL181" s="308" t="s">
        <v>176</v>
      </c>
      <c r="DM181" s="308" t="s">
        <v>176</v>
      </c>
      <c r="DN181" s="308" t="s">
        <v>176</v>
      </c>
      <c r="DO181" s="308" t="s">
        <v>176</v>
      </c>
      <c r="DP181" s="308" t="s">
        <v>176</v>
      </c>
      <c r="DQ181" s="308" t="s">
        <v>176</v>
      </c>
      <c r="DR181" s="308" t="s">
        <v>176</v>
      </c>
      <c r="DS181" s="308" t="s">
        <v>176</v>
      </c>
      <c r="DT181" s="308" t="s">
        <v>176</v>
      </c>
      <c r="DU181" s="308" t="s">
        <v>176</v>
      </c>
      <c r="DV181" s="306" t="s">
        <v>176</v>
      </c>
      <c r="DW181" s="306" t="s">
        <v>176</v>
      </c>
      <c r="DX181" s="306" t="s">
        <v>176</v>
      </c>
      <c r="DY181" s="308">
        <v>2</v>
      </c>
      <c r="DZ181" s="308">
        <v>1</v>
      </c>
      <c r="EA181" s="308">
        <v>1</v>
      </c>
      <c r="EB181" s="308">
        <v>1</v>
      </c>
      <c r="EC181" s="308">
        <v>1</v>
      </c>
      <c r="ED181" s="308">
        <v>3</v>
      </c>
      <c r="EE181" s="308">
        <v>1</v>
      </c>
      <c r="EF181" s="308">
        <v>1</v>
      </c>
      <c r="EG181" s="308">
        <v>1</v>
      </c>
      <c r="EH181" s="308">
        <v>2</v>
      </c>
      <c r="EI181" s="308">
        <v>1</v>
      </c>
      <c r="EJ181" s="308">
        <v>2</v>
      </c>
      <c r="EK181" s="308">
        <v>2</v>
      </c>
      <c r="EL181" s="308">
        <v>0</v>
      </c>
      <c r="EM181" s="308">
        <v>1</v>
      </c>
      <c r="EN181" s="308">
        <v>1</v>
      </c>
      <c r="EO181" s="308">
        <v>2</v>
      </c>
      <c r="EP181" s="308" t="s">
        <v>176</v>
      </c>
      <c r="EQ181" s="308" t="s">
        <v>176</v>
      </c>
      <c r="ER181" s="308" t="s">
        <v>176</v>
      </c>
      <c r="ES181" s="308" t="s">
        <v>176</v>
      </c>
      <c r="ET181" s="308" t="s">
        <v>176</v>
      </c>
      <c r="EU181" s="308" t="s">
        <v>176</v>
      </c>
      <c r="EV181" s="308" t="s">
        <v>176</v>
      </c>
      <c r="EW181" s="308" t="s">
        <v>176</v>
      </c>
      <c r="EX181" s="308" t="s">
        <v>176</v>
      </c>
      <c r="EY181" s="308">
        <v>1</v>
      </c>
      <c r="EZ181" s="308">
        <v>1</v>
      </c>
      <c r="FA181" s="308" t="s">
        <v>176</v>
      </c>
      <c r="FB181" s="309" t="s">
        <v>176</v>
      </c>
      <c r="FC181" s="309" t="s">
        <v>176</v>
      </c>
      <c r="FD181" s="308">
        <v>1</v>
      </c>
      <c r="FE181" s="308">
        <v>1</v>
      </c>
      <c r="FF181" s="308">
        <v>1</v>
      </c>
      <c r="FG181" s="308">
        <v>1</v>
      </c>
      <c r="FH181" s="308">
        <v>2</v>
      </c>
      <c r="FI181" s="308">
        <v>2</v>
      </c>
      <c r="FJ181" s="308">
        <v>2</v>
      </c>
      <c r="FK181" s="308">
        <v>3</v>
      </c>
      <c r="FL181" s="308" t="s">
        <v>176</v>
      </c>
      <c r="FM181" s="308">
        <v>2</v>
      </c>
      <c r="FN181" s="308" t="s">
        <v>176</v>
      </c>
      <c r="FO181" s="308" t="s">
        <v>176</v>
      </c>
      <c r="FP181" s="308" t="s">
        <v>176</v>
      </c>
      <c r="FQ181" s="308" t="s">
        <v>176</v>
      </c>
      <c r="FR181" s="308" t="s">
        <v>176</v>
      </c>
      <c r="FS181" s="308" t="s">
        <v>176</v>
      </c>
      <c r="FT181" s="308" t="s">
        <v>176</v>
      </c>
      <c r="FU181" s="308" t="s">
        <v>176</v>
      </c>
      <c r="FV181" s="308" t="s">
        <v>176</v>
      </c>
      <c r="FW181" s="308" t="s">
        <v>176</v>
      </c>
      <c r="FX181" s="308" t="s">
        <v>176</v>
      </c>
      <c r="FY181" s="308"/>
      <c r="FZ181" s="308" t="s">
        <v>176</v>
      </c>
      <c r="GA181" s="308" t="s">
        <v>176</v>
      </c>
      <c r="GB181" s="308" t="s">
        <v>176</v>
      </c>
      <c r="GC181" s="308" t="s">
        <v>176</v>
      </c>
      <c r="GD181" s="308" t="s">
        <v>176</v>
      </c>
      <c r="GE181" s="308" t="s">
        <v>176</v>
      </c>
      <c r="GF181" s="308" t="s">
        <v>387</v>
      </c>
      <c r="GG181" s="308" t="s">
        <v>387</v>
      </c>
      <c r="GH181" s="308" t="s">
        <v>387</v>
      </c>
      <c r="GI181" s="308" t="s">
        <v>387</v>
      </c>
      <c r="GJ181" s="308" t="s">
        <v>387</v>
      </c>
      <c r="GK181" s="308" t="s">
        <v>387</v>
      </c>
      <c r="GL181" s="329">
        <f>SUM(G181:FP181)</f>
        <v>65</v>
      </c>
      <c r="GM181" s="132"/>
    </row>
    <row r="182" spans="1:195" s="133" customFormat="1" ht="28.35" customHeight="1" thickBot="1" x14ac:dyDescent="0.3">
      <c r="A182" s="138" t="s">
        <v>181</v>
      </c>
      <c r="B182" s="138" t="s">
        <v>597</v>
      </c>
      <c r="C182" s="138" t="s">
        <v>613</v>
      </c>
      <c r="D182" s="138">
        <v>1928</v>
      </c>
      <c r="E182" s="569"/>
      <c r="F182" s="312" t="s">
        <v>166</v>
      </c>
      <c r="G182" s="387">
        <f>IF(INDEX(tab_MinKomp[Przepisy BHP / BHP Vorschriften],MATCH($B181,tab_MinKomp[[Stanowisko / Position ]:[Stanowisko / Position ]],0))="n/a","n/a",G181-INDEX(tab_MinKomp[Przepisy BHP / BHP Vorschriften],MATCH($B181,tab_MinKomp[[Stanowisko / Position ]:[Stanowisko / Position ]],0)))</f>
        <v>0</v>
      </c>
      <c r="H182" s="387">
        <f>IF(INDEX(tab_MinKomp[Przepisy PPOŻ / Brandschutzbestimmungen],MATCH($B181,tab_MinKomp[[Stanowisko / Position ]:[Stanowisko / Position ]],0))="n/a","n/a",H181-INDEX(tab_MinKomp[Przepisy PPOŻ / Brandschutzbestimmungen],MATCH($B181,tab_MinKomp[[Stanowisko / Position ]:[Stanowisko / Position ]],0)))</f>
        <v>0</v>
      </c>
      <c r="I182" s="387">
        <f>IF(INDEX(tab_MinKomp[Ryzyko zawodowe na stanowiskach pracyv/ Berufliche Risiken an Arbeitsstellen],MATCH($B181,tab_MinKomp[[Stanowisko / Position ]:[Stanowisko / Position ]],0))="n/a","n/a",I181-INDEX(tab_MinKomp[Ryzyko zawodowe na stanowiskach pracyv/ Berufliche Risiken an Arbeitsstellen],MATCH($B181,tab_MinKomp[[Stanowisko / Position ]:[Stanowisko / Position ]],0)))</f>
        <v>0</v>
      </c>
      <c r="J182" s="387">
        <f>IF(INDEX(tab_MinKomp[Gospodarka substancjami niebezpiecznymi / Gefahrstoffmanagement],MATCH($B181,tab_MinKomp[[Stanowisko / Position ]:[Stanowisko / Position ]],0))="n/a","n/a",J181-INDEX(tab_MinKomp[Gospodarka substancjami niebezpiecznymi / Gefahrstoffmanagement],MATCH($B181,tab_MinKomp[[Stanowisko / Position ]:[Stanowisko / Position ]],0)))</f>
        <v>0</v>
      </c>
      <c r="K182" s="387">
        <f>IF(INDEX(tab_MinKomp[Gospodarka odpadami / Abfallwirtschaft],MATCH($B181,tab_MinKomp[[Stanowisko / Position ]:[Stanowisko / Position ]],0))="n/a","n/a",K181-INDEX(tab_MinKomp[Gospodarka odpadami / Abfallwirtschaft],MATCH($B181,tab_MinKomp[[Stanowisko / Position ]:[Stanowisko / Position ]],0)))</f>
        <v>0</v>
      </c>
      <c r="L182" s="349">
        <f>IF(INDEX(tab_MinKomp[Przepisy kodeksu pracy / Bestimmungen des Arbeitsgesetzes],MATCH($B181,tab_MinKomp[[Stanowisko / Position ]:[Stanowisko / Position ]],0))="n/a","n/a",L181-INDEX(tab_MinKomp[Przepisy kodeksu pracy / Bestimmungen des Arbeitsgesetzes],MATCH($B181,tab_MinKomp[[Stanowisko / Position ]:[Stanowisko / Position ]],0)))</f>
        <v>0</v>
      </c>
      <c r="M182" s="349" t="str">
        <f>IF(INDEX(tab_MinKomp[Przepisy o ub.społ. ZUS  / Sozialversicherungsvorschriften],MATCH($B181,tab_MinKomp[[Stanowisko / Position ]:[Stanowisko / Position ]],0))="n/a","n/a",M181-INDEX(tab_MinKomp[Przepisy o ub.społ. ZUS  / Sozialversicherungsvorschriften],MATCH($B181,tab_MinKomp[[Stanowisko / Position ]:[Stanowisko / Position ]],0)))</f>
        <v>n/a</v>
      </c>
      <c r="N182" s="349" t="str">
        <f>IF(INDEX(tab_MinKomp[PRZEPISY O PDOF /persönlich Einkommensteuergesetz ],MATCH($B181,tab_MinKomp[[Stanowisko / Position ]:[Stanowisko / Position ]],0))="n/a","n/a",N181-INDEX(tab_MinKomp[PRZEPISY O PDOF /persönlich Einkommensteuergesetz ],MATCH($B181,tab_MinKomp[[Stanowisko / Position ]:[Stanowisko / Position ]],0)))</f>
        <v>n/a</v>
      </c>
      <c r="O182" s="349">
        <f>IF(INDEX(tab_MinKomp[Regulamin pracy / Arbeitsordnung],MATCH($B181,tab_MinKomp[[Stanowisko / Position ]:[Stanowisko / Position ]],0))="n/a","n/a",O181-INDEX(tab_MinKomp[Regulamin pracy / Arbeitsordnung],MATCH($B181,tab_MinKomp[[Stanowisko / Position ]:[Stanowisko / Position ]],0)))</f>
        <v>0</v>
      </c>
      <c r="P182" s="349">
        <f>IF(INDEX(tab_MinKomp[Regulamin wynagradzania / Vergütungsordnung],MATCH($B181,tab_MinKomp[[Stanowisko / Position ]:[Stanowisko / Position ]],0))="n/a","n/a",P181-INDEX(tab_MinKomp[Regulamin wynagradzania / Vergütungsordnung],MATCH($B181,tab_MinKomp[[Stanowisko / Position ]:[Stanowisko / Position ]],0)))</f>
        <v>0</v>
      </c>
      <c r="Q182" s="349" t="str">
        <f>IF(INDEX(tab_MinKomp[System R2PŁATNIK PRO: Płace / Lohnabrechnung],MATCH($B181,tab_MinKomp[[Stanowisko / Position ]:[Stanowisko / Position ]],0))="n/a","n/a",Q181-INDEX(tab_MinKomp[System R2PŁATNIK PRO: Płace / Lohnabrechnung],MATCH($B181,tab_MinKomp[[Stanowisko / Position ]:[Stanowisko / Position ]],0)))</f>
        <v>n/a</v>
      </c>
      <c r="R182" s="349" t="str">
        <f>IF(INDEX(tab_MinKomp[SystemR2PŁATNIK PRO: KADRY / Personaldaten],MATCH($B181,tab_MinKomp[[Stanowisko / Position ]:[Stanowisko / Position ]],0))="n/a","n/a",R181-INDEX(tab_MinKomp[SystemR2PŁATNIK PRO: KADRY / Personaldaten],MATCH($B181,tab_MinKomp[[Stanowisko / Position ]:[Stanowisko / Position ]],0)))</f>
        <v>n/a</v>
      </c>
      <c r="S182" s="349" t="str">
        <f>IF(INDEX(tab_MinKomp[SYSTEM R2PŁATNIK PRO: zarządzanie pracownikami / Arbeitsverwaltung],MATCH($B181,tab_MinKomp[[Stanowisko / Position ]:[Stanowisko / Position ]],0))="n/a","n/a",S181-INDEX(tab_MinKomp[SYSTEM R2PŁATNIK PRO: zarządzanie pracownikami / Arbeitsverwaltung],MATCH($B181,tab_MinKomp[[Stanowisko / Position ]:[Stanowisko / Position ]],0)))</f>
        <v>n/a</v>
      </c>
      <c r="T182" s="349" t="str">
        <f>IF(INDEX(tab_MinKomp[Doradztwo, wsparcie personalne / Personalberatung und Unterstützung],MATCH($B181,tab_MinKomp[[Stanowisko / Position ]:[Stanowisko / Position ]],0))="n/a","n/a",T181-INDEX(tab_MinKomp[Doradztwo, wsparcie personalne / Personalberatung und Unterstützung],MATCH($B181,tab_MinKomp[[Stanowisko / Position ]:[Stanowisko / Position ]],0)))</f>
        <v>n/a</v>
      </c>
      <c r="U182" s="349" t="str">
        <f>IF(INDEX(tab_MinKomp[Przepisy o podatku VAT / MwSt.- Gesetz],MATCH($B181,tab_MinKomp[[Stanowisko / Position ]:[Stanowisko / Position ]],0))="n/a","n/a",U181-INDEX(tab_MinKomp[Przepisy o podatku VAT / MwSt.- Gesetz],MATCH($B181,tab_MinKomp[[Stanowisko / Position ]:[Stanowisko / Position ]],0)))</f>
        <v>n/a</v>
      </c>
      <c r="V182" s="349" t="str">
        <f>IF(INDEX(tab_MinKomp[PrzepisyPDOP / geschäftlich Einkommensteuergesetz],MATCH($B181,tab_MinKomp[[Stanowisko / Position ]:[Stanowisko / Position ]],0))="n/a","n/a",V181-INDEX(tab_MinKomp[PrzepisyPDOP / geschäftlich Einkommensteuergesetz],MATCH($B181,tab_MinKomp[[Stanowisko / Position ]:[Stanowisko / Position ]],0)))</f>
        <v>n/a</v>
      </c>
      <c r="W182" s="349" t="str">
        <f>IF(INDEX(tab_MinKomp[System BAAN / FINANSE (FIBU)],MATCH($B181,tab_MinKomp[[Stanowisko / Position ]:[Stanowisko / Position ]],0))="n/a","n/a",W181-INDEX(tab_MinKomp[System BAAN / FINANSE (FIBU)],MATCH($B181,tab_MinKomp[[Stanowisko / Position ]:[Stanowisko / Position ]],0)))</f>
        <v>n/a</v>
      </c>
      <c r="X182" s="349" t="str">
        <f>IF(INDEX(tab_MinKomp[Systemy pomocnicze / Hilfssysteme(STOCKPROGRAM, KALK2000 etc.)],MATCH($B181,tab_MinKomp[[Stanowisko / Position ]:[Stanowisko / Position ]],0))="n/a","n/a",X181-INDEX(tab_MinKomp[Systemy pomocnicze / Hilfssysteme(STOCKPROGRAM, KALK2000 etc.)],MATCH($B181,tab_MinKomp[[Stanowisko / Position ]:[Stanowisko / Position ]],0)))</f>
        <v>n/a</v>
      </c>
      <c r="Y182" s="349" t="str">
        <f>IF(INDEX(tab_MinKomp[Polityka rachunkowości / Buchführungspolitik],MATCH($B181,tab_MinKomp[[Stanowisko / Position ]:[Stanowisko / Position ]],0))="n/a","n/a",Y181-INDEX(tab_MinKomp[Polityka rachunkowości / Buchführungspolitik],MATCH($B181,tab_MinKomp[[Stanowisko / Position ]:[Stanowisko / Position ]],0)))</f>
        <v>n/a</v>
      </c>
      <c r="Z182" s="349" t="str">
        <f>IF(INDEX(tab_MinKomp[Ustawa o rachunkowości / Rechnungslegungsgesetz],MATCH($B181,tab_MinKomp[[Stanowisko / Position ]:[Stanowisko / Position ]],0))="n/a","n/a",Z181-INDEX(tab_MinKomp[Ustawa o rachunkowości / Rechnungslegungsgesetz],MATCH($B181,tab_MinKomp[[Stanowisko / Position ]:[Stanowisko / Position ]],0)))</f>
        <v>n/a</v>
      </c>
      <c r="AA182" s="349" t="str">
        <f>IF(INDEX(tab_MinKomp[WORKFLOW - TS-100],MATCH($B181,tab_MinKomp[[Stanowisko / Position ]:[Stanowisko / Position ]],0))="n/a","n/a",AA181-INDEX(tab_MinKomp[WORKFLOW - TS-100],MATCH($B181,tab_MinKomp[[Stanowisko / Position ]:[Stanowisko / Position ]],0)))</f>
        <v>n/a</v>
      </c>
      <c r="AB182" s="349" t="str">
        <f>IF(INDEX(tab_MinKomp[WORKFLOW - SFMS],MATCH($B181,tab_MinKomp[[Stanowisko / Position ]:[Stanowisko / Position ]],0))="n/a","n/a",AB181-INDEX(tab_MinKomp[WORKFLOW - SFMS],MATCH($B181,tab_MinKomp[[Stanowisko / Position ]:[Stanowisko / Position ]],0)))</f>
        <v>n/a</v>
      </c>
      <c r="AC182" s="349" t="str">
        <f>IF(INDEX(tab_MinKomp[System ISO 9001:2015],MATCH($B181,tab_MinKomp[[Stanowisko / Position ]:[Stanowisko / Position ]],0))="n/a","n/a",AC181-INDEX(tab_MinKomp[System ISO 9001:2015],MATCH($B181,tab_MinKomp[[Stanowisko / Position ]:[Stanowisko / Position ]],0)))</f>
        <v>n/a</v>
      </c>
      <c r="AD182" s="349" t="str">
        <f>IF(INDEX(tab_MinKomp[System IATF 16949:2016],MATCH($B181,tab_MinKomp[[Stanowisko / Position ]:[Stanowisko / Position ]],0))="n/a","n/a",AD181-INDEX(tab_MinKomp[System IATF 16949:2016],MATCH($B181,tab_MinKomp[[Stanowisko / Position ]:[Stanowisko / Position ]],0)))</f>
        <v>n/a</v>
      </c>
      <c r="AE182" s="349" t="str">
        <f>IF(INDEX(tab_MinKomp[System ISO 14001:2015],MATCH($B181,tab_MinKomp[[Stanowisko / Position ]:[Stanowisko / Position ]],0))="n/a","n/a",AE181-INDEX(tab_MinKomp[System ISO 14001:2015],MATCH($B181,tab_MinKomp[[Stanowisko / Position ]:[Stanowisko / Position ]],0)))</f>
        <v>n/a</v>
      </c>
      <c r="AF182" s="349" t="str">
        <f>IF(INDEX(tab_MinKomp[System PN-N 18001:2004 / ISO 45001:2018],MATCH($B181,tab_MinKomp[[Stanowisko / Position ]:[Stanowisko / Position ]],0))="n/a","n/a",AF181-INDEX(tab_MinKomp[System PN-N 18001:2004 / ISO 45001:2018],MATCH($B181,tab_MinKomp[[Stanowisko / Position ]:[Stanowisko / Position ]],0)))</f>
        <v>n/a</v>
      </c>
      <c r="AG182" s="349" t="str">
        <f>IF(INDEX(tab_MinKomp[Wymagania VDA 6.3 Process / Forderungen],MATCH($B181,tab_MinKomp[[Stanowisko / Position ]:[Stanowisko / Position ]],0))="n/a","n/a",AG181-INDEX(tab_MinKomp[Wymagania VDA 6.3 Process / Forderungen],MATCH($B181,tab_MinKomp[[Stanowisko / Position ]:[Stanowisko / Position ]],0)))</f>
        <v>n/a</v>
      </c>
      <c r="AH182" s="349" t="str">
        <f>IF(INDEX(tab_MinKomp[Wymagania VDA 6.5 Product / Forderungen],MATCH($B181,tab_MinKomp[[Stanowisko / Position ]:[Stanowisko / Position ]],0))="n/a","n/a",AH181-INDEX(tab_MinKomp[Wymagania VDA 6.5 Product / Forderungen],MATCH($B181,tab_MinKomp[[Stanowisko / Position ]:[Stanowisko / Position ]],0)))</f>
        <v>n/a</v>
      </c>
      <c r="AI182" s="349" t="str">
        <f>IF(INDEX(tab_MinKomp[PSCR (VW Product Safety &amp; Conformity Representative)],MATCH($B181,tab_MinKomp[[Stanowisko / Position ]:[Stanowisko / Position ]],0))="n/a","n/a",AI181-INDEX(tab_MinKomp[PSCR (VW Product Safety &amp; Conformity Representative)],MATCH($B181,tab_MinKomp[[Stanowisko / Position ]:[Stanowisko / Position ]],0)))</f>
        <v>n/a</v>
      </c>
      <c r="AJ182" s="349" t="str">
        <f>IF(INDEX(tab_MinKomp[Auditor systemu ISO 17025:2018],MATCH($B181,tab_MinKomp[[Stanowisko / Position ]:[Stanowisko / Position ]],0))="n/a","n/a",AJ181-INDEX(tab_MinKomp[Auditor systemu ISO 17025:2018],MATCH($B181,tab_MinKomp[[Stanowisko / Position ]:[Stanowisko / Position ]],0)))</f>
        <v>n/a</v>
      </c>
      <c r="AK182" s="349" t="str">
        <f>IF(INDEX(tab_MinKomp[Pełnomocnik systemu / Systemvertreter],MATCH($B181,tab_MinKomp[[Stanowisko / Position ]:[Stanowisko / Position ]],0))="n/a","n/a",AK181-INDEX(tab_MinKomp[Pełnomocnik systemu / Systemvertreter],MATCH($B181,tab_MinKomp[[Stanowisko / Position ]:[Stanowisko / Position ]],0)))</f>
        <v>n/a</v>
      </c>
      <c r="AL182" s="349">
        <f>IF(INDEX(tab_MinKomp[Polityka Etyczna - Compliance],MATCH($B181,tab_MinKomp[[Stanowisko / Position ]:[Stanowisko / Position ]],0))="n/a","n/a",AL181-INDEX(tab_MinKomp[Polityka Etyczna - Compliance],MATCH($B181,tab_MinKomp[[Stanowisko / Position ]:[Stanowisko / Position ]],0)))</f>
        <v>0</v>
      </c>
      <c r="AM182" s="349" t="str">
        <f>IF(INDEX(tab_MinKomp[WDRAŻANIE NOWYCH PROJEKTÓW/ PROCEDURA CTM],MATCH($B181,tab_MinKomp[[Stanowisko / Position ]:[Stanowisko / Position ]],0))="n/a","n/a",AM181-INDEX(tab_MinKomp[WDRAŻANIE NOWYCH PROJEKTÓW/ PROCEDURA CTM],MATCH($B181,tab_MinKomp[[Stanowisko / Position ]:[Stanowisko / Position ]],0)))</f>
        <v>n/a</v>
      </c>
      <c r="AN182" s="349" t="str">
        <f>IF(INDEX(tab_MinKomp[KAMIENIE MILOWE MSL/PIFF],MATCH($B181,tab_MinKomp[[Stanowisko / Position ]:[Stanowisko / Position ]],0))="n/a","n/a",AN181-INDEX(tab_MinKomp[KAMIENIE MILOWE MSL/PIFF],MATCH($B181,tab_MinKomp[[Stanowisko / Position ]:[Stanowisko / Position ]],0)))</f>
        <v>n/a</v>
      </c>
      <c r="AO182" s="349" t="str">
        <f>IF(INDEX(tab_MinKomp[CP],MATCH($B181,tab_MinKomp[[Stanowisko / Position ]:[Stanowisko / Position ]],0))="n/a","n/a",AO181-INDEX(tab_MinKomp[CP],MATCH($B181,tab_MinKomp[[Stanowisko / Position ]:[Stanowisko / Position ]],0)))</f>
        <v>n/a</v>
      </c>
      <c r="AP182" s="349" t="str">
        <f>IF(INDEX(tab_MinKomp[FMEA],MATCH($B181,tab_MinKomp[[Stanowisko / Position ]:[Stanowisko / Position ]],0))="n/a","n/a",AP181-INDEX(tab_MinKomp[FMEA],MATCH($B181,tab_MinKomp[[Stanowisko / Position ]:[Stanowisko / Position ]],0)))</f>
        <v>n/a</v>
      </c>
      <c r="AQ182" s="349" t="str">
        <f>IF(INDEX(tab_MinKomp[FLOW CHART],MATCH($B181,tab_MinKomp[[Stanowisko / Position ]:[Stanowisko / Position ]],0))="n/a","n/a",AQ181-INDEX(tab_MinKomp[FLOW CHART],MATCH($B181,tab_MinKomp[[Stanowisko / Position ]:[Stanowisko / Position ]],0)))</f>
        <v>n/a</v>
      </c>
      <c r="AR182" s="349" t="str">
        <f>IF(INDEX(tab_MinKomp[APQP],MATCH($B181,tab_MinKomp[[Stanowisko / Position ]:[Stanowisko / Position ]],0))="n/a","n/a",AR181-INDEX(tab_MinKomp[APQP],MATCH($B181,tab_MinKomp[[Stanowisko / Position ]:[Stanowisko / Position ]],0)))</f>
        <v>n/a</v>
      </c>
      <c r="AS182" s="349" t="str">
        <f>IF(INDEX(tab_MinKomp[MSA],MATCH($B181,tab_MinKomp[[Stanowisko / Position ]:[Stanowisko / Position ]],0))="n/a","n/a",AS181-INDEX(tab_MinKomp[MSA],MATCH($B181,tab_MinKomp[[Stanowisko / Position ]:[Stanowisko / Position ]],0)))</f>
        <v>n/a</v>
      </c>
      <c r="AT182" s="349" t="str">
        <f>IF(INDEX(tab_MinKomp[SPC],MATCH($B181,tab_MinKomp[[Stanowisko / Position ]:[Stanowisko / Position ]],0))="n/a","n/a",AT181-INDEX(tab_MinKomp[SPC],MATCH($B181,tab_MinKomp[[Stanowisko / Position ]:[Stanowisko / Position ]],0)))</f>
        <v>n/a</v>
      </c>
      <c r="AU182" s="349" t="str">
        <f>IF(INDEX(tab_MinKomp[CSR (SPECYFICZNE WYMAGANIA KLIENTA)],MATCH($B181,tab_MinKomp[[Stanowisko / Position ]:[Stanowisko / Position ]],0))="n/a","n/a",AU181-INDEX(tab_MinKomp[CSR (SPECYFICZNE WYMAGANIA KLIENTA)],MATCH($B181,tab_MinKomp[[Stanowisko / Position ]:[Stanowisko / Position ]],0)))</f>
        <v>n/a</v>
      </c>
      <c r="AV182" s="349">
        <f>IF(INDEX(tab_MinKomp[5S],MATCH($B181,tab_MinKomp[[Stanowisko / Position ]:[Stanowisko / Position ]],0))="n/a","n/a",AV181-INDEX(tab_MinKomp[5S],MATCH($B181,tab_MinKomp[[Stanowisko / Position ]:[Stanowisko / Position ]],0)))</f>
        <v>0</v>
      </c>
      <c r="AW182" s="349">
        <f>IF(INDEX(tab_MinKomp[LEAN MANAGEMENT],MATCH($B181,tab_MinKomp[[Stanowisko / Position ]:[Stanowisko / Position ]],0))="n/a","n/a",AW181-INDEX(tab_MinKomp[LEAN MANAGEMENT],MATCH($B181,tab_MinKomp[[Stanowisko / Position ]:[Stanowisko / Position ]],0)))</f>
        <v>-1</v>
      </c>
      <c r="AX182" s="349">
        <f>IF(INDEX(tab_MinKomp[5R],MATCH($B181,tab_MinKomp[[Stanowisko / Position ]:[Stanowisko / Position ]],0))="n/a","n/a",AX181-INDEX(tab_MinKomp[5R],MATCH($B181,tab_MinKomp[[Stanowisko / Position ]:[Stanowisko / Position ]],0)))</f>
        <v>-1</v>
      </c>
      <c r="AY182" s="349" t="str">
        <f>IF(INDEX(tab_MinKomp[Six Sigma],MATCH($B181,tab_MinKomp[[Stanowisko / Position ]:[Stanowisko / Position ]],0))="n/a","n/a",AY181-INDEX(tab_MinKomp[Six Sigma],MATCH($B181,tab_MinKomp[[Stanowisko / Position ]:[Stanowisko / Position ]],0)))</f>
        <v>n/a</v>
      </c>
      <c r="AZ182" s="349" t="str">
        <f>IF(INDEX(tab_MinKomp[System BAAN / Distribution &amp; Supply Chain],MATCH($B181,tab_MinKomp[[Stanowisko / Position ]:[Stanowisko / Position ]],0))="n/a","n/a",AZ181-INDEX(tab_MinKomp[System BAAN / Distribution &amp; Supply Chain],MATCH($B181,tab_MinKomp[[Stanowisko / Position ]:[Stanowisko / Position ]],0)))</f>
        <v>n/a</v>
      </c>
      <c r="BA182" s="349" t="str">
        <f>IF(INDEX(tab_MinKomp[Gospodarka magazynowa / Lagerverwaltung],MATCH($B181,tab_MinKomp[[Stanowisko / Position ]:[Stanowisko / Position ]],0))="n/a","n/a",BA181-INDEX(tab_MinKomp[Gospodarka magazynowa / Lagerverwaltung],MATCH($B181,tab_MinKomp[[Stanowisko / Position ]:[Stanowisko / Position ]],0)))</f>
        <v>n/a</v>
      </c>
      <c r="BB182" s="349" t="str">
        <f>IF(INDEX(tab_MinKomp[Inwentaryzacja - organizacja i przebieg / Inventurprozess],MATCH($B181,tab_MinKomp[[Stanowisko / Position ]:[Stanowisko / Position ]],0))="n/a","n/a",BB181-INDEX(tab_MinKomp[Inwentaryzacja - organizacja i przebieg / Inventurprozess],MATCH($B181,tab_MinKomp[[Stanowisko / Position ]:[Stanowisko / Position ]],0)))</f>
        <v>n/a</v>
      </c>
      <c r="BC182" s="349" t="str">
        <f>IF(INDEX(tab_MinKomp[Organizacja dostaw / Versorgungsorganisation],MATCH($B181,tab_MinKomp[[Stanowisko / Position ]:[Stanowisko / Position ]],0))="n/a","n/a",BC181-INDEX(tab_MinKomp[Organizacja dostaw / Versorgungsorganisation],MATCH($B181,tab_MinKomp[[Stanowisko / Position ]:[Stanowisko / Position ]],0)))</f>
        <v>n/a</v>
      </c>
      <c r="BD182" s="349" t="str">
        <f>IF(INDEX(tab_MinKomp[Organizacja wysyłek / Organisation von Lieferungen],MATCH($B181,tab_MinKomp[[Stanowisko / Position ]:[Stanowisko / Position ]],0))="n/a","n/a",BD181-INDEX(tab_MinKomp[Organizacja wysyłek / Organisation von Lieferungen],MATCH($B181,tab_MinKomp[[Stanowisko / Position ]:[Stanowisko / Position ]],0)))</f>
        <v>n/a</v>
      </c>
      <c r="BE182" s="349" t="str">
        <f>IF(INDEX(tab_MinKomp[Analiza magazynowa - Program Polen.mdb / Inventuranalyse],MATCH($B181,tab_MinKomp[[Stanowisko / Position ]:[Stanowisko / Position ]],0))="n/a","n/a",BE181-INDEX(tab_MinKomp[Analiza magazynowa - Program Polen.mdb / Inventuranalyse],MATCH($B181,tab_MinKomp[[Stanowisko / Position ]:[Stanowisko / Position ]],0)))</f>
        <v>n/a</v>
      </c>
      <c r="BF182" s="349" t="str">
        <f>IF(INDEX(tab_MinKomp[MMOG (Materials Management Operations Guidelines)],MATCH($B181,tab_MinKomp[[Stanowisko / Position ]:[Stanowisko / Position ]],0))="n/a","n/a",BF181-INDEX(tab_MinKomp[MMOG (Materials Management Operations Guidelines)],MATCH($B181,tab_MinKomp[[Stanowisko / Position ]:[Stanowisko / Position ]],0)))</f>
        <v>n/a</v>
      </c>
      <c r="BG182" s="349" t="str">
        <f>IF(INDEX(tab_MinKomp[DETC],MATCH($B181,tab_MinKomp[[Stanowisko / Position ]:[Stanowisko / Position ]],0))="n/a","n/a",BG181-INDEX(tab_MinKomp[DETC],MATCH($B181,tab_MinKomp[[Stanowisko / Position ]:[Stanowisko / Position ]],0)))</f>
        <v>n/a</v>
      </c>
      <c r="BH182" s="349" t="str">
        <f>IF(INDEX(tab_MinKomp[GPP],MATCH($B181,tab_MinKomp[[Stanowisko / Position ]:[Stanowisko / Position ]],0))="n/a","n/a",BH181-INDEX(tab_MinKomp[GPP],MATCH($B181,tab_MinKomp[[Stanowisko / Position ]:[Stanowisko / Position ]],0)))</f>
        <v>n/a</v>
      </c>
      <c r="BI182" s="349" t="str">
        <f>IF(INDEX(tab_MinKomp[AIAG (Automotive Industry Action Group)],MATCH($B181,tab_MinKomp[[Stanowisko / Position ]:[Stanowisko / Position ]],0))="n/a","n/a",BI181-INDEX(tab_MinKomp[AIAG (Automotive Industry Action Group)],MATCH($B181,tab_MinKomp[[Stanowisko / Position ]:[Stanowisko / Position ]],0)))</f>
        <v>n/a</v>
      </c>
      <c r="BJ182" s="349" t="str">
        <f>IF(INDEX(tab_MinKomp[Super-G disputes],MATCH($B181,tab_MinKomp[[Stanowisko / Position ]:[Stanowisko / Position ]],0))="n/a","n/a",BJ181-INDEX(tab_MinKomp[Super-G disputes],MATCH($B181,tab_MinKomp[[Stanowisko / Position ]:[Stanowisko / Position ]],0)))</f>
        <v>n/a</v>
      </c>
      <c r="BK182" s="349" t="str">
        <f>IF(INDEX(tab_MinKomp[CMMS3/eDDL (Direct Data Link)],MATCH($B181,tab_MinKomp[[Stanowisko / Position ]:[Stanowisko / Position ]],0))="n/a","n/a",BK181-INDEX(tab_MinKomp[CMMS3/eDDL (Direct Data Link)],MATCH($B181,tab_MinKomp[[Stanowisko / Position ]:[Stanowisko / Position ]],0)))</f>
        <v>n/a</v>
      </c>
      <c r="BL182" s="349" t="str">
        <f>IF(INDEX(tab_MinKomp[MP&amp;L (Material Planning and Logistics)],MATCH($B181,tab_MinKomp[[Stanowisko / Position ]:[Stanowisko / Position ]],0))="n/a","n/a",BL181-INDEX(tab_MinKomp[MP&amp;L (Material Planning and Logistics)],MATCH($B181,tab_MinKomp[[Stanowisko / Position ]:[Stanowisko / Position ]],0)))</f>
        <v>n/a</v>
      </c>
      <c r="BM182" s="349" t="str">
        <f>IF(INDEX(tab_MinKomp[Planowanie produkcji / Produktionsplanung],MATCH($B181,tab_MinKomp[[Stanowisko / Position ]:[Stanowisko / Position ]],0))="n/a","n/a",BM181-INDEX(tab_MinKomp[Planowanie produkcji / Produktionsplanung],MATCH($B181,tab_MinKomp[[Stanowisko / Position ]:[Stanowisko / Position ]],0)))</f>
        <v>n/a</v>
      </c>
      <c r="BN182" s="349">
        <f>IF(INDEX(tab_MinKomp[Obsługa maszyn Engel / Engel Maschinenbedienung],MATCH($B181,tab_MinKomp[[Stanowisko / Position ]:[Stanowisko / Position ]],0))="n/a","n/a",BN181-INDEX(tab_MinKomp[Obsługa maszyn Engel / Engel Maschinenbedienung],MATCH($B181,tab_MinKomp[[Stanowisko / Position ]:[Stanowisko / Position ]],0)))</f>
        <v>-1</v>
      </c>
      <c r="BO182" s="349">
        <f>IF(INDEX(tab_MinKomp[Obsługa maszyn Novapax / Novapax Maschinenbedienung],MATCH($B181,tab_MinKomp[[Stanowisko / Position ]:[Stanowisko / Position ]],0))="n/a","n/a",BO181-INDEX(tab_MinKomp[Obsługa maszyn Novapax / Novapax Maschinenbedienung],MATCH($B181,tab_MinKomp[[Stanowisko / Position ]:[Stanowisko / Position ]],0)))</f>
        <v>0</v>
      </c>
      <c r="BP182" s="349">
        <f>IF(INDEX(tab_MinKomp[Obsługa maszyn KVT / KVT Maschinenbedienung],MATCH($B181,tab_MinKomp[[Stanowisko / Position ]:[Stanowisko / Position ]],0))="n/a","n/a",BP181-INDEX(tab_MinKomp[Obsługa maszyn KVT / KVT Maschinenbedienung],MATCH($B181,tab_MinKomp[[Stanowisko / Position ]:[Stanowisko / Position ]],0)))</f>
        <v>0</v>
      </c>
      <c r="BQ182" s="349">
        <f>IF(INDEX(tab_MinKomp[Obsługa maszyn ASL / ASL Maschinenbedienung],MATCH($B181,tab_MinKomp[[Stanowisko / Position ]:[Stanowisko / Position ]],0))="n/a","n/a",BQ181-INDEX(tab_MinKomp[Obsługa maszyn ASL / ASL Maschinenbedienung],MATCH($B181,tab_MinKomp[[Stanowisko / Position ]:[Stanowisko / Position ]],0)))</f>
        <v>0</v>
      </c>
      <c r="BR182" s="349">
        <f>IF(INDEX(tab_MinKomp[Obsługa maszyn Branson / Branson Maschinenbedienung],MATCH($B181,tab_MinKomp[[Stanowisko / Position ]:[Stanowisko / Position ]],0))="n/a","n/a",BR181-INDEX(tab_MinKomp[Obsługa maszyn Branson / Branson Maschinenbedienung],MATCH($B181,tab_MinKomp[[Stanowisko / Position ]:[Stanowisko / Position ]],0)))</f>
        <v>0</v>
      </c>
      <c r="BS182" s="349">
        <f>IF(INDEX(tab_MinKomp[Obsługa maszyn Kamtec / Kamtec Maschinenbedienung],MATCH($B181,tab_MinKomp[[Stanowisko / Position ]:[Stanowisko / Position ]],0))="n/a","n/a",BS181-INDEX(tab_MinKomp[Obsługa maszyn Kamtec / Kamtec Maschinenbedienung],MATCH($B181,tab_MinKomp[[Stanowisko / Position ]:[Stanowisko / Position ]],0)))</f>
        <v>0</v>
      </c>
      <c r="BT182" s="349">
        <f>IF(INDEX(tab_MinKomp[Obsługa maszyn Piovan / Piovan Maschinenbedienung],MATCH($B181,tab_MinKomp[[Stanowisko / Position ]:[Stanowisko / Position ]],0))="n/a","n/a",BT181-INDEX(tab_MinKomp[Obsługa maszyn Piovan / Piovan Maschinenbedienung],MATCH($B181,tab_MinKomp[[Stanowisko / Position ]:[Stanowisko / Position ]],0)))</f>
        <v>0</v>
      </c>
      <c r="BU182" s="349">
        <f>IF(INDEX(tab_MinKomp[Obsługa maszyn REP / REP Maschinenbedienung],MATCH($B181,tab_MinKomp[[Stanowisko / Position ]:[Stanowisko / Position ]],0))="n/a","n/a",BU181-INDEX(tab_MinKomp[Obsługa maszyn REP / REP Maschinenbedienung],MATCH($B181,tab_MinKomp[[Stanowisko / Position ]:[Stanowisko / Position ]],0)))</f>
        <v>0</v>
      </c>
      <c r="BV182" s="349">
        <f>IF(INDEX(tab_MinKomp[Eliminacja awarii / Beseitigung von Ausfällen],MATCH($B181,tab_MinKomp[[Stanowisko / Position ]:[Stanowisko / Position ]],0))="n/a","n/a",BV181-INDEX(tab_MinKomp[Eliminacja awarii / Beseitigung von Ausfällen],MATCH($B181,tab_MinKomp[[Stanowisko / Position ]:[Stanowisko / Position ]],0)))</f>
        <v>-1</v>
      </c>
      <c r="BW182" s="349" t="str">
        <f>IF(INDEX(tab_MinKomp[Informatyka ogólna (techniczne i systemowe) / Allgemeine IT (Technik und System)],MATCH($B181,tab_MinKomp[[Stanowisko / Position ]:[Stanowisko / Position ]],0))="n/a","n/a",BW181-INDEX(tab_MinKomp[Informatyka ogólna (techniczne i systemowe) / Allgemeine IT (Technik und System)],MATCH($B181,tab_MinKomp[[Stanowisko / Position ]:[Stanowisko / Position ]],0)))</f>
        <v>n/a</v>
      </c>
      <c r="BX182" s="349" t="str">
        <f>IF(INDEX(tab_MinKomp[Sieci komputerowe / Computernetzwerke],MATCH($B181,tab_MinKomp[[Stanowisko / Position ]:[Stanowisko / Position ]],0))="n/a","n/a",BX181-INDEX(tab_MinKomp[Sieci komputerowe / Computernetzwerke],MATCH($B181,tab_MinKomp[[Stanowisko / Position ]:[Stanowisko / Position ]],0)))</f>
        <v>n/a</v>
      </c>
      <c r="BY182" s="349" t="str">
        <f>IF(INDEX(tab_MinKomp[Hardware (komputery PC, drukarki biurowe i etykietowe, telefonia stacjonarna i mobilna) (PC, Drucker, Telefpne, Handys)],MATCH($B181,tab_MinKomp[[Stanowisko / Position ]:[Stanowisko / Position ]],0))="n/a","n/a",BY181-INDEX(tab_MinKomp[Hardware (komputery PC, drukarki biurowe i etykietowe, telefonia stacjonarna i mobilna) (PC, Drucker, Telefpne, Handys)],MATCH($B181,tab_MinKomp[[Stanowisko / Position ]:[Stanowisko / Position ]],0)))</f>
        <v>n/a</v>
      </c>
      <c r="BZ182" s="349" t="str">
        <f>IF(INDEX(tab_MinKomp[Software &amp; Systems (MS Office, MS Remote Desktop)],MATCH($B181,tab_MinKomp[[Stanowisko / Position ]:[Stanowisko / Position ]],0))="n/a","n/a",BZ181-INDEX(tab_MinKomp[Software &amp; Systems (MS Office, MS Remote Desktop)],MATCH($B181,tab_MinKomp[[Stanowisko / Position ]:[Stanowisko / Position ]],0)))</f>
        <v>n/a</v>
      </c>
      <c r="CA182" s="349" t="str">
        <f>IF(INDEX(tab_MinKomp[Programowanie obiektowe (PHP) / Objektprogrammierung],MATCH($B181,tab_MinKomp[[Stanowisko / Position ]:[Stanowisko / Position ]],0))="n/a","n/a",CA181-INDEX(tab_MinKomp[Programowanie obiektowe (PHP) / Objektprogrammierung],MATCH($B181,tab_MinKomp[[Stanowisko / Position ]:[Stanowisko / Position ]],0)))</f>
        <v>n/a</v>
      </c>
      <c r="CB182" s="349" t="str">
        <f>IF(INDEX(tab_MinKomp[Scrum],MATCH($B181,tab_MinKomp[[Stanowisko / Position ]:[Stanowisko / Position ]],0))="n/a","n/a",CB181-INDEX(tab_MinKomp[Scrum],MATCH($B181,tab_MinKomp[[Stanowisko / Position ]:[Stanowisko / Position ]],0)))</f>
        <v>n/a</v>
      </c>
      <c r="CC182" s="349" t="str">
        <f>IF(INDEX(tab_MinKomp[SQL (MySQL)],MATCH($B181,tab_MinKomp[[Stanowisko / Position ]:[Stanowisko / Position ]],0))="n/a","n/a",CC181-INDEX(tab_MinKomp[SQL (MySQL)],MATCH($B181,tab_MinKomp[[Stanowisko / Position ]:[Stanowisko / Position ]],0)))</f>
        <v>n/a</v>
      </c>
      <c r="CD182" s="349" t="str">
        <f>IF(INDEX(tab_MinKomp[Javascript],MATCH($B181,tab_MinKomp[[Stanowisko / Position ]:[Stanowisko / Position ]],0))="n/a","n/a",CD181-INDEX(tab_MinKomp[Javascript],MATCH($B181,tab_MinKomp[[Stanowisko / Position ]:[Stanowisko / Position ]],0)))</f>
        <v>n/a</v>
      </c>
      <c r="CE182" s="349" t="str">
        <f>IF(INDEX(tab_MinKomp[Joomla],MATCH($B181,tab_MinKomp[[Stanowisko / Position ]:[Stanowisko / Position ]],0))="n/a","n/a",CE181-INDEX(tab_MinKomp[Joomla],MATCH($B181,tab_MinKomp[[Stanowisko / Position ]:[Stanowisko / Position ]],0)))</f>
        <v>n/a</v>
      </c>
      <c r="CF182" s="349" t="str">
        <f>IF(INDEX(tab_MinKomp[Bash],MATCH($B181,tab_MinKomp[[Stanowisko / Position ]:[Stanowisko / Position ]],0))="n/a","n/a",CF181-INDEX(tab_MinKomp[Bash],MATCH($B181,tab_MinKomp[[Stanowisko / Position ]:[Stanowisko / Position ]],0)))</f>
        <v>n/a</v>
      </c>
      <c r="CG182" s="349" t="str">
        <f>IF(INDEX(tab_MinKomp[Systemy MES (HYDRA / SFMS)],MATCH($B181,tab_MinKomp[[Stanowisko / Position ]:[Stanowisko / Position ]],0))="n/a","n/a",CG181-INDEX(tab_MinKomp[Systemy MES (HYDRA / SFMS)],MATCH($B181,tab_MinKomp[[Stanowisko / Position ]:[Stanowisko / Position ]],0)))</f>
        <v>n/a</v>
      </c>
      <c r="CH182" s="349" t="str">
        <f>IF(INDEX(tab_MinKomp[HTML / CSS],MATCH($B181,tab_MinKomp[[Stanowisko / Position ]:[Stanowisko / Position ]],0))="n/a","n/a",CH181-INDEX(tab_MinKomp[HTML / CSS],MATCH($B181,tab_MinKomp[[Stanowisko / Position ]:[Stanowisko / Position ]],0)))</f>
        <v>n/a</v>
      </c>
      <c r="CI182" s="349" t="str">
        <f>IF(INDEX(tab_MinKomp[SYSTEM PR],MATCH($B181,tab_MinKomp[[Stanowisko / Position ]:[Stanowisko / Position ]],0))="n/a","n/a",CI181-INDEX(tab_MinKomp[SYSTEM PR],MATCH($B181,tab_MinKomp[[Stanowisko / Position ]:[Stanowisko / Position ]],0)))</f>
        <v>n/a</v>
      </c>
      <c r="CJ182" s="349" t="str">
        <f>IF(INDEX(tab_MinKomp[System Einkauf XP / EBA],MATCH($B181,tab_MinKomp[[Stanowisko / Position ]:[Stanowisko / Position ]],0))="n/a","n/a",CJ181-INDEX(tab_MinKomp[System Einkauf XP / EBA],MATCH($B181,tab_MinKomp[[Stanowisko / Position ]:[Stanowisko / Position ]],0)))</f>
        <v>n/a</v>
      </c>
      <c r="CK182" s="349" t="str">
        <f>IF(INDEX(tab_MinKomp[Techniki negocjacyjne / Verhandlungstechniken],MATCH($B181,tab_MinKomp[[Stanowisko / Position ]:[Stanowisko / Position ]],0))="n/a","n/a",CK181-INDEX(tab_MinKomp[Techniki negocjacyjne / Verhandlungstechniken],MATCH($B181,tab_MinKomp[[Stanowisko / Position ]:[Stanowisko / Position ]],0)))</f>
        <v>n/a</v>
      </c>
      <c r="CL182" s="349" t="str">
        <f>IF(INDEX(tab_MinKomp[Znajomość rynku branżowego / Kenntnis des Industrie Marktes],MATCH($B181,tab_MinKomp[[Stanowisko / Position ]:[Stanowisko / Position ]],0))="n/a","n/a",CL181-INDEX(tab_MinKomp[Znajomość rynku branżowego / Kenntnis des Industrie Marktes],MATCH($B181,tab_MinKomp[[Stanowisko / Position ]:[Stanowisko / Position ]],0)))</f>
        <v>n/a</v>
      </c>
      <c r="CM182" s="349" t="str">
        <f>IF(INDEX(tab_MinKomp[RAPORTY 8D / 8D Berichten],MATCH($B181,tab_MinKomp[[Stanowisko / Position ]:[Stanowisko / Position ]],0))="n/a","n/a",CM181-INDEX(tab_MinKomp[RAPORTY 8D / 8D Berichten],MATCH($B181,tab_MinKomp[[Stanowisko / Position ]:[Stanowisko / Position ]],0)))</f>
        <v>n/a</v>
      </c>
      <c r="CN182" s="349">
        <f>IF(INDEX(tab_MinKomp[NARZĘDZIA JAKOŚCIOWE (5WHY, Ishikawa, etc) / QS-Werkzeuge],MATCH($B181,tab_MinKomp[[Stanowisko / Position ]:[Stanowisko / Position ]],0))="n/a","n/a",CN181-INDEX(tab_MinKomp[NARZĘDZIA JAKOŚCIOWE (5WHY, Ishikawa, etc) / QS-Werkzeuge],MATCH($B181,tab_MinKomp[[Stanowisko / Position ]:[Stanowisko / Position ]],0)))</f>
        <v>-2</v>
      </c>
      <c r="CO182" s="349">
        <f>IF(INDEX(tab_MinKomp[PDCA],MATCH($B181,tab_MinKomp[[Stanowisko / Position ]:[Stanowisko / Position ]],0))="n/a","n/a",CO181-INDEX(tab_MinKomp[PDCA],MATCH($B181,tab_MinKomp[[Stanowisko / Position ]:[Stanowisko / Position ]],0)))</f>
        <v>-2</v>
      </c>
      <c r="CP182" s="349">
        <f>IF(INDEX(tab_MinKomp[Pareto],MATCH($B181,tab_MinKomp[[Stanowisko / Position ]:[Stanowisko / Position ]],0))="n/a","n/a",CP181-INDEX(tab_MinKomp[Pareto],MATCH($B181,tab_MinKomp[[Stanowisko / Position ]:[Stanowisko / Position ]],0)))</f>
        <v>-2</v>
      </c>
      <c r="CQ182" s="349" t="str">
        <f>IF(INDEX(tab_MinKomp[PPAP/PSW],MATCH($B181,tab_MinKomp[[Stanowisko / Position ]:[Stanowisko / Position ]],0))="n/a","n/a",CQ181-INDEX(tab_MinKomp[PPAP/PSW],MATCH($B181,tab_MinKomp[[Stanowisko / Position ]:[Stanowisko / Position ]],0)))</f>
        <v>n/a</v>
      </c>
      <c r="CR182" s="349" t="str">
        <f>IF(INDEX(tab_MinKomp[SUPPLIER MANAGEMENT],MATCH($B181,tab_MinKomp[[Stanowisko / Position ]:[Stanowisko / Position ]],0))="n/a","n/a",CR181-INDEX(tab_MinKomp[SUPPLIER MANAGEMENT],MATCH($B181,tab_MinKomp[[Stanowisko / Position ]:[Stanowisko / Position ]],0)))</f>
        <v>n/a</v>
      </c>
      <c r="CS182" s="349" t="str">
        <f>IF(INDEX(tab_MinKomp[OBSŁUGA PORTALI KLIENTA / Kundenportale],MATCH($B181,tab_MinKomp[[Stanowisko / Position ]:[Stanowisko / Position ]],0))="n/a","n/a",CS181-INDEX(tab_MinKomp[OBSŁUGA PORTALI KLIENTA / Kundenportale],MATCH($B181,tab_MinKomp[[Stanowisko / Position ]:[Stanowisko / Position ]],0)))</f>
        <v>n/a</v>
      </c>
      <c r="CT182" s="349" t="str">
        <f>IF(INDEX(tab_MinKomp[Obsługa systemu BABTECQ / BABTECQ System],MATCH($B181,tab_MinKomp[[Stanowisko / Position ]:[Stanowisko / Position ]],0))="n/a","n/a",CT181-INDEX(tab_MinKomp[Obsługa systemu BABTECQ / BABTECQ System],MATCH($B181,tab_MinKomp[[Stanowisko / Position ]:[Stanowisko / Position ]],0)))</f>
        <v>n/a</v>
      </c>
      <c r="CU182" s="349">
        <f>IF(INDEX(tab_MinKomp[Rysunek techniczny / technische Zeichnung],MATCH($B181,tab_MinKomp[[Stanowisko / Position ]:[Stanowisko / Position ]],0))="n/a","n/a",CU181-INDEX(tab_MinKomp[Rysunek techniczny / technische Zeichnung],MATCH($B181,tab_MinKomp[[Stanowisko / Position ]:[Stanowisko / Position ]],0)))</f>
        <v>-1</v>
      </c>
      <c r="CV182" s="349" t="str">
        <f>IF(INDEX(tab_MinKomp[Kalibracja / Kalibrierung],MATCH($B181,tab_MinKomp[[Stanowisko / Position ]:[Stanowisko / Position ]],0))="n/a","n/a",CV181-INDEX(tab_MinKomp[Kalibracja / Kalibrierung],MATCH($B181,tab_MinKomp[[Stanowisko / Position ]:[Stanowisko / Position ]],0)))</f>
        <v>n/a</v>
      </c>
      <c r="CW182" s="349" t="str">
        <f>IF(INDEX(tab_MinKomp[Rekwalifikacja / Requalifizierung],MATCH($B181,tab_MinKomp[[Stanowisko / Position ]:[Stanowisko / Position ]],0))="n/a","n/a",CW181-INDEX(tab_MinKomp[Rekwalifikacja / Requalifizierung],MATCH($B181,tab_MinKomp[[Stanowisko / Position ]:[Stanowisko / Position ]],0)))</f>
        <v>n/a</v>
      </c>
      <c r="CX182" s="349" t="str">
        <f>IF(INDEX(tab_MinKomp[Obsługa mikroskopu optycznego / Bedienung eines optischen Mikroskops],MATCH($B181,tab_MinKomp[[Stanowisko / Position ]:[Stanowisko / Position ]],0))="n/a","n/a",CX181-INDEX(tab_MinKomp[Obsługa mikroskopu optycznego / Bedienung eines optischen Mikroskops],MATCH($B181,tab_MinKomp[[Stanowisko / Position ]:[Stanowisko / Position ]],0)))</f>
        <v>n/a</v>
      </c>
      <c r="CY182" s="349" t="str">
        <f>IF(INDEX(tab_MinKomp[Wykonywanie pomiarów optycznych - ocena wizualna / Optische Messungen durchführen – visuelle Beurteilung],MATCH($B181,tab_MinKomp[[Stanowisko / Position ]:[Stanowisko / Position ]],0))="n/a","n/a",CY181-INDEX(tab_MinKomp[Wykonywanie pomiarów optycznych - ocena wizualna / Optische Messungen durchführen – visuelle Beurteilung],MATCH($B181,tab_MinKomp[[Stanowisko / Position ]:[Stanowisko / Position ]],0)))</f>
        <v>n/a</v>
      </c>
      <c r="CZ182" s="349" t="str">
        <f>IF(INDEX(tab_MinKomp[Obsługa Rheometra / Rheometra-Unterstützung],MATCH($B181,tab_MinKomp[[Stanowisko / Position ]:[Stanowisko / Position ]],0))="n/a","n/a",CZ181-INDEX(tab_MinKomp[Obsługa Rheometra / Rheometra-Unterstützung],MATCH($B181,tab_MinKomp[[Stanowisko / Position ]:[Stanowisko / Position ]],0)))</f>
        <v>n/a</v>
      </c>
      <c r="DA182" s="349" t="str">
        <f>IF(INDEX(tab_MinKomp[Testy właściwości Rheometra mieszanki gumy],MATCH($B181,tab_MinKomp[[Stanowisko / Position ]:[Stanowisko / Position ]],0))="n/a","n/a",DA181-INDEX(tab_MinKomp[Testy właściwości Rheometra mieszanki gumy],MATCH($B181,tab_MinKomp[[Stanowisko / Position ]:[Stanowisko / Position ]],0)))</f>
        <v>n/a</v>
      </c>
      <c r="DB182" s="349" t="str">
        <f>IF(INDEX(tab_MinKomp[CMM - Contura Zeiss],MATCH($B181,tab_MinKomp[[Stanowisko / Position ]:[Stanowisko / Position ]],0))="n/a","n/a",DB181-INDEX(tab_MinKomp[CMM - Contura Zeiss],MATCH($B181,tab_MinKomp[[Stanowisko / Position ]:[Stanowisko / Position ]],0)))</f>
        <v>n/a</v>
      </c>
      <c r="DC182" s="349" t="str">
        <f>IF(INDEX(tab_MinKomp[Wykonywanie precyzyjnych pomiarów metrycznych, pomiary 3D],MATCH($B181,tab_MinKomp[[Stanowisko / Position ]:[Stanowisko / Position ]],0))="n/a","n/a",DC181-INDEX(tab_MinKomp[Wykonywanie precyzyjnych pomiarów metrycznych, pomiary 3D],MATCH($B181,tab_MinKomp[[Stanowisko / Position ]:[Stanowisko / Position ]],0)))</f>
        <v>n/a</v>
      </c>
      <c r="DD182" s="349" t="str">
        <f>IF(INDEX(tab_MinKomp[Pisanie programów / Programme schreiben],MATCH($B181,tab_MinKomp[[Stanowisko / Position ]:[Stanowisko / Position ]],0))="n/a","n/a",DD181-INDEX(tab_MinKomp[Pisanie programów / Programme schreiben],MATCH($B181,tab_MinKomp[[Stanowisko / Position ]:[Stanowisko / Position ]],0)))</f>
        <v>n/a</v>
      </c>
      <c r="DE182" s="349" t="str">
        <f>IF(INDEX(tab_MinKomp[Obsługa wyposażenia do testów czystości (myjka + analizator) / Betrieb von Sauberkeitsprüfgeräten (Waschmaschine + Analysegerät)],MATCH($B181,tab_MinKomp[[Stanowisko / Position ]:[Stanowisko / Position ]],0))="n/a","n/a",DE181-INDEX(tab_MinKomp[Obsługa wyposażenia do testów czystości (myjka + analizator) / Betrieb von Sauberkeitsprüfgeräten (Waschmaschine + Analysegerät)],MATCH($B181,tab_MinKomp[[Stanowisko / Position ]:[Stanowisko / Position ]],0)))</f>
        <v>n/a</v>
      </c>
      <c r="DF182" s="349" t="str">
        <f>IF(INDEX(tab_MinKomp[Testy czystości / Reinheitstests],MATCH($B181,tab_MinKomp[[Stanowisko / Position ]:[Stanowisko / Position ]],0))="n/a","n/a",DF181-INDEX(tab_MinKomp[Testy czystości / Reinheitstests],MATCH($B181,tab_MinKomp[[Stanowisko / Position ]:[Stanowisko / Position ]],0)))</f>
        <v>n/a</v>
      </c>
      <c r="DG182" s="349" t="str">
        <f>IF(INDEX(tab_MinKomp[Obsługa wysokościomierza / Unterstützung für Höhenmesser],MATCH($B181,tab_MinKomp[[Stanowisko / Position ]:[Stanowisko / Position ]],0))="n/a","n/a",DG181-INDEX(tab_MinKomp[Obsługa wysokościomierza / Unterstützung für Höhenmesser],MATCH($B181,tab_MinKomp[[Stanowisko / Position ]:[Stanowisko / Position ]],0)))</f>
        <v>n/a</v>
      </c>
      <c r="DH182" s="349" t="str">
        <f>IF(INDEX(tab_MinKomp[Pomiary wysokości materiału / Materialhöhenmessungen],MATCH($B181,tab_MinKomp[[Stanowisko / Position ]:[Stanowisko / Position ]],0))="n/a","n/a",DH181-INDEX(tab_MinKomp[Pomiary wysokości materiału / Materialhöhenmessungen],MATCH($B181,tab_MinKomp[[Stanowisko / Position ]:[Stanowisko / Position ]],0)))</f>
        <v>n/a</v>
      </c>
      <c r="DI182" s="349" t="str">
        <f>IF(INDEX(tab_MinKomp[Obsługa okrągłościomierza / Unterstützung für Rundheitsmessgeräte],MATCH($B181,tab_MinKomp[[Stanowisko / Position ]:[Stanowisko / Position ]],0))="n/a","n/a",DI181-INDEX(tab_MinKomp[Obsługa okrągłościomierza / Unterstützung für Rundheitsmessgeräte],MATCH($B181,tab_MinKomp[[Stanowisko / Position ]:[Stanowisko / Position ]],0)))</f>
        <v>n/a</v>
      </c>
      <c r="DJ182" s="349" t="str">
        <f>IF(INDEX(tab_MinKomp[Wykonywania pomiarów owalności, srednicy materiału / Messung der Ovalität und des Durchmessers des Materials],MATCH($B181,tab_MinKomp[[Stanowisko / Position ]:[Stanowisko / Position ]],0))="n/a","n/a",DJ181-INDEX(tab_MinKomp[Wykonywania pomiarów owalności, srednicy materiału / Messung der Ovalität und des Durchmessers des Materials],MATCH($B181,tab_MinKomp[[Stanowisko / Position ]:[Stanowisko / Position ]],0)))</f>
        <v>n/a</v>
      </c>
      <c r="DK182" s="349" t="str">
        <f>IF(INDEX(tab_MinKomp[Obsługa urządzenia do pomiarów chropowoatości powierzchni materiału],MATCH($B181,tab_MinKomp[[Stanowisko / Position ]:[Stanowisko / Position ]],0))="n/a","n/a",DK181-INDEX(tab_MinKomp[Obsługa urządzenia do pomiarów chropowoatości powierzchni materiału],MATCH($B181,tab_MinKomp[[Stanowisko / Position ]:[Stanowisko / Position ]],0)))</f>
        <v>n/a</v>
      </c>
      <c r="DL182" s="349" t="str">
        <f>IF(INDEX(tab_MinKomp[Wykonywanie pomiarów chropowatości powierzchni materiału / Durchführung von Messungen der Materialoberflächenrauheit],MATCH($B181,tab_MinKomp[[Stanowisko / Position ]:[Stanowisko / Position ]],0))="n/a","n/a",DL181-INDEX(tab_MinKomp[Wykonywanie pomiarów chropowatości powierzchni materiału / Durchführung von Messungen der Materialoberflächenrauheit],MATCH($B181,tab_MinKomp[[Stanowisko / Position ]:[Stanowisko / Position ]],0)))</f>
        <v>n/a</v>
      </c>
      <c r="DM182" s="349" t="str">
        <f>IF(INDEX(tab_MinKomp[Obsługa urządzenia do pomiaru siły radialnej części - postępowanie z trzpieniami. / Funktionsweise des Geräts zur Messung der Radialkraft von Teilen – Handhabungsstifte.],MATCH($B181,tab_MinKomp[[Stanowisko / Position ]:[Stanowisko / Position ]],0))="n/a","n/a",DM181-INDEX(tab_MinKomp[Obsługa urządzenia do pomiaru siły radialnej części - postępowanie z trzpieniami. / Funktionsweise des Geräts zur Messung der Radialkraft von Teilen – Handhabungsstifte.],MATCH($B181,tab_MinKomp[[Stanowisko / Position ]:[Stanowisko / Position ]],0)))</f>
        <v>n/a</v>
      </c>
      <c r="DN182" s="349" t="str">
        <f>IF(INDEX(tab_MinKomp[Wykonywanie pomiarów siły radialnej części / Führen Sie Radialkraftmessungen an Teilen durch],MATCH($B181,tab_MinKomp[[Stanowisko / Position ]:[Stanowisko / Position ]],0))="n/a","n/a",DN181-INDEX(tab_MinKomp[Wykonywanie pomiarów siły radialnej części / Führen Sie Radialkraftmessungen an Teilen durch],MATCH($B181,tab_MinKomp[[Stanowisko / Position ]:[Stanowisko / Position ]],0)))</f>
        <v>n/a</v>
      </c>
      <c r="DO182" s="349" t="str">
        <f>IF(INDEX(tab_MinKomp[Obsługa komory do testów wybuchwych / Betrieb einer Explosionsprüfkammer],MATCH($B181,tab_MinKomp[[Stanowisko / Position ]:[Stanowisko / Position ]],0))="n/a","n/a",DO181-INDEX(tab_MinKomp[Obsługa komory do testów wybuchwych / Betrieb einer Explosionsprüfkammer],MATCH($B181,tab_MinKomp[[Stanowisko / Position ]:[Stanowisko / Position ]],0)))</f>
        <v>n/a</v>
      </c>
      <c r="DP182" s="349" t="str">
        <f>IF(INDEX(tab_MinKomp[Wykonywanie testów wybuchowych części / Durchführung von Explosionstests an Teilen],MATCH($B181,tab_MinKomp[[Stanowisko / Position ]:[Stanowisko / Position ]],0))="n/a","n/a",DP181-INDEX(tab_MinKomp[Wykonywanie testów wybuchowych części / Durchführung von Explosionstests an Teilen],MATCH($B181,tab_MinKomp[[Stanowisko / Position ]:[Stanowisko / Position ]],0)))</f>
        <v>n/a</v>
      </c>
      <c r="DQ182" s="349" t="str">
        <f>IF(INDEX(tab_MinKomp[Obsługa urządzeń do mierzenia siły trzymania i/lub rozciągania / Betrieb von Geräten zur Messung der Halte- und/oder Dehnkraft],MATCH($B181,tab_MinKomp[[Stanowisko / Position ]:[Stanowisko / Position ]],0))="n/a","n/a",DQ181-INDEX(tab_MinKomp[Obsługa urządzeń do mierzenia siły trzymania i/lub rozciągania / Betrieb von Geräten zur Messung der Halte- und/oder Dehnkraft],MATCH($B181,tab_MinKomp[[Stanowisko / Position ]:[Stanowisko / Position ]],0)))</f>
        <v>n/a</v>
      </c>
      <c r="DR182" s="349" t="str">
        <f>IF(INDEX(tab_MinKomp[Wykonywanie testów mierzenia siły trzymania i/lub rozciągania / Durchführung von Tests zur Messung der Halte- und/oder Streckkraft],MATCH($B181,tab_MinKomp[[Stanowisko / Position ]:[Stanowisko / Position ]],0))="n/a","n/a",DR181-INDEX(tab_MinKomp[Wykonywanie testów mierzenia siły trzymania i/lub rozciągania / Durchführung von Tests zur Messung der Halte- und/oder Streckkraft],MATCH($B181,tab_MinKomp[[Stanowisko / Position ]:[Stanowisko / Position ]],0)))</f>
        <v>n/a</v>
      </c>
      <c r="DS182" s="349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Luftstrom)],MATCH($B181,tab_MinKomp[[Stanowisko / Position ]:[Stanowisko / Position ]],0))="n/a","n/a",DS181-INDEX(tab_MinKomp[Obsługa multimetru do pomiarów środowiskowych (temperatura, wilgotność, hałas, oświetlenie, przepływ powietrza) / Betrieb eines Multimeters für Umweltmessungen (Temperatur, Luftfeuchtigkeit, Lärm, Beleuchtung, Luftstrom)],MATCH($B181,tab_MinKomp[[Stanowisko / Position ]:[Stanowisko / Position ]],0)))</f>
        <v>n/a</v>
      </c>
      <c r="DT182" s="349" t="str">
        <f>IF(INDEX(tab_MinKomp[Kontrola warunków środowiskowych pracy (temperatura, wilgotność, hałas, oświetlenie, przepływ powietrza) / Kontrolle der Arbeitsumgebungsbedingungen (Temperatur, Luftfeuchtigkeit, Lärm, Beleuchtung, Luftstrom)],MATCH($B181,tab_MinKomp[[Stanowisko / Position ]:[Stanowisko / Position ]],0))="n/a","n/a",DT181-INDEX(tab_MinKomp[Kontrola warunków środowiskowych pracy (temperatura, wilgotność, hałas, oświetlenie, przepływ powietrza) / Kontrolle der Arbeitsumgebungsbedingungen (Temperatur, Luftfeuchtigkeit, Lärm, Beleuchtung, Luftstrom)],MATCH($B181,tab_MinKomp[[Stanowisko / Position ]:[Stanowisko / Position ]],0)))</f>
        <v>n/a</v>
      </c>
      <c r="DU182" s="349" t="str">
        <f>IF(INDEX(tab_MinKomp[MSA i SPC],MATCH($B181,tab_MinKomp[[Stanowisko / Position ]:[Stanowisko / Position ]],0))="n/a","n/a",DU181-INDEX(tab_MinKomp[MSA i SPC],MATCH($B181,tab_MinKomp[[Stanowisko / Position ]:[Stanowisko / Position ]],0)))</f>
        <v>n/a</v>
      </c>
      <c r="DV182" s="349" t="str">
        <f>IF(INDEX(tab_MinKomp[Kontrola wejściowa komponentów/ Eingangskontrolle],MATCH($B181,tab_MinKomp[[Stanowisko / Position ]:[Stanowisko / Position ]],0))="n/a","n/a",DV181-INDEX(tab_MinKomp[Kontrola wejściowa komponentów/ Eingangskontrolle],MATCH($B181,tab_MinKomp[[Stanowisko / Position ]:[Stanowisko / Position ]],0)))</f>
        <v>n/a</v>
      </c>
      <c r="DW182" s="349" t="str">
        <f>IF(INDEX(tab_MinKomp[Kontrola wyjściowa produktu / Ausgangskontrolle],MATCH($B181,tab_MinKomp[[Stanowisko / Position ]:[Stanowisko / Position ]],0))="n/a","n/a",DW181-INDEX(tab_MinKomp[Kontrola wyjściowa produktu / Ausgangskontrolle],MATCH($B181,tab_MinKomp[[Stanowisko / Position ]:[Stanowisko / Position ]],0)))</f>
        <v>n/a</v>
      </c>
      <c r="DX182" s="349" t="str">
        <f>IF(INDEX(tab_MinKomp[Kontrola codzienna produkcji / Tägliche Produktionskontrolle],MATCH($B181,tab_MinKomp[[Stanowisko / Position ]:[Stanowisko / Position ]],0))="n/a","n/a",DX181-INDEX(tab_MinKomp[Kontrola codzienna produkcji / Tägliche Produktionskontrolle],MATCH($B181,tab_MinKomp[[Stanowisko / Position ]:[Stanowisko / Position ]],0)))</f>
        <v>n/a</v>
      </c>
      <c r="DY182" s="349">
        <f>IF(INDEX(tab_MinKomp[Konserwacja Rep],MATCH($B181,tab_MinKomp[[Stanowisko / Position ]:[Stanowisko / Position ]],0))="n/a","n/a",DY181-INDEX(tab_MinKomp[Konserwacja Rep],MATCH($B181,tab_MinKomp[[Stanowisko / Position ]:[Stanowisko / Position ]],0)))</f>
        <v>0</v>
      </c>
      <c r="DZ182" s="349">
        <f>IF(INDEX(tab_MinKomp[[Konserwacja Engel ]],MATCH($B181,tab_MinKomp[[Stanowisko / Position ]:[Stanowisko / Position ]],0))="n/a","n/a",DZ181-INDEX(tab_MinKomp[[Konserwacja Engel ]],MATCH($B181,tab_MinKomp[[Stanowisko / Position ]:[Stanowisko / Position ]],0)))</f>
        <v>-1</v>
      </c>
      <c r="EA182" s="349">
        <f>IF(INDEX(tab_MinKomp[Konserwacja B 50],MATCH($B181,tab_MinKomp[[Stanowisko / Position ]:[Stanowisko / Position ]],0))="n/a","n/a",EA181-INDEX(tab_MinKomp[Konserwacja B 50],MATCH($B181,tab_MinKomp[[Stanowisko / Position ]:[Stanowisko / Position ]],0)))</f>
        <v>-1</v>
      </c>
      <c r="EB182" s="349">
        <f>IF(INDEX(tab_MinKomp[[Konserwacja EOL ]],MATCH($B181,tab_MinKomp[[Stanowisko / Position ]:[Stanowisko / Position ]],0))="n/a","n/a",EB181-INDEX(tab_MinKomp[[Konserwacja EOL ]],MATCH($B181,tab_MinKomp[[Stanowisko / Position ]:[Stanowisko / Position ]],0)))</f>
        <v>-1</v>
      </c>
      <c r="EC182" s="349">
        <f>IF(INDEX(tab_MinKomp[Konserwacja Branson],MATCH($B181,tab_MinKomp[[Stanowisko / Position ]:[Stanowisko / Position ]],0))="n/a","n/a",EC181-INDEX(tab_MinKomp[Konserwacja Branson],MATCH($B181,tab_MinKomp[[Stanowisko / Position ]:[Stanowisko / Position ]],0)))</f>
        <v>-1</v>
      </c>
      <c r="ED182" s="349">
        <f>IF(INDEX(tab_MinKomp[Konserwacja coolery],MATCH($B181,tab_MinKomp[[Stanowisko / Position ]:[Stanowisko / Position ]],0))="n/a","n/a",ED181-INDEX(tab_MinKomp[Konserwacja coolery],MATCH($B181,tab_MinKomp[[Stanowisko / Position ]:[Stanowisko / Position ]],0)))</f>
        <v>1</v>
      </c>
      <c r="EE182" s="349">
        <f>IF(INDEX(tab_MinKomp[Konserwacja piecy],MATCH($B181,tab_MinKomp[[Stanowisko / Position ]:[Stanowisko / Position ]],0))="n/a","n/a",EE181-INDEX(tab_MinKomp[Konserwacja piecy],MATCH($B181,tab_MinKomp[[Stanowisko / Position ]:[Stanowisko / Position ]],0)))</f>
        <v>-1</v>
      </c>
      <c r="EF182" s="349">
        <f>IF(INDEX(tab_MinKomp[Rysunek techniczny- czytanie],MATCH($B181,tab_MinKomp[[Stanowisko / Position ]:[Stanowisko / Position ]],0))="n/a","n/a",EF181-INDEX(tab_MinKomp[Rysunek techniczny- czytanie],MATCH($B181,tab_MinKomp[[Stanowisko / Position ]:[Stanowisko / Position ]],0)))</f>
        <v>-1</v>
      </c>
      <c r="EG182" s="349">
        <f>IF(INDEX(tab_MinKomp[Elektryka],MATCH($B181,tab_MinKomp[[Stanowisko / Position ]:[Stanowisko / Position ]],0))="n/a","n/a",EG181-INDEX(tab_MinKomp[Elektryka],MATCH($B181,tab_MinKomp[[Stanowisko / Position ]:[Stanowisko / Position ]],0)))</f>
        <v>-1</v>
      </c>
      <c r="EH182" s="349">
        <f>IF(INDEX(tab_MinKomp[Pneumatyka],MATCH($B181,tab_MinKomp[[Stanowisko / Position ]:[Stanowisko / Position ]],0))="n/a","n/a",EH181-INDEX(tab_MinKomp[Pneumatyka],MATCH($B181,tab_MinKomp[[Stanowisko / Position ]:[Stanowisko / Position ]],0)))</f>
        <v>0</v>
      </c>
      <c r="EI182" s="349">
        <f>IF(INDEX(tab_MinKomp[[Hydraulika ]],MATCH($B181,tab_MinKomp[[Stanowisko / Position ]:[Stanowisko / Position ]],0))="n/a","n/a",EI181-INDEX(tab_MinKomp[[Hydraulika ]],MATCH($B181,tab_MinKomp[[Stanowisko / Position ]:[Stanowisko / Position ]],0)))</f>
        <v>-1</v>
      </c>
      <c r="EJ182" s="349">
        <f>IF(INDEX(tab_MinKomp[Podciśnienie],MATCH($B181,tab_MinKomp[[Stanowisko / Position ]:[Stanowisko / Position ]],0))="n/a","n/a",EJ181-INDEX(tab_MinKomp[Podciśnienie],MATCH($B181,tab_MinKomp[[Stanowisko / Position ]:[Stanowisko / Position ]],0)))</f>
        <v>0</v>
      </c>
      <c r="EK182" s="349">
        <f>IF(INDEX(tab_MinKomp[Usuwanie awarii],MATCH($B181,tab_MinKomp[[Stanowisko / Position ]:[Stanowisko / Position ]],0))="n/a","n/a",EK181-INDEX(tab_MinKomp[Usuwanie awarii],MATCH($B181,tab_MinKomp[[Stanowisko / Position ]:[Stanowisko / Position ]],0)))</f>
        <v>0</v>
      </c>
      <c r="EL182" s="349">
        <f>IF(INDEX(tab_MinKomp[Obsługa robotów],MATCH($B181,tab_MinKomp[[Stanowisko / Position ]:[Stanowisko / Position ]],0))="n/a","n/a",EL181-INDEX(tab_MinKomp[Obsługa robotów],MATCH($B181,tab_MinKomp[[Stanowisko / Position ]:[Stanowisko / Position ]],0)))</f>
        <v>-1</v>
      </c>
      <c r="EM182" s="349">
        <f>IF(INDEX(tab_MinKomp[Obsługa sterowania maszyny],MATCH($B181,tab_MinKomp[[Stanowisko / Position ]:[Stanowisko / Position ]],0))="n/a","n/a",EM181-INDEX(tab_MinKomp[Obsługa sterowania maszyny],MATCH($B181,tab_MinKomp[[Stanowisko / Position ]:[Stanowisko / Position ]],0)))</f>
        <v>-1</v>
      </c>
      <c r="EN182" s="349">
        <f>IF(INDEX(tab_MinKomp[Usuwanie przyczyn żródłowych],MATCH($B181,tab_MinKomp[[Stanowisko / Position ]:[Stanowisko / Position ]],0))="n/a","n/a",EN181-INDEX(tab_MinKomp[Usuwanie przyczyn żródłowych],MATCH($B181,tab_MinKomp[[Stanowisko / Position ]:[Stanowisko / Position ]],0)))</f>
        <v>-1</v>
      </c>
      <c r="EO182" s="349">
        <f>IF(INDEX(tab_MinKomp[Cmms stosowanie],MATCH($B181,tab_MinKomp[[Stanowisko / Position ]:[Stanowisko / Position ]],0))="n/a","n/a",EO181-INDEX(tab_MinKomp[Cmms stosowanie],MATCH($B181,tab_MinKomp[[Stanowisko / Position ]:[Stanowisko / Position ]],0)))</f>
        <v>0</v>
      </c>
      <c r="EP182" s="343" t="str">
        <f>IF(INDEX(tab_MinKomp[[Czyszczenie form gumowych ]],MATCH($B181,tab_MinKomp[[Stanowisko / Position ]:[Stanowisko / Position ]],0))="n/a","n/a",EP181-INDEX(tab_MinKomp[[Czyszczenie form gumowych ]],MATCH($B181,tab_MinKomp[[Stanowisko / Position ]:[Stanowisko / Position ]],0)))</f>
        <v>n/a</v>
      </c>
      <c r="EQ182" s="343" t="str">
        <f>IF(INDEX(tab_MinKomp[Czyszczenie form plastikowych],MATCH($B181,tab_MinKomp[[Stanowisko / Position ]:[Stanowisko / Position ]],0))="n/a","n/a",EQ181-INDEX(tab_MinKomp[Czyszczenie form plastikowych],MATCH($B181,tab_MinKomp[[Stanowisko / Position ]:[Stanowisko / Position ]],0)))</f>
        <v>n/a</v>
      </c>
      <c r="ER182" s="343" t="str">
        <f>IF(INDEX(tab_MinKomp[Wymiana form plastik],MATCH($B181,tab_MinKomp[[Stanowisko / Position ]:[Stanowisko / Position ]],0))="n/a","n/a",ER181-INDEX(tab_MinKomp[Wymiana form plastik],MATCH($B181,tab_MinKomp[[Stanowisko / Position ]:[Stanowisko / Position ]],0)))</f>
        <v>n/a</v>
      </c>
      <c r="ES182" s="343" t="str">
        <f>IF(INDEX(tab_MinKomp[Wymiana form guma],MATCH($B181,tab_MinKomp[[Stanowisko / Position ]:[Stanowisko / Position ]],0))="n/a","n/a",ES181-INDEX(tab_MinKomp[Wymiana form guma],MATCH($B181,tab_MinKomp[[Stanowisko / Position ]:[Stanowisko / Position ]],0)))</f>
        <v>n/a</v>
      </c>
      <c r="ET182" s="343" t="str">
        <f>IF(INDEX(tab_MinKomp[Konserwacja KK],MATCH($B181,tab_MinKomp[[Stanowisko / Position ]:[Stanowisko / Position ]],0))="n/a","n/a",ET181-INDEX(tab_MinKomp[Konserwacja KK],MATCH($B181,tab_MinKomp[[Stanowisko / Position ]:[Stanowisko / Position ]],0)))</f>
        <v>n/a</v>
      </c>
      <c r="EU182" s="343" t="str">
        <f>IF(INDEX(tab_MinKomp[Konserwacja form guma],MATCH($B181,tab_MinKomp[[Stanowisko / Position ]:[Stanowisko / Position ]],0))="n/a","n/a",EU181-INDEX(tab_MinKomp[Konserwacja form guma],MATCH($B181,tab_MinKomp[[Stanowisko / Position ]:[Stanowisko / Position ]],0)))</f>
        <v>n/a</v>
      </c>
      <c r="EV182" s="343" t="str">
        <f>IF(INDEX(tab_MinKomp[Konserwacja form plastiki],MATCH($B181,tab_MinKomp[[Stanowisko / Position ]:[Stanowisko / Position ]],0))="n/a","n/a",EV181-INDEX(tab_MinKomp[Konserwacja form plastiki],MATCH($B181,tab_MinKomp[[Stanowisko / Position ]:[Stanowisko / Position ]],0)))</f>
        <v>n/a</v>
      </c>
      <c r="EW182" s="330" t="str">
        <f>IF(INDEX(tab_MinKomp[Konserwacja form plastiki],MATCH($B181,tab_MinKomp[[Stanowisko / Position ]:[Stanowisko / Position ]],0))="n/a","n/a",EW181-INDEX(tab_MinKomp[Konserwacja form plastiki],MATCH($B181,tab_MinKomp[[Stanowisko / Position ]:[Stanowisko / Position ]],0)))</f>
        <v>n/a</v>
      </c>
      <c r="EX182" s="343" t="str">
        <f>IF(INDEX(tab_MinKomp[Konserwacja Gorącego Kanału],MATCH($B181,tab_MinKomp[[Stanowisko / Position ]:[Stanowisko / Position ]],0))="n/a","n/a",EX181-INDEX(tab_MinKomp[Konserwacja Gorącego Kanału],MATCH($B181,tab_MinKomp[[Stanowisko / Position ]:[Stanowisko / Position ]],0)))</f>
        <v>n/a</v>
      </c>
      <c r="EY182" s="349" t="str">
        <f>IF(INDEX(tab_MinKomp[MS Office (Excel)],MATCH($B181,tab_MinKomp[[Stanowisko / Position ]:[Stanowisko / Position ]],0))="n/a","n/a",EY181-INDEX(tab_MinKomp[MS Office (Excel)],MATCH($B181,tab_MinKomp[[Stanowisko / Position ]:[Stanowisko / Position ]],0)))</f>
        <v>n/a</v>
      </c>
      <c r="EZ182" s="349" t="str">
        <f>IF(INDEX(tab_MinKomp[MS Office (Word)],MATCH($B181,tab_MinKomp[[Stanowisko / Position ]:[Stanowisko / Position ]],0))="n/a","n/a",EZ181-INDEX(tab_MinKomp[MS Office (Word)],MATCH($B181,tab_MinKomp[[Stanowisko / Position ]:[Stanowisko / Position ]],0)))</f>
        <v>n/a</v>
      </c>
      <c r="FA182" s="349" t="str">
        <f>IF(INDEX(tab_MinKomp[MS Office (Power Point)],MATCH($B181,tab_MinKomp[[Stanowisko / Position ]:[Stanowisko / Position ]],0))="n/a","n/a",FA181-INDEX(tab_MinKomp[MS Office (Power Point)],MATCH($B181,tab_MinKomp[[Stanowisko / Position ]:[Stanowisko / Position ]],0)))</f>
        <v>n/a</v>
      </c>
      <c r="FB182" s="349" t="str">
        <f>IF(INDEX(tab_MinKomp[Język angielski / Englisch],MATCH($B181,tab_MinKomp[[Stanowisko / Position ]:[Stanowisko / Position ]],0))="n/a","n/a",FB181-INDEX(tab_MinKomp[Język angielski / Englisch],MATCH($B181,tab_MinKomp[[Stanowisko / Position ]:[Stanowisko / Position ]],0)))</f>
        <v>n/a</v>
      </c>
      <c r="FC182" s="349" t="str">
        <f>IF(INDEX(tab_MinKomp[Język niemiecki / Deutsch],MATCH($B181,tab_MinKomp[[Stanowisko / Position ]:[Stanowisko / Position ]],0))="n/a","n/a",FC181-INDEX(tab_MinKomp[Język niemiecki / Deutsch],MATCH($B181,tab_MinKomp[[Stanowisko / Position ]:[Stanowisko / Position ]],0)))</f>
        <v>n/a</v>
      </c>
      <c r="FD182" s="349">
        <f>IF(INDEX(tab_MinKomp[Zarządzanie dokumentacją procesową / Process dokumentation management],MATCH($B181,tab_MinKomp[[Stanowisko / Position ]:[Stanowisko / Position ]],0))="n/a","n/a",FD181-INDEX(tab_MinKomp[Zarządzanie dokumentacją procesową / Process dokumentation management],MATCH($B181,tab_MinKomp[[Stanowisko / Position ]:[Stanowisko / Position ]],0)))</f>
        <v>0</v>
      </c>
      <c r="FE182" s="349">
        <f>IF(INDEX(tab_MinKomp[Znajomość procesów z obszaru / Kenntiss der prozesse in dem Bereich],MATCH($B181,tab_MinKomp[[Stanowisko / Position ]:[Stanowisko / Position ]],0))="n/a","n/a",FE181-INDEX(tab_MinKomp[Znajomość procesów z obszaru / Kenntiss der prozesse in dem Bereich],MATCH($B181,tab_MinKomp[[Stanowisko / Position ]:[Stanowisko / Position ]],0)))</f>
        <v>-1</v>
      </c>
      <c r="FF182" s="349">
        <f>IF(INDEX(tab_MinKomp[optymalizacja procesów / Prozessoptymalisierung],MATCH($B181,tab_MinKomp[[Stanowisko / Position ]:[Stanowisko / Position ]],0))="n/a","n/a",FF181-INDEX(tab_MinKomp[optymalizacja procesów / Prozessoptymalisierung],MATCH($B181,tab_MinKomp[[Stanowisko / Position ]:[Stanowisko / Position ]],0)))</f>
        <v>0</v>
      </c>
      <c r="FG182" s="349">
        <f>IF(INDEX(tab_MinKomp[Umiejętności szkoleniowe / Trainingsfähigkeiten],MATCH($B181,tab_MinKomp[[Stanowisko / Position ]:[Stanowisko / Position ]],0))="n/a","n/a",FG181-INDEX(tab_MinKomp[Umiejętności szkoleniowe / Trainingsfähigkeiten],MATCH($B181,tab_MinKomp[[Stanowisko / Position ]:[Stanowisko / Position ]],0)))</f>
        <v>0</v>
      </c>
      <c r="FH182" s="349">
        <f>IF(INDEX(tab_MinKomp[Analityczne myślenie, podejście / Analitysches Denken, Einstellung],MATCH($B181,tab_MinKomp[[Stanowisko / Position ]:[Stanowisko / Position ]],0))="n/a","n/a",FH181-INDEX(tab_MinKomp[Analityczne myślenie, podejście / Analitysches Denken, Einstellung],MATCH($B181,tab_MinKomp[[Stanowisko / Position ]:[Stanowisko / Position ]],0)))</f>
        <v>0</v>
      </c>
      <c r="FI182" s="349">
        <f>IF(INDEX(tab_MinKomp[Dokładność, precyzja w dzialaniu / Genauigkeit, Präzision in die Arbeit],MATCH($B181,tab_MinKomp[[Stanowisko / Position ]:[Stanowisko / Position ]],0))="n/a","n/a",FI181-INDEX(tab_MinKomp[Dokładność, precyzja w dzialaniu / Genauigkeit, Präzision in die Arbeit],MATCH($B181,tab_MinKomp[[Stanowisko / Position ]:[Stanowisko / Position ]],0)))</f>
        <v>0</v>
      </c>
      <c r="FJ182" s="349">
        <f>IF(INDEX(tab_MinKomp[Dyspozycyjność / Verfügbarkeit],MATCH($B181,tab_MinKomp[[Stanowisko / Position ]:[Stanowisko / Position ]],0))="n/a","n/a",FJ181-INDEX(tab_MinKomp[Dyspozycyjność / Verfügbarkeit],MATCH($B181,tab_MinKomp[[Stanowisko / Position ]:[Stanowisko / Position ]],0)))</f>
        <v>0</v>
      </c>
      <c r="FK182" s="349">
        <f>IF(INDEX(tab_MinKomp[Zaangażowanie / 
Engagement],MATCH($B181,tab_MinKomp[[Stanowisko / Position ]:[Stanowisko / Position ]],0))="n/a","n/a",FK181-INDEX(tab_MinKomp[Zaangażowanie / 
Engagement],MATCH($B181,tab_MinKomp[[Stanowisko / Position ]:[Stanowisko / Position ]],0)))</f>
        <v>1</v>
      </c>
      <c r="FL182" s="349" t="str">
        <f>IF(INDEX(tab_MinKomp[Planowanie strategiczne / Strategische Planung],MATCH($B181,tab_MinKomp[[Stanowisko / Position ]:[Stanowisko / Position ]],0))="n/a","n/a",FL181-INDEX(tab_MinKomp[Planowanie strategiczne / Strategische Planung],MATCH($B181,tab_MinKomp[[Stanowisko / Position ]:[Stanowisko / Position ]],0)))</f>
        <v>n/a</v>
      </c>
      <c r="FM182" s="349">
        <f>IF(INDEX(tab_MinKomp[Konsekwentne i dynamiczne działanie],MATCH($B181,tab_MinKomp[[Stanowisko / Position ]:[Stanowisko / Position ]],0))="n/a","n/a",FM181-INDEX(tab_MinKomp[Konsekwentne i dynamiczne działanie],MATCH($B181,tab_MinKomp[[Stanowisko / Position ]:[Stanowisko / Position ]],0)))</f>
        <v>1</v>
      </c>
      <c r="FN182" s="349" t="str">
        <f>IF(INDEX(tab_MinKomp[Elastyczność w działaniu],MATCH($B181,tab_MinKomp[[Stanowisko / Position ]:[Stanowisko / Position ]],0))="n/a","n/a",FN181-INDEX(tab_MinKomp[Elastyczność w działaniu],MATCH($B181,tab_MinKomp[[Stanowisko / Position ]:[Stanowisko / Position ]],0)))</f>
        <v>n/a</v>
      </c>
      <c r="FO182" s="349" t="str">
        <f>IF(INDEX(tab_MinKomp[Komunikatywność],MATCH($B181,tab_MinKomp[[Stanowisko / Position ]:[Stanowisko / Position ]],0))="n/a","n/a",FO181-INDEX(tab_MinKomp[Komunikatywność],MATCH($B181,tab_MinKomp[[Stanowisko / Position ]:[Stanowisko / Position ]],0)))</f>
        <v>n/a</v>
      </c>
      <c r="FP182" s="349" t="str">
        <f>IF(INDEX(tab_MinKomp[Motywowanie i budowanie zaangażowania zespołu],MATCH($B181,tab_MinKomp[[Stanowisko / Position ]:[Stanowisko / Position ]],0))="n/a","n/a",FP181-INDEX(tab_MinKomp[Motywowanie i budowanie zaangażowania zespołu],MATCH($B181,tab_MinKomp[[Stanowisko / Position ]:[Stanowisko / Position ]],0)))</f>
        <v>n/a</v>
      </c>
      <c r="FQ182" s="388" t="str">
        <f>IFERROR(IF(INDEX(tab_MinKomp[BRAK / Keine],MATCH($B181,tab_MinKomp[[Stanowisko / Position ]:[Stanowisko / Position ]],0))="n/a","n/a",INDEX(tab_MinKomp[BRAK / Keine],MATCH($B181,tab_MinKomp[[Stanowisko / Position ]:[Stanowisko / Position ]],0))-FQ181),"")</f>
        <v>n/a</v>
      </c>
      <c r="FR182" s="349" t="str">
        <f>IF(INDEX(tab_MinKomp[MINIMUM 1 ROK / min. 1 Jahr],MATCH($B181,tab_MinKomp[[Stanowisko / Position ]:[Stanowisko / Position ]],0))="n/a","n/a",INDEX(tab_MinKomp[MINIMUM 1 ROK / min. 1 Jahr],MATCH($B181,tab_MinKomp[[Stanowisko / Position ]:[Stanowisko / Position ]],0)))</f>
        <v>n/a</v>
      </c>
      <c r="FS182" s="349" t="str">
        <f>IF(INDEX(tab_MinKomp[MINIMUM 2 LATA / min. 2 Jahre],MATCH($B181,tab_MinKomp[[Stanowisko / Position ]:[Stanowisko / Position ]],0))="n/a","n/a",INDEX(tab_MinKomp[MINIMUM 2 LATA / min. 2 Jahre],MATCH($B181,tab_MinKomp[[Stanowisko / Position ]:[Stanowisko / Position ]],0)))</f>
        <v>n/a</v>
      </c>
      <c r="FT182" s="349" t="str">
        <f>IF(INDEX(tab_MinKomp[MINIMUM 3 LATA / min. 3 Jahre],MATCH($B181,tab_MinKomp[[Stanowisko / Position ]:[Stanowisko / Position ]],0))="n/a","n/a",INDEX(tab_MinKomp[MINIMUM 3 LATA / min. 3 Jahre],MATCH($B181,tab_MinKomp[[Stanowisko / Position ]:[Stanowisko / Position ]],0)))</f>
        <v>n/a</v>
      </c>
      <c r="FU182" s="349" t="str">
        <f>IF(INDEX(tab_MinKomp[MINIMUM 4 LATA / min. 4 Jahre],MATCH($B181,tab_MinKomp[[Stanowisko / Position ]:[Stanowisko / Position ]],0))="n/a","n/a",INDEX(tab_MinKomp[MINIMUM 4 LATA / min. 4 Jahre],MATCH($B181,tab_MinKomp[[Stanowisko / Position ]:[Stanowisko / Position ]],0)))</f>
        <v>n/a</v>
      </c>
      <c r="FV182" s="389" t="str">
        <f>IF(INDEX(tab_MinKomp[MINIMUM 5 LAT / min. 5 Jahre],MATCH($B181,tab_MinKomp[[Stanowisko / Position ]:[Stanowisko / Position ]],0))="n/a","n/a",INDEX(tab_MinKomp[MINIMUM 5 LAT / min. 5 Jahre],MATCH($B181,tab_MinKomp[[Stanowisko / Position ]:[Stanowisko / Position ]],0)))</f>
        <v>n/a</v>
      </c>
      <c r="FW182" s="388" t="str">
        <f>IF(INDEX(tab_MinKomp[BRAK / Keine9],MATCH($B181,tab_MinKomp[[Stanowisko / Position ]:[Stanowisko / Position ]],0))="n/a","n/a",INDEX(tab_MinKomp[BRAK / Keine9],MATCH($B181,tab_MinKomp[[Stanowisko / Position ]:[Stanowisko / Position ]],0)))</f>
        <v>n/a</v>
      </c>
      <c r="FX182" s="349" t="str">
        <f>IF(INDEX(tab_MinKomp[ZAWODOWE / Berufsausbildung],MATCH($B181,tab_MinKomp[[Stanowisko / Position ]:[Stanowisko / Position ]],0))="n/a","n/a",INDEX(tab_MinKomp[ZAWODOWE / Berufsausbildung],MATCH($B181,tab_MinKomp[[Stanowisko / Position ]:[Stanowisko / Position ]],0)))</f>
        <v>n/a</v>
      </c>
      <c r="FY182" s="349" t="s">
        <v>387</v>
      </c>
      <c r="FZ182" s="349" t="str">
        <f>IF(INDEX(tab_MinKomp[ŚREDNIE KIERUNKOWE / berufliches Gymnasium],MATCH($B181,tab_MinKomp[[Stanowisko / Position ]:[Stanowisko / Position ]],0))="n/a","n/a",INDEX(tab_MinKomp[ŚREDNIE KIERUNKOWE / berufliches Gymnasium],MATCH($B181,tab_MinKomp[[Stanowisko / Position ]:[Stanowisko / Position ]],0)))</f>
        <v>n/a</v>
      </c>
      <c r="GA182" s="349" t="str">
        <f>IF(INDEX(tab_MinKomp[WYŻSZE OGÓLNE / Hochschule allgemeine],MATCH($B181,tab_MinKomp[[Stanowisko / Position ]:[Stanowisko / Position ]],0))="n/a","n/a",INDEX(tab_MinKomp[WYŻSZE OGÓLNE / Hochschule allgemeine],MATCH($B181,tab_MinKomp[[Stanowisko / Position ]:[Stanowisko / Position ]],0)))</f>
        <v>n/a</v>
      </c>
      <c r="GB182" s="389" t="str">
        <f>IF(INDEX(tab_MinKomp[WYŻSZE KIERUNKOWE / Hochschule berufliche],MATCH($B181,tab_MinKomp[[Stanowisko / Position ]:[Stanowisko / Position ]],0))="n/a","n/a",INDEX(tab_MinKomp[WYŻSZE KIERUNKOWE / Hochschule berufliche],MATCH($B181,tab_MinKomp[[Stanowisko / Position ]:[Stanowisko / Position ]],0)))</f>
        <v>n/a</v>
      </c>
      <c r="GC182" s="388" t="str">
        <f>IF(INDEX(tab_MinKomp[PIERWSZA POMOC / Erste Hilfe],MATCH($B181,tab_MinKomp[[Stanowisko / Position ]:[Stanowisko / Position ]],0))="n/a","n/a",INDEX(tab_MinKomp[PIERWSZA POMOC / Erste Hilfe],MATCH($B181,tab_MinKomp[[Stanowisko / Position ]:[Stanowisko / Position ]],0)))</f>
        <v>n/a</v>
      </c>
      <c r="GD182" s="349" t="str">
        <f>IF(INDEX(tab_MinKomp[Specjalista BHP / BHP Spezialist],MATCH($B181,tab_MinKomp[[Stanowisko / Position ]:[Stanowisko / Position ]],0))="n/a","n/a",INDEX(tab_MinKomp[Specjalista BHP / BHP Spezialist],MATCH($B181,tab_MinKomp[[Stanowisko / Position ]:[Stanowisko / Position ]],0)))</f>
        <v>n/a</v>
      </c>
      <c r="GE182" s="349" t="str">
        <f>IF(INDEX(tab_MinKomp[Specjalista BHP / BHP Spezialist],MATCH($B181,tab_MinKomp[[Stanowisko / Position ]:[Stanowisko / Position ]],0))="n/a","n/a",INDEX(tab_MinKomp[Specjalista BHP / BHP Spezialist],MATCH($B181,tab_MinKomp[[Stanowisko / Position ]:[Stanowisko / Position ]],0)))</f>
        <v>n/a</v>
      </c>
      <c r="GF182" s="349" t="str">
        <f>IF(INDEX(tab_MinKomp[WÓZKI JEZDNIOWE / Gebelstapler],MATCH($B181,tab_MinKomp[[Stanowisko / Position ]:[Stanowisko / Position ]],0))="n/a","n/a",INDEX(tab_MinKomp[WÓZKI JEZDNIOWE / Gebelstapler],MATCH($B181,tab_MinKomp[[Stanowisko / Position ]:[Stanowisko / Position ]],0)))</f>
        <v>x</v>
      </c>
      <c r="GG182" s="349" t="str">
        <f>IF(INDEX(tab_MinKomp[SEP],MATCH($B181,tab_MinKomp[[Stanowisko / Position ]:[Stanowisko / Position ]],0))="n/a","n/a",INDEX(tab_MinKomp[SEP],MATCH($B181,tab_MinKomp[[Stanowisko / Position ]:[Stanowisko / Position ]],0)))</f>
        <v>X</v>
      </c>
      <c r="GH182" s="349" t="str">
        <f>IF(INDEX(tab_MinKomp[SEP  DOZÓR / SEP Aufsicht],MATCH($B181,tab_MinKomp[[Stanowisko / Position ]:[Stanowisko / Position ]],0))="n/a","n/a",INDEX(tab_MinKomp[SEP  DOZÓR / SEP Aufsicht],MATCH($B181,tab_MinKomp[[Stanowisko / Position ]:[Stanowisko / Position ]],0)))</f>
        <v>x</v>
      </c>
      <c r="GI182" s="349" t="str">
        <f>IF(INDEX(tab_MinKomp[PODNOŚNIKI / Hebevorrichtung],MATCH($B181,tab_MinKomp[[Stanowisko / Position ]:[Stanowisko / Position ]],0))="n/a","n/a",INDEX(tab_MinKomp[PODNOŚNIKI / Hebevorrichtung],MATCH($B181,tab_MinKomp[[Stanowisko / Position ]:[Stanowisko / Position ]],0)))</f>
        <v>X</v>
      </c>
      <c r="GJ182" s="349" t="str">
        <f>IF(INDEX(tab_MinKomp[SUWNICE / Laufkran],MATCH($B181,tab_MinKomp[[Stanowisko / Position ]:[Stanowisko / Position ]],0))="n/a","n/a",INDEX(tab_MinKomp[SUWNICE / Laufkran],MATCH($B181,tab_MinKomp[[Stanowisko / Position ]:[Stanowisko / Position ]],0)))</f>
        <v>x</v>
      </c>
      <c r="GK182" s="389" t="str">
        <f>IF(INDEX(tab_MinKomp[WYSOKOŚCIOWE / Höhenberechtigungen],MATCH($B181,tab_MinKomp[[Stanowisko / Position ]:[Stanowisko / Position ]],0))="n/a","n/a",INDEX(tab_MinKomp[WYSOKOŚCIOWE / Höhenberechtigungen],MATCH($B181,tab_MinKomp[[Stanowisko / Position ]:[Stanowisko / Position ]],0)))</f>
        <v>x</v>
      </c>
      <c r="GL182" s="320">
        <f>SUM(G182:FP182)/(GL181-(SUM(G182:FP182)))</f>
        <v>-0.23529411764705882</v>
      </c>
      <c r="GM182" s="132"/>
    </row>
    <row r="183" spans="1:195" s="133" customFormat="1" ht="28.35" customHeight="1" x14ac:dyDescent="0.25">
      <c r="A183" s="138" t="s">
        <v>181</v>
      </c>
      <c r="B183" s="138" t="s">
        <v>597</v>
      </c>
      <c r="C183" s="138" t="s">
        <v>613</v>
      </c>
      <c r="D183" s="138">
        <v>1795</v>
      </c>
      <c r="E183" s="571" t="s">
        <v>680</v>
      </c>
      <c r="F183" s="339" t="s">
        <v>165</v>
      </c>
      <c r="G183" s="308">
        <v>2</v>
      </c>
      <c r="H183" s="308">
        <v>2</v>
      </c>
      <c r="I183" s="308">
        <v>2</v>
      </c>
      <c r="J183" s="308">
        <v>2</v>
      </c>
      <c r="K183" s="308">
        <v>2</v>
      </c>
      <c r="L183" s="308">
        <v>1</v>
      </c>
      <c r="M183" s="308" t="s">
        <v>176</v>
      </c>
      <c r="N183" s="308" t="s">
        <v>176</v>
      </c>
      <c r="O183" s="308">
        <v>1</v>
      </c>
      <c r="P183" s="308">
        <v>1</v>
      </c>
      <c r="Q183" s="308" t="s">
        <v>176</v>
      </c>
      <c r="R183" s="308" t="s">
        <v>176</v>
      </c>
      <c r="S183" s="308" t="s">
        <v>176</v>
      </c>
      <c r="T183" s="308" t="s">
        <v>176</v>
      </c>
      <c r="U183" s="308" t="s">
        <v>176</v>
      </c>
      <c r="V183" s="308" t="s">
        <v>176</v>
      </c>
      <c r="W183" s="308" t="s">
        <v>176</v>
      </c>
      <c r="X183" s="308" t="s">
        <v>176</v>
      </c>
      <c r="Y183" s="308" t="s">
        <v>176</v>
      </c>
      <c r="Z183" s="308" t="s">
        <v>176</v>
      </c>
      <c r="AA183" s="308" t="s">
        <v>176</v>
      </c>
      <c r="AB183" s="308" t="s">
        <v>176</v>
      </c>
      <c r="AC183" s="308" t="s">
        <v>176</v>
      </c>
      <c r="AD183" s="308" t="s">
        <v>176</v>
      </c>
      <c r="AE183" s="308" t="s">
        <v>176</v>
      </c>
      <c r="AF183" s="308" t="s">
        <v>176</v>
      </c>
      <c r="AG183" s="308" t="s">
        <v>176</v>
      </c>
      <c r="AH183" s="308" t="s">
        <v>176</v>
      </c>
      <c r="AI183" s="308" t="s">
        <v>176</v>
      </c>
      <c r="AJ183" s="308" t="s">
        <v>176</v>
      </c>
      <c r="AK183" s="308" t="s">
        <v>176</v>
      </c>
      <c r="AL183" s="308">
        <v>1</v>
      </c>
      <c r="AM183" s="308" t="s">
        <v>176</v>
      </c>
      <c r="AN183" s="308" t="s">
        <v>176</v>
      </c>
      <c r="AO183" s="308" t="s">
        <v>176</v>
      </c>
      <c r="AP183" s="308" t="s">
        <v>176</v>
      </c>
      <c r="AQ183" s="308" t="s">
        <v>176</v>
      </c>
      <c r="AR183" s="308" t="s">
        <v>176</v>
      </c>
      <c r="AS183" s="308" t="s">
        <v>176</v>
      </c>
      <c r="AT183" s="308" t="s">
        <v>176</v>
      </c>
      <c r="AU183" s="308" t="s">
        <v>176</v>
      </c>
      <c r="AV183" s="308">
        <v>1</v>
      </c>
      <c r="AW183" s="308"/>
      <c r="AX183" s="308"/>
      <c r="AY183" s="308"/>
      <c r="AZ183" s="308" t="s">
        <v>176</v>
      </c>
      <c r="BA183" s="308" t="s">
        <v>176</v>
      </c>
      <c r="BB183" s="308" t="s">
        <v>176</v>
      </c>
      <c r="BC183" s="308" t="s">
        <v>176</v>
      </c>
      <c r="BD183" s="308" t="s">
        <v>176</v>
      </c>
      <c r="BE183" s="308" t="s">
        <v>176</v>
      </c>
      <c r="BF183" s="308" t="s">
        <v>176</v>
      </c>
      <c r="BG183" s="308" t="s">
        <v>176</v>
      </c>
      <c r="BH183" s="308" t="s">
        <v>176</v>
      </c>
      <c r="BI183" s="308" t="s">
        <v>176</v>
      </c>
      <c r="BJ183" s="308" t="s">
        <v>176</v>
      </c>
      <c r="BK183" s="308" t="s">
        <v>176</v>
      </c>
      <c r="BL183" s="308" t="s">
        <v>176</v>
      </c>
      <c r="BM183" s="308" t="s">
        <v>176</v>
      </c>
      <c r="BN183" s="308">
        <v>0</v>
      </c>
      <c r="BO183" s="308">
        <v>1</v>
      </c>
      <c r="BP183" s="308">
        <v>1</v>
      </c>
      <c r="BQ183" s="308">
        <v>1</v>
      </c>
      <c r="BR183" s="308">
        <v>1</v>
      </c>
      <c r="BS183" s="308">
        <v>1</v>
      </c>
      <c r="BT183" s="308">
        <v>1</v>
      </c>
      <c r="BU183" s="308">
        <v>0</v>
      </c>
      <c r="BV183" s="308">
        <v>1</v>
      </c>
      <c r="BW183" s="308" t="s">
        <v>176</v>
      </c>
      <c r="BX183" s="308" t="s">
        <v>176</v>
      </c>
      <c r="BY183" s="308" t="s">
        <v>176</v>
      </c>
      <c r="BZ183" s="308" t="s">
        <v>176</v>
      </c>
      <c r="CA183" s="308" t="s">
        <v>176</v>
      </c>
      <c r="CB183" s="308" t="s">
        <v>176</v>
      </c>
      <c r="CC183" s="308" t="s">
        <v>176</v>
      </c>
      <c r="CD183" s="308" t="s">
        <v>176</v>
      </c>
      <c r="CE183" s="308" t="s">
        <v>176</v>
      </c>
      <c r="CF183" s="308" t="s">
        <v>176</v>
      </c>
      <c r="CG183" s="308" t="s">
        <v>176</v>
      </c>
      <c r="CH183" s="308" t="s">
        <v>176</v>
      </c>
      <c r="CI183" s="308">
        <v>1</v>
      </c>
      <c r="CJ183" s="308" t="s">
        <v>176</v>
      </c>
      <c r="CK183" s="308" t="s">
        <v>176</v>
      </c>
      <c r="CL183" s="308" t="s">
        <v>176</v>
      </c>
      <c r="CM183" s="308" t="s">
        <v>176</v>
      </c>
      <c r="CN183" s="308"/>
      <c r="CO183" s="308"/>
      <c r="CP183" s="308"/>
      <c r="CQ183" s="308" t="s">
        <v>176</v>
      </c>
      <c r="CR183" s="308" t="s">
        <v>176</v>
      </c>
      <c r="CS183" s="308" t="s">
        <v>176</v>
      </c>
      <c r="CT183" s="308" t="s">
        <v>176</v>
      </c>
      <c r="CU183" s="308">
        <v>1</v>
      </c>
      <c r="CV183" s="308" t="s">
        <v>176</v>
      </c>
      <c r="CW183" s="308" t="s">
        <v>176</v>
      </c>
      <c r="CX183" s="308" t="s">
        <v>176</v>
      </c>
      <c r="CY183" s="308" t="s">
        <v>176</v>
      </c>
      <c r="CZ183" s="308" t="s">
        <v>176</v>
      </c>
      <c r="DA183" s="308" t="s">
        <v>176</v>
      </c>
      <c r="DB183" s="308" t="s">
        <v>176</v>
      </c>
      <c r="DC183" s="308" t="s">
        <v>176</v>
      </c>
      <c r="DD183" s="308" t="s">
        <v>176</v>
      </c>
      <c r="DE183" s="308" t="s">
        <v>176</v>
      </c>
      <c r="DF183" s="308" t="s">
        <v>176</v>
      </c>
      <c r="DG183" s="308" t="s">
        <v>176</v>
      </c>
      <c r="DH183" s="308" t="s">
        <v>176</v>
      </c>
      <c r="DI183" s="308" t="s">
        <v>176</v>
      </c>
      <c r="DJ183" s="308" t="s">
        <v>176</v>
      </c>
      <c r="DK183" s="308" t="s">
        <v>176</v>
      </c>
      <c r="DL183" s="308" t="s">
        <v>176</v>
      </c>
      <c r="DM183" s="308" t="s">
        <v>176</v>
      </c>
      <c r="DN183" s="308" t="s">
        <v>176</v>
      </c>
      <c r="DO183" s="308" t="s">
        <v>176</v>
      </c>
      <c r="DP183" s="308" t="s">
        <v>176</v>
      </c>
      <c r="DQ183" s="308" t="s">
        <v>176</v>
      </c>
      <c r="DR183" s="308" t="s">
        <v>176</v>
      </c>
      <c r="DS183" s="308" t="s">
        <v>176</v>
      </c>
      <c r="DT183" s="308" t="s">
        <v>176</v>
      </c>
      <c r="DU183" s="308" t="s">
        <v>176</v>
      </c>
      <c r="DV183" s="306" t="s">
        <v>176</v>
      </c>
      <c r="DW183" s="306" t="s">
        <v>176</v>
      </c>
      <c r="DX183" s="306" t="s">
        <v>176</v>
      </c>
      <c r="DY183" s="308">
        <v>1</v>
      </c>
      <c r="DZ183" s="308">
        <v>1</v>
      </c>
      <c r="EA183" s="308">
        <v>1</v>
      </c>
      <c r="EB183" s="308">
        <v>1</v>
      </c>
      <c r="EC183" s="308">
        <v>1</v>
      </c>
      <c r="ED183" s="308">
        <v>1</v>
      </c>
      <c r="EE183" s="308">
        <v>1</v>
      </c>
      <c r="EF183" s="308">
        <v>1</v>
      </c>
      <c r="EG183" s="308">
        <v>1</v>
      </c>
      <c r="EH183" s="308">
        <v>1</v>
      </c>
      <c r="EI183" s="308">
        <v>1</v>
      </c>
      <c r="EJ183" s="308">
        <v>1</v>
      </c>
      <c r="EK183" s="308">
        <v>1</v>
      </c>
      <c r="EL183" s="308">
        <v>0</v>
      </c>
      <c r="EM183" s="308">
        <v>1</v>
      </c>
      <c r="EN183" s="308">
        <v>1</v>
      </c>
      <c r="EO183" s="308">
        <v>2</v>
      </c>
      <c r="EP183" s="308" t="s">
        <v>176</v>
      </c>
      <c r="EQ183" s="308" t="s">
        <v>176</v>
      </c>
      <c r="ER183" s="308" t="s">
        <v>176</v>
      </c>
      <c r="ES183" s="308" t="s">
        <v>176</v>
      </c>
      <c r="ET183" s="308" t="s">
        <v>176</v>
      </c>
      <c r="EU183" s="308" t="s">
        <v>176</v>
      </c>
      <c r="EV183" s="308" t="s">
        <v>176</v>
      </c>
      <c r="EW183" s="308" t="s">
        <v>176</v>
      </c>
      <c r="EX183" s="308" t="s">
        <v>176</v>
      </c>
      <c r="EY183" s="308">
        <v>1</v>
      </c>
      <c r="EZ183" s="308">
        <v>1</v>
      </c>
      <c r="FA183" s="308" t="s">
        <v>176</v>
      </c>
      <c r="FB183" s="309" t="s">
        <v>176</v>
      </c>
      <c r="FC183" s="309" t="s">
        <v>176</v>
      </c>
      <c r="FD183" s="308">
        <v>1</v>
      </c>
      <c r="FE183" s="308">
        <v>1</v>
      </c>
      <c r="FF183" s="308">
        <v>0</v>
      </c>
      <c r="FG183" s="308">
        <v>0</v>
      </c>
      <c r="FH183" s="308">
        <v>1</v>
      </c>
      <c r="FI183" s="308">
        <v>1</v>
      </c>
      <c r="FJ183" s="308">
        <v>1</v>
      </c>
      <c r="FK183" s="308">
        <v>1</v>
      </c>
      <c r="FL183" s="308" t="s">
        <v>176</v>
      </c>
      <c r="FM183" s="308">
        <v>1</v>
      </c>
      <c r="FN183" s="308" t="s">
        <v>176</v>
      </c>
      <c r="FO183" s="308" t="s">
        <v>176</v>
      </c>
      <c r="FP183" s="308" t="s">
        <v>176</v>
      </c>
      <c r="FQ183" s="308" t="s">
        <v>176</v>
      </c>
      <c r="FR183" s="308" t="s">
        <v>176</v>
      </c>
      <c r="FS183" s="308" t="s">
        <v>176</v>
      </c>
      <c r="FT183" s="308" t="s">
        <v>176</v>
      </c>
      <c r="FU183" s="308" t="s">
        <v>176</v>
      </c>
      <c r="FV183" s="308" t="s">
        <v>176</v>
      </c>
      <c r="FW183" s="308" t="s">
        <v>176</v>
      </c>
      <c r="FX183" s="308" t="s">
        <v>176</v>
      </c>
      <c r="FY183" s="308"/>
      <c r="FZ183" s="308" t="s">
        <v>176</v>
      </c>
      <c r="GA183" s="308" t="s">
        <v>176</v>
      </c>
      <c r="GB183" s="308" t="s">
        <v>176</v>
      </c>
      <c r="GC183" s="308" t="s">
        <v>176</v>
      </c>
      <c r="GD183" s="308" t="s">
        <v>176</v>
      </c>
      <c r="GE183" s="308" t="s">
        <v>176</v>
      </c>
      <c r="GF183" s="308" t="s">
        <v>387</v>
      </c>
      <c r="GG183" s="308" t="s">
        <v>387</v>
      </c>
      <c r="GH183" s="308" t="s">
        <v>387</v>
      </c>
      <c r="GI183" s="308" t="s">
        <v>387</v>
      </c>
      <c r="GJ183" s="308" t="s">
        <v>387</v>
      </c>
      <c r="GK183" s="308" t="s">
        <v>387</v>
      </c>
      <c r="GL183" s="329">
        <f>SUM(G183:FP183)</f>
        <v>50</v>
      </c>
      <c r="GM183" s="132"/>
    </row>
    <row r="184" spans="1:195" s="133" customFormat="1" ht="28.35" customHeight="1" thickBot="1" x14ac:dyDescent="0.3">
      <c r="A184" s="138" t="s">
        <v>181</v>
      </c>
      <c r="B184" s="138" t="s">
        <v>597</v>
      </c>
      <c r="C184" s="138" t="s">
        <v>613</v>
      </c>
      <c r="D184" s="138">
        <v>1795</v>
      </c>
      <c r="E184" s="564"/>
      <c r="F184" s="312" t="s">
        <v>166</v>
      </c>
      <c r="G184" s="387">
        <f>IF(INDEX(tab_MinKomp[Przepisy BHP / BHP Vorschriften],MATCH($B183,tab_MinKomp[[Stanowisko / Position ]:[Stanowisko / Position ]],0))="n/a","n/a",G183-INDEX(tab_MinKomp[Przepisy BHP / BHP Vorschriften],MATCH($B183,tab_MinKomp[[Stanowisko / Position ]:[Stanowisko / Position ]],0)))</f>
        <v>0</v>
      </c>
      <c r="H184" s="387">
        <f>IF(INDEX(tab_MinKomp[Przepisy PPOŻ / Brandschutzbestimmungen],MATCH($B183,tab_MinKomp[[Stanowisko / Position ]:[Stanowisko / Position ]],0))="n/a","n/a",H183-INDEX(tab_MinKomp[Przepisy PPOŻ / Brandschutzbestimmungen],MATCH($B183,tab_MinKomp[[Stanowisko / Position ]:[Stanowisko / Position ]],0)))</f>
        <v>0</v>
      </c>
      <c r="I184" s="387">
        <f>IF(INDEX(tab_MinKomp[Ryzyko zawodowe na stanowiskach pracyv/ Berufliche Risiken an Arbeitsstellen],MATCH($B183,tab_MinKomp[[Stanowisko / Position ]:[Stanowisko / Position ]],0))="n/a","n/a",I183-INDEX(tab_MinKomp[Ryzyko zawodowe na stanowiskach pracyv/ Berufliche Risiken an Arbeitsstellen],MATCH($B183,tab_MinKomp[[Stanowisko / Position ]:[Stanowisko / Position ]],0)))</f>
        <v>0</v>
      </c>
      <c r="J184" s="387">
        <f>IF(INDEX(tab_MinKomp[Gospodarka substancjami niebezpiecznymi / Gefahrstoffmanagement],MATCH($B183,tab_MinKomp[[Stanowisko / Position ]:[Stanowisko / Position ]],0))="n/a","n/a",J183-INDEX(tab_MinKomp[Gospodarka substancjami niebezpiecznymi / Gefahrstoffmanagement],MATCH($B183,tab_MinKomp[[Stanowisko / Position ]:[Stanowisko / Position ]],0)))</f>
        <v>0</v>
      </c>
      <c r="K184" s="387">
        <f>IF(INDEX(tab_MinKomp[Gospodarka odpadami / Abfallwirtschaft],MATCH($B183,tab_MinKomp[[Stanowisko / Position ]:[Stanowisko / Position ]],0))="n/a","n/a",K183-INDEX(tab_MinKomp[Gospodarka odpadami / Abfallwirtschaft],MATCH($B183,tab_MinKomp[[Stanowisko / Position ]:[Stanowisko / Position ]],0)))</f>
        <v>0</v>
      </c>
      <c r="L184" s="349">
        <f>IF(INDEX(tab_MinKomp[Przepisy kodeksu pracy / Bestimmungen des Arbeitsgesetzes],MATCH($B183,tab_MinKomp[[Stanowisko / Position ]:[Stanowisko / Position ]],0))="n/a","n/a",L183-INDEX(tab_MinKomp[Przepisy kodeksu pracy / Bestimmungen des Arbeitsgesetzes],MATCH($B183,tab_MinKomp[[Stanowisko / Position ]:[Stanowisko / Position ]],0)))</f>
        <v>0</v>
      </c>
      <c r="M184" s="349" t="str">
        <f>IF(INDEX(tab_MinKomp[Przepisy o ub.społ. ZUS  / Sozialversicherungsvorschriften],MATCH($B183,tab_MinKomp[[Stanowisko / Position ]:[Stanowisko / Position ]],0))="n/a","n/a",M183-INDEX(tab_MinKomp[Przepisy o ub.społ. ZUS  / Sozialversicherungsvorschriften],MATCH($B183,tab_MinKomp[[Stanowisko / Position ]:[Stanowisko / Position ]],0)))</f>
        <v>n/a</v>
      </c>
      <c r="N184" s="349" t="str">
        <f>IF(INDEX(tab_MinKomp[PRZEPISY O PDOF /persönlich Einkommensteuergesetz ],MATCH($B183,tab_MinKomp[[Stanowisko / Position ]:[Stanowisko / Position ]],0))="n/a","n/a",N183-INDEX(tab_MinKomp[PRZEPISY O PDOF /persönlich Einkommensteuergesetz ],MATCH($B183,tab_MinKomp[[Stanowisko / Position ]:[Stanowisko / Position ]],0)))</f>
        <v>n/a</v>
      </c>
      <c r="O184" s="349">
        <f>IF(INDEX(tab_MinKomp[Regulamin pracy / Arbeitsordnung],MATCH($B183,tab_MinKomp[[Stanowisko / Position ]:[Stanowisko / Position ]],0))="n/a","n/a",O183-INDEX(tab_MinKomp[Regulamin pracy / Arbeitsordnung],MATCH($B183,tab_MinKomp[[Stanowisko / Position ]:[Stanowisko / Position ]],0)))</f>
        <v>0</v>
      </c>
      <c r="P184" s="349">
        <f>IF(INDEX(tab_MinKomp[Regulamin wynagradzania / Vergütungsordnung],MATCH($B183,tab_MinKomp[[Stanowisko / Position ]:[Stanowisko / Position ]],0))="n/a","n/a",P183-INDEX(tab_MinKomp[Regulamin wynagradzania / Vergütungsordnung],MATCH($B183,tab_MinKomp[[Stanowisko / Position ]:[Stanowisko / Position ]],0)))</f>
        <v>0</v>
      </c>
      <c r="Q184" s="349" t="str">
        <f>IF(INDEX(tab_MinKomp[System R2PŁATNIK PRO: Płace / Lohnabrechnung],MATCH($B183,tab_MinKomp[[Stanowisko / Position ]:[Stanowisko / Position ]],0))="n/a","n/a",Q183-INDEX(tab_MinKomp[System R2PŁATNIK PRO: Płace / Lohnabrechnung],MATCH($B183,tab_MinKomp[[Stanowisko / Position ]:[Stanowisko / Position ]],0)))</f>
        <v>n/a</v>
      </c>
      <c r="R184" s="349" t="str">
        <f>IF(INDEX(tab_MinKomp[SystemR2PŁATNIK PRO: KADRY / Personaldaten],MATCH($B183,tab_MinKomp[[Stanowisko / Position ]:[Stanowisko / Position ]],0))="n/a","n/a",R183-INDEX(tab_MinKomp[SystemR2PŁATNIK PRO: KADRY / Personaldaten],MATCH($B183,tab_MinKomp[[Stanowisko / Position ]:[Stanowisko / Position ]],0)))</f>
        <v>n/a</v>
      </c>
      <c r="S184" s="349" t="str">
        <f>IF(INDEX(tab_MinKomp[SYSTEM R2PŁATNIK PRO: zarządzanie pracownikami / Arbeitsverwaltung],MATCH($B183,tab_MinKomp[[Stanowisko / Position ]:[Stanowisko / Position ]],0))="n/a","n/a",S183-INDEX(tab_MinKomp[SYSTEM R2PŁATNIK PRO: zarządzanie pracownikami / Arbeitsverwaltung],MATCH($B183,tab_MinKomp[[Stanowisko / Position ]:[Stanowisko / Position ]],0)))</f>
        <v>n/a</v>
      </c>
      <c r="T184" s="349" t="str">
        <f>IF(INDEX(tab_MinKomp[Doradztwo, wsparcie personalne / Personalberatung und Unterstützung],MATCH($B183,tab_MinKomp[[Stanowisko / Position ]:[Stanowisko / Position ]],0))="n/a","n/a",T183-INDEX(tab_MinKomp[Doradztwo, wsparcie personalne / Personalberatung und Unterstützung],MATCH($B183,tab_MinKomp[[Stanowisko / Position ]:[Stanowisko / Position ]],0)))</f>
        <v>n/a</v>
      </c>
      <c r="U184" s="349" t="str">
        <f>IF(INDEX(tab_MinKomp[Przepisy o podatku VAT / MwSt.- Gesetz],MATCH($B183,tab_MinKomp[[Stanowisko / Position ]:[Stanowisko / Position ]],0))="n/a","n/a",U183-INDEX(tab_MinKomp[Przepisy o podatku VAT / MwSt.- Gesetz],MATCH($B183,tab_MinKomp[[Stanowisko / Position ]:[Stanowisko / Position ]],0)))</f>
        <v>n/a</v>
      </c>
      <c r="V184" s="349" t="str">
        <f>IF(INDEX(tab_MinKomp[PrzepisyPDOP / geschäftlich Einkommensteuergesetz],MATCH($B183,tab_MinKomp[[Stanowisko / Position ]:[Stanowisko / Position ]],0))="n/a","n/a",V183-INDEX(tab_MinKomp[PrzepisyPDOP / geschäftlich Einkommensteuergesetz],MATCH($B183,tab_MinKomp[[Stanowisko / Position ]:[Stanowisko / Position ]],0)))</f>
        <v>n/a</v>
      </c>
      <c r="W184" s="349" t="str">
        <f>IF(INDEX(tab_MinKomp[System BAAN / FINANSE (FIBU)],MATCH($B183,tab_MinKomp[[Stanowisko / Position ]:[Stanowisko / Position ]],0))="n/a","n/a",W183-INDEX(tab_MinKomp[System BAAN / FINANSE (FIBU)],MATCH($B183,tab_MinKomp[[Stanowisko / Position ]:[Stanowisko / Position ]],0)))</f>
        <v>n/a</v>
      </c>
      <c r="X184" s="349" t="str">
        <f>IF(INDEX(tab_MinKomp[Systemy pomocnicze / Hilfssysteme(STOCKPROGRAM, KALK2000 etc.)],MATCH($B183,tab_MinKomp[[Stanowisko / Position ]:[Stanowisko / Position ]],0))="n/a","n/a",X183-INDEX(tab_MinKomp[Systemy pomocnicze / Hilfssysteme(STOCKPROGRAM, KALK2000 etc.)],MATCH($B183,tab_MinKomp[[Stanowisko / Position ]:[Stanowisko / Position ]],0)))</f>
        <v>n/a</v>
      </c>
      <c r="Y184" s="349" t="str">
        <f>IF(INDEX(tab_MinKomp[Polityka rachunkowości / Buchführungspolitik],MATCH($B183,tab_MinKomp[[Stanowisko / Position ]:[Stanowisko / Position ]],0))="n/a","n/a",Y183-INDEX(tab_MinKomp[Polityka rachunkowości / Buchführungspolitik],MATCH($B183,tab_MinKomp[[Stanowisko / Position ]:[Stanowisko / Position ]],0)))</f>
        <v>n/a</v>
      </c>
      <c r="Z184" s="349" t="str">
        <f>IF(INDEX(tab_MinKomp[Ustawa o rachunkowości / Rechnungslegungsgesetz],MATCH($B183,tab_MinKomp[[Stanowisko / Position ]:[Stanowisko / Position ]],0))="n/a","n/a",Z183-INDEX(tab_MinKomp[Ustawa o rachunkowości / Rechnungslegungsgesetz],MATCH($B183,tab_MinKomp[[Stanowisko / Position ]:[Stanowisko / Position ]],0)))</f>
        <v>n/a</v>
      </c>
      <c r="AA184" s="349" t="str">
        <f>IF(INDEX(tab_MinKomp[WORKFLOW - TS-100],MATCH($B183,tab_MinKomp[[Stanowisko / Position ]:[Stanowisko / Position ]],0))="n/a","n/a",AA183-INDEX(tab_MinKomp[WORKFLOW - TS-100],MATCH($B183,tab_MinKomp[[Stanowisko / Position ]:[Stanowisko / Position ]],0)))</f>
        <v>n/a</v>
      </c>
      <c r="AB184" s="349" t="str">
        <f>IF(INDEX(tab_MinKomp[WORKFLOW - SFMS],MATCH($B183,tab_MinKomp[[Stanowisko / Position ]:[Stanowisko / Position ]],0))="n/a","n/a",AB183-INDEX(tab_MinKomp[WORKFLOW - SFMS],MATCH($B183,tab_MinKomp[[Stanowisko / Position ]:[Stanowisko / Position ]],0)))</f>
        <v>n/a</v>
      </c>
      <c r="AC184" s="349" t="str">
        <f>IF(INDEX(tab_MinKomp[System ISO 9001:2015],MATCH($B183,tab_MinKomp[[Stanowisko / Position ]:[Stanowisko / Position ]],0))="n/a","n/a",AC183-INDEX(tab_MinKomp[System ISO 9001:2015],MATCH($B183,tab_MinKomp[[Stanowisko / Position ]:[Stanowisko / Position ]],0)))</f>
        <v>n/a</v>
      </c>
      <c r="AD184" s="349" t="str">
        <f>IF(INDEX(tab_MinKomp[System IATF 16949:2016],MATCH($B183,tab_MinKomp[[Stanowisko / Position ]:[Stanowisko / Position ]],0))="n/a","n/a",AD183-INDEX(tab_MinKomp[System IATF 16949:2016],MATCH($B183,tab_MinKomp[[Stanowisko / Position ]:[Stanowisko / Position ]],0)))</f>
        <v>n/a</v>
      </c>
      <c r="AE184" s="349" t="str">
        <f>IF(INDEX(tab_MinKomp[System ISO 14001:2015],MATCH($B183,tab_MinKomp[[Stanowisko / Position ]:[Stanowisko / Position ]],0))="n/a","n/a",AE183-INDEX(tab_MinKomp[System ISO 14001:2015],MATCH($B183,tab_MinKomp[[Stanowisko / Position ]:[Stanowisko / Position ]],0)))</f>
        <v>n/a</v>
      </c>
      <c r="AF184" s="349" t="str">
        <f>IF(INDEX(tab_MinKomp[System PN-N 18001:2004 / ISO 45001:2018],MATCH($B183,tab_MinKomp[[Stanowisko / Position ]:[Stanowisko / Position ]],0))="n/a","n/a",AF183-INDEX(tab_MinKomp[System PN-N 18001:2004 / ISO 45001:2018],MATCH($B183,tab_MinKomp[[Stanowisko / Position ]:[Stanowisko / Position ]],0)))</f>
        <v>n/a</v>
      </c>
      <c r="AG184" s="349" t="str">
        <f>IF(INDEX(tab_MinKomp[Wymagania VDA 6.3 Process / Forderungen],MATCH($B183,tab_MinKomp[[Stanowisko / Position ]:[Stanowisko / Position ]],0))="n/a","n/a",AG183-INDEX(tab_MinKomp[Wymagania VDA 6.3 Process / Forderungen],MATCH($B183,tab_MinKomp[[Stanowisko / Position ]:[Stanowisko / Position ]],0)))</f>
        <v>n/a</v>
      </c>
      <c r="AH184" s="349" t="str">
        <f>IF(INDEX(tab_MinKomp[Wymagania VDA 6.5 Product / Forderungen],MATCH($B183,tab_MinKomp[[Stanowisko / Position ]:[Stanowisko / Position ]],0))="n/a","n/a",AH183-INDEX(tab_MinKomp[Wymagania VDA 6.5 Product / Forderungen],MATCH($B183,tab_MinKomp[[Stanowisko / Position ]:[Stanowisko / Position ]],0)))</f>
        <v>n/a</v>
      </c>
      <c r="AI184" s="349" t="str">
        <f>IF(INDEX(tab_MinKomp[PSCR (VW Product Safety &amp; Conformity Representative)],MATCH($B183,tab_MinKomp[[Stanowisko / Position ]:[Stanowisko / Position ]],0))="n/a","n/a",AI183-INDEX(tab_MinKomp[PSCR (VW Product Safety &amp; Conformity Representative)],MATCH($B183,tab_MinKomp[[Stanowisko / Position ]:[Stanowisko / Position ]],0)))</f>
        <v>n/a</v>
      </c>
      <c r="AJ184" s="349" t="str">
        <f>IF(INDEX(tab_MinKomp[Auditor systemu ISO 17025:2018],MATCH($B183,tab_MinKomp[[Stanowisko / Position ]:[Stanowisko / Position ]],0))="n/a","n/a",AJ183-INDEX(tab_MinKomp[Auditor systemu ISO 17025:2018],MATCH($B183,tab_MinKomp[[Stanowisko / Position ]:[Stanowisko / Position ]],0)))</f>
        <v>n/a</v>
      </c>
      <c r="AK184" s="349" t="str">
        <f>IF(INDEX(tab_MinKomp[Pełnomocnik systemu / Systemvertreter],MATCH($B183,tab_MinKomp[[Stanowisko / Position ]:[Stanowisko / Position ]],0))="n/a","n/a",AK183-INDEX(tab_MinKomp[Pełnomocnik systemu / Systemvertreter],MATCH($B183,tab_MinKomp[[Stanowisko / Position ]:[Stanowisko / Position ]],0)))</f>
        <v>n/a</v>
      </c>
      <c r="AL184" s="349">
        <f>IF(INDEX(tab_MinKomp[Polityka Etyczna - Compliance],MATCH($B183,tab_MinKomp[[Stanowisko / Position ]:[Stanowisko / Position ]],0))="n/a","n/a",AL183-INDEX(tab_MinKomp[Polityka Etyczna - Compliance],MATCH($B183,tab_MinKomp[[Stanowisko / Position ]:[Stanowisko / Position ]],0)))</f>
        <v>0</v>
      </c>
      <c r="AM184" s="349" t="str">
        <f>IF(INDEX(tab_MinKomp[WDRAŻANIE NOWYCH PROJEKTÓW/ PROCEDURA CTM],MATCH($B183,tab_MinKomp[[Stanowisko / Position ]:[Stanowisko / Position ]],0))="n/a","n/a",AM183-INDEX(tab_MinKomp[WDRAŻANIE NOWYCH PROJEKTÓW/ PROCEDURA CTM],MATCH($B183,tab_MinKomp[[Stanowisko / Position ]:[Stanowisko / Position ]],0)))</f>
        <v>n/a</v>
      </c>
      <c r="AN184" s="349" t="str">
        <f>IF(INDEX(tab_MinKomp[KAMIENIE MILOWE MSL/PIFF],MATCH($B183,tab_MinKomp[[Stanowisko / Position ]:[Stanowisko / Position ]],0))="n/a","n/a",AN183-INDEX(tab_MinKomp[KAMIENIE MILOWE MSL/PIFF],MATCH($B183,tab_MinKomp[[Stanowisko / Position ]:[Stanowisko / Position ]],0)))</f>
        <v>n/a</v>
      </c>
      <c r="AO184" s="349" t="str">
        <f>IF(INDEX(tab_MinKomp[CP],MATCH($B183,tab_MinKomp[[Stanowisko / Position ]:[Stanowisko / Position ]],0))="n/a","n/a",AO183-INDEX(tab_MinKomp[CP],MATCH($B183,tab_MinKomp[[Stanowisko / Position ]:[Stanowisko / Position ]],0)))</f>
        <v>n/a</v>
      </c>
      <c r="AP184" s="349" t="str">
        <f>IF(INDEX(tab_MinKomp[FMEA],MATCH($B183,tab_MinKomp[[Stanowisko / Position ]:[Stanowisko / Position ]],0))="n/a","n/a",AP183-INDEX(tab_MinKomp[FMEA],MATCH($B183,tab_MinKomp[[Stanowisko / Position ]:[Stanowisko / Position ]],0)))</f>
        <v>n/a</v>
      </c>
      <c r="AQ184" s="349" t="str">
        <f>IF(INDEX(tab_MinKomp[FLOW CHART],MATCH($B183,tab_MinKomp[[Stanowisko / Position ]:[Stanowisko / Position ]],0))="n/a","n/a",AQ183-INDEX(tab_MinKomp[FLOW CHART],MATCH($B183,tab_MinKomp[[Stanowisko / Position ]:[Stanowisko / Position ]],0)))</f>
        <v>n/a</v>
      </c>
      <c r="AR184" s="349" t="str">
        <f>IF(INDEX(tab_MinKomp[APQP],MATCH($B183,tab_MinKomp[[Stanowisko / Position ]:[Stanowisko / Position ]],0))="n/a","n/a",AR183-INDEX(tab_MinKomp[APQP],MATCH($B183,tab_MinKomp[[Stanowisko / Position ]:[Stanowisko / Position ]],0)))</f>
        <v>n/a</v>
      </c>
      <c r="AS184" s="349" t="str">
        <f>IF(INDEX(tab_MinKomp[MSA],MATCH($B183,tab_MinKomp[[Stanowisko / Position ]:[Stanowisko / Position ]],0))="n/a","n/a",AS183-INDEX(tab_MinKomp[MSA],MATCH($B183,tab_MinKomp[[Stanowisko / Position ]:[Stanowisko / Position ]],0)))</f>
        <v>n/a</v>
      </c>
      <c r="AT184" s="349" t="str">
        <f>IF(INDEX(tab_MinKomp[SPC],MATCH($B183,tab_MinKomp[[Stanowisko / Position ]:[Stanowisko / Position ]],0))="n/a","n/a",AT183-INDEX(tab_MinKomp[SPC],MATCH($B183,tab_MinKomp[[Stanowisko / Position ]:[Stanowisko / Position ]],0)))</f>
        <v>n/a</v>
      </c>
      <c r="AU184" s="349" t="str">
        <f>IF(INDEX(tab_MinKomp[CSR (SPECYFICZNE WYMAGANIA KLIENTA)],MATCH($B183,tab_MinKomp[[Stanowisko / Position ]:[Stanowisko / Position ]],0))="n/a","n/a",AU183-INDEX(tab_MinKomp[CSR (SPECYFICZNE WYMAGANIA KLIENTA)],MATCH($B183,tab_MinKomp[[Stanowisko / Position ]:[Stanowisko / Position ]],0)))</f>
        <v>n/a</v>
      </c>
      <c r="AV184" s="349">
        <f>IF(INDEX(tab_MinKomp[5S],MATCH($B183,tab_MinKomp[[Stanowisko / Position ]:[Stanowisko / Position ]],0))="n/a","n/a",AV183-INDEX(tab_MinKomp[5S],MATCH($B183,tab_MinKomp[[Stanowisko / Position ]:[Stanowisko / Position ]],0)))</f>
        <v>-1</v>
      </c>
      <c r="AW184" s="349">
        <f>IF(INDEX(tab_MinKomp[LEAN MANAGEMENT],MATCH($B183,tab_MinKomp[[Stanowisko / Position ]:[Stanowisko / Position ]],0))="n/a","n/a",AW183-INDEX(tab_MinKomp[LEAN MANAGEMENT],MATCH($B183,tab_MinKomp[[Stanowisko / Position ]:[Stanowisko / Position ]],0)))</f>
        <v>-1</v>
      </c>
      <c r="AX184" s="349">
        <f>IF(INDEX(tab_MinKomp[5R],MATCH($B183,tab_MinKomp[[Stanowisko / Position ]:[Stanowisko / Position ]],0))="n/a","n/a",AX183-INDEX(tab_MinKomp[5R],MATCH($B183,tab_MinKomp[[Stanowisko / Position ]:[Stanowisko / Position ]],0)))</f>
        <v>-1</v>
      </c>
      <c r="AY184" s="349" t="str">
        <f>IF(INDEX(tab_MinKomp[Six Sigma],MATCH($B183,tab_MinKomp[[Stanowisko / Position ]:[Stanowisko / Position ]],0))="n/a","n/a",AY183-INDEX(tab_MinKomp[Six Sigma],MATCH($B183,tab_MinKomp[[Stanowisko / Position ]:[Stanowisko / Position ]],0)))</f>
        <v>n/a</v>
      </c>
      <c r="AZ184" s="349" t="str">
        <f>IF(INDEX(tab_MinKomp[System BAAN / Distribution &amp; Supply Chain],MATCH($B183,tab_MinKomp[[Stanowisko / Position ]:[Stanowisko / Position ]],0))="n/a","n/a",AZ183-INDEX(tab_MinKomp[System BAAN / Distribution &amp; Supply Chain],MATCH($B183,tab_MinKomp[[Stanowisko / Position ]:[Stanowisko / Position ]],0)))</f>
        <v>n/a</v>
      </c>
      <c r="BA184" s="349" t="str">
        <f>IF(INDEX(tab_MinKomp[Gospodarka magazynowa / Lagerverwaltung],MATCH($B183,tab_MinKomp[[Stanowisko / Position ]:[Stanowisko / Position ]],0))="n/a","n/a",BA183-INDEX(tab_MinKomp[Gospodarka magazynowa / Lagerverwaltung],MATCH($B183,tab_MinKomp[[Stanowisko / Position ]:[Stanowisko / Position ]],0)))</f>
        <v>n/a</v>
      </c>
      <c r="BB184" s="349" t="str">
        <f>IF(INDEX(tab_MinKomp[Inwentaryzacja - organizacja i przebieg / Inventurprozess],MATCH($B183,tab_MinKomp[[Stanowisko / Position ]:[Stanowisko / Position ]],0))="n/a","n/a",BB183-INDEX(tab_MinKomp[Inwentaryzacja - organizacja i przebieg / Inventurprozess],MATCH($B183,tab_MinKomp[[Stanowisko / Position ]:[Stanowisko / Position ]],0)))</f>
        <v>n/a</v>
      </c>
      <c r="BC184" s="349" t="str">
        <f>IF(INDEX(tab_MinKomp[Organizacja dostaw / Versorgungsorganisation],MATCH($B183,tab_MinKomp[[Stanowisko / Position ]:[Stanowisko / Position ]],0))="n/a","n/a",BC183-INDEX(tab_MinKomp[Organizacja dostaw / Versorgungsorganisation],MATCH($B183,tab_MinKomp[[Stanowisko / Position ]:[Stanowisko / Position ]],0)))</f>
        <v>n/a</v>
      </c>
      <c r="BD184" s="349" t="str">
        <f>IF(INDEX(tab_MinKomp[Organizacja wysyłek / Organisation von Lieferungen],MATCH($B183,tab_MinKomp[[Stanowisko / Position ]:[Stanowisko / Position ]],0))="n/a","n/a",BD183-INDEX(tab_MinKomp[Organizacja wysyłek / Organisation von Lieferungen],MATCH($B183,tab_MinKomp[[Stanowisko / Position ]:[Stanowisko / Position ]],0)))</f>
        <v>n/a</v>
      </c>
      <c r="BE184" s="349" t="str">
        <f>IF(INDEX(tab_MinKomp[Analiza magazynowa - Program Polen.mdb / Inventuranalyse],MATCH($B183,tab_MinKomp[[Stanowisko / Position ]:[Stanowisko / Position ]],0))="n/a","n/a",BE183-INDEX(tab_MinKomp[Analiza magazynowa - Program Polen.mdb / Inventuranalyse],MATCH($B183,tab_MinKomp[[Stanowisko / Position ]:[Stanowisko / Position ]],0)))</f>
        <v>n/a</v>
      </c>
      <c r="BF184" s="349" t="str">
        <f>IF(INDEX(tab_MinKomp[MMOG (Materials Management Operations Guidelines)],MATCH($B183,tab_MinKomp[[Stanowisko / Position ]:[Stanowisko / Position ]],0))="n/a","n/a",BF183-INDEX(tab_MinKomp[MMOG (Materials Management Operations Guidelines)],MATCH($B183,tab_MinKomp[[Stanowisko / Position ]:[Stanowisko / Position ]],0)))</f>
        <v>n/a</v>
      </c>
      <c r="BG184" s="349" t="str">
        <f>IF(INDEX(tab_MinKomp[DETC],MATCH($B183,tab_MinKomp[[Stanowisko / Position ]:[Stanowisko / Position ]],0))="n/a","n/a",BG183-INDEX(tab_MinKomp[DETC],MATCH($B183,tab_MinKomp[[Stanowisko / Position ]:[Stanowisko / Position ]],0)))</f>
        <v>n/a</v>
      </c>
      <c r="BH184" s="349" t="str">
        <f>IF(INDEX(tab_MinKomp[GPP],MATCH($B183,tab_MinKomp[[Stanowisko / Position ]:[Stanowisko / Position ]],0))="n/a","n/a",BH183-INDEX(tab_MinKomp[GPP],MATCH($B183,tab_MinKomp[[Stanowisko / Position ]:[Stanowisko / Position ]],0)))</f>
        <v>n/a</v>
      </c>
      <c r="BI184" s="349" t="str">
        <f>IF(INDEX(tab_MinKomp[AIAG (Automotive Industry Action Group)],MATCH($B183,tab_MinKomp[[Stanowisko / Position ]:[Stanowisko / Position ]],0))="n/a","n/a",BI183-INDEX(tab_MinKomp[AIAG (Automotive Industry Action Group)],MATCH($B183,tab_MinKomp[[Stanowisko / Position ]:[Stanowisko / Position ]],0)))</f>
        <v>n/a</v>
      </c>
      <c r="BJ184" s="349" t="str">
        <f>IF(INDEX(tab_MinKomp[Super-G disputes],MATCH($B183,tab_MinKomp[[Stanowisko / Position ]:[Stanowisko / Position ]],0))="n/a","n/a",BJ183-INDEX(tab_MinKomp[Super-G disputes],MATCH($B183,tab_MinKomp[[Stanowisko / Position ]:[Stanowisko / Position ]],0)))</f>
        <v>n/a</v>
      </c>
      <c r="BK184" s="349" t="str">
        <f>IF(INDEX(tab_MinKomp[CMMS3/eDDL (Direct Data Link)],MATCH($B183,tab_MinKomp[[Stanowisko / Position ]:[Stanowisko / Position ]],0))="n/a","n/a",BK183-INDEX(tab_MinKomp[CMMS3/eDDL (Direct Data Link)],MATCH($B183,tab_MinKomp[[Stanowisko / Position ]:[Stanowisko / Position ]],0)))</f>
        <v>n/a</v>
      </c>
      <c r="BL184" s="349" t="str">
        <f>IF(INDEX(tab_MinKomp[MP&amp;L (Material Planning and Logistics)],MATCH($B183,tab_MinKomp[[Stanowisko / Position ]:[Stanowisko / Position ]],0))="n/a","n/a",BL183-INDEX(tab_MinKomp[MP&amp;L (Material Planning and Logistics)],MATCH($B183,tab_MinKomp[[Stanowisko / Position ]:[Stanowisko / Position ]],0)))</f>
        <v>n/a</v>
      </c>
      <c r="BM184" s="349" t="str">
        <f>IF(INDEX(tab_MinKomp[Planowanie produkcji / Produktionsplanung],MATCH($B183,tab_MinKomp[[Stanowisko / Position ]:[Stanowisko / Position ]],0))="n/a","n/a",BM183-INDEX(tab_MinKomp[Planowanie produkcji / Produktionsplanung],MATCH($B183,tab_MinKomp[[Stanowisko / Position ]:[Stanowisko / Position ]],0)))</f>
        <v>n/a</v>
      </c>
      <c r="BN184" s="349">
        <f>IF(INDEX(tab_MinKomp[Obsługa maszyn Engel / Engel Maschinenbedienung],MATCH($B183,tab_MinKomp[[Stanowisko / Position ]:[Stanowisko / Position ]],0))="n/a","n/a",BN183-INDEX(tab_MinKomp[Obsługa maszyn Engel / Engel Maschinenbedienung],MATCH($B183,tab_MinKomp[[Stanowisko / Position ]:[Stanowisko / Position ]],0)))</f>
        <v>-1</v>
      </c>
      <c r="BO184" s="349">
        <f>IF(INDEX(tab_MinKomp[Obsługa maszyn Novapax / Novapax Maschinenbedienung],MATCH($B183,tab_MinKomp[[Stanowisko / Position ]:[Stanowisko / Position ]],0))="n/a","n/a",BO183-INDEX(tab_MinKomp[Obsługa maszyn Novapax / Novapax Maschinenbedienung],MATCH($B183,tab_MinKomp[[Stanowisko / Position ]:[Stanowisko / Position ]],0)))</f>
        <v>0</v>
      </c>
      <c r="BP184" s="349">
        <f>IF(INDEX(tab_MinKomp[Obsługa maszyn KVT / KVT Maschinenbedienung],MATCH($B183,tab_MinKomp[[Stanowisko / Position ]:[Stanowisko / Position ]],0))="n/a","n/a",BP183-INDEX(tab_MinKomp[Obsługa maszyn KVT / KVT Maschinenbedienung],MATCH($B183,tab_MinKomp[[Stanowisko / Position ]:[Stanowisko / Position ]],0)))</f>
        <v>0</v>
      </c>
      <c r="BQ184" s="349">
        <f>IF(INDEX(tab_MinKomp[Obsługa maszyn ASL / ASL Maschinenbedienung],MATCH($B183,tab_MinKomp[[Stanowisko / Position ]:[Stanowisko / Position ]],0))="n/a","n/a",BQ183-INDEX(tab_MinKomp[Obsługa maszyn ASL / ASL Maschinenbedienung],MATCH($B183,tab_MinKomp[[Stanowisko / Position ]:[Stanowisko / Position ]],0)))</f>
        <v>0</v>
      </c>
      <c r="BR184" s="349">
        <f>IF(INDEX(tab_MinKomp[Obsługa maszyn Branson / Branson Maschinenbedienung],MATCH($B183,tab_MinKomp[[Stanowisko / Position ]:[Stanowisko / Position ]],0))="n/a","n/a",BR183-INDEX(tab_MinKomp[Obsługa maszyn Branson / Branson Maschinenbedienung],MATCH($B183,tab_MinKomp[[Stanowisko / Position ]:[Stanowisko / Position ]],0)))</f>
        <v>0</v>
      </c>
      <c r="BS184" s="349">
        <f>IF(INDEX(tab_MinKomp[Obsługa maszyn Kamtec / Kamtec Maschinenbedienung],MATCH($B183,tab_MinKomp[[Stanowisko / Position ]:[Stanowisko / Position ]],0))="n/a","n/a",BS183-INDEX(tab_MinKomp[Obsługa maszyn Kamtec / Kamtec Maschinenbedienung],MATCH($B183,tab_MinKomp[[Stanowisko / Position ]:[Stanowisko / Position ]],0)))</f>
        <v>0</v>
      </c>
      <c r="BT184" s="349">
        <f>IF(INDEX(tab_MinKomp[Obsługa maszyn Piovan / Piovan Maschinenbedienung],MATCH($B183,tab_MinKomp[[Stanowisko / Position ]:[Stanowisko / Position ]],0))="n/a","n/a",BT183-INDEX(tab_MinKomp[Obsługa maszyn Piovan / Piovan Maschinenbedienung],MATCH($B183,tab_MinKomp[[Stanowisko / Position ]:[Stanowisko / Position ]],0)))</f>
        <v>0</v>
      </c>
      <c r="BU184" s="349">
        <f>IF(INDEX(tab_MinKomp[Obsługa maszyn REP / REP Maschinenbedienung],MATCH($B183,tab_MinKomp[[Stanowisko / Position ]:[Stanowisko / Position ]],0))="n/a","n/a",BU183-INDEX(tab_MinKomp[Obsługa maszyn REP / REP Maschinenbedienung],MATCH($B183,tab_MinKomp[[Stanowisko / Position ]:[Stanowisko / Position ]],0)))</f>
        <v>-1</v>
      </c>
      <c r="BV184" s="349">
        <f>IF(INDEX(tab_MinKomp[Eliminacja awarii / Beseitigung von Ausfällen],MATCH($B183,tab_MinKomp[[Stanowisko / Position ]:[Stanowisko / Position ]],0))="n/a","n/a",BV183-INDEX(tab_MinKomp[Eliminacja awarii / Beseitigung von Ausfällen],MATCH($B183,tab_MinKomp[[Stanowisko / Position ]:[Stanowisko / Position ]],0)))</f>
        <v>-1</v>
      </c>
      <c r="BW184" s="349" t="str">
        <f>IF(INDEX(tab_MinKomp[Informatyka ogólna (techniczne i systemowe) / Allgemeine IT (Technik und System)],MATCH($B183,tab_MinKomp[[Stanowisko / Position ]:[Stanowisko / Position ]],0))="n/a","n/a",BW183-INDEX(tab_MinKomp[Informatyka ogólna (techniczne i systemowe) / Allgemeine IT (Technik und System)],MATCH($B183,tab_MinKomp[[Stanowisko / Position ]:[Stanowisko / Position ]],0)))</f>
        <v>n/a</v>
      </c>
      <c r="BX184" s="349" t="str">
        <f>IF(INDEX(tab_MinKomp[Sieci komputerowe / Computernetzwerke],MATCH($B183,tab_MinKomp[[Stanowisko / Position ]:[Stanowisko / Position ]],0))="n/a","n/a",BX183-INDEX(tab_MinKomp[Sieci komputerowe / Computernetzwerke],MATCH($B183,tab_MinKomp[[Stanowisko / Position ]:[Stanowisko / Position ]],0)))</f>
        <v>n/a</v>
      </c>
      <c r="BY184" s="349" t="str">
        <f>IF(INDEX(tab_MinKomp[Hardware (komputery PC, drukarki biurowe i etykietowe, telefonia stacjonarna i mobilna) (PC, Drucker, Telefpne, Handys)],MATCH($B183,tab_MinKomp[[Stanowisko / Position ]:[Stanowisko / Position ]],0))="n/a","n/a",BY183-INDEX(tab_MinKomp[Hardware (komputery PC, drukarki biurowe i etykietowe, telefonia stacjonarna i mobilna) (PC, Drucker, Telefpne, Handys)],MATCH($B183,tab_MinKomp[[Stanowisko / Position ]:[Stanowisko / Position ]],0)))</f>
        <v>n/a</v>
      </c>
      <c r="BZ184" s="349" t="str">
        <f>IF(INDEX(tab_MinKomp[Software &amp; Systems (MS Office, MS Remote Desktop)],MATCH($B183,tab_MinKomp[[Stanowisko / Position ]:[Stanowisko / Position ]],0))="n/a","n/a",BZ183-INDEX(tab_MinKomp[Software &amp; Systems (MS Office, MS Remote Desktop)],MATCH($B183,tab_MinKomp[[Stanowisko / Position ]:[Stanowisko / Position ]],0)))</f>
        <v>n/a</v>
      </c>
      <c r="CA184" s="349" t="str">
        <f>IF(INDEX(tab_MinKomp[Programowanie obiektowe (PHP) / Objektprogrammierung],MATCH($B183,tab_MinKomp[[Stanowisko / Position ]:[Stanowisko / Position ]],0))="n/a","n/a",CA183-INDEX(tab_MinKomp[Programowanie obiektowe (PHP) / Objektprogrammierung],MATCH($B183,tab_MinKomp[[Stanowisko / Position ]:[Stanowisko / Position ]],0)))</f>
        <v>n/a</v>
      </c>
      <c r="CB184" s="349" t="str">
        <f>IF(INDEX(tab_MinKomp[Scrum],MATCH($B183,tab_MinKomp[[Stanowisko / Position ]:[Stanowisko / Position ]],0))="n/a","n/a",CB183-INDEX(tab_MinKomp[Scrum],MATCH($B183,tab_MinKomp[[Stanowisko / Position ]:[Stanowisko / Position ]],0)))</f>
        <v>n/a</v>
      </c>
      <c r="CC184" s="349" t="str">
        <f>IF(INDEX(tab_MinKomp[SQL (MySQL)],MATCH($B183,tab_MinKomp[[Stanowisko / Position ]:[Stanowisko / Position ]],0))="n/a","n/a",CC183-INDEX(tab_MinKomp[SQL (MySQL)],MATCH($B183,tab_MinKomp[[Stanowisko / Position ]:[Stanowisko / Position ]],0)))</f>
        <v>n/a</v>
      </c>
      <c r="CD184" s="349" t="str">
        <f>IF(INDEX(tab_MinKomp[Javascript],MATCH($B183,tab_MinKomp[[Stanowisko / Position ]:[Stanowisko / Position ]],0))="n/a","n/a",CD183-INDEX(tab_MinKomp[Javascript],MATCH($B183,tab_MinKomp[[Stanowisko / Position ]:[Stanowisko / Position ]],0)))</f>
        <v>n/a</v>
      </c>
      <c r="CE184" s="349" t="str">
        <f>IF(INDEX(tab_MinKomp[Joomla],MATCH($B183,tab_MinKomp[[Stanowisko / Position ]:[Stanowisko / Position ]],0))="n/a","n/a",CE183-INDEX(tab_MinKomp[Joomla],MATCH($B183,tab_MinKomp[[Stanowisko / Position ]:[Stanowisko / Position ]],0)))</f>
        <v>n/a</v>
      </c>
      <c r="CF184" s="349" t="str">
        <f>IF(INDEX(tab_MinKomp[Bash],MATCH($B183,tab_MinKomp[[Stanowisko / Position ]:[Stanowisko / Position ]],0))="n/a","n/a",CF183-INDEX(tab_MinKomp[Bash],MATCH($B183,tab_MinKomp[[Stanowisko / Position ]:[Stanowisko / Position ]],0)))</f>
        <v>n/a</v>
      </c>
      <c r="CG184" s="349" t="str">
        <f>IF(INDEX(tab_MinKomp[Systemy MES (HYDRA / SFMS)],MATCH($B183,tab_MinKomp[[Stanowisko / Position ]:[Stanowisko / Position ]],0))="n/a","n/a",CG183-INDEX(tab_MinKomp[Systemy MES (HYDRA / SFMS)],MATCH($B183,tab_MinKomp[[Stanowisko / Position ]:[Stanowisko / Position ]],0)))</f>
        <v>n/a</v>
      </c>
      <c r="CH184" s="349" t="str">
        <f>IF(INDEX(tab_MinKomp[HTML / CSS],MATCH($B183,tab_MinKomp[[Stanowisko / Position ]:[Stanowisko / Position ]],0))="n/a","n/a",CH183-INDEX(tab_MinKomp[HTML / CSS],MATCH($B183,tab_MinKomp[[Stanowisko / Position ]:[Stanowisko / Position ]],0)))</f>
        <v>n/a</v>
      </c>
      <c r="CI184" s="349" t="str">
        <f>IF(INDEX(tab_MinKomp[SYSTEM PR],MATCH($B183,tab_MinKomp[[Stanowisko / Position ]:[Stanowisko / Position ]],0))="n/a","n/a",CI183-INDEX(tab_MinKomp[SYSTEM PR],MATCH($B183,tab_MinKomp[[Stanowisko / Position ]:[Stanowisko / Position ]],0)))</f>
        <v>n/a</v>
      </c>
      <c r="CJ184" s="349" t="str">
        <f>IF(INDEX(tab_MinKomp[System Einkauf XP / EBA],MATCH($B183,tab_MinKomp[[Stanowisko / Position ]:[Stanowisko / Position ]],0))="n/a","n/a",CJ183-INDEX(tab_MinKomp[System Einkauf XP / EBA],MATCH($B183,tab_MinKomp[[Stanowisko / Position ]:[Stanowisko / Position ]],0)))</f>
        <v>n/a</v>
      </c>
      <c r="CK184" s="349" t="str">
        <f>IF(INDEX(tab_MinKomp[Techniki negocjacyjne / Verhandlungstechniken],MATCH($B183,tab_MinKomp[[Stanowisko / Position ]:[Stanowisko / Position ]],0))="n/a","n/a",CK183-INDEX(tab_MinKomp[Techniki negocjacyjne / Verhandlungstechniken],MATCH($B183,tab_MinKomp[[Stanowisko / Position ]:[Stanowisko / Position ]],0)))</f>
        <v>n/a</v>
      </c>
      <c r="CL184" s="349" t="str">
        <f>IF(INDEX(tab_MinKomp[Znajomość rynku branżowego / Kenntnis des Industrie Marktes],MATCH($B183,tab_MinKomp[[Stanowisko / Position ]:[Stanowisko / Position ]],0))="n/a","n/a",CL183-INDEX(tab_MinKomp[Znajomość rynku branżowego / Kenntnis des Industrie Marktes],MATCH($B183,tab_MinKomp[[Stanowisko / Position ]:[Stanowisko / Position ]],0)))</f>
        <v>n/a</v>
      </c>
      <c r="CM184" s="349" t="str">
        <f>IF(INDEX(tab_MinKomp[RAPORTY 8D / 8D Berichten],MATCH($B183,tab_MinKomp[[Stanowisko / Position ]:[Stanowisko / Position ]],0))="n/a","n/a",CM183-INDEX(tab_MinKomp[RAPORTY 8D / 8D Berichten],MATCH($B183,tab_MinKomp[[Stanowisko / Position ]:[Stanowisko / Position ]],0)))</f>
        <v>n/a</v>
      </c>
      <c r="CN184" s="349">
        <f>IF(INDEX(tab_MinKomp[NARZĘDZIA JAKOŚCIOWE (5WHY, Ishikawa, etc) / QS-Werkzeuge],MATCH($B183,tab_MinKomp[[Stanowisko / Position ]:[Stanowisko / Position ]],0))="n/a","n/a",CN183-INDEX(tab_MinKomp[NARZĘDZIA JAKOŚCIOWE (5WHY, Ishikawa, etc) / QS-Werkzeuge],MATCH($B183,tab_MinKomp[[Stanowisko / Position ]:[Stanowisko / Position ]],0)))</f>
        <v>-2</v>
      </c>
      <c r="CO184" s="349">
        <f>IF(INDEX(tab_MinKomp[PDCA],MATCH($B183,tab_MinKomp[[Stanowisko / Position ]:[Stanowisko / Position ]],0))="n/a","n/a",CO183-INDEX(tab_MinKomp[PDCA],MATCH($B183,tab_MinKomp[[Stanowisko / Position ]:[Stanowisko / Position ]],0)))</f>
        <v>-2</v>
      </c>
      <c r="CP184" s="349">
        <f>IF(INDEX(tab_MinKomp[Pareto],MATCH($B183,tab_MinKomp[[Stanowisko / Position ]:[Stanowisko / Position ]],0))="n/a","n/a",CP183-INDEX(tab_MinKomp[Pareto],MATCH($B183,tab_MinKomp[[Stanowisko / Position ]:[Stanowisko / Position ]],0)))</f>
        <v>-2</v>
      </c>
      <c r="CQ184" s="349" t="str">
        <f>IF(INDEX(tab_MinKomp[PPAP/PSW],MATCH($B183,tab_MinKomp[[Stanowisko / Position ]:[Stanowisko / Position ]],0))="n/a","n/a",CQ183-INDEX(tab_MinKomp[PPAP/PSW],MATCH($B183,tab_MinKomp[[Stanowisko / Position ]:[Stanowisko / Position ]],0)))</f>
        <v>n/a</v>
      </c>
      <c r="CR184" s="349" t="str">
        <f>IF(INDEX(tab_MinKomp[SUPPLIER MANAGEMENT],MATCH($B183,tab_MinKomp[[Stanowisko / Position ]:[Stanowisko / Position ]],0))="n/a","n/a",CR183-INDEX(tab_MinKomp[SUPPLIER MANAGEMENT],MATCH($B183,tab_MinKomp[[Stanowisko / Position ]:[Stanowisko / Position ]],0)))</f>
        <v>n/a</v>
      </c>
      <c r="CS184" s="349" t="str">
        <f>IF(INDEX(tab_MinKomp[OBSŁUGA PORTALI KLIENTA / Kundenportale],MATCH($B183,tab_MinKomp[[Stanowisko / Position ]:[Stanowisko / Position ]],0))="n/a","n/a",CS183-INDEX(tab_MinKomp[OBSŁUGA PORTALI KLIENTA / Kundenportale],MATCH($B183,tab_MinKomp[[Stanowisko / Position ]:[Stanowisko / Position ]],0)))</f>
        <v>n/a</v>
      </c>
      <c r="CT184" s="349" t="str">
        <f>IF(INDEX(tab_MinKomp[Obsługa systemu BABTECQ / BABTECQ System],MATCH($B183,tab_MinKomp[[Stanowisko / Position ]:[Stanowisko / Position ]],0))="n/a","n/a",CT183-INDEX(tab_MinKomp[Obsługa systemu BABTECQ / BABTECQ System],MATCH($B183,tab_MinKomp[[Stanowisko / Position ]:[Stanowisko / Position ]],0)))</f>
        <v>n/a</v>
      </c>
      <c r="CU184" s="349">
        <f>IF(INDEX(tab_MinKomp[Rysunek techniczny / technische Zeichnung],MATCH($B183,tab_MinKomp[[Stanowisko / Position ]:[Stanowisko / Position ]],0))="n/a","n/a",CU183-INDEX(tab_MinKomp[Rysunek techniczny / technische Zeichnung],MATCH($B183,tab_MinKomp[[Stanowisko / Position ]:[Stanowisko / Position ]],0)))</f>
        <v>-1</v>
      </c>
      <c r="CV184" s="349" t="str">
        <f>IF(INDEX(tab_MinKomp[Kalibracja / Kalibrierung],MATCH($B183,tab_MinKomp[[Stanowisko / Position ]:[Stanowisko / Position ]],0))="n/a","n/a",CV183-INDEX(tab_MinKomp[Kalibracja / Kalibrierung],MATCH($B183,tab_MinKomp[[Stanowisko / Position ]:[Stanowisko / Position ]],0)))</f>
        <v>n/a</v>
      </c>
      <c r="CW184" s="349" t="str">
        <f>IF(INDEX(tab_MinKomp[Rekwalifikacja / Requalifizierung],MATCH($B183,tab_MinKomp[[Stanowisko / Position ]:[Stanowisko / Position ]],0))="n/a","n/a",CW183-INDEX(tab_MinKomp[Rekwalifikacja / Requalifizierung],MATCH($B183,tab_MinKomp[[Stanowisko / Position ]:[Stanowisko / Position ]],0)))</f>
        <v>n/a</v>
      </c>
      <c r="CX184" s="349" t="str">
        <f>IF(INDEX(tab_MinKomp[Obsługa mikroskopu optycznego / Bedienung eines optischen Mikroskops],MATCH($B183,tab_MinKomp[[Stanowisko / Position ]:[Stanowisko / Position ]],0))="n/a","n/a",CX183-INDEX(tab_MinKomp[Obsługa mikroskopu optycznego / Bedienung eines optischen Mikroskops],MATCH($B183,tab_MinKomp[[Stanowisko / Position ]:[Stanowisko / Position ]],0)))</f>
        <v>n/a</v>
      </c>
      <c r="CY184" s="349" t="str">
        <f>IF(INDEX(tab_MinKomp[Wykonywanie pomiarów optycznych - ocena wizualna / Optische Messungen durchführen – visuelle Beurteilung],MATCH($B183,tab_MinKomp[[Stanowisko / Position ]:[Stanowisko / Position ]],0))="n/a","n/a",CY183-INDEX(tab_MinKomp[Wykonywanie pomiarów optycznych - ocena wizualna / Optische Messungen durchführen – visuelle Beurteilung],MATCH($B183,tab_MinKomp[[Stanowisko / Position ]:[Stanowisko / Position ]],0)))</f>
        <v>n/a</v>
      </c>
      <c r="CZ184" s="349" t="str">
        <f>IF(INDEX(tab_MinKomp[Obsługa Rheometra / Rheometra-Unterstützung],MATCH($B183,tab_MinKomp[[Stanowisko / Position ]:[Stanowisko / Position ]],0))="n/a","n/a",CZ183-INDEX(tab_MinKomp[Obsługa Rheometra / Rheometra-Unterstützung],MATCH($B183,tab_MinKomp[[Stanowisko / Position ]:[Stanowisko / Position ]],0)))</f>
        <v>n/a</v>
      </c>
      <c r="DA184" s="349" t="str">
        <f>IF(INDEX(tab_MinKomp[Testy właściwości Rheometra mieszanki gumy],MATCH($B183,tab_MinKomp[[Stanowisko / Position ]:[Stanowisko / Position ]],0))="n/a","n/a",DA183-INDEX(tab_MinKomp[Testy właściwości Rheometra mieszanki gumy],MATCH($B183,tab_MinKomp[[Stanowisko / Position ]:[Stanowisko / Position ]],0)))</f>
        <v>n/a</v>
      </c>
      <c r="DB184" s="349" t="str">
        <f>IF(INDEX(tab_MinKomp[CMM - Contura Zeiss],MATCH($B183,tab_MinKomp[[Stanowisko / Position ]:[Stanowisko / Position ]],0))="n/a","n/a",DB183-INDEX(tab_MinKomp[CMM - Contura Zeiss],MATCH($B183,tab_MinKomp[[Stanowisko / Position ]:[Stanowisko / Position ]],0)))</f>
        <v>n/a</v>
      </c>
      <c r="DC184" s="349" t="str">
        <f>IF(INDEX(tab_MinKomp[Wykonywanie precyzyjnych pomiarów metrycznych, pomiary 3D],MATCH($B183,tab_MinKomp[[Stanowisko / Position ]:[Stanowisko / Position ]],0))="n/a","n/a",DC183-INDEX(tab_MinKomp[Wykonywanie precyzyjnych pomiarów metrycznych, pomiary 3D],MATCH($B183,tab_MinKomp[[Stanowisko / Position ]:[Stanowisko / Position ]],0)))</f>
        <v>n/a</v>
      </c>
      <c r="DD184" s="349" t="str">
        <f>IF(INDEX(tab_MinKomp[Pisanie programów / Programme schreiben],MATCH($B183,tab_MinKomp[[Stanowisko / Position ]:[Stanowisko / Position ]],0))="n/a","n/a",DD183-INDEX(tab_MinKomp[Pisanie programów / Programme schreiben],MATCH($B183,tab_MinKomp[[Stanowisko / Position ]:[Stanowisko / Position ]],0)))</f>
        <v>n/a</v>
      </c>
      <c r="DE184" s="349" t="str">
        <f>IF(INDEX(tab_MinKomp[Obsługa wyposażenia do testów czystości (myjka + analizator) / Betrieb von Sauberkeitsprüfgeräten (Waschmaschine + Analysegerät)],MATCH($B183,tab_MinKomp[[Stanowisko / Position ]:[Stanowisko / Position ]],0))="n/a","n/a",DE183-INDEX(tab_MinKomp[Obsługa wyposażenia do testów czystości (myjka + analizator) / Betrieb von Sauberkeitsprüfgeräten (Waschmaschine + Analysegerät)],MATCH($B183,tab_MinKomp[[Stanowisko / Position ]:[Stanowisko / Position ]],0)))</f>
        <v>n/a</v>
      </c>
      <c r="DF184" s="349" t="str">
        <f>IF(INDEX(tab_MinKomp[Testy czystości / Reinheitstests],MATCH($B183,tab_MinKomp[[Stanowisko / Position ]:[Stanowisko / Position ]],0))="n/a","n/a",DF183-INDEX(tab_MinKomp[Testy czystości / Reinheitstests],MATCH($B183,tab_MinKomp[[Stanowisko / Position ]:[Stanowisko / Position ]],0)))</f>
        <v>n/a</v>
      </c>
      <c r="DG184" s="349" t="str">
        <f>IF(INDEX(tab_MinKomp[Obsługa wysokościomierza / Unterstützung für Höhenmesser],MATCH($B183,tab_MinKomp[[Stanowisko / Position ]:[Stanowisko / Position ]],0))="n/a","n/a",DG183-INDEX(tab_MinKomp[Obsługa wysokościomierza / Unterstützung für Höhenmesser],MATCH($B183,tab_MinKomp[[Stanowisko / Position ]:[Stanowisko / Position ]],0)))</f>
        <v>n/a</v>
      </c>
      <c r="DH184" s="349" t="str">
        <f>IF(INDEX(tab_MinKomp[Pomiary wysokości materiału / Materialhöhenmessungen],MATCH($B183,tab_MinKomp[[Stanowisko / Position ]:[Stanowisko / Position ]],0))="n/a","n/a",DH183-INDEX(tab_MinKomp[Pomiary wysokości materiału / Materialhöhenmessungen],MATCH($B183,tab_MinKomp[[Stanowisko / Position ]:[Stanowisko / Position ]],0)))</f>
        <v>n/a</v>
      </c>
      <c r="DI184" s="349" t="str">
        <f>IF(INDEX(tab_MinKomp[Obsługa okrągłościomierza / Unterstützung für Rundheitsmessgeräte],MATCH($B183,tab_MinKomp[[Stanowisko / Position ]:[Stanowisko / Position ]],0))="n/a","n/a",DI183-INDEX(tab_MinKomp[Obsługa okrągłościomierza / Unterstützung für Rundheitsmessgeräte],MATCH($B183,tab_MinKomp[[Stanowisko / Position ]:[Stanowisko / Position ]],0)))</f>
        <v>n/a</v>
      </c>
      <c r="DJ184" s="349" t="str">
        <f>IF(INDEX(tab_MinKomp[Wykonywania pomiarów owalności, srednicy materiału / Messung der Ovalität und des Durchmessers des Materials],MATCH($B183,tab_MinKomp[[Stanowisko / Position ]:[Stanowisko / Position ]],0))="n/a","n/a",DJ183-INDEX(tab_MinKomp[Wykonywania pomiarów owalności, srednicy materiału / Messung der Ovalität und des Durchmessers des Materials],MATCH($B183,tab_MinKomp[[Stanowisko / Position ]:[Stanowisko / Position ]],0)))</f>
        <v>n/a</v>
      </c>
      <c r="DK184" s="349" t="str">
        <f>IF(INDEX(tab_MinKomp[Obsługa urządzenia do pomiarów chropowoatości powierzchni materiału],MATCH($B183,tab_MinKomp[[Stanowisko / Position ]:[Stanowisko / Position ]],0))="n/a","n/a",DK183-INDEX(tab_MinKomp[Obsługa urządzenia do pomiarów chropowoatości powierzchni materiału],MATCH($B183,tab_MinKomp[[Stanowisko / Position ]:[Stanowisko / Position ]],0)))</f>
        <v>n/a</v>
      </c>
      <c r="DL184" s="349" t="str">
        <f>IF(INDEX(tab_MinKomp[Wykonywanie pomiarów chropowatości powierzchni materiału / Durchführung von Messungen der Materialoberflächenrauheit],MATCH($B183,tab_MinKomp[[Stanowisko / Position ]:[Stanowisko / Position ]],0))="n/a","n/a",DL183-INDEX(tab_MinKomp[Wykonywanie pomiarów chropowatości powierzchni materiału / Durchführung von Messungen der Materialoberflächenrauheit],MATCH($B183,tab_MinKomp[[Stanowisko / Position ]:[Stanowisko / Position ]],0)))</f>
        <v>n/a</v>
      </c>
      <c r="DM184" s="349" t="str">
        <f>IF(INDEX(tab_MinKomp[Obsługa urządzenia do pomiaru siły radialnej części - postępowanie z trzpieniami. / Funktionsweise des Geräts zur Messung der Radialkraft von Teilen – Handhabungsstifte.],MATCH($B183,tab_MinKomp[[Stanowisko / Position ]:[Stanowisko / Position ]],0))="n/a","n/a",DM183-INDEX(tab_MinKomp[Obsługa urządzenia do pomiaru siły radialnej części - postępowanie z trzpieniami. / Funktionsweise des Geräts zur Messung der Radialkraft von Teilen – Handhabungsstifte.],MATCH($B183,tab_MinKomp[[Stanowisko / Position ]:[Stanowisko / Position ]],0)))</f>
        <v>n/a</v>
      </c>
      <c r="DN184" s="349" t="str">
        <f>IF(INDEX(tab_MinKomp[Wykonywanie pomiarów siły radialnej części / Führen Sie Radialkraftmessungen an Teilen durch],MATCH($B183,tab_MinKomp[[Stanowisko / Position ]:[Stanowisko / Position ]],0))="n/a","n/a",DN183-INDEX(tab_MinKomp[Wykonywanie pomiarów siły radialnej części / Führen Sie Radialkraftmessungen an Teilen durch],MATCH($B183,tab_MinKomp[[Stanowisko / Position ]:[Stanowisko / Position ]],0)))</f>
        <v>n/a</v>
      </c>
      <c r="DO184" s="349" t="str">
        <f>IF(INDEX(tab_MinKomp[Obsługa komory do testów wybuchwych / Betrieb einer Explosionsprüfkammer],MATCH($B183,tab_MinKomp[[Stanowisko / Position ]:[Stanowisko / Position ]],0))="n/a","n/a",DO183-INDEX(tab_MinKomp[Obsługa komory do testów wybuchwych / Betrieb einer Explosionsprüfkammer],MATCH($B183,tab_MinKomp[[Stanowisko / Position ]:[Stanowisko / Position ]],0)))</f>
        <v>n/a</v>
      </c>
      <c r="DP184" s="349" t="str">
        <f>IF(INDEX(tab_MinKomp[Wykonywanie testów wybuchowych części / Durchführung von Explosionstests an Teilen],MATCH($B183,tab_MinKomp[[Stanowisko / Position ]:[Stanowisko / Position ]],0))="n/a","n/a",DP183-INDEX(tab_MinKomp[Wykonywanie testów wybuchowych części / Durchführung von Explosionstests an Teilen],MATCH($B183,tab_MinKomp[[Stanowisko / Position ]:[Stanowisko / Position ]],0)))</f>
        <v>n/a</v>
      </c>
      <c r="DQ184" s="349" t="str">
        <f>IF(INDEX(tab_MinKomp[Obsługa urządzeń do mierzenia siły trzymania i/lub rozciągania / Betrieb von Geräten zur Messung der Halte- und/oder Dehnkraft],MATCH($B183,tab_MinKomp[[Stanowisko / Position ]:[Stanowisko / Position ]],0))="n/a","n/a",DQ183-INDEX(tab_MinKomp[Obsługa urządzeń do mierzenia siły trzymania i/lub rozciągania / Betrieb von Geräten zur Messung der Halte- und/oder Dehnkraft],MATCH($B183,tab_MinKomp[[Stanowisko / Position ]:[Stanowisko / Position ]],0)))</f>
        <v>n/a</v>
      </c>
      <c r="DR184" s="349" t="str">
        <f>IF(INDEX(tab_MinKomp[Wykonywanie testów mierzenia siły trzymania i/lub rozciągania / Durchführung von Tests zur Messung der Halte- und/oder Streckkraft],MATCH($B183,tab_MinKomp[[Stanowisko / Position ]:[Stanowisko / Position ]],0))="n/a","n/a",DR183-INDEX(tab_MinKomp[Wykonywanie testów mierzenia siły trzymania i/lub rozciągania / Durchführung von Tests zur Messung der Halte- und/oder Streckkraft],MATCH($B183,tab_MinKomp[[Stanowisko / Position ]:[Stanowisko / Position ]],0)))</f>
        <v>n/a</v>
      </c>
      <c r="DS184" s="349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Luftstrom)],MATCH($B183,tab_MinKomp[[Stanowisko / Position ]:[Stanowisko / Position ]],0))="n/a","n/a",DS183-INDEX(tab_MinKomp[Obsługa multimetru do pomiarów środowiskowych (temperatura, wilgotność, hałas, oświetlenie, przepływ powietrza) / Betrieb eines Multimeters für Umweltmessungen (Temperatur, Luftfeuchtigkeit, Lärm, Beleuchtung, Luftstrom)],MATCH($B183,tab_MinKomp[[Stanowisko / Position ]:[Stanowisko / Position ]],0)))</f>
        <v>n/a</v>
      </c>
      <c r="DT184" s="349" t="str">
        <f>IF(INDEX(tab_MinKomp[Kontrola warunków środowiskowych pracy (temperatura, wilgotność, hałas, oświetlenie, przepływ powietrza) / Kontrolle der Arbeitsumgebungsbedingungen (Temperatur, Luftfeuchtigkeit, Lärm, Beleuchtung, Luftstrom)],MATCH($B183,tab_MinKomp[[Stanowisko / Position ]:[Stanowisko / Position ]],0))="n/a","n/a",DT183-INDEX(tab_MinKomp[Kontrola warunków środowiskowych pracy (temperatura, wilgotność, hałas, oświetlenie, przepływ powietrza) / Kontrolle der Arbeitsumgebungsbedingungen (Temperatur, Luftfeuchtigkeit, Lärm, Beleuchtung, Luftstrom)],MATCH($B183,tab_MinKomp[[Stanowisko / Position ]:[Stanowisko / Position ]],0)))</f>
        <v>n/a</v>
      </c>
      <c r="DU184" s="349" t="str">
        <f>IF(INDEX(tab_MinKomp[MSA i SPC],MATCH($B183,tab_MinKomp[[Stanowisko / Position ]:[Stanowisko / Position ]],0))="n/a","n/a",DU183-INDEX(tab_MinKomp[MSA i SPC],MATCH($B183,tab_MinKomp[[Stanowisko / Position ]:[Stanowisko / Position ]],0)))</f>
        <v>n/a</v>
      </c>
      <c r="DV184" s="349" t="str">
        <f>IF(INDEX(tab_MinKomp[Kontrola wejściowa komponentów/ Eingangskontrolle],MATCH($B183,tab_MinKomp[[Stanowisko / Position ]:[Stanowisko / Position ]],0))="n/a","n/a",DV183-INDEX(tab_MinKomp[Kontrola wejściowa komponentów/ Eingangskontrolle],MATCH($B183,tab_MinKomp[[Stanowisko / Position ]:[Stanowisko / Position ]],0)))</f>
        <v>n/a</v>
      </c>
      <c r="DW184" s="349" t="str">
        <f>IF(INDEX(tab_MinKomp[Kontrola wyjściowa produktu / Ausgangskontrolle],MATCH($B183,tab_MinKomp[[Stanowisko / Position ]:[Stanowisko / Position ]],0))="n/a","n/a",DW183-INDEX(tab_MinKomp[Kontrola wyjściowa produktu / Ausgangskontrolle],MATCH($B183,tab_MinKomp[[Stanowisko / Position ]:[Stanowisko / Position ]],0)))</f>
        <v>n/a</v>
      </c>
      <c r="DX184" s="349" t="str">
        <f>IF(INDEX(tab_MinKomp[Kontrola codzienna produkcji / Tägliche Produktionskontrolle],MATCH($B183,tab_MinKomp[[Stanowisko / Position ]:[Stanowisko / Position ]],0))="n/a","n/a",DX183-INDEX(tab_MinKomp[Kontrola codzienna produkcji / Tägliche Produktionskontrolle],MATCH($B183,tab_MinKomp[[Stanowisko / Position ]:[Stanowisko / Position ]],0)))</f>
        <v>n/a</v>
      </c>
      <c r="DY184" s="349">
        <f>IF(INDEX(tab_MinKomp[Konserwacja Rep],MATCH($B183,tab_MinKomp[[Stanowisko / Position ]:[Stanowisko / Position ]],0))="n/a","n/a",DY183-INDEX(tab_MinKomp[Konserwacja Rep],MATCH($B183,tab_MinKomp[[Stanowisko / Position ]:[Stanowisko / Position ]],0)))</f>
        <v>-1</v>
      </c>
      <c r="DZ184" s="349">
        <f>IF(INDEX(tab_MinKomp[[Konserwacja Engel ]],MATCH($B183,tab_MinKomp[[Stanowisko / Position ]:[Stanowisko / Position ]],0))="n/a","n/a",DZ183-INDEX(tab_MinKomp[[Konserwacja Engel ]],MATCH($B183,tab_MinKomp[[Stanowisko / Position ]:[Stanowisko / Position ]],0)))</f>
        <v>-1</v>
      </c>
      <c r="EA184" s="349">
        <f>IF(INDEX(tab_MinKomp[Konserwacja B 50],MATCH($B183,tab_MinKomp[[Stanowisko / Position ]:[Stanowisko / Position ]],0))="n/a","n/a",EA183-INDEX(tab_MinKomp[Konserwacja B 50],MATCH($B183,tab_MinKomp[[Stanowisko / Position ]:[Stanowisko / Position ]],0)))</f>
        <v>-1</v>
      </c>
      <c r="EB184" s="349">
        <f>IF(INDEX(tab_MinKomp[[Konserwacja EOL ]],MATCH($B183,tab_MinKomp[[Stanowisko / Position ]:[Stanowisko / Position ]],0))="n/a","n/a",EB183-INDEX(tab_MinKomp[[Konserwacja EOL ]],MATCH($B183,tab_MinKomp[[Stanowisko / Position ]:[Stanowisko / Position ]],0)))</f>
        <v>-1</v>
      </c>
      <c r="EC184" s="349">
        <f>IF(INDEX(tab_MinKomp[Konserwacja Branson],MATCH($B183,tab_MinKomp[[Stanowisko / Position ]:[Stanowisko / Position ]],0))="n/a","n/a",EC183-INDEX(tab_MinKomp[Konserwacja Branson],MATCH($B183,tab_MinKomp[[Stanowisko / Position ]:[Stanowisko / Position ]],0)))</f>
        <v>-1</v>
      </c>
      <c r="ED184" s="349">
        <f>IF(INDEX(tab_MinKomp[Konserwacja coolery],MATCH($B183,tab_MinKomp[[Stanowisko / Position ]:[Stanowisko / Position ]],0))="n/a","n/a",ED183-INDEX(tab_MinKomp[Konserwacja coolery],MATCH($B183,tab_MinKomp[[Stanowisko / Position ]:[Stanowisko / Position ]],0)))</f>
        <v>-1</v>
      </c>
      <c r="EE184" s="349">
        <f>IF(INDEX(tab_MinKomp[Konserwacja piecy],MATCH($B183,tab_MinKomp[[Stanowisko / Position ]:[Stanowisko / Position ]],0))="n/a","n/a",EE183-INDEX(tab_MinKomp[Konserwacja piecy],MATCH($B183,tab_MinKomp[[Stanowisko / Position ]:[Stanowisko / Position ]],0)))</f>
        <v>-1</v>
      </c>
      <c r="EF184" s="349">
        <f>IF(INDEX(tab_MinKomp[Rysunek techniczny- czytanie],MATCH($B183,tab_MinKomp[[Stanowisko / Position ]:[Stanowisko / Position ]],0))="n/a","n/a",EF183-INDEX(tab_MinKomp[Rysunek techniczny- czytanie],MATCH($B183,tab_MinKomp[[Stanowisko / Position ]:[Stanowisko / Position ]],0)))</f>
        <v>-1</v>
      </c>
      <c r="EG184" s="349">
        <f>IF(INDEX(tab_MinKomp[Elektryka],MATCH($B183,tab_MinKomp[[Stanowisko / Position ]:[Stanowisko / Position ]],0))="n/a","n/a",EG183-INDEX(tab_MinKomp[Elektryka],MATCH($B183,tab_MinKomp[[Stanowisko / Position ]:[Stanowisko / Position ]],0)))</f>
        <v>-1</v>
      </c>
      <c r="EH184" s="349">
        <f>IF(INDEX(tab_MinKomp[Pneumatyka],MATCH($B183,tab_MinKomp[[Stanowisko / Position ]:[Stanowisko / Position ]],0))="n/a","n/a",EH183-INDEX(tab_MinKomp[Pneumatyka],MATCH($B183,tab_MinKomp[[Stanowisko / Position ]:[Stanowisko / Position ]],0)))</f>
        <v>-1</v>
      </c>
      <c r="EI184" s="349">
        <f>IF(INDEX(tab_MinKomp[[Hydraulika ]],MATCH($B183,tab_MinKomp[[Stanowisko / Position ]:[Stanowisko / Position ]],0))="n/a","n/a",EI183-INDEX(tab_MinKomp[[Hydraulika ]],MATCH($B183,tab_MinKomp[[Stanowisko / Position ]:[Stanowisko / Position ]],0)))</f>
        <v>-1</v>
      </c>
      <c r="EJ184" s="349">
        <f>IF(INDEX(tab_MinKomp[Podciśnienie],MATCH($B183,tab_MinKomp[[Stanowisko / Position ]:[Stanowisko / Position ]],0))="n/a","n/a",EJ183-INDEX(tab_MinKomp[Podciśnienie],MATCH($B183,tab_MinKomp[[Stanowisko / Position ]:[Stanowisko / Position ]],0)))</f>
        <v>-1</v>
      </c>
      <c r="EK184" s="349">
        <f>IF(INDEX(tab_MinKomp[Usuwanie awarii],MATCH($B183,tab_MinKomp[[Stanowisko / Position ]:[Stanowisko / Position ]],0))="n/a","n/a",EK183-INDEX(tab_MinKomp[Usuwanie awarii],MATCH($B183,tab_MinKomp[[Stanowisko / Position ]:[Stanowisko / Position ]],0)))</f>
        <v>-1</v>
      </c>
      <c r="EL184" s="349">
        <f>IF(INDEX(tab_MinKomp[Obsługa robotów],MATCH($B183,tab_MinKomp[[Stanowisko / Position ]:[Stanowisko / Position ]],0))="n/a","n/a",EL183-INDEX(tab_MinKomp[Obsługa robotów],MATCH($B183,tab_MinKomp[[Stanowisko / Position ]:[Stanowisko / Position ]],0)))</f>
        <v>-1</v>
      </c>
      <c r="EM184" s="349">
        <f>IF(INDEX(tab_MinKomp[Obsługa sterowania maszyny],MATCH($B183,tab_MinKomp[[Stanowisko / Position ]:[Stanowisko / Position ]],0))="n/a","n/a",EM183-INDEX(tab_MinKomp[Obsługa sterowania maszyny],MATCH($B183,tab_MinKomp[[Stanowisko / Position ]:[Stanowisko / Position ]],0)))</f>
        <v>-1</v>
      </c>
      <c r="EN184" s="349">
        <f>IF(INDEX(tab_MinKomp[Usuwanie przyczyn żródłowych],MATCH($B183,tab_MinKomp[[Stanowisko / Position ]:[Stanowisko / Position ]],0))="n/a","n/a",EN183-INDEX(tab_MinKomp[Usuwanie przyczyn żródłowych],MATCH($B183,tab_MinKomp[[Stanowisko / Position ]:[Stanowisko / Position ]],0)))</f>
        <v>-1</v>
      </c>
      <c r="EO184" s="349">
        <f>IF(INDEX(tab_MinKomp[Cmms stosowanie],MATCH($B183,tab_MinKomp[[Stanowisko / Position ]:[Stanowisko / Position ]],0))="n/a","n/a",EO183-INDEX(tab_MinKomp[Cmms stosowanie],MATCH($B183,tab_MinKomp[[Stanowisko / Position ]:[Stanowisko / Position ]],0)))</f>
        <v>0</v>
      </c>
      <c r="EP184" s="343" t="str">
        <f>IF(INDEX(tab_MinKomp[[Czyszczenie form gumowych ]],MATCH($B183,tab_MinKomp[[Stanowisko / Position ]:[Stanowisko / Position ]],0))="n/a","n/a",EP183-INDEX(tab_MinKomp[[Czyszczenie form gumowych ]],MATCH($B183,tab_MinKomp[[Stanowisko / Position ]:[Stanowisko / Position ]],0)))</f>
        <v>n/a</v>
      </c>
      <c r="EQ184" s="343" t="str">
        <f>IF(INDEX(tab_MinKomp[Czyszczenie form plastikowych],MATCH($B183,tab_MinKomp[[Stanowisko / Position ]:[Stanowisko / Position ]],0))="n/a","n/a",EQ183-INDEX(tab_MinKomp[Czyszczenie form plastikowych],MATCH($B183,tab_MinKomp[[Stanowisko / Position ]:[Stanowisko / Position ]],0)))</f>
        <v>n/a</v>
      </c>
      <c r="ER184" s="343" t="str">
        <f>IF(INDEX(tab_MinKomp[Wymiana form plastik],MATCH($B183,tab_MinKomp[[Stanowisko / Position ]:[Stanowisko / Position ]],0))="n/a","n/a",ER183-INDEX(tab_MinKomp[Wymiana form plastik],MATCH($B183,tab_MinKomp[[Stanowisko / Position ]:[Stanowisko / Position ]],0)))</f>
        <v>n/a</v>
      </c>
      <c r="ES184" s="343" t="str">
        <f>IF(INDEX(tab_MinKomp[Wymiana form guma],MATCH($B183,tab_MinKomp[[Stanowisko / Position ]:[Stanowisko / Position ]],0))="n/a","n/a",ES183-INDEX(tab_MinKomp[Wymiana form guma],MATCH($B183,tab_MinKomp[[Stanowisko / Position ]:[Stanowisko / Position ]],0)))</f>
        <v>n/a</v>
      </c>
      <c r="ET184" s="343" t="str">
        <f>IF(INDEX(tab_MinKomp[Konserwacja KK],MATCH($B183,tab_MinKomp[[Stanowisko / Position ]:[Stanowisko / Position ]],0))="n/a","n/a",ET183-INDEX(tab_MinKomp[Konserwacja KK],MATCH($B183,tab_MinKomp[[Stanowisko / Position ]:[Stanowisko / Position ]],0)))</f>
        <v>n/a</v>
      </c>
      <c r="EU184" s="343" t="str">
        <f>IF(INDEX(tab_MinKomp[Konserwacja form guma],MATCH($B183,tab_MinKomp[[Stanowisko / Position ]:[Stanowisko / Position ]],0))="n/a","n/a",EU183-INDEX(tab_MinKomp[Konserwacja form guma],MATCH($B183,tab_MinKomp[[Stanowisko / Position ]:[Stanowisko / Position ]],0)))</f>
        <v>n/a</v>
      </c>
      <c r="EV184" s="343" t="str">
        <f>IF(INDEX(tab_MinKomp[Konserwacja form plastiki],MATCH($B183,tab_MinKomp[[Stanowisko / Position ]:[Stanowisko / Position ]],0))="n/a","n/a",EV183-INDEX(tab_MinKomp[Konserwacja form plastiki],MATCH($B183,tab_MinKomp[[Stanowisko / Position ]:[Stanowisko / Position ]],0)))</f>
        <v>n/a</v>
      </c>
      <c r="EW184" s="330" t="str">
        <f>IF(INDEX(tab_MinKomp[Konserwacja form plastiki],MATCH($B183,tab_MinKomp[[Stanowisko / Position ]:[Stanowisko / Position ]],0))="n/a","n/a",EW183-INDEX(tab_MinKomp[Konserwacja form plastiki],MATCH($B183,tab_MinKomp[[Stanowisko / Position ]:[Stanowisko / Position ]],0)))</f>
        <v>n/a</v>
      </c>
      <c r="EX184" s="343" t="str">
        <f>IF(INDEX(tab_MinKomp[Konserwacja Gorącego Kanału],MATCH($B183,tab_MinKomp[[Stanowisko / Position ]:[Stanowisko / Position ]],0))="n/a","n/a",EX183-INDEX(tab_MinKomp[Konserwacja Gorącego Kanału],MATCH($B183,tab_MinKomp[[Stanowisko / Position ]:[Stanowisko / Position ]],0)))</f>
        <v>n/a</v>
      </c>
      <c r="EY184" s="349" t="str">
        <f>IF(INDEX(tab_MinKomp[MS Office (Excel)],MATCH($B183,tab_MinKomp[[Stanowisko / Position ]:[Stanowisko / Position ]],0))="n/a","n/a",EY183-INDEX(tab_MinKomp[MS Office (Excel)],MATCH($B183,tab_MinKomp[[Stanowisko / Position ]:[Stanowisko / Position ]],0)))</f>
        <v>n/a</v>
      </c>
      <c r="EZ184" s="349" t="str">
        <f>IF(INDEX(tab_MinKomp[MS Office (Word)],MATCH($B183,tab_MinKomp[[Stanowisko / Position ]:[Stanowisko / Position ]],0))="n/a","n/a",EZ183-INDEX(tab_MinKomp[MS Office (Word)],MATCH($B183,tab_MinKomp[[Stanowisko / Position ]:[Stanowisko / Position ]],0)))</f>
        <v>n/a</v>
      </c>
      <c r="FA184" s="349" t="str">
        <f>IF(INDEX(tab_MinKomp[MS Office (Power Point)],MATCH($B183,tab_MinKomp[[Stanowisko / Position ]:[Stanowisko / Position ]],0))="n/a","n/a",FA183-INDEX(tab_MinKomp[MS Office (Power Point)],MATCH($B183,tab_MinKomp[[Stanowisko / Position ]:[Stanowisko / Position ]],0)))</f>
        <v>n/a</v>
      </c>
      <c r="FB184" s="349" t="str">
        <f>IF(INDEX(tab_MinKomp[Język angielski / Englisch],MATCH($B183,tab_MinKomp[[Stanowisko / Position ]:[Stanowisko / Position ]],0))="n/a","n/a",FB183-INDEX(tab_MinKomp[Język angielski / Englisch],MATCH($B183,tab_MinKomp[[Stanowisko / Position ]:[Stanowisko / Position ]],0)))</f>
        <v>n/a</v>
      </c>
      <c r="FC184" s="349" t="str">
        <f>IF(INDEX(tab_MinKomp[Język niemiecki / Deutsch],MATCH($B183,tab_MinKomp[[Stanowisko / Position ]:[Stanowisko / Position ]],0))="n/a","n/a",FC183-INDEX(tab_MinKomp[Język niemiecki / Deutsch],MATCH($B183,tab_MinKomp[[Stanowisko / Position ]:[Stanowisko / Position ]],0)))</f>
        <v>n/a</v>
      </c>
      <c r="FD184" s="349">
        <f>IF(INDEX(tab_MinKomp[Zarządzanie dokumentacją procesową / Process dokumentation management],MATCH($B183,tab_MinKomp[[Stanowisko / Position ]:[Stanowisko / Position ]],0))="n/a","n/a",FD183-INDEX(tab_MinKomp[Zarządzanie dokumentacją procesową / Process dokumentation management],MATCH($B183,tab_MinKomp[[Stanowisko / Position ]:[Stanowisko / Position ]],0)))</f>
        <v>0</v>
      </c>
      <c r="FE184" s="349">
        <f>IF(INDEX(tab_MinKomp[Znajomość procesów z obszaru / Kenntiss der prozesse in dem Bereich],MATCH($B183,tab_MinKomp[[Stanowisko / Position ]:[Stanowisko / Position ]],0))="n/a","n/a",FE183-INDEX(tab_MinKomp[Znajomość procesów z obszaru / Kenntiss der prozesse in dem Bereich],MATCH($B183,tab_MinKomp[[Stanowisko / Position ]:[Stanowisko / Position ]],0)))</f>
        <v>-1</v>
      </c>
      <c r="FF184" s="349">
        <f>IF(INDEX(tab_MinKomp[optymalizacja procesów / Prozessoptymalisierung],MATCH($B183,tab_MinKomp[[Stanowisko / Position ]:[Stanowisko / Position ]],0))="n/a","n/a",FF183-INDEX(tab_MinKomp[optymalizacja procesów / Prozessoptymalisierung],MATCH($B183,tab_MinKomp[[Stanowisko / Position ]:[Stanowisko / Position ]],0)))</f>
        <v>-1</v>
      </c>
      <c r="FG184" s="349">
        <f>IF(INDEX(tab_MinKomp[Umiejętności szkoleniowe / Trainingsfähigkeiten],MATCH($B183,tab_MinKomp[[Stanowisko / Position ]:[Stanowisko / Position ]],0))="n/a","n/a",FG183-INDEX(tab_MinKomp[Umiejętności szkoleniowe / Trainingsfähigkeiten],MATCH($B183,tab_MinKomp[[Stanowisko / Position ]:[Stanowisko / Position ]],0)))</f>
        <v>-1</v>
      </c>
      <c r="FH184" s="349">
        <f>IF(INDEX(tab_MinKomp[Analityczne myślenie, podejście / Analitysches Denken, Einstellung],MATCH($B183,tab_MinKomp[[Stanowisko / Position ]:[Stanowisko / Position ]],0))="n/a","n/a",FH183-INDEX(tab_MinKomp[Analityczne myślenie, podejście / Analitysches Denken, Einstellung],MATCH($B183,tab_MinKomp[[Stanowisko / Position ]:[Stanowisko / Position ]],0)))</f>
        <v>-1</v>
      </c>
      <c r="FI184" s="349">
        <f>IF(INDEX(tab_MinKomp[Dokładność, precyzja w dzialaniu / Genauigkeit, Präzision in die Arbeit],MATCH($B183,tab_MinKomp[[Stanowisko / Position ]:[Stanowisko / Position ]],0))="n/a","n/a",FI183-INDEX(tab_MinKomp[Dokładność, precyzja w dzialaniu / Genauigkeit, Präzision in die Arbeit],MATCH($B183,tab_MinKomp[[Stanowisko / Position ]:[Stanowisko / Position ]],0)))</f>
        <v>-1</v>
      </c>
      <c r="FJ184" s="349">
        <f>IF(INDEX(tab_MinKomp[Dyspozycyjność / Verfügbarkeit],MATCH($B183,tab_MinKomp[[Stanowisko / Position ]:[Stanowisko / Position ]],0))="n/a","n/a",FJ183-INDEX(tab_MinKomp[Dyspozycyjność / Verfügbarkeit],MATCH($B183,tab_MinKomp[[Stanowisko / Position ]:[Stanowisko / Position ]],0)))</f>
        <v>-1</v>
      </c>
      <c r="FK184" s="349">
        <f>IF(INDEX(tab_MinKomp[Zaangażowanie / 
Engagement],MATCH($B183,tab_MinKomp[[Stanowisko / Position ]:[Stanowisko / Position ]],0))="n/a","n/a",FK183-INDEX(tab_MinKomp[Zaangażowanie / 
Engagement],MATCH($B183,tab_MinKomp[[Stanowisko / Position ]:[Stanowisko / Position ]],0)))</f>
        <v>-1</v>
      </c>
      <c r="FL184" s="349" t="str">
        <f>IF(INDEX(tab_MinKomp[Planowanie strategiczne / Strategische Planung],MATCH($B183,tab_MinKomp[[Stanowisko / Position ]:[Stanowisko / Position ]],0))="n/a","n/a",FL183-INDEX(tab_MinKomp[Planowanie strategiczne / Strategische Planung],MATCH($B183,tab_MinKomp[[Stanowisko / Position ]:[Stanowisko / Position ]],0)))</f>
        <v>n/a</v>
      </c>
      <c r="FM184" s="349">
        <f>IF(INDEX(tab_MinKomp[Konsekwentne i dynamiczne działanie],MATCH($B183,tab_MinKomp[[Stanowisko / Position ]:[Stanowisko / Position ]],0))="n/a","n/a",FM183-INDEX(tab_MinKomp[Konsekwentne i dynamiczne działanie],MATCH($B183,tab_MinKomp[[Stanowisko / Position ]:[Stanowisko / Position ]],0)))</f>
        <v>0</v>
      </c>
      <c r="FN184" s="349" t="str">
        <f>IF(INDEX(tab_MinKomp[Elastyczność w działaniu],MATCH($B183,tab_MinKomp[[Stanowisko / Position ]:[Stanowisko / Position ]],0))="n/a","n/a",FN183-INDEX(tab_MinKomp[Elastyczność w działaniu],MATCH($B183,tab_MinKomp[[Stanowisko / Position ]:[Stanowisko / Position ]],0)))</f>
        <v>n/a</v>
      </c>
      <c r="FO184" s="349" t="str">
        <f>IF(INDEX(tab_MinKomp[Komunikatywność],MATCH($B183,tab_MinKomp[[Stanowisko / Position ]:[Stanowisko / Position ]],0))="n/a","n/a",FO183-INDEX(tab_MinKomp[Komunikatywność],MATCH($B183,tab_MinKomp[[Stanowisko / Position ]:[Stanowisko / Position ]],0)))</f>
        <v>n/a</v>
      </c>
      <c r="FP184" s="349" t="str">
        <f>IF(INDEX(tab_MinKomp[Motywowanie i budowanie zaangażowania zespołu],MATCH($B183,tab_MinKomp[[Stanowisko / Position ]:[Stanowisko / Position ]],0))="n/a","n/a",FP183-INDEX(tab_MinKomp[Motywowanie i budowanie zaangażowania zespołu],MATCH($B183,tab_MinKomp[[Stanowisko / Position ]:[Stanowisko / Position ]],0)))</f>
        <v>n/a</v>
      </c>
      <c r="FQ184" s="388" t="str">
        <f>IFERROR(IF(INDEX(tab_MinKomp[BRAK / Keine],MATCH($B183,tab_MinKomp[[Stanowisko / Position ]:[Stanowisko / Position ]],0))="n/a","n/a",INDEX(tab_MinKomp[BRAK / Keine],MATCH($B183,tab_MinKomp[[Stanowisko / Position ]:[Stanowisko / Position ]],0))-FQ183),"")</f>
        <v>n/a</v>
      </c>
      <c r="FR184" s="349" t="str">
        <f>IF(INDEX(tab_MinKomp[MINIMUM 1 ROK / min. 1 Jahr],MATCH($B183,tab_MinKomp[[Stanowisko / Position ]:[Stanowisko / Position ]],0))="n/a","n/a",INDEX(tab_MinKomp[MINIMUM 1 ROK / min. 1 Jahr],MATCH($B183,tab_MinKomp[[Stanowisko / Position ]:[Stanowisko / Position ]],0)))</f>
        <v>n/a</v>
      </c>
      <c r="FS184" s="349" t="str">
        <f>IF(INDEX(tab_MinKomp[MINIMUM 2 LATA / min. 2 Jahre],MATCH($B183,tab_MinKomp[[Stanowisko / Position ]:[Stanowisko / Position ]],0))="n/a","n/a",INDEX(tab_MinKomp[MINIMUM 2 LATA / min. 2 Jahre],MATCH($B183,tab_MinKomp[[Stanowisko / Position ]:[Stanowisko / Position ]],0)))</f>
        <v>n/a</v>
      </c>
      <c r="FT184" s="349" t="str">
        <f>IF(INDEX(tab_MinKomp[MINIMUM 3 LATA / min. 3 Jahre],MATCH($B183,tab_MinKomp[[Stanowisko / Position ]:[Stanowisko / Position ]],0))="n/a","n/a",INDEX(tab_MinKomp[MINIMUM 3 LATA / min. 3 Jahre],MATCH($B183,tab_MinKomp[[Stanowisko / Position ]:[Stanowisko / Position ]],0)))</f>
        <v>n/a</v>
      </c>
      <c r="FU184" s="349" t="str">
        <f>IF(INDEX(tab_MinKomp[MINIMUM 4 LATA / min. 4 Jahre],MATCH($B183,tab_MinKomp[[Stanowisko / Position ]:[Stanowisko / Position ]],0))="n/a","n/a",INDEX(tab_MinKomp[MINIMUM 4 LATA / min. 4 Jahre],MATCH($B183,tab_MinKomp[[Stanowisko / Position ]:[Stanowisko / Position ]],0)))</f>
        <v>n/a</v>
      </c>
      <c r="FV184" s="389" t="str">
        <f>IF(INDEX(tab_MinKomp[MINIMUM 5 LAT / min. 5 Jahre],MATCH($B183,tab_MinKomp[[Stanowisko / Position ]:[Stanowisko / Position ]],0))="n/a","n/a",INDEX(tab_MinKomp[MINIMUM 5 LAT / min. 5 Jahre],MATCH($B183,tab_MinKomp[[Stanowisko / Position ]:[Stanowisko / Position ]],0)))</f>
        <v>n/a</v>
      </c>
      <c r="FW184" s="388" t="str">
        <f>IF(INDEX(tab_MinKomp[BRAK / Keine9],MATCH($B183,tab_MinKomp[[Stanowisko / Position ]:[Stanowisko / Position ]],0))="n/a","n/a",INDEX(tab_MinKomp[BRAK / Keine9],MATCH($B183,tab_MinKomp[[Stanowisko / Position ]:[Stanowisko / Position ]],0)))</f>
        <v>n/a</v>
      </c>
      <c r="FX184" s="349" t="str">
        <f>IF(INDEX(tab_MinKomp[ZAWODOWE / Berufsausbildung],MATCH($B183,tab_MinKomp[[Stanowisko / Position ]:[Stanowisko / Position ]],0))="n/a","n/a",INDEX(tab_MinKomp[ZAWODOWE / Berufsausbildung],MATCH($B183,tab_MinKomp[[Stanowisko / Position ]:[Stanowisko / Position ]],0)))</f>
        <v>n/a</v>
      </c>
      <c r="FY184" s="349" t="s">
        <v>387</v>
      </c>
      <c r="FZ184" s="349" t="str">
        <f>IF(INDEX(tab_MinKomp[ŚREDNIE KIERUNKOWE / berufliches Gymnasium],MATCH($B183,tab_MinKomp[[Stanowisko / Position ]:[Stanowisko / Position ]],0))="n/a","n/a",INDEX(tab_MinKomp[ŚREDNIE KIERUNKOWE / berufliches Gymnasium],MATCH($B183,tab_MinKomp[[Stanowisko / Position ]:[Stanowisko / Position ]],0)))</f>
        <v>n/a</v>
      </c>
      <c r="GA184" s="349" t="str">
        <f>IF(INDEX(tab_MinKomp[WYŻSZE OGÓLNE / Hochschule allgemeine],MATCH($B183,tab_MinKomp[[Stanowisko / Position ]:[Stanowisko / Position ]],0))="n/a","n/a",INDEX(tab_MinKomp[WYŻSZE OGÓLNE / Hochschule allgemeine],MATCH($B183,tab_MinKomp[[Stanowisko / Position ]:[Stanowisko / Position ]],0)))</f>
        <v>n/a</v>
      </c>
      <c r="GB184" s="389" t="str">
        <f>IF(INDEX(tab_MinKomp[WYŻSZE KIERUNKOWE / Hochschule berufliche],MATCH($B183,tab_MinKomp[[Stanowisko / Position ]:[Stanowisko / Position ]],0))="n/a","n/a",INDEX(tab_MinKomp[WYŻSZE KIERUNKOWE / Hochschule berufliche],MATCH($B183,tab_MinKomp[[Stanowisko / Position ]:[Stanowisko / Position ]],0)))</f>
        <v>n/a</v>
      </c>
      <c r="GC184" s="388" t="str">
        <f>IF(INDEX(tab_MinKomp[PIERWSZA POMOC / Erste Hilfe],MATCH($B183,tab_MinKomp[[Stanowisko / Position ]:[Stanowisko / Position ]],0))="n/a","n/a",INDEX(tab_MinKomp[PIERWSZA POMOC / Erste Hilfe],MATCH($B183,tab_MinKomp[[Stanowisko / Position ]:[Stanowisko / Position ]],0)))</f>
        <v>n/a</v>
      </c>
      <c r="GD184" s="349" t="str">
        <f>IF(INDEX(tab_MinKomp[Specjalista BHP / BHP Spezialist],MATCH($B183,tab_MinKomp[[Stanowisko / Position ]:[Stanowisko / Position ]],0))="n/a","n/a",INDEX(tab_MinKomp[Specjalista BHP / BHP Spezialist],MATCH($B183,tab_MinKomp[[Stanowisko / Position ]:[Stanowisko / Position ]],0)))</f>
        <v>n/a</v>
      </c>
      <c r="GE184" s="349" t="str">
        <f>IF(INDEX(tab_MinKomp[Specjalista BHP / BHP Spezialist],MATCH($B183,tab_MinKomp[[Stanowisko / Position ]:[Stanowisko / Position ]],0))="n/a","n/a",INDEX(tab_MinKomp[Specjalista BHP / BHP Spezialist],MATCH($B183,tab_MinKomp[[Stanowisko / Position ]:[Stanowisko / Position ]],0)))</f>
        <v>n/a</v>
      </c>
      <c r="GF184" s="349" t="str">
        <f>IF(INDEX(tab_MinKomp[WÓZKI JEZDNIOWE / Gebelstapler],MATCH($B183,tab_MinKomp[[Stanowisko / Position ]:[Stanowisko / Position ]],0))="n/a","n/a",INDEX(tab_MinKomp[WÓZKI JEZDNIOWE / Gebelstapler],MATCH($B183,tab_MinKomp[[Stanowisko / Position ]:[Stanowisko / Position ]],0)))</f>
        <v>x</v>
      </c>
      <c r="GG184" s="349" t="str">
        <f>IF(INDEX(tab_MinKomp[SEP],MATCH($B183,tab_MinKomp[[Stanowisko / Position ]:[Stanowisko / Position ]],0))="n/a","n/a",INDEX(tab_MinKomp[SEP],MATCH($B183,tab_MinKomp[[Stanowisko / Position ]:[Stanowisko / Position ]],0)))</f>
        <v>X</v>
      </c>
      <c r="GH184" s="349" t="str">
        <f>IF(INDEX(tab_MinKomp[SEP  DOZÓR / SEP Aufsicht],MATCH($B183,tab_MinKomp[[Stanowisko / Position ]:[Stanowisko / Position ]],0))="n/a","n/a",INDEX(tab_MinKomp[SEP  DOZÓR / SEP Aufsicht],MATCH($B183,tab_MinKomp[[Stanowisko / Position ]:[Stanowisko / Position ]],0)))</f>
        <v>x</v>
      </c>
      <c r="GI184" s="349" t="str">
        <f>IF(INDEX(tab_MinKomp[PODNOŚNIKI / Hebevorrichtung],MATCH($B183,tab_MinKomp[[Stanowisko / Position ]:[Stanowisko / Position ]],0))="n/a","n/a",INDEX(tab_MinKomp[PODNOŚNIKI / Hebevorrichtung],MATCH($B183,tab_MinKomp[[Stanowisko / Position ]:[Stanowisko / Position ]],0)))</f>
        <v>X</v>
      </c>
      <c r="GJ184" s="349" t="str">
        <f>IF(INDEX(tab_MinKomp[SUWNICE / Laufkran],MATCH($B183,tab_MinKomp[[Stanowisko / Position ]:[Stanowisko / Position ]],0))="n/a","n/a",INDEX(tab_MinKomp[SUWNICE / Laufkran],MATCH($B183,tab_MinKomp[[Stanowisko / Position ]:[Stanowisko / Position ]],0)))</f>
        <v>x</v>
      </c>
      <c r="GK184" s="389" t="str">
        <f>IF(INDEX(tab_MinKomp[WYSOKOŚCIOWE / Höhenberechtigungen],MATCH($B183,tab_MinKomp[[Stanowisko / Position ]:[Stanowisko / Position ]],0))="n/a","n/a",INDEX(tab_MinKomp[WYSOKOŚCIOWE / Höhenberechtigungen],MATCH($B183,tab_MinKomp[[Stanowisko / Position ]:[Stanowisko / Position ]],0)))</f>
        <v>x</v>
      </c>
      <c r="GL184" s="320">
        <f>SUM(G184:FP184)/(GL183-(SUM(G184:FP184)))</f>
        <v>-0.41860465116279072</v>
      </c>
      <c r="GM184" s="132"/>
    </row>
    <row r="185" spans="1:195" ht="27.75" customHeight="1" x14ac:dyDescent="0.25">
      <c r="A185" s="135" t="s">
        <v>259</v>
      </c>
      <c r="B185" s="135" t="s">
        <v>210</v>
      </c>
      <c r="C185" s="135" t="s">
        <v>750</v>
      </c>
      <c r="D185" s="135">
        <v>1672</v>
      </c>
      <c r="E185" s="563" t="s">
        <v>645</v>
      </c>
      <c r="F185" s="307" t="s">
        <v>165</v>
      </c>
      <c r="G185" s="308">
        <v>2</v>
      </c>
      <c r="H185" s="308">
        <v>2</v>
      </c>
      <c r="I185" s="308">
        <v>2</v>
      </c>
      <c r="J185" s="308">
        <v>1</v>
      </c>
      <c r="K185" s="308">
        <v>2</v>
      </c>
      <c r="L185" s="308">
        <v>1</v>
      </c>
      <c r="M185" s="308" t="s">
        <v>176</v>
      </c>
      <c r="N185" s="308" t="s">
        <v>176</v>
      </c>
      <c r="O185" s="308">
        <v>1</v>
      </c>
      <c r="P185" s="308">
        <v>1</v>
      </c>
      <c r="Q185" s="308" t="s">
        <v>176</v>
      </c>
      <c r="R185" s="308" t="s">
        <v>176</v>
      </c>
      <c r="S185" s="308" t="s">
        <v>176</v>
      </c>
      <c r="T185" s="308" t="s">
        <v>176</v>
      </c>
      <c r="U185" s="308" t="s">
        <v>176</v>
      </c>
      <c r="V185" s="308" t="s">
        <v>176</v>
      </c>
      <c r="W185" s="308" t="s">
        <v>176</v>
      </c>
      <c r="X185" s="308" t="s">
        <v>176</v>
      </c>
      <c r="Y185" s="308" t="s">
        <v>176</v>
      </c>
      <c r="Z185" s="308" t="s">
        <v>176</v>
      </c>
      <c r="AA185" s="308" t="s">
        <v>176</v>
      </c>
      <c r="AB185" s="308">
        <v>2</v>
      </c>
      <c r="AC185" s="308">
        <v>2</v>
      </c>
      <c r="AD185" s="308">
        <v>2</v>
      </c>
      <c r="AE185" s="308">
        <v>1</v>
      </c>
      <c r="AF185" s="308">
        <v>1</v>
      </c>
      <c r="AG185" s="308">
        <v>1</v>
      </c>
      <c r="AH185" s="308">
        <v>2</v>
      </c>
      <c r="AI185" s="308" t="s">
        <v>176</v>
      </c>
      <c r="AJ185" s="308" t="s">
        <v>176</v>
      </c>
      <c r="AK185" s="308" t="s">
        <v>176</v>
      </c>
      <c r="AL185" s="308">
        <v>2</v>
      </c>
      <c r="AM185" s="308">
        <v>1</v>
      </c>
      <c r="AN185" s="308">
        <v>1</v>
      </c>
      <c r="AO185" s="308">
        <v>2</v>
      </c>
      <c r="AP185" s="308">
        <v>2</v>
      </c>
      <c r="AQ185" s="308">
        <v>2</v>
      </c>
      <c r="AR185" s="308">
        <v>1</v>
      </c>
      <c r="AS185" s="308">
        <v>2</v>
      </c>
      <c r="AT185" s="308">
        <v>1</v>
      </c>
      <c r="AU185" s="308">
        <v>2</v>
      </c>
      <c r="AV185" s="308">
        <v>2</v>
      </c>
      <c r="AW185" s="308">
        <v>1</v>
      </c>
      <c r="AX185" s="308">
        <v>1</v>
      </c>
      <c r="AY185" s="308" t="s">
        <v>176</v>
      </c>
      <c r="AZ185" s="308">
        <v>1</v>
      </c>
      <c r="BA185" s="308" t="s">
        <v>176</v>
      </c>
      <c r="BB185" s="308" t="s">
        <v>176</v>
      </c>
      <c r="BC185" s="308" t="s">
        <v>176</v>
      </c>
      <c r="BD185" s="308" t="s">
        <v>176</v>
      </c>
      <c r="BE185" s="308" t="s">
        <v>176</v>
      </c>
      <c r="BF185" s="308" t="s">
        <v>176</v>
      </c>
      <c r="BG185" s="308" t="s">
        <v>176</v>
      </c>
      <c r="BH185" s="308" t="s">
        <v>176</v>
      </c>
      <c r="BI185" s="308" t="s">
        <v>176</v>
      </c>
      <c r="BJ185" s="308" t="s">
        <v>176</v>
      </c>
      <c r="BK185" s="308" t="s">
        <v>176</v>
      </c>
      <c r="BL185" s="308" t="s">
        <v>176</v>
      </c>
      <c r="BM185" s="308" t="s">
        <v>176</v>
      </c>
      <c r="BN185" s="308" t="s">
        <v>176</v>
      </c>
      <c r="BO185" s="308" t="s">
        <v>176</v>
      </c>
      <c r="BP185" s="308" t="s">
        <v>176</v>
      </c>
      <c r="BQ185" s="308" t="s">
        <v>176</v>
      </c>
      <c r="BR185" s="308" t="s">
        <v>176</v>
      </c>
      <c r="BS185" s="308" t="s">
        <v>176</v>
      </c>
      <c r="BT185" s="308" t="s">
        <v>176</v>
      </c>
      <c r="BU185" s="308" t="s">
        <v>176</v>
      </c>
      <c r="BV185" s="308" t="s">
        <v>176</v>
      </c>
      <c r="BW185" s="308" t="s">
        <v>176</v>
      </c>
      <c r="BX185" s="308" t="s">
        <v>176</v>
      </c>
      <c r="BY185" s="308" t="s">
        <v>176</v>
      </c>
      <c r="BZ185" s="308" t="s">
        <v>176</v>
      </c>
      <c r="CA185" s="308" t="s">
        <v>176</v>
      </c>
      <c r="CB185" s="308" t="s">
        <v>176</v>
      </c>
      <c r="CC185" s="308" t="s">
        <v>176</v>
      </c>
      <c r="CD185" s="308" t="s">
        <v>176</v>
      </c>
      <c r="CE185" s="308" t="s">
        <v>176</v>
      </c>
      <c r="CF185" s="308" t="s">
        <v>176</v>
      </c>
      <c r="CG185" s="308" t="s">
        <v>176</v>
      </c>
      <c r="CH185" s="308" t="s">
        <v>176</v>
      </c>
      <c r="CI185" s="308">
        <v>2</v>
      </c>
      <c r="CJ185" s="308">
        <v>2</v>
      </c>
      <c r="CK185" s="308" t="s">
        <v>176</v>
      </c>
      <c r="CL185" s="308" t="s">
        <v>176</v>
      </c>
      <c r="CM185" s="308">
        <v>2</v>
      </c>
      <c r="CN185" s="308">
        <v>2</v>
      </c>
      <c r="CO185" s="308">
        <v>2</v>
      </c>
      <c r="CP185" s="308">
        <v>2</v>
      </c>
      <c r="CQ185" s="308">
        <v>2</v>
      </c>
      <c r="CR185" s="308">
        <v>1</v>
      </c>
      <c r="CS185" s="308">
        <v>3</v>
      </c>
      <c r="CT185" s="308">
        <v>2</v>
      </c>
      <c r="CU185" s="308">
        <v>2</v>
      </c>
      <c r="CV185" s="308" t="s">
        <v>176</v>
      </c>
      <c r="CW185" s="308">
        <v>1</v>
      </c>
      <c r="CX185" s="308">
        <v>2</v>
      </c>
      <c r="CY185" s="308">
        <v>1</v>
      </c>
      <c r="CZ185" s="308" t="s">
        <v>176</v>
      </c>
      <c r="DA185" s="308" t="s">
        <v>176</v>
      </c>
      <c r="DB185" s="308" t="s">
        <v>176</v>
      </c>
      <c r="DC185" s="308" t="s">
        <v>176</v>
      </c>
      <c r="DD185" s="308" t="s">
        <v>176</v>
      </c>
      <c r="DE185" s="308" t="s">
        <v>176</v>
      </c>
      <c r="DF185" s="308" t="s">
        <v>176</v>
      </c>
      <c r="DG185" s="308" t="s">
        <v>176</v>
      </c>
      <c r="DH185" s="308" t="s">
        <v>176</v>
      </c>
      <c r="DI185" s="308" t="s">
        <v>176</v>
      </c>
      <c r="DJ185" s="308" t="s">
        <v>176</v>
      </c>
      <c r="DK185" s="308" t="s">
        <v>176</v>
      </c>
      <c r="DL185" s="308" t="s">
        <v>176</v>
      </c>
      <c r="DM185" s="308" t="s">
        <v>176</v>
      </c>
      <c r="DN185" s="308" t="s">
        <v>176</v>
      </c>
      <c r="DO185" s="308" t="s">
        <v>176</v>
      </c>
      <c r="DP185" s="308" t="s">
        <v>176</v>
      </c>
      <c r="DQ185" s="308" t="s">
        <v>176</v>
      </c>
      <c r="DR185" s="308" t="s">
        <v>176</v>
      </c>
      <c r="DS185" s="308" t="s">
        <v>176</v>
      </c>
      <c r="DT185" s="308" t="s">
        <v>176</v>
      </c>
      <c r="DU185" s="308">
        <v>1</v>
      </c>
      <c r="DV185" s="308" t="s">
        <v>176</v>
      </c>
      <c r="DW185" s="308" t="s">
        <v>176</v>
      </c>
      <c r="DX185" s="308" t="s">
        <v>176</v>
      </c>
      <c r="DY185" s="308" t="s">
        <v>176</v>
      </c>
      <c r="DZ185" s="308" t="s">
        <v>176</v>
      </c>
      <c r="EA185" s="308" t="s">
        <v>176</v>
      </c>
      <c r="EB185" s="308" t="s">
        <v>176</v>
      </c>
      <c r="EC185" s="308" t="s">
        <v>176</v>
      </c>
      <c r="ED185" s="308" t="s">
        <v>176</v>
      </c>
      <c r="EE185" s="308" t="s">
        <v>176</v>
      </c>
      <c r="EF185" s="308" t="s">
        <v>176</v>
      </c>
      <c r="EG185" s="308" t="s">
        <v>176</v>
      </c>
      <c r="EH185" s="308" t="s">
        <v>176</v>
      </c>
      <c r="EI185" s="308" t="s">
        <v>176</v>
      </c>
      <c r="EJ185" s="308" t="s">
        <v>176</v>
      </c>
      <c r="EK185" s="308" t="s">
        <v>176</v>
      </c>
      <c r="EL185" s="308" t="s">
        <v>176</v>
      </c>
      <c r="EM185" s="308" t="s">
        <v>176</v>
      </c>
      <c r="EN185" s="308" t="s">
        <v>176</v>
      </c>
      <c r="EO185" s="308" t="s">
        <v>176</v>
      </c>
      <c r="EP185" s="308" t="s">
        <v>176</v>
      </c>
      <c r="EQ185" s="308" t="s">
        <v>176</v>
      </c>
      <c r="ER185" s="308" t="s">
        <v>176</v>
      </c>
      <c r="ES185" s="308" t="s">
        <v>176</v>
      </c>
      <c r="ET185" s="308" t="s">
        <v>176</v>
      </c>
      <c r="EU185" s="308" t="s">
        <v>176</v>
      </c>
      <c r="EV185" s="308" t="s">
        <v>176</v>
      </c>
      <c r="EW185" s="308" t="s">
        <v>176</v>
      </c>
      <c r="EX185" s="308" t="s">
        <v>176</v>
      </c>
      <c r="EY185" s="308">
        <v>2</v>
      </c>
      <c r="EZ185" s="308">
        <v>2</v>
      </c>
      <c r="FA185" s="308">
        <v>2</v>
      </c>
      <c r="FB185" s="308">
        <v>2</v>
      </c>
      <c r="FC185" s="308" t="s">
        <v>176</v>
      </c>
      <c r="FD185" s="308">
        <v>1</v>
      </c>
      <c r="FE185" s="308">
        <v>2</v>
      </c>
      <c r="FF185" s="333">
        <v>1</v>
      </c>
      <c r="FG185" s="308">
        <v>1</v>
      </c>
      <c r="FH185" s="308">
        <v>2</v>
      </c>
      <c r="FI185" s="308">
        <v>2</v>
      </c>
      <c r="FJ185" s="308">
        <v>2</v>
      </c>
      <c r="FK185" s="308">
        <v>2</v>
      </c>
      <c r="FL185" s="308">
        <v>1</v>
      </c>
      <c r="FM185" s="308">
        <v>2</v>
      </c>
      <c r="FN185" s="308">
        <v>2</v>
      </c>
      <c r="FO185" s="308">
        <v>2</v>
      </c>
      <c r="FP185" s="308">
        <v>1</v>
      </c>
      <c r="FQ185" s="308" t="s">
        <v>176</v>
      </c>
      <c r="FR185" s="308" t="s">
        <v>176</v>
      </c>
      <c r="FS185" s="308" t="s">
        <v>160</v>
      </c>
      <c r="FT185" s="308" t="s">
        <v>176</v>
      </c>
      <c r="FU185" s="308" t="s">
        <v>176</v>
      </c>
      <c r="FV185" s="308" t="s">
        <v>176</v>
      </c>
      <c r="FW185" s="308" t="s">
        <v>176</v>
      </c>
      <c r="FX185" s="308" t="s">
        <v>176</v>
      </c>
      <c r="FY185" s="308" t="s">
        <v>176</v>
      </c>
      <c r="FZ185" s="308" t="s">
        <v>176</v>
      </c>
      <c r="GA185" s="308" t="s">
        <v>176</v>
      </c>
      <c r="GB185" s="308" t="s">
        <v>160</v>
      </c>
      <c r="GC185" s="308" t="s">
        <v>176</v>
      </c>
      <c r="GD185" s="308" t="s">
        <v>176</v>
      </c>
      <c r="GE185" s="308" t="s">
        <v>176</v>
      </c>
      <c r="GF185" s="308" t="s">
        <v>176</v>
      </c>
      <c r="GG185" s="308" t="s">
        <v>176</v>
      </c>
      <c r="GH185" s="308" t="s">
        <v>176</v>
      </c>
      <c r="GI185" s="308" t="s">
        <v>176</v>
      </c>
      <c r="GJ185" s="308" t="s">
        <v>176</v>
      </c>
      <c r="GK185" s="321" t="s">
        <v>176</v>
      </c>
      <c r="GL185" s="311">
        <f>SUM(G185:FP185)</f>
        <v>100</v>
      </c>
    </row>
    <row r="186" spans="1:195" ht="28.35" customHeight="1" thickBot="1" x14ac:dyDescent="0.3">
      <c r="A186" s="138" t="s">
        <v>259</v>
      </c>
      <c r="B186" s="135" t="s">
        <v>210</v>
      </c>
      <c r="C186" s="135" t="s">
        <v>750</v>
      </c>
      <c r="D186" s="138">
        <f>D185</f>
        <v>1672</v>
      </c>
      <c r="E186" s="564"/>
      <c r="F186" s="312" t="s">
        <v>166</v>
      </c>
      <c r="G186" s="313">
        <f>IF(INDEX(tab_MinKomp[Przepisy BHP / BHP Vorschriften],MATCH($B185,tab_MinKomp[[Stanowisko / Position ]:[Stanowisko / Position ]],0))="n/a","n/a",G185-INDEX(tab_MinKomp[Przepisy BHP / BHP Vorschriften],MATCH($B185,tab_MinKomp[[Stanowisko / Position ]:[Stanowisko / Position ]],0)))</f>
        <v>0</v>
      </c>
      <c r="H186" s="313">
        <f>IF(INDEX(tab_MinKomp[Przepisy PPOŻ / Brandschutzbestimmungen],MATCH($B185,tab_MinKomp[[Stanowisko / Position ]:[Stanowisko / Position ]],0))="n/a","n/a",H185-INDEX(tab_MinKomp[Przepisy PPOŻ / Brandschutzbestimmungen],MATCH($B185,tab_MinKomp[[Stanowisko / Position ]:[Stanowisko / Position ]],0)))</f>
        <v>0</v>
      </c>
      <c r="I186" s="313">
        <f>IF(INDEX(tab_MinKomp[Ryzyko zawodowe na stanowiskach pracyv/ Berufliche Risiken an Arbeitsstellen],MATCH($B185,tab_MinKomp[[Stanowisko / Position ]:[Stanowisko / Position ]],0))="n/a","n/a",I185-INDEX(tab_MinKomp[Ryzyko zawodowe na stanowiskach pracyv/ Berufliche Risiken an Arbeitsstellen],MATCH($B185,tab_MinKomp[[Stanowisko / Position ]:[Stanowisko / Position ]],0)))</f>
        <v>1</v>
      </c>
      <c r="J186" s="313">
        <f>IF(INDEX(tab_MinKomp[Gospodarka substancjami niebezpiecznymi / Gefahrstoffmanagement],MATCH($B185,tab_MinKomp[[Stanowisko / Position ]:[Stanowisko / Position ]],0))="n/a","n/a",J185-INDEX(tab_MinKomp[Gospodarka substancjami niebezpiecznymi / Gefahrstoffmanagement],MATCH($B185,tab_MinKomp[[Stanowisko / Position ]:[Stanowisko / Position ]],0)))</f>
        <v>0</v>
      </c>
      <c r="K186" s="313">
        <f>IF(INDEX(tab_MinKomp[Gospodarka odpadami / Abfallwirtschaft],MATCH($B185,tab_MinKomp[[Stanowisko / Position ]:[Stanowisko / Position ]],0))="n/a","n/a",K185-INDEX(tab_MinKomp[Gospodarka odpadami / Abfallwirtschaft],MATCH($B185,tab_MinKomp[[Stanowisko / Position ]:[Stanowisko / Position ]],0)))</f>
        <v>0</v>
      </c>
      <c r="L186" s="313">
        <f>IF(INDEX(tab_MinKomp[Przepisy kodeksu pracy / Bestimmungen des Arbeitsgesetzes],MATCH($B185,tab_MinKomp[[Stanowisko / Position ]:[Stanowisko / Position ]],0))="n/a","n/a",L185-INDEX(tab_MinKomp[Przepisy kodeksu pracy / Bestimmungen des Arbeitsgesetzes],MATCH($B185,tab_MinKomp[[Stanowisko / Position ]:[Stanowisko / Position ]],0)))</f>
        <v>0</v>
      </c>
      <c r="M186" s="313" t="str">
        <f>IF(INDEX(tab_MinKomp[Przepisy o ub.społ. ZUS  / Sozialversicherungsvorschriften],MATCH($B185,tab_MinKomp[[Stanowisko / Position ]:[Stanowisko / Position ]],0))="n/a","n/a",M185-INDEX(tab_MinKomp[Przepisy o ub.społ. ZUS  / Sozialversicherungsvorschriften],MATCH($B185,tab_MinKomp[[Stanowisko / Position ]:[Stanowisko / Position ]],0)))</f>
        <v>n/a</v>
      </c>
      <c r="N186" s="313" t="str">
        <f>IF(INDEX(tab_MinKomp[PRZEPISY O PDOF /persönlich Einkommensteuergesetz ],MATCH($B185,tab_MinKomp[[Stanowisko / Position ]:[Stanowisko / Position ]],0))="n/a","n/a",N185-INDEX(tab_MinKomp[PRZEPISY O PDOF /persönlich Einkommensteuergesetz ],MATCH($B185,tab_MinKomp[[Stanowisko / Position ]:[Stanowisko / Position ]],0)))</f>
        <v>n/a</v>
      </c>
      <c r="O186" s="313">
        <f>IF(INDEX(tab_MinKomp[Regulamin pracy / Arbeitsordnung],MATCH($B185,tab_MinKomp[[Stanowisko / Position ]:[Stanowisko / Position ]],0))="n/a","n/a",O185-INDEX(tab_MinKomp[Regulamin pracy / Arbeitsordnung],MATCH($B185,tab_MinKomp[[Stanowisko / Position ]:[Stanowisko / Position ]],0)))</f>
        <v>0</v>
      </c>
      <c r="P186" s="313">
        <f>IF(INDEX(tab_MinKomp[Regulamin wynagradzania / Vergütungsordnung],MATCH($B185,tab_MinKomp[[Stanowisko / Position ]:[Stanowisko / Position ]],0))="n/a","n/a",P185-INDEX(tab_MinKomp[Regulamin wynagradzania / Vergütungsordnung],MATCH($B185,tab_MinKomp[[Stanowisko / Position ]:[Stanowisko / Position ]],0)))</f>
        <v>0</v>
      </c>
      <c r="Q186" s="313" t="str">
        <f>IF(INDEX(tab_MinKomp[System R2PŁATNIK PRO: Płace / Lohnabrechnung],MATCH($B185,tab_MinKomp[[Stanowisko / Position ]:[Stanowisko / Position ]],0))="n/a","n/a",Q185-INDEX(tab_MinKomp[System R2PŁATNIK PRO: Płace / Lohnabrechnung],MATCH($B185,tab_MinKomp[[Stanowisko / Position ]:[Stanowisko / Position ]],0)))</f>
        <v>n/a</v>
      </c>
      <c r="R186" s="313" t="str">
        <f>IF(INDEX(tab_MinKomp[SystemR2PŁATNIK PRO: KADRY / Personaldaten],MATCH($B185,tab_MinKomp[[Stanowisko / Position ]:[Stanowisko / Position ]],0))="n/a","n/a",R185-INDEX(tab_MinKomp[SystemR2PŁATNIK PRO: KADRY / Personaldaten],MATCH($B185,tab_MinKomp[[Stanowisko / Position ]:[Stanowisko / Position ]],0)))</f>
        <v>n/a</v>
      </c>
      <c r="S186" s="313" t="str">
        <f>IF(INDEX(tab_MinKomp[SYSTEM R2PŁATNIK PRO: zarządzanie pracownikami / Arbeitsverwaltung],MATCH($B185,tab_MinKomp[[Stanowisko / Position ]:[Stanowisko / Position ]],0))="n/a","n/a",S185-INDEX(tab_MinKomp[SYSTEM R2PŁATNIK PRO: zarządzanie pracownikami / Arbeitsverwaltung],MATCH($B185,tab_MinKomp[[Stanowisko / Position ]:[Stanowisko / Position ]],0)))</f>
        <v>n/a</v>
      </c>
      <c r="T186" s="313" t="str">
        <f>IF(INDEX(tab_MinKomp[Doradztwo, wsparcie personalne / Personalberatung und Unterstützung],MATCH($B185,tab_MinKomp[[Stanowisko / Position ]:[Stanowisko / Position ]],0))="n/a","n/a",T185-INDEX(tab_MinKomp[Doradztwo, wsparcie personalne / Personalberatung und Unterstützung],MATCH($B185,tab_MinKomp[[Stanowisko / Position ]:[Stanowisko / Position ]],0)))</f>
        <v>n/a</v>
      </c>
      <c r="U186" s="315" t="str">
        <f>IF(INDEX(tab_MinKomp[Przepisy o podatku VAT / MwSt.- Gesetz],MATCH($B185,tab_MinKomp[[Stanowisko / Position ]:[Stanowisko / Position ]],0))="n/a","n/a",U185-INDEX(tab_MinKomp[Przepisy o podatku VAT / MwSt.- Gesetz],MATCH($B185,tab_MinKomp[[Stanowisko / Position ]:[Stanowisko / Position ]],0)))</f>
        <v>n/a</v>
      </c>
      <c r="V186" s="315" t="str">
        <f>IF(INDEX(tab_MinKomp[PrzepisyPDOP / geschäftlich Einkommensteuergesetz],MATCH($B185,tab_MinKomp[[Stanowisko / Position ]:[Stanowisko / Position ]],0))="n/a","n/a",V185-INDEX(tab_MinKomp[PrzepisyPDOP / geschäftlich Einkommensteuergesetz],MATCH($B185,tab_MinKomp[[Stanowisko / Position ]:[Stanowisko / Position ]],0)))</f>
        <v>n/a</v>
      </c>
      <c r="W186" s="315" t="str">
        <f>IF(INDEX(tab_MinKomp[System BAAN / FINANSE (FIBU)],MATCH($B185,tab_MinKomp[[Stanowisko / Position ]:[Stanowisko / Position ]],0))="n/a","n/a",W185-INDEX(tab_MinKomp[System BAAN / FINANSE (FIBU)],MATCH($B185,tab_MinKomp[[Stanowisko / Position ]:[Stanowisko / Position ]],0)))</f>
        <v>n/a</v>
      </c>
      <c r="X186" s="315" t="str">
        <f>IF(INDEX(tab_MinKomp[Systemy pomocnicze / Hilfssysteme(STOCKPROGRAM, KALK2000 etc.)],MATCH($B185,tab_MinKomp[[Stanowisko / Position ]:[Stanowisko / Position ]],0))="n/a","n/a",X185-INDEX(tab_MinKomp[Systemy pomocnicze / Hilfssysteme(STOCKPROGRAM, KALK2000 etc.)],MATCH($B185,tab_MinKomp[[Stanowisko / Position ]:[Stanowisko / Position ]],0)))</f>
        <v>n/a</v>
      </c>
      <c r="Y186" s="315" t="str">
        <f>IF(INDEX(tab_MinKomp[Polityka rachunkowości / Buchführungspolitik],MATCH($B185,tab_MinKomp[[Stanowisko / Position ]:[Stanowisko / Position ]],0))="n/a","n/a",Y185-INDEX(tab_MinKomp[Polityka rachunkowości / Buchführungspolitik],MATCH($B185,tab_MinKomp[[Stanowisko / Position ]:[Stanowisko / Position ]],0)))</f>
        <v>n/a</v>
      </c>
      <c r="Z186" s="315" t="str">
        <f>IF(INDEX(tab_MinKomp[Ustawa o rachunkowości / Rechnungslegungsgesetz],MATCH($B185,tab_MinKomp[[Stanowisko / Position ]:[Stanowisko / Position ]],0))="n/a","n/a",Z185-INDEX(tab_MinKomp[Ustawa o rachunkowości / Rechnungslegungsgesetz],MATCH($B185,tab_MinKomp[[Stanowisko / Position ]:[Stanowisko / Position ]],0)))</f>
        <v>n/a</v>
      </c>
      <c r="AA186" s="315" t="str">
        <f>IF(INDEX(tab_MinKomp[WORKFLOW - TS-100],MATCH($B185,tab_MinKomp[[Stanowisko / Position ]:[Stanowisko / Position ]],0))="n/a","n/a",AA185-INDEX(tab_MinKomp[WORKFLOW - TS-100],MATCH($B185,tab_MinKomp[[Stanowisko / Position ]:[Stanowisko / Position ]],0)))</f>
        <v>n/a</v>
      </c>
      <c r="AB186" s="315">
        <f>IF(INDEX(tab_MinKomp[WORKFLOW - SFMS],MATCH($B185,tab_MinKomp[[Stanowisko / Position ]:[Stanowisko / Position ]],0))="n/a","n/a",AB185-INDEX(tab_MinKomp[WORKFLOW - SFMS],MATCH($B185,tab_MinKomp[[Stanowisko / Position ]:[Stanowisko / Position ]],0)))</f>
        <v>0</v>
      </c>
      <c r="AC186" s="315">
        <f>IF(INDEX(tab_MinKomp[System ISO 9001:2015],MATCH($B185,tab_MinKomp[[Stanowisko / Position ]:[Stanowisko / Position ]],0))="n/a","n/a",AC185-INDEX(tab_MinKomp[System ISO 9001:2015],MATCH($B185,tab_MinKomp[[Stanowisko / Position ]:[Stanowisko / Position ]],0)))</f>
        <v>0</v>
      </c>
      <c r="AD186" s="315">
        <f>IF(INDEX(tab_MinKomp[System IATF 16949:2016],MATCH($B185,tab_MinKomp[[Stanowisko / Position ]:[Stanowisko / Position ]],0))="n/a","n/a",AD185-INDEX(tab_MinKomp[System IATF 16949:2016],MATCH($B185,tab_MinKomp[[Stanowisko / Position ]:[Stanowisko / Position ]],0)))</f>
        <v>0</v>
      </c>
      <c r="AE186" s="315">
        <f>IF(INDEX(tab_MinKomp[System ISO 14001:2015],MATCH($B185,tab_MinKomp[[Stanowisko / Position ]:[Stanowisko / Position ]],0))="n/a","n/a",AE185-INDEX(tab_MinKomp[System ISO 14001:2015],MATCH($B185,tab_MinKomp[[Stanowisko / Position ]:[Stanowisko / Position ]],0)))</f>
        <v>0</v>
      </c>
      <c r="AF186" s="315">
        <f>IF(INDEX(tab_MinKomp[System PN-N 18001:2004 / ISO 45001:2018],MATCH($B185,tab_MinKomp[[Stanowisko / Position ]:[Stanowisko / Position ]],0))="n/a","n/a",AF185-INDEX(tab_MinKomp[System PN-N 18001:2004 / ISO 45001:2018],MATCH($B185,tab_MinKomp[[Stanowisko / Position ]:[Stanowisko / Position ]],0)))</f>
        <v>0</v>
      </c>
      <c r="AG186" s="315">
        <f>IF(INDEX(tab_MinKomp[Wymagania VDA 6.3 Process / Forderungen],MATCH($B185,tab_MinKomp[[Stanowisko / Position ]:[Stanowisko / Position ]],0))="n/a","n/a",AG185-INDEX(tab_MinKomp[Wymagania VDA 6.3 Process / Forderungen],MATCH($B185,tab_MinKomp[[Stanowisko / Position ]:[Stanowisko / Position ]],0)))</f>
        <v>0</v>
      </c>
      <c r="AH186" s="315">
        <f>IF(INDEX(tab_MinKomp[Wymagania VDA 6.5 Product / Forderungen],MATCH($B185,tab_MinKomp[[Stanowisko / Position ]:[Stanowisko / Position ]],0))="n/a","n/a",AH185-INDEX(tab_MinKomp[Wymagania VDA 6.5 Product / Forderungen],MATCH($B185,tab_MinKomp[[Stanowisko / Position ]:[Stanowisko / Position ]],0)))</f>
        <v>1</v>
      </c>
      <c r="AI186" s="315" t="str">
        <f>IF(INDEX(tab_MinKomp[PSCR (VW Product Safety &amp; Conformity Representative)],MATCH($B185,tab_MinKomp[[Stanowisko / Position ]:[Stanowisko / Position ]],0))="n/a","n/a",AI185-INDEX(tab_MinKomp[PSCR (VW Product Safety &amp; Conformity Representative)],MATCH($B185,tab_MinKomp[[Stanowisko / Position ]:[Stanowisko / Position ]],0)))</f>
        <v>n/a</v>
      </c>
      <c r="AJ186" s="315" t="str">
        <f>IF(INDEX(tab_MinKomp[Auditor systemu ISO 17025:2018],MATCH($B185,tab_MinKomp[[Stanowisko / Position ]:[Stanowisko / Position ]],0))="n/a","n/a",AJ185-INDEX(tab_MinKomp[Auditor systemu ISO 17025:2018],MATCH($B185,tab_MinKomp[[Stanowisko / Position ]:[Stanowisko / Position ]],0)))</f>
        <v>n/a</v>
      </c>
      <c r="AK186" s="315" t="str">
        <f>IF(INDEX(tab_MinKomp[Pełnomocnik systemu / Systemvertreter],MATCH($B185,tab_MinKomp[[Stanowisko / Position ]:[Stanowisko / Position ]],0))="n/a","n/a",AK185-INDEX(tab_MinKomp[Pełnomocnik systemu / Systemvertreter],MATCH($B185,tab_MinKomp[[Stanowisko / Position ]:[Stanowisko / Position ]],0)))</f>
        <v>n/a</v>
      </c>
      <c r="AL186" s="315">
        <f>IF(INDEX(tab_MinKomp[Polityka Etyczna - Compliance],MATCH($B185,tab_MinKomp[[Stanowisko / Position ]:[Stanowisko / Position ]],0))="n/a","n/a",AL185-INDEX(tab_MinKomp[Polityka Etyczna - Compliance],MATCH($B185,tab_MinKomp[[Stanowisko / Position ]:[Stanowisko / Position ]],0)))</f>
        <v>0</v>
      </c>
      <c r="AM186" s="315">
        <f>IF(INDEX(tab_MinKomp[WDRAŻANIE NOWYCH PROJEKTÓW/ PROCEDURA CTM],MATCH($B185,tab_MinKomp[[Stanowisko / Position ]:[Stanowisko / Position ]],0))="n/a","n/a",AM185-INDEX(tab_MinKomp[WDRAŻANIE NOWYCH PROJEKTÓW/ PROCEDURA CTM],MATCH($B185,tab_MinKomp[[Stanowisko / Position ]:[Stanowisko / Position ]],0)))</f>
        <v>-1</v>
      </c>
      <c r="AN186" s="315">
        <f>IF(INDEX(tab_MinKomp[KAMIENIE MILOWE MSL/PIFF],MATCH($B185,tab_MinKomp[[Stanowisko / Position ]:[Stanowisko / Position ]],0))="n/a","n/a",AN185-INDEX(tab_MinKomp[KAMIENIE MILOWE MSL/PIFF],MATCH($B185,tab_MinKomp[[Stanowisko / Position ]:[Stanowisko / Position ]],0)))</f>
        <v>-1</v>
      </c>
      <c r="AO186" s="315">
        <f>IF(INDEX(tab_MinKomp[CP],MATCH($B185,tab_MinKomp[[Stanowisko / Position ]:[Stanowisko / Position ]],0))="n/a","n/a",AO185-INDEX(tab_MinKomp[CP],MATCH($B185,tab_MinKomp[[Stanowisko / Position ]:[Stanowisko / Position ]],0)))</f>
        <v>0</v>
      </c>
      <c r="AP186" s="315">
        <f>IF(INDEX(tab_MinKomp[FMEA],MATCH($B185,tab_MinKomp[[Stanowisko / Position ]:[Stanowisko / Position ]],0))="n/a","n/a",AP185-INDEX(tab_MinKomp[FMEA],MATCH($B185,tab_MinKomp[[Stanowisko / Position ]:[Stanowisko / Position ]],0)))</f>
        <v>0</v>
      </c>
      <c r="AQ186" s="315">
        <f>IF(INDEX(tab_MinKomp[FLOW CHART],MATCH($B185,tab_MinKomp[[Stanowisko / Position ]:[Stanowisko / Position ]],0))="n/a","n/a",AQ185-INDEX(tab_MinKomp[FLOW CHART],MATCH($B185,tab_MinKomp[[Stanowisko / Position ]:[Stanowisko / Position ]],0)))</f>
        <v>0</v>
      </c>
      <c r="AR186" s="315">
        <f>IF(INDEX(tab_MinKomp[APQP],MATCH($B185,tab_MinKomp[[Stanowisko / Position ]:[Stanowisko / Position ]],0))="n/a","n/a",AR185-INDEX(tab_MinKomp[APQP],MATCH($B185,tab_MinKomp[[Stanowisko / Position ]:[Stanowisko / Position ]],0)))</f>
        <v>-1</v>
      </c>
      <c r="AS186" s="315">
        <f>IF(INDEX(tab_MinKomp[MSA],MATCH($B185,tab_MinKomp[[Stanowisko / Position ]:[Stanowisko / Position ]],0))="n/a","n/a",AS185-INDEX(tab_MinKomp[MSA],MATCH($B185,tab_MinKomp[[Stanowisko / Position ]:[Stanowisko / Position ]],0)))</f>
        <v>0</v>
      </c>
      <c r="AT186" s="315">
        <f>IF(INDEX(tab_MinKomp[SPC],MATCH($B185,tab_MinKomp[[Stanowisko / Position ]:[Stanowisko / Position ]],0))="n/a","n/a",AT185-INDEX(tab_MinKomp[SPC],MATCH($B185,tab_MinKomp[[Stanowisko / Position ]:[Stanowisko / Position ]],0)))</f>
        <v>-1</v>
      </c>
      <c r="AU186" s="315">
        <f>IF(INDEX(tab_MinKomp[CSR (SPECYFICZNE WYMAGANIA KLIENTA)],MATCH($B185,tab_MinKomp[[Stanowisko / Position ]:[Stanowisko / Position ]],0))="n/a","n/a",AU185-INDEX(tab_MinKomp[CSR (SPECYFICZNE WYMAGANIA KLIENTA)],MATCH($B185,tab_MinKomp[[Stanowisko / Position ]:[Stanowisko / Position ]],0)))</f>
        <v>-1</v>
      </c>
      <c r="AV186" s="315">
        <f>IF(INDEX(tab_MinKomp[5S],MATCH($B185,tab_MinKomp[[Stanowisko / Position ]:[Stanowisko / Position ]],0))="n/a","n/a",AV185-INDEX(tab_MinKomp[5S],MATCH($B185,tab_MinKomp[[Stanowisko / Position ]:[Stanowisko / Position ]],0)))</f>
        <v>0</v>
      </c>
      <c r="AW186" s="315">
        <f>IF(INDEX(tab_MinKomp[LEAN MANAGEMENT],MATCH($B185,tab_MinKomp[[Stanowisko / Position ]:[Stanowisko / Position ]],0))="n/a","n/a",AW185-INDEX(tab_MinKomp[LEAN MANAGEMENT],MATCH($B185,tab_MinKomp[[Stanowisko / Position ]:[Stanowisko / Position ]],0)))</f>
        <v>0</v>
      </c>
      <c r="AX186" s="315">
        <f>IF(INDEX(tab_MinKomp[5R],MATCH($B185,tab_MinKomp[[Stanowisko / Position ]:[Stanowisko / Position ]],0))="n/a","n/a",AX185-INDEX(tab_MinKomp[5R],MATCH($B185,tab_MinKomp[[Stanowisko / Position ]:[Stanowisko / Position ]],0)))</f>
        <v>-1</v>
      </c>
      <c r="AY186" s="315" t="str">
        <f>IF(INDEX(tab_MinKomp[Six Sigma],MATCH($B185,tab_MinKomp[[Stanowisko / Position ]:[Stanowisko / Position ]],0))="n/a","n/a",AY185-INDEX(tab_MinKomp[Six Sigma],MATCH($B185,tab_MinKomp[[Stanowisko / Position ]:[Stanowisko / Position ]],0)))</f>
        <v>n/a</v>
      </c>
      <c r="AZ186" s="315">
        <f>IF(INDEX(tab_MinKomp[System BAAN / Distribution &amp; Supply Chain],MATCH($B185,tab_MinKomp[[Stanowisko / Position ]:[Stanowisko / Position ]],0))="n/a","n/a",AZ185-INDEX(tab_MinKomp[System BAAN / Distribution &amp; Supply Chain],MATCH($B185,tab_MinKomp[[Stanowisko / Position ]:[Stanowisko / Position ]],0)))</f>
        <v>-1</v>
      </c>
      <c r="BA186" s="315" t="str">
        <f>IF(INDEX(tab_MinKomp[Gospodarka magazynowa / Lagerverwaltung],MATCH($B185,tab_MinKomp[[Stanowisko / Position ]:[Stanowisko / Position ]],0))="n/a","n/a",BA185-INDEX(tab_MinKomp[Gospodarka magazynowa / Lagerverwaltung],MATCH($B185,tab_MinKomp[[Stanowisko / Position ]:[Stanowisko / Position ]],0)))</f>
        <v>n/a</v>
      </c>
      <c r="BB186" s="315" t="str">
        <f>IF(INDEX(tab_MinKomp[Inwentaryzacja - organizacja i przebieg / Inventurprozess],MATCH($B185,tab_MinKomp[[Stanowisko / Position ]:[Stanowisko / Position ]],0))="n/a","n/a",BB185-INDEX(tab_MinKomp[Inwentaryzacja - organizacja i przebieg / Inventurprozess],MATCH($B185,tab_MinKomp[[Stanowisko / Position ]:[Stanowisko / Position ]],0)))</f>
        <v>n/a</v>
      </c>
      <c r="BC186" s="315" t="str">
        <f>IF(INDEX(tab_MinKomp[Organizacja dostaw / Versorgungsorganisation],MATCH($B185,tab_MinKomp[[Stanowisko / Position ]:[Stanowisko / Position ]],0))="n/a","n/a",BC185-INDEX(tab_MinKomp[Organizacja dostaw / Versorgungsorganisation],MATCH($B185,tab_MinKomp[[Stanowisko / Position ]:[Stanowisko / Position ]],0)))</f>
        <v>n/a</v>
      </c>
      <c r="BD186" s="315" t="str">
        <f>IF(INDEX(tab_MinKomp[Organizacja wysyłek / Organisation von Lieferungen],MATCH($B185,tab_MinKomp[[Stanowisko / Position ]:[Stanowisko / Position ]],0))="n/a","n/a",BD185-INDEX(tab_MinKomp[Organizacja wysyłek / Organisation von Lieferungen],MATCH($B185,tab_MinKomp[[Stanowisko / Position ]:[Stanowisko / Position ]],0)))</f>
        <v>n/a</v>
      </c>
      <c r="BE186" s="315" t="str">
        <f>IF(INDEX(tab_MinKomp[Analiza magazynowa - Program Polen.mdb / Inventuranalyse],MATCH($B185,tab_MinKomp[[Stanowisko / Position ]:[Stanowisko / Position ]],0))="n/a","n/a",BE185-INDEX(tab_MinKomp[Analiza magazynowa - Program Polen.mdb / Inventuranalyse],MATCH($B185,tab_MinKomp[[Stanowisko / Position ]:[Stanowisko / Position ]],0)))</f>
        <v>n/a</v>
      </c>
      <c r="BF186" s="315" t="str">
        <f>IF(INDEX(tab_MinKomp[MMOG (Materials Management Operations Guidelines)],MATCH($B185,tab_MinKomp[[Stanowisko / Position ]:[Stanowisko / Position ]],0))="n/a","n/a",BF185-INDEX(tab_MinKomp[MMOG (Materials Management Operations Guidelines)],MATCH($B185,tab_MinKomp[[Stanowisko / Position ]:[Stanowisko / Position ]],0)))</f>
        <v>n/a</v>
      </c>
      <c r="BG186" s="315" t="str">
        <f>IF(INDEX(tab_MinKomp[DETC],MATCH($B185,tab_MinKomp[[Stanowisko / Position ]:[Stanowisko / Position ]],0))="n/a","n/a",BG185-INDEX(tab_MinKomp[DETC],MATCH($B185,tab_MinKomp[[Stanowisko / Position ]:[Stanowisko / Position ]],0)))</f>
        <v>n/a</v>
      </c>
      <c r="BH186" s="315" t="str">
        <f>IF(INDEX(tab_MinKomp[GPP],MATCH($B185,tab_MinKomp[[Stanowisko / Position ]:[Stanowisko / Position ]],0))="n/a","n/a",BH185-INDEX(tab_MinKomp[GPP],MATCH($B185,tab_MinKomp[[Stanowisko / Position ]:[Stanowisko / Position ]],0)))</f>
        <v>n/a</v>
      </c>
      <c r="BI186" s="315" t="str">
        <f>IF(INDEX(tab_MinKomp[AIAG (Automotive Industry Action Group)],MATCH($B185,tab_MinKomp[[Stanowisko / Position ]:[Stanowisko / Position ]],0))="n/a","n/a",BI185-INDEX(tab_MinKomp[AIAG (Automotive Industry Action Group)],MATCH($B185,tab_MinKomp[[Stanowisko / Position ]:[Stanowisko / Position ]],0)))</f>
        <v>n/a</v>
      </c>
      <c r="BJ186" s="315" t="str">
        <f>IF(INDEX(tab_MinKomp[Super-G disputes],MATCH($B185,tab_MinKomp[[Stanowisko / Position ]:[Stanowisko / Position ]],0))="n/a","n/a",BJ185-INDEX(tab_MinKomp[Super-G disputes],MATCH($B185,tab_MinKomp[[Stanowisko / Position ]:[Stanowisko / Position ]],0)))</f>
        <v>n/a</v>
      </c>
      <c r="BK186" s="315" t="str">
        <f>IF(INDEX(tab_MinKomp[CMMS3/eDDL (Direct Data Link)],MATCH($B185,tab_MinKomp[[Stanowisko / Position ]:[Stanowisko / Position ]],0))="n/a","n/a",BK185-INDEX(tab_MinKomp[CMMS3/eDDL (Direct Data Link)],MATCH($B185,tab_MinKomp[[Stanowisko / Position ]:[Stanowisko / Position ]],0)))</f>
        <v>n/a</v>
      </c>
      <c r="BL186" s="315" t="str">
        <f>IF(INDEX(tab_MinKomp[MP&amp;L (Material Planning and Logistics)],MATCH($B185,tab_MinKomp[[Stanowisko / Position ]:[Stanowisko / Position ]],0))="n/a","n/a",BL185-INDEX(tab_MinKomp[MP&amp;L (Material Planning and Logistics)],MATCH($B185,tab_MinKomp[[Stanowisko / Position ]:[Stanowisko / Position ]],0)))</f>
        <v>n/a</v>
      </c>
      <c r="BM186" s="315" t="str">
        <f>IF(INDEX(tab_MinKomp[Planowanie produkcji / Produktionsplanung],MATCH($B185,tab_MinKomp[[Stanowisko / Position ]:[Stanowisko / Position ]],0))="n/a","n/a",BM185-INDEX(tab_MinKomp[Planowanie produkcji / Produktionsplanung],MATCH($B185,tab_MinKomp[[Stanowisko / Position ]:[Stanowisko / Position ]],0)))</f>
        <v>n/a</v>
      </c>
      <c r="BN186" s="315" t="str">
        <f>IF(INDEX(tab_MinKomp[Obsługa maszyn Engel / Engel Maschinenbedienung],MATCH($B185,tab_MinKomp[[Stanowisko / Position ]:[Stanowisko / Position ]],0))="n/a","n/a",BN185-INDEX(tab_MinKomp[Obsługa maszyn Engel / Engel Maschinenbedienung],MATCH($B185,tab_MinKomp[[Stanowisko / Position ]:[Stanowisko / Position ]],0)))</f>
        <v>n/a</v>
      </c>
      <c r="BO186" s="315" t="str">
        <f>IF(INDEX(tab_MinKomp[Obsługa maszyn Novapax / Novapax Maschinenbedienung],MATCH($B185,tab_MinKomp[[Stanowisko / Position ]:[Stanowisko / Position ]],0))="n/a","n/a",BO185-INDEX(tab_MinKomp[Obsługa maszyn Novapax / Novapax Maschinenbedienung],MATCH($B185,tab_MinKomp[[Stanowisko / Position ]:[Stanowisko / Position ]],0)))</f>
        <v>n/a</v>
      </c>
      <c r="BP186" s="315" t="str">
        <f>IF(INDEX(tab_MinKomp[Obsługa maszyn KVT / KVT Maschinenbedienung],MATCH($B185,tab_MinKomp[[Stanowisko / Position ]:[Stanowisko / Position ]],0))="n/a","n/a",BP185-INDEX(tab_MinKomp[Obsługa maszyn KVT / KVT Maschinenbedienung],MATCH($B185,tab_MinKomp[[Stanowisko / Position ]:[Stanowisko / Position ]],0)))</f>
        <v>n/a</v>
      </c>
      <c r="BQ186" s="315" t="str">
        <f>IF(INDEX(tab_MinKomp[Obsługa maszyn ASL / ASL Maschinenbedienung],MATCH($B185,tab_MinKomp[[Stanowisko / Position ]:[Stanowisko / Position ]],0))="n/a","n/a",BQ185-INDEX(tab_MinKomp[Obsługa maszyn ASL / ASL Maschinenbedienung],MATCH($B185,tab_MinKomp[[Stanowisko / Position ]:[Stanowisko / Position ]],0)))</f>
        <v>n/a</v>
      </c>
      <c r="BR186" s="315" t="str">
        <f>IF(INDEX(tab_MinKomp[Obsługa maszyn Branson / Branson Maschinenbedienung],MATCH($B185,tab_MinKomp[[Stanowisko / Position ]:[Stanowisko / Position ]],0))="n/a","n/a",BR185-INDEX(tab_MinKomp[Obsługa maszyn Branson / Branson Maschinenbedienung],MATCH($B185,tab_MinKomp[[Stanowisko / Position ]:[Stanowisko / Position ]],0)))</f>
        <v>n/a</v>
      </c>
      <c r="BS186" s="315" t="str">
        <f>IF(INDEX(tab_MinKomp[Obsługa maszyn Kamtec / Kamtec Maschinenbedienung],MATCH($B185,tab_MinKomp[[Stanowisko / Position ]:[Stanowisko / Position ]],0))="n/a","n/a",BS185-INDEX(tab_MinKomp[Obsługa maszyn Kamtec / Kamtec Maschinenbedienung],MATCH($B185,tab_MinKomp[[Stanowisko / Position ]:[Stanowisko / Position ]],0)))</f>
        <v>n/a</v>
      </c>
      <c r="BT186" s="315" t="str">
        <f>IF(INDEX(tab_MinKomp[Obsługa maszyn Piovan / Piovan Maschinenbedienung],MATCH($B185,tab_MinKomp[[Stanowisko / Position ]:[Stanowisko / Position ]],0))="n/a","n/a",BT185-INDEX(tab_MinKomp[Obsługa maszyn Piovan / Piovan Maschinenbedienung],MATCH($B185,tab_MinKomp[[Stanowisko / Position ]:[Stanowisko / Position ]],0)))</f>
        <v>n/a</v>
      </c>
      <c r="BU186" s="315" t="str">
        <f>IF(INDEX(tab_MinKomp[Obsługa maszyn REP / REP Maschinenbedienung],MATCH($B185,tab_MinKomp[[Stanowisko / Position ]:[Stanowisko / Position ]],0))="n/a","n/a",BU185-INDEX(tab_MinKomp[Obsługa maszyn REP / REP Maschinenbedienung],MATCH($B185,tab_MinKomp[[Stanowisko / Position ]:[Stanowisko / Position ]],0)))</f>
        <v>n/a</v>
      </c>
      <c r="BV186" s="315" t="str">
        <f>IF(INDEX(tab_MinKomp[Eliminacja awarii / Beseitigung von Ausfällen],MATCH($B185,tab_MinKomp[[Stanowisko / Position ]:[Stanowisko / Position ]],0))="n/a","n/a",BV185-INDEX(tab_MinKomp[Eliminacja awarii / Beseitigung von Ausfällen],MATCH($B185,tab_MinKomp[[Stanowisko / Position ]:[Stanowisko / Position ]],0)))</f>
        <v>n/a</v>
      </c>
      <c r="BW186" s="315" t="str">
        <f>IF(INDEX(tab_MinKomp[Informatyka ogólna (techniczne i systemowe) / Allgemeine IT (Technik und System)],MATCH($B185,tab_MinKomp[[Stanowisko / Position ]:[Stanowisko / Position ]],0))="n/a","n/a",BW185-INDEX(tab_MinKomp[Informatyka ogólna (techniczne i systemowe) / Allgemeine IT (Technik und System)],MATCH($B185,tab_MinKomp[[Stanowisko / Position ]:[Stanowisko / Position ]],0)))</f>
        <v>n/a</v>
      </c>
      <c r="BX186" s="315" t="str">
        <f>IF(INDEX(tab_MinKomp[Sieci komputerowe / Computernetzwerke],MATCH($B185,tab_MinKomp[[Stanowisko / Position ]:[Stanowisko / Position ]],0))="n/a","n/a",BX185-INDEX(tab_MinKomp[Sieci komputerowe / Computernetzwerke],MATCH($B185,tab_MinKomp[[Stanowisko / Position ]:[Stanowisko / Position ]],0)))</f>
        <v>n/a</v>
      </c>
      <c r="BY186" s="315" t="str">
        <f>IF(INDEX(tab_MinKomp[Hardware (komputery PC, drukarki biurowe i etykietowe, telefonia stacjonarna i mobilna) (PC, Drucker, Telefpne, Handys)],MATCH($B185,tab_MinKomp[[Stanowisko / Position ]:[Stanowisko / Position ]],0))="n/a","n/a",BY185-INDEX(tab_MinKomp[Hardware (komputery PC, drukarki biurowe i etykietowe, telefonia stacjonarna i mobilna) (PC, Drucker, Telefpne, Handys)],MATCH($B185,tab_MinKomp[[Stanowisko / Position ]:[Stanowisko / Position ]],0)))</f>
        <v>n/a</v>
      </c>
      <c r="BZ186" s="315" t="str">
        <f>IF(INDEX(tab_MinKomp[Software &amp; Systems (MS Office, MS Remote Desktop)],MATCH($B185,tab_MinKomp[[Stanowisko / Position ]:[Stanowisko / Position ]],0))="n/a","n/a",BZ185-INDEX(tab_MinKomp[Software &amp; Systems (MS Office, MS Remote Desktop)],MATCH($B185,tab_MinKomp[[Stanowisko / Position ]:[Stanowisko / Position ]],0)))</f>
        <v>n/a</v>
      </c>
      <c r="CA186" s="315" t="str">
        <f>IF(INDEX(tab_MinKomp[Programowanie obiektowe (PHP) / Objektprogrammierung],MATCH($B185,tab_MinKomp[[Stanowisko / Position ]:[Stanowisko / Position ]],0))="n/a","n/a",CA185-INDEX(tab_MinKomp[Programowanie obiektowe (PHP) / Objektprogrammierung],MATCH($B185,tab_MinKomp[[Stanowisko / Position ]:[Stanowisko / Position ]],0)))</f>
        <v>n/a</v>
      </c>
      <c r="CB186" s="315" t="str">
        <f>IF(INDEX(tab_MinKomp[Scrum],MATCH($B185,tab_MinKomp[[Stanowisko / Position ]:[Stanowisko / Position ]],0))="n/a","n/a",CB185-INDEX(tab_MinKomp[Scrum],MATCH($B185,tab_MinKomp[[Stanowisko / Position ]:[Stanowisko / Position ]],0)))</f>
        <v>n/a</v>
      </c>
      <c r="CC186" s="315" t="str">
        <f>IF(INDEX(tab_MinKomp[SQL (MySQL)],MATCH($B185,tab_MinKomp[[Stanowisko / Position ]:[Stanowisko / Position ]],0))="n/a","n/a",CC185-INDEX(tab_MinKomp[SQL (MySQL)],MATCH($B185,tab_MinKomp[[Stanowisko / Position ]:[Stanowisko / Position ]],0)))</f>
        <v>n/a</v>
      </c>
      <c r="CD186" s="315" t="str">
        <f>IF(INDEX(tab_MinKomp[Javascript],MATCH($B185,tab_MinKomp[[Stanowisko / Position ]:[Stanowisko / Position ]],0))="n/a","n/a",CD185-INDEX(tab_MinKomp[Javascript],MATCH($B185,tab_MinKomp[[Stanowisko / Position ]:[Stanowisko / Position ]],0)))</f>
        <v>n/a</v>
      </c>
      <c r="CE186" s="315" t="str">
        <f>IF(INDEX(tab_MinKomp[Joomla],MATCH($B185,tab_MinKomp[[Stanowisko / Position ]:[Stanowisko / Position ]],0))="n/a","n/a",CE185-INDEX(tab_MinKomp[Joomla],MATCH($B185,tab_MinKomp[[Stanowisko / Position ]:[Stanowisko / Position ]],0)))</f>
        <v>n/a</v>
      </c>
      <c r="CF186" s="315" t="str">
        <f>IF(INDEX(tab_MinKomp[Bash],MATCH($B185,tab_MinKomp[[Stanowisko / Position ]:[Stanowisko / Position ]],0))="n/a","n/a",CF185-INDEX(tab_MinKomp[Bash],MATCH($B185,tab_MinKomp[[Stanowisko / Position ]:[Stanowisko / Position ]],0)))</f>
        <v>n/a</v>
      </c>
      <c r="CG186" s="315" t="str">
        <f>IF(INDEX(tab_MinKomp[Systemy MES (HYDRA / SFMS)],MATCH($B185,tab_MinKomp[[Stanowisko / Position ]:[Stanowisko / Position ]],0))="n/a","n/a",CG185-INDEX(tab_MinKomp[Systemy MES (HYDRA / SFMS)],MATCH($B185,tab_MinKomp[[Stanowisko / Position ]:[Stanowisko / Position ]],0)))</f>
        <v>n/a</v>
      </c>
      <c r="CH186" s="315" t="str">
        <f>IF(INDEX(tab_MinKomp[HTML / CSS],MATCH($B185,tab_MinKomp[[Stanowisko / Position ]:[Stanowisko / Position ]],0))="n/a","n/a",CH185-INDEX(tab_MinKomp[HTML / CSS],MATCH($B185,tab_MinKomp[[Stanowisko / Position ]:[Stanowisko / Position ]],0)))</f>
        <v>n/a</v>
      </c>
      <c r="CI186" s="315">
        <f>IF(INDEX(tab_MinKomp[SYSTEM PR],MATCH($B185,tab_MinKomp[[Stanowisko / Position ]:[Stanowisko / Position ]],0))="n/a","n/a",CI185-INDEX(tab_MinKomp[SYSTEM PR],MATCH($B185,tab_MinKomp[[Stanowisko / Position ]:[Stanowisko / Position ]],0)))</f>
        <v>0</v>
      </c>
      <c r="CJ186" s="315">
        <f>IF(INDEX(tab_MinKomp[System Einkauf XP / EBA],MATCH($B185,tab_MinKomp[[Stanowisko / Position ]:[Stanowisko / Position ]],0))="n/a","n/a",CJ185-INDEX(tab_MinKomp[System Einkauf XP / EBA],MATCH($B185,tab_MinKomp[[Stanowisko / Position ]:[Stanowisko / Position ]],0)))</f>
        <v>0</v>
      </c>
      <c r="CK186" s="315" t="str">
        <f>IF(INDEX(tab_MinKomp[Techniki negocjacyjne / Verhandlungstechniken],MATCH($B185,tab_MinKomp[[Stanowisko / Position ]:[Stanowisko / Position ]],0))="n/a","n/a",CK185-INDEX(tab_MinKomp[Techniki negocjacyjne / Verhandlungstechniken],MATCH($B185,tab_MinKomp[[Stanowisko / Position ]:[Stanowisko / Position ]],0)))</f>
        <v>n/a</v>
      </c>
      <c r="CL186" s="315" t="str">
        <f>IF(INDEX(tab_MinKomp[Znajomość rynku branżowego / Kenntnis des Industrie Marktes],MATCH($B185,tab_MinKomp[[Stanowisko / Position ]:[Stanowisko / Position ]],0))="n/a","n/a",CL185-INDEX(tab_MinKomp[Znajomość rynku branżowego / Kenntnis des Industrie Marktes],MATCH($B185,tab_MinKomp[[Stanowisko / Position ]:[Stanowisko / Position ]],0)))</f>
        <v>n/a</v>
      </c>
      <c r="CM186" s="315">
        <f>IF(INDEX(tab_MinKomp[RAPORTY 8D / 8D Berichten],MATCH($B185,tab_MinKomp[[Stanowisko / Position ]:[Stanowisko / Position ]],0))="n/a","n/a",CM185-INDEX(tab_MinKomp[RAPORTY 8D / 8D Berichten],MATCH($B185,tab_MinKomp[[Stanowisko / Position ]:[Stanowisko / Position ]],0)))</f>
        <v>-1</v>
      </c>
      <c r="CN186" s="315">
        <f>IF(INDEX(tab_MinKomp[NARZĘDZIA JAKOŚCIOWE (5WHY, Ishikawa, etc) / QS-Werkzeuge],MATCH($B185,tab_MinKomp[[Stanowisko / Position ]:[Stanowisko / Position ]],0))="n/a","n/a",CN185-INDEX(tab_MinKomp[NARZĘDZIA JAKOŚCIOWE (5WHY, Ishikawa, etc) / QS-Werkzeuge],MATCH($B185,tab_MinKomp[[Stanowisko / Position ]:[Stanowisko / Position ]],0)))</f>
        <v>-1</v>
      </c>
      <c r="CO186" s="315">
        <f>IF(INDEX(tab_MinKomp[PDCA],MATCH($B185,tab_MinKomp[[Stanowisko / Position ]:[Stanowisko / Position ]],0))="n/a","n/a",CO185-INDEX(tab_MinKomp[PDCA],MATCH($B185,tab_MinKomp[[Stanowisko / Position ]:[Stanowisko / Position ]],0)))</f>
        <v>-1</v>
      </c>
      <c r="CP186" s="315">
        <f>IF(INDEX(tab_MinKomp[Pareto],MATCH($B185,tab_MinKomp[[Stanowisko / Position ]:[Stanowisko / Position ]],0))="n/a","n/a",CP185-INDEX(tab_MinKomp[Pareto],MATCH($B185,tab_MinKomp[[Stanowisko / Position ]:[Stanowisko / Position ]],0)))</f>
        <v>-1</v>
      </c>
      <c r="CQ186" s="315">
        <f>IF(INDEX(tab_MinKomp[PPAP/PSW],MATCH($B185,tab_MinKomp[[Stanowisko / Position ]:[Stanowisko / Position ]],0))="n/a","n/a",CQ185-INDEX(tab_MinKomp[PPAP/PSW],MATCH($B185,tab_MinKomp[[Stanowisko / Position ]:[Stanowisko / Position ]],0)))</f>
        <v>-1</v>
      </c>
      <c r="CR186" s="315">
        <f>IF(INDEX(tab_MinKomp[SUPPLIER MANAGEMENT],MATCH($B185,tab_MinKomp[[Stanowisko / Position ]:[Stanowisko / Position ]],0))="n/a","n/a",CR185-INDEX(tab_MinKomp[SUPPLIER MANAGEMENT],MATCH($B185,tab_MinKomp[[Stanowisko / Position ]:[Stanowisko / Position ]],0)))</f>
        <v>0</v>
      </c>
      <c r="CS186" s="315">
        <f>IF(INDEX(tab_MinKomp[OBSŁUGA PORTALI KLIENTA / Kundenportale],MATCH($B185,tab_MinKomp[[Stanowisko / Position ]:[Stanowisko / Position ]],0))="n/a","n/a",CS185-INDEX(tab_MinKomp[OBSŁUGA PORTALI KLIENTA / Kundenportale],MATCH($B185,tab_MinKomp[[Stanowisko / Position ]:[Stanowisko / Position ]],0)))</f>
        <v>0</v>
      </c>
      <c r="CT186" s="315">
        <f>IF(INDEX(tab_MinKomp[Obsługa systemu BABTECQ / BABTECQ System],MATCH($B185,tab_MinKomp[[Stanowisko / Position ]:[Stanowisko / Position ]],0))="n/a","n/a",CT185-INDEX(tab_MinKomp[Obsługa systemu BABTECQ / BABTECQ System],MATCH($B185,tab_MinKomp[[Stanowisko / Position ]:[Stanowisko / Position ]],0)))</f>
        <v>-1</v>
      </c>
      <c r="CU186" s="315">
        <f>IF(INDEX(tab_MinKomp[Rysunek techniczny / technische Zeichnung],MATCH($B185,tab_MinKomp[[Stanowisko / Position ]:[Stanowisko / Position ]],0))="n/a","n/a",CU185-INDEX(tab_MinKomp[Rysunek techniczny / technische Zeichnung],MATCH($B185,tab_MinKomp[[Stanowisko / Position ]:[Stanowisko / Position ]],0)))</f>
        <v>0</v>
      </c>
      <c r="CV186" s="315" t="str">
        <f>IF(INDEX(tab_MinKomp[Kalibracja / Kalibrierung],MATCH($B185,tab_MinKomp[[Stanowisko / Position ]:[Stanowisko / Position ]],0))="n/a","n/a",CV185-INDEX(tab_MinKomp[Kalibracja / Kalibrierung],MATCH($B185,tab_MinKomp[[Stanowisko / Position ]:[Stanowisko / Position ]],0)))</f>
        <v>n/a</v>
      </c>
      <c r="CW186" s="315">
        <f>IF(INDEX(tab_MinKomp[Rekwalifikacja / Requalifizierung],MATCH($B185,tab_MinKomp[[Stanowisko / Position ]:[Stanowisko / Position ]],0))="n/a","n/a",CW185-INDEX(tab_MinKomp[Rekwalifikacja / Requalifizierung],MATCH($B185,tab_MinKomp[[Stanowisko / Position ]:[Stanowisko / Position ]],0)))</f>
        <v>-1</v>
      </c>
      <c r="CX186" s="315" t="str">
        <f>IF(INDEX(tab_MinKomp[Obsługa mikroskopu optycznego / Bedienung eines optischen Mikroskops],MATCH($B185,tab_MinKomp[[Stanowisko / Position ]:[Stanowisko / Position ]],0))="n/a","n/a",CX185-INDEX(tab_MinKomp[Obsługa mikroskopu optycznego / Bedienung eines optischen Mikroskops],MATCH($B185,tab_MinKomp[[Stanowisko / Position ]:[Stanowisko / Position ]],0)))</f>
        <v>n/a</v>
      </c>
      <c r="CY186" s="315" t="str">
        <f>IF(INDEX(tab_MinKomp[Wykonywanie pomiarów optycznych - ocena wizualna / Optische Messungen durchführen – visuelle Beurteilung],MATCH($B185,tab_MinKomp[[Stanowisko / Position ]:[Stanowisko / Position ]],0))="n/a","n/a",CY185-INDEX(tab_MinKomp[Wykonywanie pomiarów optycznych - ocena wizualna / Optische Messungen durchführen – visuelle Beurteilung],MATCH($B185,tab_MinKomp[[Stanowisko / Position ]:[Stanowisko / Position ]],0)))</f>
        <v>n/a</v>
      </c>
      <c r="CZ186" s="315" t="str">
        <f>IF(INDEX(tab_MinKomp[Obsługa Rheometra / Rheometra-Unterstützung],MATCH($B185,tab_MinKomp[[Stanowisko / Position ]:[Stanowisko / Position ]],0))="n/a","n/a",CZ185-INDEX(tab_MinKomp[Obsługa Rheometra / Rheometra-Unterstützung],MATCH($B185,tab_MinKomp[[Stanowisko / Position ]:[Stanowisko / Position ]],0)))</f>
        <v>n/a</v>
      </c>
      <c r="DA186" s="315" t="str">
        <f>IF(INDEX(tab_MinKomp[Testy właściwości Rheometra mieszanki gumy],MATCH($B185,tab_MinKomp[[Stanowisko / Position ]:[Stanowisko / Position ]],0))="n/a","n/a",DA185-INDEX(tab_MinKomp[Testy właściwości Rheometra mieszanki gumy],MATCH($B185,tab_MinKomp[[Stanowisko / Position ]:[Stanowisko / Position ]],0)))</f>
        <v>n/a</v>
      </c>
      <c r="DB186" s="315" t="str">
        <f>IF(INDEX(tab_MinKomp[CMM - Contura Zeiss],MATCH($B185,tab_MinKomp[[Stanowisko / Position ]:[Stanowisko / Position ]],0))="n/a","n/a",DB185-INDEX(tab_MinKomp[CMM - Contura Zeiss],MATCH($B185,tab_MinKomp[[Stanowisko / Position ]:[Stanowisko / Position ]],0)))</f>
        <v>n/a</v>
      </c>
      <c r="DC186" s="315" t="str">
        <f>IF(INDEX(tab_MinKomp[Wykonywanie precyzyjnych pomiarów metrycznych, pomiary 3D],MATCH($B185,tab_MinKomp[[Stanowisko / Position ]:[Stanowisko / Position ]],0))="n/a","n/a",DC185-INDEX(tab_MinKomp[Wykonywanie precyzyjnych pomiarów metrycznych, pomiary 3D],MATCH($B185,tab_MinKomp[[Stanowisko / Position ]:[Stanowisko / Position ]],0)))</f>
        <v>n/a</v>
      </c>
      <c r="DD186" s="315" t="str">
        <f>IF(INDEX(tab_MinKomp[Pisanie programów / Programme schreiben],MATCH($B185,tab_MinKomp[[Stanowisko / Position ]:[Stanowisko / Position ]],0))="n/a","n/a",DD185-INDEX(tab_MinKomp[Pisanie programów / Programme schreiben],MATCH($B185,tab_MinKomp[[Stanowisko / Position ]:[Stanowisko / Position ]],0)))</f>
        <v>n/a</v>
      </c>
      <c r="DE186" s="315" t="str">
        <f>IF(INDEX(tab_MinKomp[Obsługa wyposażenia do testów czystości (myjka + analizator) / Betrieb von Sauberkeitsprüfgeräten (Waschmaschine + Analysegerät)],MATCH($B185,tab_MinKomp[[Stanowisko / Position ]:[Stanowisko / Position ]],0))="n/a","n/a",DE185-INDEX(tab_MinKomp[Obsługa wyposażenia do testów czystości (myjka + analizator) / Betrieb von Sauberkeitsprüfgeräten (Waschmaschine + Analysegerät)],MATCH($B185,tab_MinKomp[[Stanowisko / Position ]:[Stanowisko / Position ]],0)))</f>
        <v>n/a</v>
      </c>
      <c r="DF186" s="315" t="str">
        <f>IF(INDEX(tab_MinKomp[Testy czystości / Reinheitstests],MATCH($B185,tab_MinKomp[[Stanowisko / Position ]:[Stanowisko / Position ]],0))="n/a","n/a",DF185-INDEX(tab_MinKomp[Testy czystości / Reinheitstests],MATCH($B185,tab_MinKomp[[Stanowisko / Position ]:[Stanowisko / Position ]],0)))</f>
        <v>n/a</v>
      </c>
      <c r="DG186" s="315" t="str">
        <f>IF(INDEX(tab_MinKomp[Obsługa wysokościomierza / Unterstützung für Höhenmesser],MATCH($B185,tab_MinKomp[[Stanowisko / Position ]:[Stanowisko / Position ]],0))="n/a","n/a",DG185-INDEX(tab_MinKomp[Obsługa wysokościomierza / Unterstützung für Höhenmesser],MATCH($B185,tab_MinKomp[[Stanowisko / Position ]:[Stanowisko / Position ]],0)))</f>
        <v>n/a</v>
      </c>
      <c r="DH186" s="315" t="str">
        <f>IF(INDEX(tab_MinKomp[Pomiary wysokości materiału / Materialhöhenmessungen],MATCH($B185,tab_MinKomp[[Stanowisko / Position ]:[Stanowisko / Position ]],0))="n/a","n/a",DH185-INDEX(tab_MinKomp[Pomiary wysokości materiału / Materialhöhenmessungen],MATCH($B185,tab_MinKomp[[Stanowisko / Position ]:[Stanowisko / Position ]],0)))</f>
        <v>n/a</v>
      </c>
      <c r="DI186" s="315" t="str">
        <f>IF(INDEX(tab_MinKomp[Obsługa okrągłościomierza / Unterstützung für Rundheitsmessgeräte],MATCH($B185,tab_MinKomp[[Stanowisko / Position ]:[Stanowisko / Position ]],0))="n/a","n/a",DI185-INDEX(tab_MinKomp[Obsługa okrągłościomierza / Unterstützung für Rundheitsmessgeräte],MATCH($B185,tab_MinKomp[[Stanowisko / Position ]:[Stanowisko / Position ]],0)))</f>
        <v>n/a</v>
      </c>
      <c r="DJ186" s="315" t="str">
        <f>IF(INDEX(tab_MinKomp[Wykonywania pomiarów owalności, srednicy materiału / Messung der Ovalität und des Durchmessers des Materials],MATCH($B185,tab_MinKomp[[Stanowisko / Position ]:[Stanowisko / Position ]],0))="n/a","n/a",DJ185-INDEX(tab_MinKomp[Wykonywania pomiarów owalności, srednicy materiału / Messung der Ovalität und des Durchmessers des Materials],MATCH($B185,tab_MinKomp[[Stanowisko / Position ]:[Stanowisko / Position ]],0)))</f>
        <v>n/a</v>
      </c>
      <c r="DK186" s="315" t="str">
        <f>IF(INDEX(tab_MinKomp[Obsługa urządzenia do pomiarów chropowoatości powierzchni materiału],MATCH($B185,tab_MinKomp[[Stanowisko / Position ]:[Stanowisko / Position ]],0))="n/a","n/a",DK185-INDEX(tab_MinKomp[Obsługa urządzenia do pomiarów chropowoatości powierzchni materiału],MATCH($B185,tab_MinKomp[[Stanowisko / Position ]:[Stanowisko / Position ]],0)))</f>
        <v>n/a</v>
      </c>
      <c r="DL186" s="315" t="str">
        <f>IF(INDEX(tab_MinKomp[Wykonywanie pomiarów chropowatości powierzchni materiału / Durchführung von Messungen der Materialoberflächenrauheit],MATCH($B185,tab_MinKomp[[Stanowisko / Position ]:[Stanowisko / Position ]],0))="n/a","n/a",DL185-INDEX(tab_MinKomp[Wykonywanie pomiarów chropowatości powierzchni materiału / Durchführung von Messungen der Materialoberflächenrauheit],MATCH($B185,tab_MinKomp[[Stanowisko / Position ]:[Stanowisko / Position ]],0)))</f>
        <v>n/a</v>
      </c>
      <c r="DM186" s="315" t="str">
        <f>IF(INDEX(tab_MinKomp[Obsługa urządzenia do pomiaru siły radialnej części - postępowanie z trzpieniami. / Funktionsweise des Geräts zur Messung der Radialkraft von Teilen – Handhabungsstifte.],MATCH($B185,tab_MinKomp[[Stanowisko / Position ]:[Stanowisko / Position ]],0))="n/a","n/a",DM185-INDEX(tab_MinKomp[Obsługa urządzenia do pomiaru siły radialnej części - postępowanie z trzpieniami. / Funktionsweise des Geräts zur Messung der Radialkraft von Teilen – Handhabungsstifte.],MATCH($B185,tab_MinKomp[[Stanowisko / Position ]:[Stanowisko / Position ]],0)))</f>
        <v>n/a</v>
      </c>
      <c r="DN186" s="315" t="str">
        <f>IF(INDEX(tab_MinKomp[Wykonywanie pomiarów siły radialnej części / Führen Sie Radialkraftmessungen an Teilen durch],MATCH($B185,tab_MinKomp[[Stanowisko / Position ]:[Stanowisko / Position ]],0))="n/a","n/a",DN185-INDEX(tab_MinKomp[Wykonywanie pomiarów siły radialnej części / Führen Sie Radialkraftmessungen an Teilen durch],MATCH($B185,tab_MinKomp[[Stanowisko / Position ]:[Stanowisko / Position ]],0)))</f>
        <v>n/a</v>
      </c>
      <c r="DO186" s="315" t="str">
        <f>IF(INDEX(tab_MinKomp[Obsługa komory do testów wybuchwych / Betrieb einer Explosionsprüfkammer],MATCH($B185,tab_MinKomp[[Stanowisko / Position ]:[Stanowisko / Position ]],0))="n/a","n/a",DO185-INDEX(tab_MinKomp[Obsługa komory do testów wybuchwych / Betrieb einer Explosionsprüfkammer],MATCH($B185,tab_MinKomp[[Stanowisko / Position ]:[Stanowisko / Position ]],0)))</f>
        <v>n/a</v>
      </c>
      <c r="DP186" s="315" t="str">
        <f>IF(INDEX(tab_MinKomp[Wykonywanie testów wybuchowych części / Durchführung von Explosionstests an Teilen],MATCH($B185,tab_MinKomp[[Stanowisko / Position ]:[Stanowisko / Position ]],0))="n/a","n/a",DP185-INDEX(tab_MinKomp[Wykonywanie testów wybuchowych części / Durchführung von Explosionstests an Teilen],MATCH($B185,tab_MinKomp[[Stanowisko / Position ]:[Stanowisko / Position ]],0)))</f>
        <v>n/a</v>
      </c>
      <c r="DQ186" s="315" t="str">
        <f>IF(INDEX(tab_MinKomp[Obsługa urządzeń do mierzenia siły trzymania i/lub rozciągania / Betrieb von Geräten zur Messung der Halte- und/oder Dehnkraft],MATCH($B185,tab_MinKomp[[Stanowisko / Position ]:[Stanowisko / Position ]],0))="n/a","n/a",DQ185-INDEX(tab_MinKomp[Obsługa urządzeń do mierzenia siły trzymania i/lub rozciągania / Betrieb von Geräten zur Messung der Halte- und/oder Dehnkraft],MATCH($B185,tab_MinKomp[[Stanowisko / Position ]:[Stanowisko / Position ]],0)))</f>
        <v>n/a</v>
      </c>
      <c r="DR186" s="315" t="str">
        <f>IF(INDEX(tab_MinKomp[Wykonywanie testów mierzenia siły trzymania i/lub rozciągania / Durchführung von Tests zur Messung der Halte- und/oder Streckkraft],MATCH($B185,tab_MinKomp[[Stanowisko / Position ]:[Stanowisko / Position ]],0))="n/a","n/a",DR185-INDEX(tab_MinKomp[Wykonywanie testów mierzenia siły trzymania i/lub rozciągania / Durchführung von Tests zur Messung der Halte- und/oder Streckkraft],MATCH($B185,tab_MinKomp[[Stanowisko / Position ]:[Stanowisko / Position ]],0)))</f>
        <v>n/a</v>
      </c>
      <c r="DS186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Luftstrom)],MATCH($B185,tab_MinKomp[[Stanowisko / Position ]:[Stanowisko / Position ]],0))="n/a","n/a",DS185-INDEX(tab_MinKomp[Obsługa multimetru do pomiarów środowiskowych (temperatura, wilgotność, hałas, oświetlenie, przepływ powietrza) / Betrieb eines Multimeters für Umweltmessungen (Temperatur, Luftfeuchtigkeit, Lärm, Beleuchtung, Luftstrom)],MATCH($B185,tab_MinKomp[[Stanowisko / Position ]:[Stanowisko / Position ]],0)))</f>
        <v>n/a</v>
      </c>
      <c r="DT186" s="315" t="str">
        <f>IF(INDEX(tab_MinKomp[Kontrola warunków środowiskowych pracy (temperatura, wilgotność, hałas, oświetlenie, przepływ powietrza) / Kontrolle der Arbeitsumgebungsbedingungen (Temperatur, Luftfeuchtigkeit, Lärm, Beleuchtung, Luftstrom)],MATCH($B185,tab_MinKomp[[Stanowisko / Position ]:[Stanowisko / Position ]],0))="n/a","n/a",DT185-INDEX(tab_MinKomp[Kontrola warunków środowiskowych pracy (temperatura, wilgotność, hałas, oświetlenie, przepływ powietrza) / Kontrolle der Arbeitsumgebungsbedingungen (Temperatur, Luftfeuchtigkeit, Lärm, Beleuchtung, Luftstrom)],MATCH($B185,tab_MinKomp[[Stanowisko / Position ]:[Stanowisko / Position ]],0)))</f>
        <v>n/a</v>
      </c>
      <c r="DU186" s="315" t="str">
        <f>IF(INDEX(tab_MinKomp[MSA i SPC],MATCH($B185,tab_MinKomp[[Stanowisko / Position ]:[Stanowisko / Position ]],0))="n/a","n/a",DU185-INDEX(tab_MinKomp[MSA i SPC],MATCH($B185,tab_MinKomp[[Stanowisko / Position ]:[Stanowisko / Position ]],0)))</f>
        <v>n/a</v>
      </c>
      <c r="DV186" s="315" t="str">
        <f>IF(INDEX(tab_MinKomp[Kontrola wejściowa komponentów/ Eingangskontrolle],MATCH($B185,tab_MinKomp[[Stanowisko / Position ]:[Stanowisko / Position ]],0))="n/a","n/a",DV185-INDEX(tab_MinKomp[Kontrola wejściowa komponentów/ Eingangskontrolle],MATCH($B185,tab_MinKomp[[Stanowisko / Position ]:[Stanowisko / Position ]],0)))</f>
        <v>n/a</v>
      </c>
      <c r="DW186" s="315" t="str">
        <f>IF(INDEX(tab_MinKomp[Kontrola wyjściowa produktu / Ausgangskontrolle],MATCH($B185,tab_MinKomp[[Stanowisko / Position ]:[Stanowisko / Position ]],0))="n/a","n/a",DW185-INDEX(tab_MinKomp[Kontrola wyjściowa produktu / Ausgangskontrolle],MATCH($B185,tab_MinKomp[[Stanowisko / Position ]:[Stanowisko / Position ]],0)))</f>
        <v>n/a</v>
      </c>
      <c r="DX186" s="315" t="str">
        <f>IF(INDEX(tab_MinKomp[Kontrola codzienna produkcji / Tägliche Produktionskontrolle],MATCH($B185,tab_MinKomp[[Stanowisko / Position ]:[Stanowisko / Position ]],0))="n/a","n/a",DX185-INDEX(tab_MinKomp[Kontrola codzienna produkcji / Tägliche Produktionskontrolle],MATCH($B185,tab_MinKomp[[Stanowisko / Position ]:[Stanowisko / Position ]],0)))</f>
        <v>n/a</v>
      </c>
      <c r="DY186" s="315" t="str">
        <f>IF(INDEX(tab_MinKomp[Konserwacja Rep],MATCH($B185,tab_MinKomp[[Stanowisko / Position ]:[Stanowisko / Position ]],0))="n/a","n/a",DY185-INDEX(tab_MinKomp[Konserwacja Rep],MATCH($B185,tab_MinKomp[[Stanowisko / Position ]:[Stanowisko / Position ]],0)))</f>
        <v>n/a</v>
      </c>
      <c r="DZ186" s="315" t="str">
        <f>IF(INDEX(tab_MinKomp[[Konserwacja Engel ]],MATCH($B185,tab_MinKomp[[Stanowisko / Position ]:[Stanowisko / Position ]],0))="n/a","n/a",DZ185-INDEX(tab_MinKomp[[Konserwacja Engel ]],MATCH($B185,tab_MinKomp[[Stanowisko / Position ]:[Stanowisko / Position ]],0)))</f>
        <v>n/a</v>
      </c>
      <c r="EA186" s="315" t="str">
        <f>IF(INDEX(tab_MinKomp[Konserwacja B 50],MATCH($B185,tab_MinKomp[[Stanowisko / Position ]:[Stanowisko / Position ]],0))="n/a","n/a",EA185-INDEX(tab_MinKomp[Konserwacja B 50],MATCH($B185,tab_MinKomp[[Stanowisko / Position ]:[Stanowisko / Position ]],0)))</f>
        <v>n/a</v>
      </c>
      <c r="EB186" s="315" t="str">
        <f>IF(INDEX(tab_MinKomp[[Konserwacja EOL ]],MATCH($B185,tab_MinKomp[[Stanowisko / Position ]:[Stanowisko / Position ]],0))="n/a","n/a",EB185-INDEX(tab_MinKomp[[Konserwacja EOL ]],MATCH($B185,tab_MinKomp[[Stanowisko / Position ]:[Stanowisko / Position ]],0)))</f>
        <v>n/a</v>
      </c>
      <c r="EC186" s="315" t="str">
        <f>IF(INDEX(tab_MinKomp[Konserwacja Branson],MATCH($B185,tab_MinKomp[[Stanowisko / Position ]:[Stanowisko / Position ]],0))="n/a","n/a",EC185-INDEX(tab_MinKomp[Konserwacja Branson],MATCH($B185,tab_MinKomp[[Stanowisko / Position ]:[Stanowisko / Position ]],0)))</f>
        <v>n/a</v>
      </c>
      <c r="ED186" s="315" t="str">
        <f>IF(INDEX(tab_MinKomp[Konserwacja coolery],MATCH($B185,tab_MinKomp[[Stanowisko / Position ]:[Stanowisko / Position ]],0))="n/a","n/a",ED185-INDEX(tab_MinKomp[Konserwacja coolery],MATCH($B185,tab_MinKomp[[Stanowisko / Position ]:[Stanowisko / Position ]],0)))</f>
        <v>n/a</v>
      </c>
      <c r="EE186" s="315" t="str">
        <f>IF(INDEX(tab_MinKomp[Konserwacja piecy],MATCH($B185,tab_MinKomp[[Stanowisko / Position ]:[Stanowisko / Position ]],0))="n/a","n/a",EE185-INDEX(tab_MinKomp[Konserwacja piecy],MATCH($B185,tab_MinKomp[[Stanowisko / Position ]:[Stanowisko / Position ]],0)))</f>
        <v>n/a</v>
      </c>
      <c r="EF186" s="315" t="str">
        <f>IF(INDEX(tab_MinKomp[Rysunek techniczny- czytanie],MATCH($B185,tab_MinKomp[[Stanowisko / Position ]:[Stanowisko / Position ]],0))="n/a","n/a",EF185-INDEX(tab_MinKomp[Rysunek techniczny- czytanie],MATCH($B185,tab_MinKomp[[Stanowisko / Position ]:[Stanowisko / Position ]],0)))</f>
        <v>n/a</v>
      </c>
      <c r="EG186" s="315" t="str">
        <f>IF(INDEX(tab_MinKomp[Elektryka],MATCH($B185,tab_MinKomp[[Stanowisko / Position ]:[Stanowisko / Position ]],0))="n/a","n/a",EG185-INDEX(tab_MinKomp[Elektryka],MATCH($B185,tab_MinKomp[[Stanowisko / Position ]:[Stanowisko / Position ]],0)))</f>
        <v>n/a</v>
      </c>
      <c r="EH186" s="315" t="str">
        <f>IF(INDEX(tab_MinKomp[Pneumatyka],MATCH($B185,tab_MinKomp[[Stanowisko / Position ]:[Stanowisko / Position ]],0))="n/a","n/a",EH185-INDEX(tab_MinKomp[Pneumatyka],MATCH($B185,tab_MinKomp[[Stanowisko / Position ]:[Stanowisko / Position ]],0)))</f>
        <v>n/a</v>
      </c>
      <c r="EI186" s="315" t="str">
        <f>IF(INDEX(tab_MinKomp[[Hydraulika ]],MATCH($B185,tab_MinKomp[[Stanowisko / Position ]:[Stanowisko / Position ]],0))="n/a","n/a",EI185-INDEX(tab_MinKomp[[Hydraulika ]],MATCH($B185,tab_MinKomp[[Stanowisko / Position ]:[Stanowisko / Position ]],0)))</f>
        <v>n/a</v>
      </c>
      <c r="EJ186" s="315" t="str">
        <f>IF(INDEX(tab_MinKomp[Podciśnienie],MATCH($B185,tab_MinKomp[[Stanowisko / Position ]:[Stanowisko / Position ]],0))="n/a","n/a",EJ185-INDEX(tab_MinKomp[Podciśnienie],MATCH($B185,tab_MinKomp[[Stanowisko / Position ]:[Stanowisko / Position ]],0)))</f>
        <v>n/a</v>
      </c>
      <c r="EK186" s="315" t="str">
        <f>IF(INDEX(tab_MinKomp[Usuwanie awarii],MATCH($B185,tab_MinKomp[[Stanowisko / Position ]:[Stanowisko / Position ]],0))="n/a","n/a",EK185-INDEX(tab_MinKomp[Usuwanie awarii],MATCH($B185,tab_MinKomp[[Stanowisko / Position ]:[Stanowisko / Position ]],0)))</f>
        <v>n/a</v>
      </c>
      <c r="EL186" s="315" t="str">
        <f>IF(INDEX(tab_MinKomp[Obsługa robotów],MATCH($B185,tab_MinKomp[[Stanowisko / Position ]:[Stanowisko / Position ]],0))="n/a","n/a",EL185-INDEX(tab_MinKomp[Obsługa robotów],MATCH($B185,tab_MinKomp[[Stanowisko / Position ]:[Stanowisko / Position ]],0)))</f>
        <v>n/a</v>
      </c>
      <c r="EM186" s="315" t="str">
        <f>IF(INDEX(tab_MinKomp[Obsługa sterowania maszyny],MATCH($B185,tab_MinKomp[[Stanowisko / Position ]:[Stanowisko / Position ]],0))="n/a","n/a",EM185-INDEX(tab_MinKomp[Obsługa sterowania maszyny],MATCH($B185,tab_MinKomp[[Stanowisko / Position ]:[Stanowisko / Position ]],0)))</f>
        <v>n/a</v>
      </c>
      <c r="EN186" s="315" t="str">
        <f>IF(INDEX(tab_MinKomp[Usuwanie przyczyn żródłowych],MATCH($B185,tab_MinKomp[[Stanowisko / Position ]:[Stanowisko / Position ]],0))="n/a","n/a",EN185-INDEX(tab_MinKomp[Usuwanie przyczyn żródłowych],MATCH($B185,tab_MinKomp[[Stanowisko / Position ]:[Stanowisko / Position ]],0)))</f>
        <v>n/a</v>
      </c>
      <c r="EO186" s="315" t="str">
        <f>IF(INDEX(tab_MinKomp[Cmms stosowanie],MATCH($B185,tab_MinKomp[[Stanowisko / Position ]:[Stanowisko / Position ]],0))="n/a","n/a",EO185-INDEX(tab_MinKomp[Cmms stosowanie],MATCH($B185,tab_MinKomp[[Stanowisko / Position ]:[Stanowisko / Position ]],0)))</f>
        <v>n/a</v>
      </c>
      <c r="EP186" s="315" t="str">
        <f>IF(INDEX(tab_MinKomp[[Czyszczenie form gumowych ]],MATCH($B185,tab_MinKomp[[Stanowisko / Position ]:[Stanowisko / Position ]],0))="n/a","n/a",EP185-INDEX(tab_MinKomp[[Czyszczenie form gumowych ]],MATCH($B185,tab_MinKomp[[Stanowisko / Position ]:[Stanowisko / Position ]],0)))</f>
        <v>n/a</v>
      </c>
      <c r="EQ186" s="315" t="str">
        <f>IF(INDEX(tab_MinKomp[Czyszczenie form plastikowych],MATCH($B185,tab_MinKomp[[Stanowisko / Position ]:[Stanowisko / Position ]],0))="n/a","n/a",EQ185-INDEX(tab_MinKomp[Czyszczenie form plastikowych],MATCH($B185,tab_MinKomp[[Stanowisko / Position ]:[Stanowisko / Position ]],0)))</f>
        <v>n/a</v>
      </c>
      <c r="ER186" s="315" t="str">
        <f>IF(INDEX(tab_MinKomp[Wymiana form plastik],MATCH($B185,tab_MinKomp[[Stanowisko / Position ]:[Stanowisko / Position ]],0))="n/a","n/a",ER185-INDEX(tab_MinKomp[Wymiana form plastik],MATCH($B185,tab_MinKomp[[Stanowisko / Position ]:[Stanowisko / Position ]],0)))</f>
        <v>n/a</v>
      </c>
      <c r="ES186" s="315" t="str">
        <f>IF(INDEX(tab_MinKomp[Wymiana form guma],MATCH($B185,tab_MinKomp[[Stanowisko / Position ]:[Stanowisko / Position ]],0))="n/a","n/a",ES185-INDEX(tab_MinKomp[Wymiana form guma],MATCH($B185,tab_MinKomp[[Stanowisko / Position ]:[Stanowisko / Position ]],0)))</f>
        <v>n/a</v>
      </c>
      <c r="ET186" s="315" t="str">
        <f>IF(INDEX(tab_MinKomp[Konserwacja KK],MATCH($B185,tab_MinKomp[[Stanowisko / Position ]:[Stanowisko / Position ]],0))="n/a","n/a",ET185-INDEX(tab_MinKomp[Konserwacja KK],MATCH($B185,tab_MinKomp[[Stanowisko / Position ]:[Stanowisko / Position ]],0)))</f>
        <v>n/a</v>
      </c>
      <c r="EU186" s="315" t="str">
        <f>IF(INDEX(tab_MinKomp[Konserwacja form guma],MATCH($B185,tab_MinKomp[[Stanowisko / Position ]:[Stanowisko / Position ]],0))="n/a","n/a",EU185-INDEX(tab_MinKomp[Konserwacja form guma],MATCH($B185,tab_MinKomp[[Stanowisko / Position ]:[Stanowisko / Position ]],0)))</f>
        <v>n/a</v>
      </c>
      <c r="EV186" s="315" t="str">
        <f>IF(INDEX(tab_MinKomp[Konserwacja form plastiki],MATCH($B185,tab_MinKomp[[Stanowisko / Position ]:[Stanowisko / Position ]],0))="n/a","n/a",EV185-INDEX(tab_MinKomp[Konserwacja form plastiki],MATCH($B185,tab_MinKomp[[Stanowisko / Position ]:[Stanowisko / Position ]],0)))</f>
        <v>n/a</v>
      </c>
      <c r="EW186" s="330" t="str">
        <f>IF(INDEX(tab_MinKomp[Konserwacja form plastiki],MATCH($B185,tab_MinKomp[[Stanowisko / Position ]:[Stanowisko / Position ]],0))="n/a","n/a",EW185-INDEX(tab_MinKomp[Konserwacja form plastiki],MATCH($B185,tab_MinKomp[[Stanowisko / Position ]:[Stanowisko / Position ]],0)))</f>
        <v>n/a</v>
      </c>
      <c r="EX186" s="315" t="str">
        <f>IF(INDEX(tab_MinKomp[Konserwacja Gorącego Kanału],MATCH($B185,tab_MinKomp[[Stanowisko / Position ]:[Stanowisko / Position ]],0))="n/a","n/a",EX185-INDEX(tab_MinKomp[Konserwacja Gorącego Kanału],MATCH($B185,tab_MinKomp[[Stanowisko / Position ]:[Stanowisko / Position ]],0)))</f>
        <v>n/a</v>
      </c>
      <c r="EY186" s="315">
        <f>IF(INDEX(tab_MinKomp[MS Office (Excel)],MATCH($B185,tab_MinKomp[[Stanowisko / Position ]:[Stanowisko / Position ]],0))="n/a","n/a",EY185-INDEX(tab_MinKomp[MS Office (Excel)],MATCH($B185,tab_MinKomp[[Stanowisko / Position ]:[Stanowisko / Position ]],0)))</f>
        <v>0</v>
      </c>
      <c r="EZ186" s="315">
        <f>IF(INDEX(tab_MinKomp[MS Office (Word)],MATCH($B185,tab_MinKomp[[Stanowisko / Position ]:[Stanowisko / Position ]],0))="n/a","n/a",EZ185-INDEX(tab_MinKomp[MS Office (Word)],MATCH($B185,tab_MinKomp[[Stanowisko / Position ]:[Stanowisko / Position ]],0)))</f>
        <v>0</v>
      </c>
      <c r="FA186" s="315">
        <f>IF(INDEX(tab_MinKomp[MS Office (Power Point)],MATCH($B185,tab_MinKomp[[Stanowisko / Position ]:[Stanowisko / Position ]],0))="n/a","n/a",FA185-INDEX(tab_MinKomp[MS Office (Power Point)],MATCH($B185,tab_MinKomp[[Stanowisko / Position ]:[Stanowisko / Position ]],0)))</f>
        <v>0</v>
      </c>
      <c r="FB186" s="315">
        <f>IF(INDEX(tab_MinKomp[Język angielski / Englisch],MATCH($B185,tab_MinKomp[[Stanowisko / Position ]:[Stanowisko / Position ]],0))="n/a","n/a",FB185-INDEX(tab_MinKomp[Język angielski / Englisch],MATCH($B185,tab_MinKomp[[Stanowisko / Position ]:[Stanowisko / Position ]],0)))</f>
        <v>0</v>
      </c>
      <c r="FC186" s="315" t="str">
        <f>IF(INDEX(tab_MinKomp[Język niemiecki / Deutsch],MATCH($B185,tab_MinKomp[[Stanowisko / Position ]:[Stanowisko / Position ]],0))="n/a","n/a",FC185-INDEX(tab_MinKomp[Język niemiecki / Deutsch],MATCH($B185,tab_MinKomp[[Stanowisko / Position ]:[Stanowisko / Position ]],0)))</f>
        <v>n/a</v>
      </c>
      <c r="FD186" s="315">
        <f>IF(INDEX(tab_MinKomp[Zarządzanie dokumentacją procesową / Process dokumentation management],MATCH($B185,tab_MinKomp[[Stanowisko / Position ]:[Stanowisko / Position ]],0))="n/a","n/a",FD185-INDEX(tab_MinKomp[Zarządzanie dokumentacją procesową / Process dokumentation management],MATCH($B185,tab_MinKomp[[Stanowisko / Position ]:[Stanowisko / Position ]],0)))</f>
        <v>-1</v>
      </c>
      <c r="FE186" s="315">
        <f>IF(INDEX(tab_MinKomp[Znajomość procesów z obszaru / Kenntiss der prozesse in dem Bereich],MATCH($B185,tab_MinKomp[[Stanowisko / Position ]:[Stanowisko / Position ]],0))="n/a","n/a",FE185-INDEX(tab_MinKomp[Znajomość procesów z obszaru / Kenntiss der prozesse in dem Bereich],MATCH($B185,tab_MinKomp[[Stanowisko / Position ]:[Stanowisko / Position ]],0)))</f>
        <v>0</v>
      </c>
      <c r="FF186" s="315">
        <f>IF(INDEX(tab_MinKomp[optymalizacja procesów / Prozessoptymalisierung],MATCH($B185,tab_MinKomp[[Stanowisko / Position ]:[Stanowisko / Position ]],0))="n/a","n/a",FF185-INDEX(tab_MinKomp[optymalizacja procesów / Prozessoptymalisierung],MATCH($B185,tab_MinKomp[[Stanowisko / Position ]:[Stanowisko / Position ]],0)))</f>
        <v>-1</v>
      </c>
      <c r="FG186" s="315">
        <f>IF(INDEX(tab_MinKomp[Umiejętności szkoleniowe / Trainingsfähigkeiten],MATCH($B185,tab_MinKomp[[Stanowisko / Position ]:[Stanowisko / Position ]],0))="n/a","n/a",FG185-INDEX(tab_MinKomp[Umiejętności szkoleniowe / Trainingsfähigkeiten],MATCH($B185,tab_MinKomp[[Stanowisko / Position ]:[Stanowisko / Position ]],0)))</f>
        <v>-1</v>
      </c>
      <c r="FH186" s="315">
        <f>IF(INDEX(tab_MinKomp[Analityczne myślenie, podejście / Analitysches Denken, Einstellung],MATCH($B185,tab_MinKomp[[Stanowisko / Position ]:[Stanowisko / Position ]],0))="n/a","n/a",FH185-INDEX(tab_MinKomp[Analityczne myślenie, podejście / Analitysches Denken, Einstellung],MATCH($B185,tab_MinKomp[[Stanowisko / Position ]:[Stanowisko / Position ]],0)))</f>
        <v>0</v>
      </c>
      <c r="FI186" s="315">
        <f>IF(INDEX(tab_MinKomp[Dokładność, precyzja w dzialaniu / Genauigkeit, Präzision in die Arbeit],MATCH($B185,tab_MinKomp[[Stanowisko / Position ]:[Stanowisko / Position ]],0))="n/a","n/a",FI185-INDEX(tab_MinKomp[Dokładność, precyzja w dzialaniu / Genauigkeit, Präzision in die Arbeit],MATCH($B185,tab_MinKomp[[Stanowisko / Position ]:[Stanowisko / Position ]],0)))</f>
        <v>0</v>
      </c>
      <c r="FJ186" s="315">
        <f>IF(INDEX(tab_MinKomp[Dyspozycyjność / Verfügbarkeit],MATCH($B185,tab_MinKomp[[Stanowisko / Position ]:[Stanowisko / Position ]],0))="n/a","n/a",FJ185-INDEX(tab_MinKomp[Dyspozycyjność / Verfügbarkeit],MATCH($B185,tab_MinKomp[[Stanowisko / Position ]:[Stanowisko / Position ]],0)))</f>
        <v>0</v>
      </c>
      <c r="FK186" s="315">
        <f>IF(INDEX(tab_MinKomp[Zaangażowanie / 
Engagement],MATCH($B185,tab_MinKomp[[Stanowisko / Position ]:[Stanowisko / Position ]],0))="n/a","n/a",FK185-INDEX(tab_MinKomp[Zaangażowanie / 
Engagement],MATCH($B185,tab_MinKomp[[Stanowisko / Position ]:[Stanowisko / Position ]],0)))</f>
        <v>0</v>
      </c>
      <c r="FL186" s="315">
        <f>IF(INDEX(tab_MinKomp[Planowanie strategiczne / Strategische Planung],MATCH($B185,tab_MinKomp[[Stanowisko / Position ]:[Stanowisko / Position ]],0))="n/a","n/a",FL185-INDEX(tab_MinKomp[Planowanie strategiczne / Strategische Planung],MATCH($B185,tab_MinKomp[[Stanowisko / Position ]:[Stanowisko / Position ]],0)))</f>
        <v>-1</v>
      </c>
      <c r="FM186" s="315">
        <f>IF(INDEX(tab_MinKomp[Konsekwentne i dynamiczne działanie],MATCH($B185,tab_MinKomp[[Stanowisko / Position ]:[Stanowisko / Position ]],0))="n/a","n/a",FM185-INDEX(tab_MinKomp[Konsekwentne i dynamiczne działanie],MATCH($B185,tab_MinKomp[[Stanowisko / Position ]:[Stanowisko / Position ]],0)))</f>
        <v>0</v>
      </c>
      <c r="FN186" s="315">
        <f>IF(INDEX(tab_MinKomp[Elastyczność w działaniu],MATCH($B185,tab_MinKomp[[Stanowisko / Position ]:[Stanowisko / Position ]],0))="n/a","n/a",FN185-INDEX(tab_MinKomp[Elastyczność w działaniu],MATCH($B185,tab_MinKomp[[Stanowisko / Position ]:[Stanowisko / Position ]],0)))</f>
        <v>0</v>
      </c>
      <c r="FO186" s="315">
        <f>IF(INDEX(tab_MinKomp[Komunikatywność],MATCH($B185,tab_MinKomp[[Stanowisko / Position ]:[Stanowisko / Position ]],0))="n/a","n/a",FO185-INDEX(tab_MinKomp[Komunikatywność],MATCH($B185,tab_MinKomp[[Stanowisko / Position ]:[Stanowisko / Position ]],0)))</f>
        <v>0</v>
      </c>
      <c r="FP186" s="315">
        <f>IF(INDEX(tab_MinKomp[Motywowanie i budowanie zaangażowania zespołu],MATCH($B185,tab_MinKomp[[Stanowisko / Position ]:[Stanowisko / Position ]],0))="n/a","n/a",FP185-INDEX(tab_MinKomp[Motywowanie i budowanie zaangażowania zespołu],MATCH($B185,tab_MinKomp[[Stanowisko / Position ]:[Stanowisko / Position ]],0)))</f>
        <v>-1</v>
      </c>
      <c r="FQ186" s="318" t="str">
        <f>IFERROR(IF(INDEX(tab_MinKomp[BRAK / Keine],MATCH($B185,tab_MinKomp[[Stanowisko / Position ]:[Stanowisko / Position ]],0))="n/a","n/a",INDEX(tab_MinKomp[BRAK / Keine],MATCH($B185,tab_MinKomp[[Stanowisko / Position ]:[Stanowisko / Position ]],0))-FQ185),"")</f>
        <v>n/a</v>
      </c>
      <c r="FR186" s="315" t="str">
        <f>IF(INDEX(tab_MinKomp[MINIMUM 1 ROK / min. 1 Jahr],MATCH($B185,tab_MinKomp[[Stanowisko / Position ]:[Stanowisko / Position ]],0))="n/a","n/a",INDEX(tab_MinKomp[MINIMUM 1 ROK / min. 1 Jahr],MATCH($B185,tab_MinKomp[[Stanowisko / Position ]:[Stanowisko / Position ]],0)))</f>
        <v>n/a</v>
      </c>
      <c r="FS186" s="315" t="str">
        <f>IF(INDEX(tab_MinKomp[MINIMUM 2 LATA / min. 2 Jahre],MATCH($B185,tab_MinKomp[[Stanowisko / Position ]:[Stanowisko / Position ]],0))="n/a","n/a",INDEX(tab_MinKomp[MINIMUM 2 LATA / min. 2 Jahre],MATCH($B185,tab_MinKomp[[Stanowisko / Position ]:[Stanowisko / Position ]],0)))</f>
        <v>X</v>
      </c>
      <c r="FT186" s="315" t="str">
        <f>IF(INDEX(tab_MinKomp[MINIMUM 3 LATA / min. 3 Jahre],MATCH($B185,tab_MinKomp[[Stanowisko / Position ]:[Stanowisko / Position ]],0))="n/a","n/a",INDEX(tab_MinKomp[MINIMUM 3 LATA / min. 3 Jahre],MATCH($B185,tab_MinKomp[[Stanowisko / Position ]:[Stanowisko / Position ]],0)))</f>
        <v>n/a</v>
      </c>
      <c r="FU186" s="315" t="str">
        <f>IF(INDEX(tab_MinKomp[MINIMUM 4 LATA / min. 4 Jahre],MATCH($B185,tab_MinKomp[[Stanowisko / Position ]:[Stanowisko / Position ]],0))="n/a","n/a",INDEX(tab_MinKomp[MINIMUM 4 LATA / min. 4 Jahre],MATCH($B185,tab_MinKomp[[Stanowisko / Position ]:[Stanowisko / Position ]],0)))</f>
        <v>n/a</v>
      </c>
      <c r="FV186" s="319" t="str">
        <f>IF(INDEX(tab_MinKomp[MINIMUM 5 LAT / min. 5 Jahre],MATCH($B185,tab_MinKomp[[Stanowisko / Position ]:[Stanowisko / Position ]],0))="n/a","n/a",INDEX(tab_MinKomp[MINIMUM 5 LAT / min. 5 Jahre],MATCH($B185,tab_MinKomp[[Stanowisko / Position ]:[Stanowisko / Position ]],0)))</f>
        <v>n/a</v>
      </c>
      <c r="FW186" s="318" t="str">
        <f>IF(INDEX(tab_MinKomp[BRAK / Keine9],MATCH($B185,tab_MinKomp[[Stanowisko / Position ]:[Stanowisko / Position ]],0))="n/a","n/a",INDEX(tab_MinKomp[BRAK / Keine9],MATCH($B185,tab_MinKomp[[Stanowisko / Position ]:[Stanowisko / Position ]],0)))</f>
        <v>n/a</v>
      </c>
      <c r="FX186" s="315" t="str">
        <f>IF(INDEX(tab_MinKomp[ZAWODOWE / Berufsausbildung],MATCH($B185,tab_MinKomp[[Stanowisko / Position ]:[Stanowisko / Position ]],0))="n/a","n/a",INDEX(tab_MinKomp[ZAWODOWE / Berufsausbildung],MATCH($B185,tab_MinKomp[[Stanowisko / Position ]:[Stanowisko / Position ]],0)))</f>
        <v>n/a</v>
      </c>
      <c r="FY186" s="315" t="str">
        <f>IF(INDEX(tab_MinKomp[ŚREDNIE OGÓLNE / Abitur allgemeine],MATCH($B185,tab_MinKomp[[Stanowisko / Position ]:[Stanowisko / Position ]],0))="n/a","n/a",INDEX(tab_MinKomp[ŚREDNIE OGÓLNE / Abitur allgemeine],MATCH($B185,tab_MinKomp[[Stanowisko / Position ]:[Stanowisko / Position ]],0)))</f>
        <v>n/a</v>
      </c>
      <c r="FZ186" s="315" t="str">
        <f>IF(INDEX(tab_MinKomp[ŚREDNIE KIERUNKOWE / berufliches Gymnasium],MATCH($B185,tab_MinKomp[[Stanowisko / Position ]:[Stanowisko / Position ]],0))="n/a","n/a",INDEX(tab_MinKomp[ŚREDNIE KIERUNKOWE / berufliches Gymnasium],MATCH($B185,tab_MinKomp[[Stanowisko / Position ]:[Stanowisko / Position ]],0)))</f>
        <v>n/a</v>
      </c>
      <c r="GA186" s="315" t="str">
        <f>IF(INDEX(tab_MinKomp[WYŻSZE OGÓLNE / Hochschule allgemeine],MATCH($B185,tab_MinKomp[[Stanowisko / Position ]:[Stanowisko / Position ]],0))="n/a","n/a",INDEX(tab_MinKomp[WYŻSZE OGÓLNE / Hochschule allgemeine],MATCH($B185,tab_MinKomp[[Stanowisko / Position ]:[Stanowisko / Position ]],0)))</f>
        <v>n/a</v>
      </c>
      <c r="GB186" s="319" t="str">
        <f>IF(INDEX(tab_MinKomp[WYŻSZE KIERUNKOWE / Hochschule berufliche],MATCH($B185,tab_MinKomp[[Stanowisko / Position ]:[Stanowisko / Position ]],0))="n/a","n/a",INDEX(tab_MinKomp[WYŻSZE KIERUNKOWE / Hochschule berufliche],MATCH($B185,tab_MinKomp[[Stanowisko / Position ]:[Stanowisko / Position ]],0)))</f>
        <v>X</v>
      </c>
      <c r="GC186" s="318" t="str">
        <f>IF(INDEX(tab_MinKomp[PIERWSZA POMOC / Erste Hilfe],MATCH($B185,tab_MinKomp[[Stanowisko / Position ]:[Stanowisko / Position ]],0))="n/a","n/a",INDEX(tab_MinKomp[PIERWSZA POMOC / Erste Hilfe],MATCH($B185,tab_MinKomp[[Stanowisko / Position ]:[Stanowisko / Position ]],0)))</f>
        <v>n/a</v>
      </c>
      <c r="GD186" s="315" t="str">
        <f>IF(INDEX(tab_MinKomp[Specjalista BHP / BHP Spezialist],MATCH($B185,tab_MinKomp[[Stanowisko / Position ]:[Stanowisko / Position ]],0))="n/a","n/a",INDEX(tab_MinKomp[Specjalista BHP / BHP Spezialist],MATCH($B185,tab_MinKomp[[Stanowisko / Position ]:[Stanowisko / Position ]],0)))</f>
        <v>n/a</v>
      </c>
      <c r="GE186" s="315" t="str">
        <f>IF(INDEX(tab_MinKomp[Inspektor ochrony PPOŻ / Brandschutzinspektor],MATCH($B185,tab_MinKomp[[Stanowisko / Position ]:[Stanowisko / Position ]],0))="n/a","n/a",INDEX(tab_MinKomp[Inspektor ochrony PPOŻ / Brandschutzinspektor],MATCH($B185,tab_MinKomp[[Stanowisko / Position ]:[Stanowisko / Position ]],0)))</f>
        <v>n/a</v>
      </c>
      <c r="GF186" s="315" t="str">
        <f>IF(INDEX(tab_MinKomp[WÓZKI JEZDNIOWE / Gebelstapler],MATCH($B185,tab_MinKomp[[Stanowisko / Position ]:[Stanowisko / Position ]],0))="n/a","n/a",INDEX(tab_MinKomp[WÓZKI JEZDNIOWE / Gebelstapler],MATCH($B185,tab_MinKomp[[Stanowisko / Position ]:[Stanowisko / Position ]],0)))</f>
        <v>n/a</v>
      </c>
      <c r="GG186" s="315" t="str">
        <f>IF(INDEX(tab_MinKomp[SEP],MATCH($B185,tab_MinKomp[[Stanowisko / Position ]:[Stanowisko / Position ]],0))="n/a","n/a",INDEX(tab_MinKomp[SEP],MATCH($B185,tab_MinKomp[[Stanowisko / Position ]:[Stanowisko / Position ]],0)))</f>
        <v>n/a</v>
      </c>
      <c r="GH186" s="315" t="str">
        <f>IF(INDEX(tab_MinKomp[SEP  DOZÓR / SEP Aufsicht],MATCH($B185,tab_MinKomp[[Stanowisko / Position ]:[Stanowisko / Position ]],0))="n/a","n/a",INDEX(tab_MinKomp[SEP  DOZÓR / SEP Aufsicht],MATCH($B185,tab_MinKomp[[Stanowisko / Position ]:[Stanowisko / Position ]],0)))</f>
        <v>n/a</v>
      </c>
      <c r="GI186" s="315" t="str">
        <f>IF(INDEX(tab_MinKomp[PODNOŚNIKI / Hebevorrichtung],MATCH($B185,tab_MinKomp[[Stanowisko / Position ]:[Stanowisko / Position ]],0))="n/a","n/a",INDEX(tab_MinKomp[PODNOŚNIKI / Hebevorrichtung],MATCH($B185,tab_MinKomp[[Stanowisko / Position ]:[Stanowisko / Position ]],0)))</f>
        <v>n/a</v>
      </c>
      <c r="GJ186" s="315" t="str">
        <f>IF(INDEX(tab_MinKomp[SUWNICE / Laufkran],MATCH($B185,tab_MinKomp[[Stanowisko / Position ]:[Stanowisko / Position ]],0))="n/a","n/a",INDEX(tab_MinKomp[SUWNICE / Laufkran],MATCH($B185,tab_MinKomp[[Stanowisko / Position ]:[Stanowisko / Position ]],0)))</f>
        <v>n/a</v>
      </c>
      <c r="GK186" s="319" t="str">
        <f>IF(INDEX(tab_MinKomp[WYSOKOŚCIOWE / Höhenberechtigungen],MATCH($B185,tab_MinKomp[[Stanowisko / Position ]:[Stanowisko / Position ]],0))="n/a","n/a",INDEX(tab_MinKomp[WYSOKOŚCIOWE / Höhenberechtigungen],MATCH($B185,tab_MinKomp[[Stanowisko / Position ]:[Stanowisko / Position ]],0)))</f>
        <v>n/a</v>
      </c>
      <c r="GL186" s="320">
        <f>SUM(G186:FP186)/(GL185-(SUM(G186:FP186)))</f>
        <v>-0.14529914529914531</v>
      </c>
    </row>
    <row r="187" spans="1:195" ht="28.35" customHeight="1" x14ac:dyDescent="0.25">
      <c r="A187" s="138" t="s">
        <v>259</v>
      </c>
      <c r="B187" s="135" t="s">
        <v>210</v>
      </c>
      <c r="C187" s="135" t="s">
        <v>750</v>
      </c>
      <c r="D187" s="138">
        <v>1069</v>
      </c>
      <c r="E187" s="563" t="s">
        <v>270</v>
      </c>
      <c r="F187" s="307" t="s">
        <v>165</v>
      </c>
      <c r="G187" s="308">
        <v>2</v>
      </c>
      <c r="H187" s="308">
        <v>2</v>
      </c>
      <c r="I187" s="308">
        <v>3</v>
      </c>
      <c r="J187" s="308">
        <v>2</v>
      </c>
      <c r="K187" s="308">
        <v>2</v>
      </c>
      <c r="L187" s="308">
        <v>1</v>
      </c>
      <c r="M187" s="308" t="s">
        <v>176</v>
      </c>
      <c r="N187" s="308" t="s">
        <v>176</v>
      </c>
      <c r="O187" s="308">
        <v>2</v>
      </c>
      <c r="P187" s="308">
        <v>2</v>
      </c>
      <c r="Q187" s="308" t="s">
        <v>176</v>
      </c>
      <c r="R187" s="308" t="s">
        <v>176</v>
      </c>
      <c r="S187" s="308">
        <v>2</v>
      </c>
      <c r="T187" s="308">
        <v>2</v>
      </c>
      <c r="U187" s="308" t="s">
        <v>176</v>
      </c>
      <c r="V187" s="308" t="s">
        <v>176</v>
      </c>
      <c r="W187" s="308" t="s">
        <v>176</v>
      </c>
      <c r="X187" s="308" t="s">
        <v>176</v>
      </c>
      <c r="Y187" s="308" t="s">
        <v>176</v>
      </c>
      <c r="Z187" s="308" t="s">
        <v>176</v>
      </c>
      <c r="AA187" s="308" t="s">
        <v>176</v>
      </c>
      <c r="AB187" s="308">
        <v>2</v>
      </c>
      <c r="AC187" s="308">
        <v>3</v>
      </c>
      <c r="AD187" s="308">
        <v>3</v>
      </c>
      <c r="AE187" s="308">
        <v>2</v>
      </c>
      <c r="AF187" s="308">
        <v>2</v>
      </c>
      <c r="AG187" s="308">
        <v>3</v>
      </c>
      <c r="AH187" s="308">
        <v>3</v>
      </c>
      <c r="AI187" s="308">
        <v>1</v>
      </c>
      <c r="AJ187" s="308">
        <v>2</v>
      </c>
      <c r="AK187" s="308">
        <v>2</v>
      </c>
      <c r="AL187" s="308">
        <v>3</v>
      </c>
      <c r="AM187" s="308">
        <v>2</v>
      </c>
      <c r="AN187" s="308">
        <v>1</v>
      </c>
      <c r="AO187" s="308">
        <v>3</v>
      </c>
      <c r="AP187" s="308">
        <v>3</v>
      </c>
      <c r="AQ187" s="308">
        <v>3</v>
      </c>
      <c r="AR187" s="308">
        <v>2</v>
      </c>
      <c r="AS187" s="308">
        <v>3</v>
      </c>
      <c r="AT187" s="308">
        <v>3</v>
      </c>
      <c r="AU187" s="308">
        <v>3</v>
      </c>
      <c r="AV187" s="308">
        <v>2</v>
      </c>
      <c r="AW187" s="308">
        <v>1</v>
      </c>
      <c r="AX187" s="308">
        <v>1</v>
      </c>
      <c r="AY187" s="308">
        <v>1</v>
      </c>
      <c r="AZ187" s="308">
        <v>1</v>
      </c>
      <c r="BA187" s="308" t="s">
        <v>176</v>
      </c>
      <c r="BB187" s="308" t="s">
        <v>176</v>
      </c>
      <c r="BC187" s="308" t="s">
        <v>176</v>
      </c>
      <c r="BD187" s="308" t="s">
        <v>176</v>
      </c>
      <c r="BE187" s="308" t="s">
        <v>176</v>
      </c>
      <c r="BF187" s="308" t="s">
        <v>176</v>
      </c>
      <c r="BG187" s="308" t="s">
        <v>176</v>
      </c>
      <c r="BH187" s="308" t="s">
        <v>176</v>
      </c>
      <c r="BI187" s="308" t="s">
        <v>176</v>
      </c>
      <c r="BJ187" s="308" t="s">
        <v>176</v>
      </c>
      <c r="BK187" s="308" t="s">
        <v>176</v>
      </c>
      <c r="BL187" s="308" t="s">
        <v>176</v>
      </c>
      <c r="BM187" s="308" t="s">
        <v>176</v>
      </c>
      <c r="BN187" s="308" t="s">
        <v>176</v>
      </c>
      <c r="BO187" s="308" t="s">
        <v>176</v>
      </c>
      <c r="BP187" s="308" t="s">
        <v>176</v>
      </c>
      <c r="BQ187" s="308" t="s">
        <v>176</v>
      </c>
      <c r="BR187" s="308" t="s">
        <v>176</v>
      </c>
      <c r="BS187" s="308" t="s">
        <v>176</v>
      </c>
      <c r="BT187" s="308" t="s">
        <v>176</v>
      </c>
      <c r="BU187" s="308" t="s">
        <v>176</v>
      </c>
      <c r="BV187" s="308" t="s">
        <v>176</v>
      </c>
      <c r="BW187" s="308" t="s">
        <v>176</v>
      </c>
      <c r="BX187" s="308" t="s">
        <v>176</v>
      </c>
      <c r="BY187" s="308" t="s">
        <v>176</v>
      </c>
      <c r="BZ187" s="308" t="s">
        <v>176</v>
      </c>
      <c r="CA187" s="308" t="s">
        <v>176</v>
      </c>
      <c r="CB187" s="308" t="s">
        <v>176</v>
      </c>
      <c r="CC187" s="308" t="s">
        <v>176</v>
      </c>
      <c r="CD187" s="308" t="s">
        <v>176</v>
      </c>
      <c r="CE187" s="308" t="s">
        <v>176</v>
      </c>
      <c r="CF187" s="308" t="s">
        <v>176</v>
      </c>
      <c r="CG187" s="308" t="s">
        <v>176</v>
      </c>
      <c r="CH187" s="308" t="s">
        <v>176</v>
      </c>
      <c r="CI187" s="308">
        <v>2</v>
      </c>
      <c r="CJ187" s="308">
        <v>2</v>
      </c>
      <c r="CK187" s="308" t="s">
        <v>176</v>
      </c>
      <c r="CL187" s="308" t="s">
        <v>176</v>
      </c>
      <c r="CM187" s="308">
        <v>3</v>
      </c>
      <c r="CN187" s="308">
        <v>3</v>
      </c>
      <c r="CO187" s="308">
        <v>3</v>
      </c>
      <c r="CP187" s="308">
        <v>3</v>
      </c>
      <c r="CQ187" s="308">
        <v>3</v>
      </c>
      <c r="CR187" s="308">
        <v>3</v>
      </c>
      <c r="CS187" s="308">
        <v>3</v>
      </c>
      <c r="CT187" s="308">
        <v>3</v>
      </c>
      <c r="CU187" s="308">
        <v>2</v>
      </c>
      <c r="CV187" s="308" t="s">
        <v>176</v>
      </c>
      <c r="CW187" s="308">
        <v>2</v>
      </c>
      <c r="CX187" s="308" t="s">
        <v>176</v>
      </c>
      <c r="CY187" s="308" t="s">
        <v>176</v>
      </c>
      <c r="CZ187" s="308" t="s">
        <v>176</v>
      </c>
      <c r="DA187" s="322" t="s">
        <v>176</v>
      </c>
      <c r="DB187" s="308" t="s">
        <v>176</v>
      </c>
      <c r="DC187" s="308" t="s">
        <v>176</v>
      </c>
      <c r="DD187" s="308" t="s">
        <v>176</v>
      </c>
      <c r="DE187" s="308" t="s">
        <v>176</v>
      </c>
      <c r="DF187" s="322" t="s">
        <v>176</v>
      </c>
      <c r="DG187" s="308" t="s">
        <v>176</v>
      </c>
      <c r="DH187" s="308" t="s">
        <v>176</v>
      </c>
      <c r="DI187" s="308" t="s">
        <v>176</v>
      </c>
      <c r="DJ187" s="308" t="s">
        <v>176</v>
      </c>
      <c r="DK187" s="322" t="s">
        <v>176</v>
      </c>
      <c r="DL187" s="308" t="s">
        <v>176</v>
      </c>
      <c r="DM187" s="308" t="s">
        <v>176</v>
      </c>
      <c r="DN187" s="308" t="s">
        <v>176</v>
      </c>
      <c r="DO187" s="308" t="s">
        <v>176</v>
      </c>
      <c r="DP187" s="322" t="s">
        <v>176</v>
      </c>
      <c r="DQ187" s="308" t="s">
        <v>176</v>
      </c>
      <c r="DR187" s="308" t="s">
        <v>176</v>
      </c>
      <c r="DS187" s="308" t="s">
        <v>176</v>
      </c>
      <c r="DT187" s="308" t="s">
        <v>176</v>
      </c>
      <c r="DU187" s="308" t="s">
        <v>176</v>
      </c>
      <c r="DV187" s="308" t="s">
        <v>176</v>
      </c>
      <c r="DW187" s="308" t="s">
        <v>176</v>
      </c>
      <c r="DX187" s="308" t="s">
        <v>176</v>
      </c>
      <c r="DY187" s="308" t="s">
        <v>176</v>
      </c>
      <c r="DZ187" s="322" t="s">
        <v>176</v>
      </c>
      <c r="EA187" s="308" t="s">
        <v>176</v>
      </c>
      <c r="EB187" s="308" t="s">
        <v>176</v>
      </c>
      <c r="EC187" s="308" t="s">
        <v>176</v>
      </c>
      <c r="ED187" s="308" t="s">
        <v>176</v>
      </c>
      <c r="EE187" s="322" t="s">
        <v>176</v>
      </c>
      <c r="EF187" s="308" t="s">
        <v>176</v>
      </c>
      <c r="EG187" s="308" t="s">
        <v>176</v>
      </c>
      <c r="EH187" s="308" t="s">
        <v>176</v>
      </c>
      <c r="EI187" s="308" t="s">
        <v>176</v>
      </c>
      <c r="EJ187" s="322" t="s">
        <v>176</v>
      </c>
      <c r="EK187" s="308" t="s">
        <v>176</v>
      </c>
      <c r="EL187" s="308" t="s">
        <v>176</v>
      </c>
      <c r="EM187" s="308" t="s">
        <v>176</v>
      </c>
      <c r="EN187" s="308" t="s">
        <v>176</v>
      </c>
      <c r="EO187" s="322" t="s">
        <v>176</v>
      </c>
      <c r="EP187" s="308" t="s">
        <v>176</v>
      </c>
      <c r="EQ187" s="308" t="s">
        <v>176</v>
      </c>
      <c r="ER187" s="308" t="s">
        <v>176</v>
      </c>
      <c r="ES187" s="308" t="s">
        <v>176</v>
      </c>
      <c r="ET187" s="308" t="s">
        <v>176</v>
      </c>
      <c r="EU187" s="308" t="s">
        <v>176</v>
      </c>
      <c r="EV187" s="308" t="s">
        <v>176</v>
      </c>
      <c r="EW187" s="308" t="s">
        <v>176</v>
      </c>
      <c r="EX187" s="308" t="s">
        <v>176</v>
      </c>
      <c r="EY187" s="308">
        <v>2</v>
      </c>
      <c r="EZ187" s="308">
        <v>2</v>
      </c>
      <c r="FA187" s="308">
        <v>2</v>
      </c>
      <c r="FB187" s="308">
        <v>2</v>
      </c>
      <c r="FC187" s="308" t="s">
        <v>176</v>
      </c>
      <c r="FD187" s="308">
        <v>2</v>
      </c>
      <c r="FE187" s="308">
        <v>3</v>
      </c>
      <c r="FF187" s="308">
        <v>2</v>
      </c>
      <c r="FG187" s="308">
        <v>2</v>
      </c>
      <c r="FH187" s="308">
        <v>2</v>
      </c>
      <c r="FI187" s="308">
        <v>2</v>
      </c>
      <c r="FJ187" s="308">
        <v>3</v>
      </c>
      <c r="FK187" s="308">
        <v>3</v>
      </c>
      <c r="FL187" s="308">
        <v>2</v>
      </c>
      <c r="FM187" s="308">
        <v>2</v>
      </c>
      <c r="FN187" s="308">
        <v>3</v>
      </c>
      <c r="FO187" s="308">
        <v>3</v>
      </c>
      <c r="FP187" s="308">
        <v>2</v>
      </c>
      <c r="FQ187" s="308" t="s">
        <v>176</v>
      </c>
      <c r="FR187" s="308" t="s">
        <v>176</v>
      </c>
      <c r="FS187" s="308" t="s">
        <v>160</v>
      </c>
      <c r="FT187" s="308" t="s">
        <v>176</v>
      </c>
      <c r="FU187" s="308" t="s">
        <v>176</v>
      </c>
      <c r="FV187" s="308" t="s">
        <v>176</v>
      </c>
      <c r="FW187" s="308" t="s">
        <v>176</v>
      </c>
      <c r="FX187" s="308" t="s">
        <v>176</v>
      </c>
      <c r="FY187" s="308" t="s">
        <v>160</v>
      </c>
      <c r="FZ187" s="308" t="s">
        <v>176</v>
      </c>
      <c r="GA187" s="308" t="s">
        <v>176</v>
      </c>
      <c r="GB187" s="308" t="s">
        <v>176</v>
      </c>
      <c r="GC187" s="308" t="s">
        <v>160</v>
      </c>
      <c r="GD187" s="308" t="s">
        <v>176</v>
      </c>
      <c r="GE187" s="308" t="s">
        <v>176</v>
      </c>
      <c r="GF187" s="308" t="s">
        <v>176</v>
      </c>
      <c r="GG187" s="308" t="s">
        <v>176</v>
      </c>
      <c r="GH187" s="308" t="s">
        <v>176</v>
      </c>
      <c r="GI187" s="308" t="s">
        <v>176</v>
      </c>
      <c r="GJ187" s="308" t="s">
        <v>176</v>
      </c>
      <c r="GK187" s="321" t="s">
        <v>176</v>
      </c>
      <c r="GL187" s="311">
        <f>SUM(G187:FP187)</f>
        <v>146</v>
      </c>
    </row>
    <row r="188" spans="1:195" ht="28.35" customHeight="1" thickBot="1" x14ac:dyDescent="0.3">
      <c r="A188" s="138" t="s">
        <v>259</v>
      </c>
      <c r="B188" s="135" t="s">
        <v>210</v>
      </c>
      <c r="C188" s="135" t="s">
        <v>750</v>
      </c>
      <c r="D188" s="138">
        <v>1069</v>
      </c>
      <c r="E188" s="564"/>
      <c r="F188" s="312" t="s">
        <v>166</v>
      </c>
      <c r="G188" s="313">
        <f>IF(INDEX(tab_MinKomp[Przepisy BHP / BHP Vorschriften],MATCH($B187,tab_MinKomp[[Stanowisko / Position ]:[Stanowisko / Position ]],0))="n/a","n/a",G187-INDEX(tab_MinKomp[Przepisy BHP / BHP Vorschriften],MATCH($B187,tab_MinKomp[[Stanowisko / Position ]:[Stanowisko / Position ]],0)))</f>
        <v>0</v>
      </c>
      <c r="H188" s="313">
        <f>IF(INDEX(tab_MinKomp[Przepisy PPOŻ / Brandschutzbestimmungen],MATCH($B187,tab_MinKomp[[Stanowisko / Position ]:[Stanowisko / Position ]],0))="n/a","n/a",H187-INDEX(tab_MinKomp[Przepisy PPOŻ / Brandschutzbestimmungen],MATCH($B187,tab_MinKomp[[Stanowisko / Position ]:[Stanowisko / Position ]],0)))</f>
        <v>0</v>
      </c>
      <c r="I188" s="313">
        <f>IF(INDEX(tab_MinKomp[Ryzyko zawodowe na stanowiskach pracyv/ Berufliche Risiken an Arbeitsstellen],MATCH($B187,tab_MinKomp[[Stanowisko / Position ]:[Stanowisko / Position ]],0))="n/a","n/a",I187-INDEX(tab_MinKomp[Ryzyko zawodowe na stanowiskach pracyv/ Berufliche Risiken an Arbeitsstellen],MATCH($B187,tab_MinKomp[[Stanowisko / Position ]:[Stanowisko / Position ]],0)))</f>
        <v>2</v>
      </c>
      <c r="J188" s="313">
        <f>IF(INDEX(tab_MinKomp[Gospodarka substancjami niebezpiecznymi / Gefahrstoffmanagement],MATCH($B187,tab_MinKomp[[Stanowisko / Position ]:[Stanowisko / Position ]],0))="n/a","n/a",J187-INDEX(tab_MinKomp[Gospodarka substancjami niebezpiecznymi / Gefahrstoffmanagement],MATCH($B187,tab_MinKomp[[Stanowisko / Position ]:[Stanowisko / Position ]],0)))</f>
        <v>1</v>
      </c>
      <c r="K188" s="313">
        <f>IF(INDEX(tab_MinKomp[Gospodarka odpadami / Abfallwirtschaft],MATCH($B187,tab_MinKomp[[Stanowisko / Position ]:[Stanowisko / Position ]],0))="n/a","n/a",K187-INDEX(tab_MinKomp[Gospodarka odpadami / Abfallwirtschaft],MATCH($B187,tab_MinKomp[[Stanowisko / Position ]:[Stanowisko / Position ]],0)))</f>
        <v>0</v>
      </c>
      <c r="L188" s="313">
        <f>IF(INDEX(tab_MinKomp[Przepisy kodeksu pracy / Bestimmungen des Arbeitsgesetzes],MATCH($B187,tab_MinKomp[[Stanowisko / Position ]:[Stanowisko / Position ]],0))="n/a","n/a",L187-INDEX(tab_MinKomp[Przepisy kodeksu pracy / Bestimmungen des Arbeitsgesetzes],MATCH($B187,tab_MinKomp[[Stanowisko / Position ]:[Stanowisko / Position ]],0)))</f>
        <v>0</v>
      </c>
      <c r="M188" s="313" t="str">
        <f>IF(INDEX(tab_MinKomp[Przepisy o ub.społ. ZUS  / Sozialversicherungsvorschriften],MATCH($B187,tab_MinKomp[[Stanowisko / Position ]:[Stanowisko / Position ]],0))="n/a","n/a",M187-INDEX(tab_MinKomp[Przepisy o ub.społ. ZUS  / Sozialversicherungsvorschriften],MATCH($B187,tab_MinKomp[[Stanowisko / Position ]:[Stanowisko / Position ]],0)))</f>
        <v>n/a</v>
      </c>
      <c r="N188" s="313" t="str">
        <f>IF(INDEX(tab_MinKomp[PRZEPISY O PDOF /persönlich Einkommensteuergesetz ],MATCH($B187,tab_MinKomp[[Stanowisko / Position ]:[Stanowisko / Position ]],0))="n/a","n/a",N187-INDEX(tab_MinKomp[PRZEPISY O PDOF /persönlich Einkommensteuergesetz ],MATCH($B187,tab_MinKomp[[Stanowisko / Position ]:[Stanowisko / Position ]],0)))</f>
        <v>n/a</v>
      </c>
      <c r="O188" s="313">
        <f>IF(INDEX(tab_MinKomp[Regulamin pracy / Arbeitsordnung],MATCH($B187,tab_MinKomp[[Stanowisko / Position ]:[Stanowisko / Position ]],0))="n/a","n/a",O187-INDEX(tab_MinKomp[Regulamin pracy / Arbeitsordnung],MATCH($B187,tab_MinKomp[[Stanowisko / Position ]:[Stanowisko / Position ]],0)))</f>
        <v>1</v>
      </c>
      <c r="P188" s="313">
        <f>IF(INDEX(tab_MinKomp[Regulamin wynagradzania / Vergütungsordnung],MATCH($B187,tab_MinKomp[[Stanowisko / Position ]:[Stanowisko / Position ]],0))="n/a","n/a",P187-INDEX(tab_MinKomp[Regulamin wynagradzania / Vergütungsordnung],MATCH($B187,tab_MinKomp[[Stanowisko / Position ]:[Stanowisko / Position ]],0)))</f>
        <v>1</v>
      </c>
      <c r="Q188" s="313" t="str">
        <f>IF(INDEX(tab_MinKomp[System R2PŁATNIK PRO: Płace / Lohnabrechnung],MATCH($B187,tab_MinKomp[[Stanowisko / Position ]:[Stanowisko / Position ]],0))="n/a","n/a",Q187-INDEX(tab_MinKomp[System R2PŁATNIK PRO: Płace / Lohnabrechnung],MATCH($B187,tab_MinKomp[[Stanowisko / Position ]:[Stanowisko / Position ]],0)))</f>
        <v>n/a</v>
      </c>
      <c r="R188" s="313" t="str">
        <f>IF(INDEX(tab_MinKomp[SystemR2PŁATNIK PRO: KADRY / Personaldaten],MATCH($B187,tab_MinKomp[[Stanowisko / Position ]:[Stanowisko / Position ]],0))="n/a","n/a",R187-INDEX(tab_MinKomp[SystemR2PŁATNIK PRO: KADRY / Personaldaten],MATCH($B187,tab_MinKomp[[Stanowisko / Position ]:[Stanowisko / Position ]],0)))</f>
        <v>n/a</v>
      </c>
      <c r="S188" s="313" t="str">
        <f>IF(INDEX(tab_MinKomp[SYSTEM R2PŁATNIK PRO: zarządzanie pracownikami / Arbeitsverwaltung],MATCH($B187,tab_MinKomp[[Stanowisko / Position ]:[Stanowisko / Position ]],0))="n/a","n/a",S187-INDEX(tab_MinKomp[SYSTEM R2PŁATNIK PRO: zarządzanie pracownikami / Arbeitsverwaltung],MATCH($B187,tab_MinKomp[[Stanowisko / Position ]:[Stanowisko / Position ]],0)))</f>
        <v>n/a</v>
      </c>
      <c r="T188" s="313" t="str">
        <f>IF(INDEX(tab_MinKomp[Doradztwo, wsparcie personalne / Personalberatung und Unterstützung],MATCH($B187,tab_MinKomp[[Stanowisko / Position ]:[Stanowisko / Position ]],0))="n/a","n/a",T187-INDEX(tab_MinKomp[Doradztwo, wsparcie personalne / Personalberatung und Unterstützung],MATCH($B187,tab_MinKomp[[Stanowisko / Position ]:[Stanowisko / Position ]],0)))</f>
        <v>n/a</v>
      </c>
      <c r="U188" s="315" t="str">
        <f>IF(INDEX(tab_MinKomp[Przepisy o podatku VAT / MwSt.- Gesetz],MATCH($B187,tab_MinKomp[[Stanowisko / Position ]:[Stanowisko / Position ]],0))="n/a","n/a",U187-INDEX(tab_MinKomp[Przepisy o podatku VAT / MwSt.- Gesetz],MATCH($B187,tab_MinKomp[[Stanowisko / Position ]:[Stanowisko / Position ]],0)))</f>
        <v>n/a</v>
      </c>
      <c r="V188" s="315" t="str">
        <f>IF(INDEX(tab_MinKomp[PrzepisyPDOP / geschäftlich Einkommensteuergesetz],MATCH($B187,tab_MinKomp[[Stanowisko / Position ]:[Stanowisko / Position ]],0))="n/a","n/a",V187-INDEX(tab_MinKomp[PrzepisyPDOP / geschäftlich Einkommensteuergesetz],MATCH($B187,tab_MinKomp[[Stanowisko / Position ]:[Stanowisko / Position ]],0)))</f>
        <v>n/a</v>
      </c>
      <c r="W188" s="315" t="str">
        <f>IF(INDEX(tab_MinKomp[System BAAN / FINANSE (FIBU)],MATCH($B187,tab_MinKomp[[Stanowisko / Position ]:[Stanowisko / Position ]],0))="n/a","n/a",W187-INDEX(tab_MinKomp[System BAAN / FINANSE (FIBU)],MATCH($B187,tab_MinKomp[[Stanowisko / Position ]:[Stanowisko / Position ]],0)))</f>
        <v>n/a</v>
      </c>
      <c r="X188" s="315" t="str">
        <f>IF(INDEX(tab_MinKomp[Systemy pomocnicze / Hilfssysteme(STOCKPROGRAM, KALK2000 etc.)],MATCH($B187,tab_MinKomp[[Stanowisko / Position ]:[Stanowisko / Position ]],0))="n/a","n/a",X187-INDEX(tab_MinKomp[Systemy pomocnicze / Hilfssysteme(STOCKPROGRAM, KALK2000 etc.)],MATCH($B187,tab_MinKomp[[Stanowisko / Position ]:[Stanowisko / Position ]],0)))</f>
        <v>n/a</v>
      </c>
      <c r="Y188" s="315" t="str">
        <f>IF(INDEX(tab_MinKomp[Polityka rachunkowości / Buchführungspolitik],MATCH($B187,tab_MinKomp[[Stanowisko / Position ]:[Stanowisko / Position ]],0))="n/a","n/a",Y187-INDEX(tab_MinKomp[Polityka rachunkowości / Buchführungspolitik],MATCH($B187,tab_MinKomp[[Stanowisko / Position ]:[Stanowisko / Position ]],0)))</f>
        <v>n/a</v>
      </c>
      <c r="Z188" s="315" t="str">
        <f>IF(INDEX(tab_MinKomp[Ustawa o rachunkowości / Rechnungslegungsgesetz],MATCH($B187,tab_MinKomp[[Stanowisko / Position ]:[Stanowisko / Position ]],0))="n/a","n/a",Z187-INDEX(tab_MinKomp[Ustawa o rachunkowości / Rechnungslegungsgesetz],MATCH($B187,tab_MinKomp[[Stanowisko / Position ]:[Stanowisko / Position ]],0)))</f>
        <v>n/a</v>
      </c>
      <c r="AA188" s="315" t="str">
        <f>IF(INDEX(tab_MinKomp[WORKFLOW - TS-100],MATCH($B187,tab_MinKomp[[Stanowisko / Position ]:[Stanowisko / Position ]],0))="n/a","n/a",AA187-INDEX(tab_MinKomp[WORKFLOW - TS-100],MATCH($B187,tab_MinKomp[[Stanowisko / Position ]:[Stanowisko / Position ]],0)))</f>
        <v>n/a</v>
      </c>
      <c r="AB188" s="315">
        <f>IF(INDEX(tab_MinKomp[WORKFLOW - SFMS],MATCH($B187,tab_MinKomp[[Stanowisko / Position ]:[Stanowisko / Position ]],0))="n/a","n/a",AB187-INDEX(tab_MinKomp[WORKFLOW - SFMS],MATCH($B187,tab_MinKomp[[Stanowisko / Position ]:[Stanowisko / Position ]],0)))</f>
        <v>0</v>
      </c>
      <c r="AC188" s="315">
        <f>IF(INDEX(tab_MinKomp[System ISO 9001:2015],MATCH($B187,tab_MinKomp[[Stanowisko / Position ]:[Stanowisko / Position ]],0))="n/a","n/a",AC187-INDEX(tab_MinKomp[System ISO 9001:2015],MATCH($B187,tab_MinKomp[[Stanowisko / Position ]:[Stanowisko / Position ]],0)))</f>
        <v>1</v>
      </c>
      <c r="AD188" s="315">
        <f>IF(INDEX(tab_MinKomp[System IATF 16949:2016],MATCH($B187,tab_MinKomp[[Stanowisko / Position ]:[Stanowisko / Position ]],0))="n/a","n/a",AD187-INDEX(tab_MinKomp[System IATF 16949:2016],MATCH($B187,tab_MinKomp[[Stanowisko / Position ]:[Stanowisko / Position ]],0)))</f>
        <v>1</v>
      </c>
      <c r="AE188" s="315">
        <f>IF(INDEX(tab_MinKomp[System ISO 14001:2015],MATCH($B187,tab_MinKomp[[Stanowisko / Position ]:[Stanowisko / Position ]],0))="n/a","n/a",AE187-INDEX(tab_MinKomp[System ISO 14001:2015],MATCH($B187,tab_MinKomp[[Stanowisko / Position ]:[Stanowisko / Position ]],0)))</f>
        <v>1</v>
      </c>
      <c r="AF188" s="315">
        <f>IF(INDEX(tab_MinKomp[System PN-N 18001:2004 / ISO 45001:2018],MATCH($B187,tab_MinKomp[[Stanowisko / Position ]:[Stanowisko / Position ]],0))="n/a","n/a",AF187-INDEX(tab_MinKomp[System PN-N 18001:2004 / ISO 45001:2018],MATCH($B187,tab_MinKomp[[Stanowisko / Position ]:[Stanowisko / Position ]],0)))</f>
        <v>1</v>
      </c>
      <c r="AG188" s="315">
        <f>IF(INDEX(tab_MinKomp[Wymagania VDA 6.3 Process / Forderungen],MATCH($B187,tab_MinKomp[[Stanowisko / Position ]:[Stanowisko / Position ]],0))="n/a","n/a",AG187-INDEX(tab_MinKomp[Wymagania VDA 6.3 Process / Forderungen],MATCH($B187,tab_MinKomp[[Stanowisko / Position ]:[Stanowisko / Position ]],0)))</f>
        <v>2</v>
      </c>
      <c r="AH188" s="315">
        <f>IF(INDEX(tab_MinKomp[Wymagania VDA 6.5 Product / Forderungen],MATCH($B187,tab_MinKomp[[Stanowisko / Position ]:[Stanowisko / Position ]],0))="n/a","n/a",AH187-INDEX(tab_MinKomp[Wymagania VDA 6.5 Product / Forderungen],MATCH($B187,tab_MinKomp[[Stanowisko / Position ]:[Stanowisko / Position ]],0)))</f>
        <v>2</v>
      </c>
      <c r="AI188" s="315" t="str">
        <f>IF(INDEX(tab_MinKomp[PSCR (VW Product Safety &amp; Conformity Representative)],MATCH($B187,tab_MinKomp[[Stanowisko / Position ]:[Stanowisko / Position ]],0))="n/a","n/a",AI187-INDEX(tab_MinKomp[PSCR (VW Product Safety &amp; Conformity Representative)],MATCH($B187,tab_MinKomp[[Stanowisko / Position ]:[Stanowisko / Position ]],0)))</f>
        <v>n/a</v>
      </c>
      <c r="AJ188" s="315" t="str">
        <f>IF(INDEX(tab_MinKomp[Auditor systemu ISO 17025:2018],MATCH($B187,tab_MinKomp[[Stanowisko / Position ]:[Stanowisko / Position ]],0))="n/a","n/a",AJ187-INDEX(tab_MinKomp[Auditor systemu ISO 17025:2018],MATCH($B187,tab_MinKomp[[Stanowisko / Position ]:[Stanowisko / Position ]],0)))</f>
        <v>n/a</v>
      </c>
      <c r="AK188" s="315" t="str">
        <f>IF(INDEX(tab_MinKomp[Pełnomocnik systemu / Systemvertreter],MATCH($B187,tab_MinKomp[[Stanowisko / Position ]:[Stanowisko / Position ]],0))="n/a","n/a",AK187-INDEX(tab_MinKomp[Pełnomocnik systemu / Systemvertreter],MATCH($B187,tab_MinKomp[[Stanowisko / Position ]:[Stanowisko / Position ]],0)))</f>
        <v>n/a</v>
      </c>
      <c r="AL188" s="315">
        <f>IF(INDEX(tab_MinKomp[Polityka Etyczna - Compliance],MATCH($B187,tab_MinKomp[[Stanowisko / Position ]:[Stanowisko / Position ]],0))="n/a","n/a",AL187-INDEX(tab_MinKomp[Polityka Etyczna - Compliance],MATCH($B187,tab_MinKomp[[Stanowisko / Position ]:[Stanowisko / Position ]],0)))</f>
        <v>1</v>
      </c>
      <c r="AM188" s="315">
        <f>IF(INDEX(tab_MinKomp[WDRAŻANIE NOWYCH PROJEKTÓW/ PROCEDURA CTM],MATCH($B187,tab_MinKomp[[Stanowisko / Position ]:[Stanowisko / Position ]],0))="n/a","n/a",AM187-INDEX(tab_MinKomp[WDRAŻANIE NOWYCH PROJEKTÓW/ PROCEDURA CTM],MATCH($B187,tab_MinKomp[[Stanowisko / Position ]:[Stanowisko / Position ]],0)))</f>
        <v>0</v>
      </c>
      <c r="AN188" s="315">
        <f>IF(INDEX(tab_MinKomp[KAMIENIE MILOWE MSL/PIFF],MATCH($B187,tab_MinKomp[[Stanowisko / Position ]:[Stanowisko / Position ]],0))="n/a","n/a",AN187-INDEX(tab_MinKomp[KAMIENIE MILOWE MSL/PIFF],MATCH($B187,tab_MinKomp[[Stanowisko / Position ]:[Stanowisko / Position ]],0)))</f>
        <v>-1</v>
      </c>
      <c r="AO188" s="315">
        <f>IF(INDEX(tab_MinKomp[CP],MATCH($B187,tab_MinKomp[[Stanowisko / Position ]:[Stanowisko / Position ]],0))="n/a","n/a",AO187-INDEX(tab_MinKomp[CP],MATCH($B187,tab_MinKomp[[Stanowisko / Position ]:[Stanowisko / Position ]],0)))</f>
        <v>1</v>
      </c>
      <c r="AP188" s="315">
        <f>IF(INDEX(tab_MinKomp[FMEA],MATCH($B187,tab_MinKomp[[Stanowisko / Position ]:[Stanowisko / Position ]],0))="n/a","n/a",AP187-INDEX(tab_MinKomp[FMEA],MATCH($B187,tab_MinKomp[[Stanowisko / Position ]:[Stanowisko / Position ]],0)))</f>
        <v>1</v>
      </c>
      <c r="AQ188" s="315">
        <f>IF(INDEX(tab_MinKomp[FLOW CHART],MATCH($B187,tab_MinKomp[[Stanowisko / Position ]:[Stanowisko / Position ]],0))="n/a","n/a",AQ187-INDEX(tab_MinKomp[FLOW CHART],MATCH($B187,tab_MinKomp[[Stanowisko / Position ]:[Stanowisko / Position ]],0)))</f>
        <v>1</v>
      </c>
      <c r="AR188" s="315">
        <f>IF(INDEX(tab_MinKomp[APQP],MATCH($B187,tab_MinKomp[[Stanowisko / Position ]:[Stanowisko / Position ]],0))="n/a","n/a",AR187-INDEX(tab_MinKomp[APQP],MATCH($B187,tab_MinKomp[[Stanowisko / Position ]:[Stanowisko / Position ]],0)))</f>
        <v>0</v>
      </c>
      <c r="AS188" s="315">
        <f>IF(INDEX(tab_MinKomp[MSA],MATCH($B187,tab_MinKomp[[Stanowisko / Position ]:[Stanowisko / Position ]],0))="n/a","n/a",AS187-INDEX(tab_MinKomp[MSA],MATCH($B187,tab_MinKomp[[Stanowisko / Position ]:[Stanowisko / Position ]],0)))</f>
        <v>1</v>
      </c>
      <c r="AT188" s="315">
        <f>IF(INDEX(tab_MinKomp[SPC],MATCH($B187,tab_MinKomp[[Stanowisko / Position ]:[Stanowisko / Position ]],0))="n/a","n/a",AT187-INDEX(tab_MinKomp[SPC],MATCH($B187,tab_MinKomp[[Stanowisko / Position ]:[Stanowisko / Position ]],0)))</f>
        <v>1</v>
      </c>
      <c r="AU188" s="315">
        <f>IF(INDEX(tab_MinKomp[CSR (SPECYFICZNE WYMAGANIA KLIENTA)],MATCH($B187,tab_MinKomp[[Stanowisko / Position ]:[Stanowisko / Position ]],0))="n/a","n/a",AU187-INDEX(tab_MinKomp[CSR (SPECYFICZNE WYMAGANIA KLIENTA)],MATCH($B187,tab_MinKomp[[Stanowisko / Position ]:[Stanowisko / Position ]],0)))</f>
        <v>0</v>
      </c>
      <c r="AV188" s="315">
        <f>IF(INDEX(tab_MinKomp[5S],MATCH($B187,tab_MinKomp[[Stanowisko / Position ]:[Stanowisko / Position ]],0))="n/a","n/a",AV187-INDEX(tab_MinKomp[5S],MATCH($B187,tab_MinKomp[[Stanowisko / Position ]:[Stanowisko / Position ]],0)))</f>
        <v>0</v>
      </c>
      <c r="AW188" s="315">
        <f>IF(INDEX(tab_MinKomp[LEAN MANAGEMENT],MATCH($B187,tab_MinKomp[[Stanowisko / Position ]:[Stanowisko / Position ]],0))="n/a","n/a",AW187-INDEX(tab_MinKomp[LEAN MANAGEMENT],MATCH($B187,tab_MinKomp[[Stanowisko / Position ]:[Stanowisko / Position ]],0)))</f>
        <v>0</v>
      </c>
      <c r="AX188" s="315">
        <f>IF(INDEX(tab_MinKomp[5R],MATCH($B187,tab_MinKomp[[Stanowisko / Position ]:[Stanowisko / Position ]],0))="n/a","n/a",AX187-INDEX(tab_MinKomp[5R],MATCH($B187,tab_MinKomp[[Stanowisko / Position ]:[Stanowisko / Position ]],0)))</f>
        <v>-1</v>
      </c>
      <c r="AY188" s="315" t="str">
        <f>IF(INDEX(tab_MinKomp[Six Sigma],MATCH($B187,tab_MinKomp[[Stanowisko / Position ]:[Stanowisko / Position ]],0))="n/a","n/a",AY187-INDEX(tab_MinKomp[Six Sigma],MATCH($B187,tab_MinKomp[[Stanowisko / Position ]:[Stanowisko / Position ]],0)))</f>
        <v>n/a</v>
      </c>
      <c r="AZ188" s="315">
        <f>IF(INDEX(tab_MinKomp[System BAAN / Distribution &amp; Supply Chain],MATCH($B187,tab_MinKomp[[Stanowisko / Position ]:[Stanowisko / Position ]],0))="n/a","n/a",AZ187-INDEX(tab_MinKomp[System BAAN / Distribution &amp; Supply Chain],MATCH($B187,tab_MinKomp[[Stanowisko / Position ]:[Stanowisko / Position ]],0)))</f>
        <v>-1</v>
      </c>
      <c r="BA188" s="315" t="str">
        <f>IF(INDEX(tab_MinKomp[Gospodarka magazynowa / Lagerverwaltung],MATCH($B187,tab_MinKomp[[Stanowisko / Position ]:[Stanowisko / Position ]],0))="n/a","n/a",BA187-INDEX(tab_MinKomp[Gospodarka magazynowa / Lagerverwaltung],MATCH($B187,tab_MinKomp[[Stanowisko / Position ]:[Stanowisko / Position ]],0)))</f>
        <v>n/a</v>
      </c>
      <c r="BB188" s="315" t="str">
        <f>IF(INDEX(tab_MinKomp[Inwentaryzacja - organizacja i przebieg / Inventurprozess],MATCH($B187,tab_MinKomp[[Stanowisko / Position ]:[Stanowisko / Position ]],0))="n/a","n/a",BB187-INDEX(tab_MinKomp[Inwentaryzacja - organizacja i przebieg / Inventurprozess],MATCH($B187,tab_MinKomp[[Stanowisko / Position ]:[Stanowisko / Position ]],0)))</f>
        <v>n/a</v>
      </c>
      <c r="BC188" s="315" t="str">
        <f>IF(INDEX(tab_MinKomp[Organizacja dostaw / Versorgungsorganisation],MATCH($B187,tab_MinKomp[[Stanowisko / Position ]:[Stanowisko / Position ]],0))="n/a","n/a",BC187-INDEX(tab_MinKomp[Organizacja dostaw / Versorgungsorganisation],MATCH($B187,tab_MinKomp[[Stanowisko / Position ]:[Stanowisko / Position ]],0)))</f>
        <v>n/a</v>
      </c>
      <c r="BD188" s="315" t="str">
        <f>IF(INDEX(tab_MinKomp[Organizacja wysyłek / Organisation von Lieferungen],MATCH($B187,tab_MinKomp[[Stanowisko / Position ]:[Stanowisko / Position ]],0))="n/a","n/a",BD187-INDEX(tab_MinKomp[Organizacja wysyłek / Organisation von Lieferungen],MATCH($B187,tab_MinKomp[[Stanowisko / Position ]:[Stanowisko / Position ]],0)))</f>
        <v>n/a</v>
      </c>
      <c r="BE188" s="315" t="str">
        <f>IF(INDEX(tab_MinKomp[Analiza magazynowa - Program Polen.mdb / Inventuranalyse],MATCH($B187,tab_MinKomp[[Stanowisko / Position ]:[Stanowisko / Position ]],0))="n/a","n/a",BE187-INDEX(tab_MinKomp[Analiza magazynowa - Program Polen.mdb / Inventuranalyse],MATCH($B187,tab_MinKomp[[Stanowisko / Position ]:[Stanowisko / Position ]],0)))</f>
        <v>n/a</v>
      </c>
      <c r="BF188" s="315" t="str">
        <f>IF(INDEX(tab_MinKomp[MMOG (Materials Management Operations Guidelines)],MATCH($B187,tab_MinKomp[[Stanowisko / Position ]:[Stanowisko / Position ]],0))="n/a","n/a",BF187-INDEX(tab_MinKomp[MMOG (Materials Management Operations Guidelines)],MATCH($B187,tab_MinKomp[[Stanowisko / Position ]:[Stanowisko / Position ]],0)))</f>
        <v>n/a</v>
      </c>
      <c r="BG188" s="315" t="str">
        <f>IF(INDEX(tab_MinKomp[DETC],MATCH($B187,tab_MinKomp[[Stanowisko / Position ]:[Stanowisko / Position ]],0))="n/a","n/a",BG187-INDEX(tab_MinKomp[DETC],MATCH($B187,tab_MinKomp[[Stanowisko / Position ]:[Stanowisko / Position ]],0)))</f>
        <v>n/a</v>
      </c>
      <c r="BH188" s="315" t="str">
        <f>IF(INDEX(tab_MinKomp[GPP],MATCH($B187,tab_MinKomp[[Stanowisko / Position ]:[Stanowisko / Position ]],0))="n/a","n/a",BH187-INDEX(tab_MinKomp[GPP],MATCH($B187,tab_MinKomp[[Stanowisko / Position ]:[Stanowisko / Position ]],0)))</f>
        <v>n/a</v>
      </c>
      <c r="BI188" s="315" t="str">
        <f>IF(INDEX(tab_MinKomp[AIAG (Automotive Industry Action Group)],MATCH($B187,tab_MinKomp[[Stanowisko / Position ]:[Stanowisko / Position ]],0))="n/a","n/a",BI187-INDEX(tab_MinKomp[AIAG (Automotive Industry Action Group)],MATCH($B187,tab_MinKomp[[Stanowisko / Position ]:[Stanowisko / Position ]],0)))</f>
        <v>n/a</v>
      </c>
      <c r="BJ188" s="315" t="str">
        <f>IF(INDEX(tab_MinKomp[Super-G disputes],MATCH($B187,tab_MinKomp[[Stanowisko / Position ]:[Stanowisko / Position ]],0))="n/a","n/a",BJ187-INDEX(tab_MinKomp[Super-G disputes],MATCH($B187,tab_MinKomp[[Stanowisko / Position ]:[Stanowisko / Position ]],0)))</f>
        <v>n/a</v>
      </c>
      <c r="BK188" s="315" t="str">
        <f>IF(INDEX(tab_MinKomp[CMMS3/eDDL (Direct Data Link)],MATCH($B187,tab_MinKomp[[Stanowisko / Position ]:[Stanowisko / Position ]],0))="n/a","n/a",BK187-INDEX(tab_MinKomp[CMMS3/eDDL (Direct Data Link)],MATCH($B187,tab_MinKomp[[Stanowisko / Position ]:[Stanowisko / Position ]],0)))</f>
        <v>n/a</v>
      </c>
      <c r="BL188" s="315" t="str">
        <f>IF(INDEX(tab_MinKomp[MP&amp;L (Material Planning and Logistics)],MATCH($B187,tab_MinKomp[[Stanowisko / Position ]:[Stanowisko / Position ]],0))="n/a","n/a",BL187-INDEX(tab_MinKomp[MP&amp;L (Material Planning and Logistics)],MATCH($B187,tab_MinKomp[[Stanowisko / Position ]:[Stanowisko / Position ]],0)))</f>
        <v>n/a</v>
      </c>
      <c r="BM188" s="315" t="str">
        <f>IF(INDEX(tab_MinKomp[Planowanie produkcji / Produktionsplanung],MATCH($B187,tab_MinKomp[[Stanowisko / Position ]:[Stanowisko / Position ]],0))="n/a","n/a",BM187-INDEX(tab_MinKomp[Planowanie produkcji / Produktionsplanung],MATCH($B187,tab_MinKomp[[Stanowisko / Position ]:[Stanowisko / Position ]],0)))</f>
        <v>n/a</v>
      </c>
      <c r="BN188" s="315" t="str">
        <f>IF(INDEX(tab_MinKomp[Obsługa maszyn Engel / Engel Maschinenbedienung],MATCH($B187,tab_MinKomp[[Stanowisko / Position ]:[Stanowisko / Position ]],0))="n/a","n/a",BN187-INDEX(tab_MinKomp[Obsługa maszyn Engel / Engel Maschinenbedienung],MATCH($B187,tab_MinKomp[[Stanowisko / Position ]:[Stanowisko / Position ]],0)))</f>
        <v>n/a</v>
      </c>
      <c r="BO188" s="315" t="str">
        <f>IF(INDEX(tab_MinKomp[Obsługa maszyn Novapax / Novapax Maschinenbedienung],MATCH($B187,tab_MinKomp[[Stanowisko / Position ]:[Stanowisko / Position ]],0))="n/a","n/a",BO187-INDEX(tab_MinKomp[Obsługa maszyn Novapax / Novapax Maschinenbedienung],MATCH($B187,tab_MinKomp[[Stanowisko / Position ]:[Stanowisko / Position ]],0)))</f>
        <v>n/a</v>
      </c>
      <c r="BP188" s="315" t="str">
        <f>IF(INDEX(tab_MinKomp[Obsługa maszyn KVT / KVT Maschinenbedienung],MATCH($B187,tab_MinKomp[[Stanowisko / Position ]:[Stanowisko / Position ]],0))="n/a","n/a",BP187-INDEX(tab_MinKomp[Obsługa maszyn KVT / KVT Maschinenbedienung],MATCH($B187,tab_MinKomp[[Stanowisko / Position ]:[Stanowisko / Position ]],0)))</f>
        <v>n/a</v>
      </c>
      <c r="BQ188" s="315" t="str">
        <f>IF(INDEX(tab_MinKomp[Obsługa maszyn ASL / ASL Maschinenbedienung],MATCH($B187,tab_MinKomp[[Stanowisko / Position ]:[Stanowisko / Position ]],0))="n/a","n/a",BQ187-INDEX(tab_MinKomp[Obsługa maszyn ASL / ASL Maschinenbedienung],MATCH($B187,tab_MinKomp[[Stanowisko / Position ]:[Stanowisko / Position ]],0)))</f>
        <v>n/a</v>
      </c>
      <c r="BR188" s="315" t="str">
        <f>IF(INDEX(tab_MinKomp[Obsługa maszyn Branson / Branson Maschinenbedienung],MATCH($B187,tab_MinKomp[[Stanowisko / Position ]:[Stanowisko / Position ]],0))="n/a","n/a",BR187-INDEX(tab_MinKomp[Obsługa maszyn Branson / Branson Maschinenbedienung],MATCH($B187,tab_MinKomp[[Stanowisko / Position ]:[Stanowisko / Position ]],0)))</f>
        <v>n/a</v>
      </c>
      <c r="BS188" s="315" t="str">
        <f>IF(INDEX(tab_MinKomp[Obsługa maszyn Kamtec / Kamtec Maschinenbedienung],MATCH($B187,tab_MinKomp[[Stanowisko / Position ]:[Stanowisko / Position ]],0))="n/a","n/a",BS187-INDEX(tab_MinKomp[Obsługa maszyn Kamtec / Kamtec Maschinenbedienung],MATCH($B187,tab_MinKomp[[Stanowisko / Position ]:[Stanowisko / Position ]],0)))</f>
        <v>n/a</v>
      </c>
      <c r="BT188" s="315" t="str">
        <f>IF(INDEX(tab_MinKomp[Obsługa maszyn Piovan / Piovan Maschinenbedienung],MATCH($B187,tab_MinKomp[[Stanowisko / Position ]:[Stanowisko / Position ]],0))="n/a","n/a",BT187-INDEX(tab_MinKomp[Obsługa maszyn Piovan / Piovan Maschinenbedienung],MATCH($B187,tab_MinKomp[[Stanowisko / Position ]:[Stanowisko / Position ]],0)))</f>
        <v>n/a</v>
      </c>
      <c r="BU188" s="315" t="str">
        <f>IF(INDEX(tab_MinKomp[Obsługa maszyn REP / REP Maschinenbedienung],MATCH($B187,tab_MinKomp[[Stanowisko / Position ]:[Stanowisko / Position ]],0))="n/a","n/a",BU187-INDEX(tab_MinKomp[Obsługa maszyn REP / REP Maschinenbedienung],MATCH($B187,tab_MinKomp[[Stanowisko / Position ]:[Stanowisko / Position ]],0)))</f>
        <v>n/a</v>
      </c>
      <c r="BV188" s="315" t="str">
        <f>IF(INDEX(tab_MinKomp[Eliminacja awarii / Beseitigung von Ausfällen],MATCH($B187,tab_MinKomp[[Stanowisko / Position ]:[Stanowisko / Position ]],0))="n/a","n/a",BV187-INDEX(tab_MinKomp[Eliminacja awarii / Beseitigung von Ausfällen],MATCH($B187,tab_MinKomp[[Stanowisko / Position ]:[Stanowisko / Position ]],0)))</f>
        <v>n/a</v>
      </c>
      <c r="BW188" s="315" t="str">
        <f>IF(INDEX(tab_MinKomp[Informatyka ogólna (techniczne i systemowe) / Allgemeine IT (Technik und System)],MATCH($B187,tab_MinKomp[[Stanowisko / Position ]:[Stanowisko / Position ]],0))="n/a","n/a",BW187-INDEX(tab_MinKomp[Informatyka ogólna (techniczne i systemowe) / Allgemeine IT (Technik und System)],MATCH($B187,tab_MinKomp[[Stanowisko / Position ]:[Stanowisko / Position ]],0)))</f>
        <v>n/a</v>
      </c>
      <c r="BX188" s="315" t="str">
        <f>IF(INDEX(tab_MinKomp[Sieci komputerowe / Computernetzwerke],MATCH($B187,tab_MinKomp[[Stanowisko / Position ]:[Stanowisko / Position ]],0))="n/a","n/a",BX187-INDEX(tab_MinKomp[Sieci komputerowe / Computernetzwerke],MATCH($B187,tab_MinKomp[[Stanowisko / Position ]:[Stanowisko / Position ]],0)))</f>
        <v>n/a</v>
      </c>
      <c r="BY188" s="315" t="str">
        <f>IF(INDEX(tab_MinKomp[Hardware (komputery PC, drukarki biurowe i etykietowe, telefonia stacjonarna i mobilna) (PC, Drucker, Telefpne, Handys)],MATCH($B187,tab_MinKomp[[Stanowisko / Position ]:[Stanowisko / Position ]],0))="n/a","n/a",BY187-INDEX(tab_MinKomp[Hardware (komputery PC, drukarki biurowe i etykietowe, telefonia stacjonarna i mobilna) (PC, Drucker, Telefpne, Handys)],MATCH($B187,tab_MinKomp[[Stanowisko / Position ]:[Stanowisko / Position ]],0)))</f>
        <v>n/a</v>
      </c>
      <c r="BZ188" s="315" t="str">
        <f>IF(INDEX(tab_MinKomp[Software &amp; Systems (MS Office, MS Remote Desktop)],MATCH($B187,tab_MinKomp[[Stanowisko / Position ]:[Stanowisko / Position ]],0))="n/a","n/a",BZ187-INDEX(tab_MinKomp[Software &amp; Systems (MS Office, MS Remote Desktop)],MATCH($B187,tab_MinKomp[[Stanowisko / Position ]:[Stanowisko / Position ]],0)))</f>
        <v>n/a</v>
      </c>
      <c r="CA188" s="315" t="str">
        <f>IF(INDEX(tab_MinKomp[Programowanie obiektowe (PHP) / Objektprogrammierung],MATCH($B187,tab_MinKomp[[Stanowisko / Position ]:[Stanowisko / Position ]],0))="n/a","n/a",CA187-INDEX(tab_MinKomp[Programowanie obiektowe (PHP) / Objektprogrammierung],MATCH($B187,tab_MinKomp[[Stanowisko / Position ]:[Stanowisko / Position ]],0)))</f>
        <v>n/a</v>
      </c>
      <c r="CB188" s="315" t="str">
        <f>IF(INDEX(tab_MinKomp[Scrum],MATCH($B187,tab_MinKomp[[Stanowisko / Position ]:[Stanowisko / Position ]],0))="n/a","n/a",CB187-INDEX(tab_MinKomp[Scrum],MATCH($B187,tab_MinKomp[[Stanowisko / Position ]:[Stanowisko / Position ]],0)))</f>
        <v>n/a</v>
      </c>
      <c r="CC188" s="315" t="str">
        <f>IF(INDEX(tab_MinKomp[SQL (MySQL)],MATCH($B187,tab_MinKomp[[Stanowisko / Position ]:[Stanowisko / Position ]],0))="n/a","n/a",CC187-INDEX(tab_MinKomp[SQL (MySQL)],MATCH($B187,tab_MinKomp[[Stanowisko / Position ]:[Stanowisko / Position ]],0)))</f>
        <v>n/a</v>
      </c>
      <c r="CD188" s="315" t="str">
        <f>IF(INDEX(tab_MinKomp[Javascript],MATCH($B187,tab_MinKomp[[Stanowisko / Position ]:[Stanowisko / Position ]],0))="n/a","n/a",CD187-INDEX(tab_MinKomp[Javascript],MATCH($B187,tab_MinKomp[[Stanowisko / Position ]:[Stanowisko / Position ]],0)))</f>
        <v>n/a</v>
      </c>
      <c r="CE188" s="315" t="str">
        <f>IF(INDEX(tab_MinKomp[Joomla],MATCH($B187,tab_MinKomp[[Stanowisko / Position ]:[Stanowisko / Position ]],0))="n/a","n/a",CE187-INDEX(tab_MinKomp[Joomla],MATCH($B187,tab_MinKomp[[Stanowisko / Position ]:[Stanowisko / Position ]],0)))</f>
        <v>n/a</v>
      </c>
      <c r="CF188" s="315" t="str">
        <f>IF(INDEX(tab_MinKomp[Bash],MATCH($B187,tab_MinKomp[[Stanowisko / Position ]:[Stanowisko / Position ]],0))="n/a","n/a",CF187-INDEX(tab_MinKomp[Bash],MATCH($B187,tab_MinKomp[[Stanowisko / Position ]:[Stanowisko / Position ]],0)))</f>
        <v>n/a</v>
      </c>
      <c r="CG188" s="315" t="str">
        <f>IF(INDEX(tab_MinKomp[Systemy MES (HYDRA / SFMS)],MATCH($B187,tab_MinKomp[[Stanowisko / Position ]:[Stanowisko / Position ]],0))="n/a","n/a",CG187-INDEX(tab_MinKomp[Systemy MES (HYDRA / SFMS)],MATCH($B187,tab_MinKomp[[Stanowisko / Position ]:[Stanowisko / Position ]],0)))</f>
        <v>n/a</v>
      </c>
      <c r="CH188" s="315" t="str">
        <f>IF(INDEX(tab_MinKomp[HTML / CSS],MATCH($B187,tab_MinKomp[[Stanowisko / Position ]:[Stanowisko / Position ]],0))="n/a","n/a",CH187-INDEX(tab_MinKomp[HTML / CSS],MATCH($B187,tab_MinKomp[[Stanowisko / Position ]:[Stanowisko / Position ]],0)))</f>
        <v>n/a</v>
      </c>
      <c r="CI188" s="315">
        <f>IF(INDEX(tab_MinKomp[SYSTEM PR],MATCH($B187,tab_MinKomp[[Stanowisko / Position ]:[Stanowisko / Position ]],0))="n/a","n/a",CI187-INDEX(tab_MinKomp[SYSTEM PR],MATCH($B187,tab_MinKomp[[Stanowisko / Position ]:[Stanowisko / Position ]],0)))</f>
        <v>0</v>
      </c>
      <c r="CJ188" s="315">
        <f>IF(INDEX(tab_MinKomp[System Einkauf XP / EBA],MATCH($B187,tab_MinKomp[[Stanowisko / Position ]:[Stanowisko / Position ]],0))="n/a","n/a",CJ187-INDEX(tab_MinKomp[System Einkauf XP / EBA],MATCH($B187,tab_MinKomp[[Stanowisko / Position ]:[Stanowisko / Position ]],0)))</f>
        <v>0</v>
      </c>
      <c r="CK188" s="315" t="str">
        <f>IF(INDEX(tab_MinKomp[Techniki negocjacyjne / Verhandlungstechniken],MATCH($B187,tab_MinKomp[[Stanowisko / Position ]:[Stanowisko / Position ]],0))="n/a","n/a",CK187-INDEX(tab_MinKomp[Techniki negocjacyjne / Verhandlungstechniken],MATCH($B187,tab_MinKomp[[Stanowisko / Position ]:[Stanowisko / Position ]],0)))</f>
        <v>n/a</v>
      </c>
      <c r="CL188" s="315" t="str">
        <f>IF(INDEX(tab_MinKomp[Znajomość rynku branżowego / Kenntnis des Industrie Marktes],MATCH($B187,tab_MinKomp[[Stanowisko / Position ]:[Stanowisko / Position ]],0))="n/a","n/a",CL187-INDEX(tab_MinKomp[Znajomość rynku branżowego / Kenntnis des Industrie Marktes],MATCH($B187,tab_MinKomp[[Stanowisko / Position ]:[Stanowisko / Position ]],0)))</f>
        <v>n/a</v>
      </c>
      <c r="CM188" s="315">
        <f>IF(INDEX(tab_MinKomp[RAPORTY 8D / 8D Berichten],MATCH($B187,tab_MinKomp[[Stanowisko / Position ]:[Stanowisko / Position ]],0))="n/a","n/a",CM187-INDEX(tab_MinKomp[RAPORTY 8D / 8D Berichten],MATCH($B187,tab_MinKomp[[Stanowisko / Position ]:[Stanowisko / Position ]],0)))</f>
        <v>0</v>
      </c>
      <c r="CN188" s="315">
        <f>IF(INDEX(tab_MinKomp[NARZĘDZIA JAKOŚCIOWE (5WHY, Ishikawa, etc) / QS-Werkzeuge],MATCH($B187,tab_MinKomp[[Stanowisko / Position ]:[Stanowisko / Position ]],0))="n/a","n/a",CN187-INDEX(tab_MinKomp[NARZĘDZIA JAKOŚCIOWE (5WHY, Ishikawa, etc) / QS-Werkzeuge],MATCH($B187,tab_MinKomp[[Stanowisko / Position ]:[Stanowisko / Position ]],0)))</f>
        <v>0</v>
      </c>
      <c r="CO188" s="315">
        <f>IF(INDEX(tab_MinKomp[PDCA],MATCH($B187,tab_MinKomp[[Stanowisko / Position ]:[Stanowisko / Position ]],0))="n/a","n/a",CO187-INDEX(tab_MinKomp[PDCA],MATCH($B187,tab_MinKomp[[Stanowisko / Position ]:[Stanowisko / Position ]],0)))</f>
        <v>0</v>
      </c>
      <c r="CP188" s="315">
        <f>IF(INDEX(tab_MinKomp[Pareto],MATCH($B187,tab_MinKomp[[Stanowisko / Position ]:[Stanowisko / Position ]],0))="n/a","n/a",CP187-INDEX(tab_MinKomp[Pareto],MATCH($B187,tab_MinKomp[[Stanowisko / Position ]:[Stanowisko / Position ]],0)))</f>
        <v>0</v>
      </c>
      <c r="CQ188" s="315">
        <f>IF(INDEX(tab_MinKomp[PPAP/PSW],MATCH($B187,tab_MinKomp[[Stanowisko / Position ]:[Stanowisko / Position ]],0))="n/a","n/a",CQ187-INDEX(tab_MinKomp[PPAP/PSW],MATCH($B187,tab_MinKomp[[Stanowisko / Position ]:[Stanowisko / Position ]],0)))</f>
        <v>0</v>
      </c>
      <c r="CR188" s="315">
        <f>IF(INDEX(tab_MinKomp[SUPPLIER MANAGEMENT],MATCH($B187,tab_MinKomp[[Stanowisko / Position ]:[Stanowisko / Position ]],0))="n/a","n/a",CR187-INDEX(tab_MinKomp[SUPPLIER MANAGEMENT],MATCH($B187,tab_MinKomp[[Stanowisko / Position ]:[Stanowisko / Position ]],0)))</f>
        <v>2</v>
      </c>
      <c r="CS188" s="315">
        <f>IF(INDEX(tab_MinKomp[OBSŁUGA PORTALI KLIENTA / Kundenportale],MATCH($B187,tab_MinKomp[[Stanowisko / Position ]:[Stanowisko / Position ]],0))="n/a","n/a",CS187-INDEX(tab_MinKomp[OBSŁUGA PORTALI KLIENTA / Kundenportale],MATCH($B187,tab_MinKomp[[Stanowisko / Position ]:[Stanowisko / Position ]],0)))</f>
        <v>0</v>
      </c>
      <c r="CT188" s="315">
        <f>IF(INDEX(tab_MinKomp[Obsługa systemu BABTECQ / BABTECQ System],MATCH($B187,tab_MinKomp[[Stanowisko / Position ]:[Stanowisko / Position ]],0))="n/a","n/a",CT187-INDEX(tab_MinKomp[Obsługa systemu BABTECQ / BABTECQ System],MATCH($B187,tab_MinKomp[[Stanowisko / Position ]:[Stanowisko / Position ]],0)))</f>
        <v>0</v>
      </c>
      <c r="CU188" s="315">
        <f>IF(INDEX(tab_MinKomp[Rysunek techniczny / technische Zeichnung],MATCH($B187,tab_MinKomp[[Stanowisko / Position ]:[Stanowisko / Position ]],0))="n/a","n/a",CU187-INDEX(tab_MinKomp[Rysunek techniczny / technische Zeichnung],MATCH($B187,tab_MinKomp[[Stanowisko / Position ]:[Stanowisko / Position ]],0)))</f>
        <v>0</v>
      </c>
      <c r="CV188" s="315" t="str">
        <f>IF(INDEX(tab_MinKomp[Kalibracja / Kalibrierung],MATCH($B187,tab_MinKomp[[Stanowisko / Position ]:[Stanowisko / Position ]],0))="n/a","n/a",CV187-INDEX(tab_MinKomp[Kalibracja / Kalibrierung],MATCH($B187,tab_MinKomp[[Stanowisko / Position ]:[Stanowisko / Position ]],0)))</f>
        <v>n/a</v>
      </c>
      <c r="CW188" s="315">
        <f>IF(INDEX(tab_MinKomp[Rekwalifikacja / Requalifizierung],MATCH($B187,tab_MinKomp[[Stanowisko / Position ]:[Stanowisko / Position ]],0))="n/a","n/a",CW187-INDEX(tab_MinKomp[Rekwalifikacja / Requalifizierung],MATCH($B187,tab_MinKomp[[Stanowisko / Position ]:[Stanowisko / Position ]],0)))</f>
        <v>0</v>
      </c>
      <c r="CX188" s="315" t="str">
        <f>IF(INDEX(tab_MinKomp[Obsługa mikroskopu optycznego / Bedienung eines optischen Mikroskops],MATCH($B187,tab_MinKomp[[Stanowisko / Position ]:[Stanowisko / Position ]],0))="n/a","n/a",CX187-INDEX(tab_MinKomp[Obsługa mikroskopu optycznego / Bedienung eines optischen Mikroskops],MATCH($B187,tab_MinKomp[[Stanowisko / Position ]:[Stanowisko / Position ]],0)))</f>
        <v>n/a</v>
      </c>
      <c r="CY188" s="315" t="str">
        <f>IF(INDEX(tab_MinKomp[Wykonywanie pomiarów optycznych - ocena wizualna / Optische Messungen durchführen – visuelle Beurteilung],MATCH($B187,tab_MinKomp[[Stanowisko / Position ]:[Stanowisko / Position ]],0))="n/a","n/a",CY187-INDEX(tab_MinKomp[Wykonywanie pomiarów optycznych - ocena wizualna / Optische Messungen durchführen – visuelle Beurteilung],MATCH($B187,tab_MinKomp[[Stanowisko / Position ]:[Stanowisko / Position ]],0)))</f>
        <v>n/a</v>
      </c>
      <c r="CZ188" s="315" t="str">
        <f>IF(INDEX(tab_MinKomp[Obsługa Rheometra / Rheometra-Unterstützung],MATCH($B187,tab_MinKomp[[Stanowisko / Position ]:[Stanowisko / Position ]],0))="n/a","n/a",CZ187-INDEX(tab_MinKomp[Obsługa Rheometra / Rheometra-Unterstützung],MATCH($B187,tab_MinKomp[[Stanowisko / Position ]:[Stanowisko / Position ]],0)))</f>
        <v>n/a</v>
      </c>
      <c r="DA188" s="315" t="str">
        <f>IF(INDEX(tab_MinKomp[Testy właściwości Rheometra mieszanki gumy],MATCH($B187,tab_MinKomp[[Stanowisko / Position ]:[Stanowisko / Position ]],0))="n/a","n/a",DA187-INDEX(tab_MinKomp[Testy właściwości Rheometra mieszanki gumy],MATCH($B187,tab_MinKomp[[Stanowisko / Position ]:[Stanowisko / Position ]],0)))</f>
        <v>n/a</v>
      </c>
      <c r="DB188" s="315" t="str">
        <f>IF(INDEX(tab_MinKomp[CMM - Contura Zeiss],MATCH($B187,tab_MinKomp[[Stanowisko / Position ]:[Stanowisko / Position ]],0))="n/a","n/a",DB187-INDEX(tab_MinKomp[CMM - Contura Zeiss],MATCH($B187,tab_MinKomp[[Stanowisko / Position ]:[Stanowisko / Position ]],0)))</f>
        <v>n/a</v>
      </c>
      <c r="DC188" s="315" t="str">
        <f>IF(INDEX(tab_MinKomp[Wykonywanie precyzyjnych pomiarów metrycznych, pomiary 3D],MATCH($B187,tab_MinKomp[[Stanowisko / Position ]:[Stanowisko / Position ]],0))="n/a","n/a",DC187-INDEX(tab_MinKomp[Wykonywanie precyzyjnych pomiarów metrycznych, pomiary 3D],MATCH($B187,tab_MinKomp[[Stanowisko / Position ]:[Stanowisko / Position ]],0)))</f>
        <v>n/a</v>
      </c>
      <c r="DD188" s="315" t="str">
        <f>IF(INDEX(tab_MinKomp[Pisanie programów / Programme schreiben],MATCH($B187,tab_MinKomp[[Stanowisko / Position ]:[Stanowisko / Position ]],0))="n/a","n/a",DD187-INDEX(tab_MinKomp[Pisanie programów / Programme schreiben],MATCH($B187,tab_MinKomp[[Stanowisko / Position ]:[Stanowisko / Position ]],0)))</f>
        <v>n/a</v>
      </c>
      <c r="DE188" s="315" t="str">
        <f>IF(INDEX(tab_MinKomp[Obsługa wyposażenia do testów czystości (myjka + analizator) / Betrieb von Sauberkeitsprüfgeräten (Waschmaschine + Analysegerät)],MATCH($B187,tab_MinKomp[[Stanowisko / Position ]:[Stanowisko / Position ]],0))="n/a","n/a",DE187-INDEX(tab_MinKomp[Obsługa wyposażenia do testów czystości (myjka + analizator) / Betrieb von Sauberkeitsprüfgeräten (Waschmaschine + Analysegerät)],MATCH($B187,tab_MinKomp[[Stanowisko / Position ]:[Stanowisko / Position ]],0)))</f>
        <v>n/a</v>
      </c>
      <c r="DF188" s="315" t="str">
        <f>IF(INDEX(tab_MinKomp[Testy czystości / Reinheitstests],MATCH($B187,tab_MinKomp[[Stanowisko / Position ]:[Stanowisko / Position ]],0))="n/a","n/a",DF187-INDEX(tab_MinKomp[Testy czystości / Reinheitstests],MATCH($B187,tab_MinKomp[[Stanowisko / Position ]:[Stanowisko / Position ]],0)))</f>
        <v>n/a</v>
      </c>
      <c r="DG188" s="315" t="str">
        <f>IF(INDEX(tab_MinKomp[Obsługa wysokościomierza / Unterstützung für Höhenmesser],MATCH($B187,tab_MinKomp[[Stanowisko / Position ]:[Stanowisko / Position ]],0))="n/a","n/a",DG187-INDEX(tab_MinKomp[Obsługa wysokościomierza / Unterstützung für Höhenmesser],MATCH($B187,tab_MinKomp[[Stanowisko / Position ]:[Stanowisko / Position ]],0)))</f>
        <v>n/a</v>
      </c>
      <c r="DH188" s="315" t="str">
        <f>IF(INDEX(tab_MinKomp[Pomiary wysokości materiału / Materialhöhenmessungen],MATCH($B187,tab_MinKomp[[Stanowisko / Position ]:[Stanowisko / Position ]],0))="n/a","n/a",DH187-INDEX(tab_MinKomp[Pomiary wysokości materiału / Materialhöhenmessungen],MATCH($B187,tab_MinKomp[[Stanowisko / Position ]:[Stanowisko / Position ]],0)))</f>
        <v>n/a</v>
      </c>
      <c r="DI188" s="315" t="str">
        <f>IF(INDEX(tab_MinKomp[Obsługa okrągłościomierza / Unterstützung für Rundheitsmessgeräte],MATCH($B187,tab_MinKomp[[Stanowisko / Position ]:[Stanowisko / Position ]],0))="n/a","n/a",DI187-INDEX(tab_MinKomp[Obsługa okrągłościomierza / Unterstützung für Rundheitsmessgeräte],MATCH($B187,tab_MinKomp[[Stanowisko / Position ]:[Stanowisko / Position ]],0)))</f>
        <v>n/a</v>
      </c>
      <c r="DJ188" s="315" t="str">
        <f>IF(INDEX(tab_MinKomp[Wykonywania pomiarów owalności, srednicy materiału / Messung der Ovalität und des Durchmessers des Materials],MATCH($B187,tab_MinKomp[[Stanowisko / Position ]:[Stanowisko / Position ]],0))="n/a","n/a",DJ187-INDEX(tab_MinKomp[Wykonywania pomiarów owalności, srednicy materiału / Messung der Ovalität und des Durchmessers des Materials],MATCH($B187,tab_MinKomp[[Stanowisko / Position ]:[Stanowisko / Position ]],0)))</f>
        <v>n/a</v>
      </c>
      <c r="DK188" s="315" t="str">
        <f>IF(INDEX(tab_MinKomp[Obsługa urządzenia do pomiarów chropowoatości powierzchni materiału],MATCH($B187,tab_MinKomp[[Stanowisko / Position ]:[Stanowisko / Position ]],0))="n/a","n/a",DK187-INDEX(tab_MinKomp[Obsługa urządzenia do pomiarów chropowoatości powierzchni materiału],MATCH($B187,tab_MinKomp[[Stanowisko / Position ]:[Stanowisko / Position ]],0)))</f>
        <v>n/a</v>
      </c>
      <c r="DL188" s="315" t="str">
        <f>IF(INDEX(tab_MinKomp[Wykonywanie pomiarów chropowatości powierzchni materiału / Durchführung von Messungen der Materialoberflächenrauheit],MATCH($B187,tab_MinKomp[[Stanowisko / Position ]:[Stanowisko / Position ]],0))="n/a","n/a",DL187-INDEX(tab_MinKomp[Wykonywanie pomiarów chropowatości powierzchni materiału / Durchführung von Messungen der Materialoberflächenrauheit],MATCH($B187,tab_MinKomp[[Stanowisko / Position ]:[Stanowisko / Position ]],0)))</f>
        <v>n/a</v>
      </c>
      <c r="DM188" s="315" t="str">
        <f>IF(INDEX(tab_MinKomp[Obsługa urządzenia do pomiaru siły radialnej części - postępowanie z trzpieniami. / Funktionsweise des Geräts zur Messung der Radialkraft von Teilen – Handhabungsstifte.],MATCH($B187,tab_MinKomp[[Stanowisko / Position ]:[Stanowisko / Position ]],0))="n/a","n/a",DM187-INDEX(tab_MinKomp[Obsługa urządzenia do pomiaru siły radialnej części - postępowanie z trzpieniami. / Funktionsweise des Geräts zur Messung der Radialkraft von Teilen – Handhabungsstifte.],MATCH($B187,tab_MinKomp[[Stanowisko / Position ]:[Stanowisko / Position ]],0)))</f>
        <v>n/a</v>
      </c>
      <c r="DN188" s="315" t="str">
        <f>IF(INDEX(tab_MinKomp[Wykonywanie pomiarów siły radialnej części / Führen Sie Radialkraftmessungen an Teilen durch],MATCH($B187,tab_MinKomp[[Stanowisko / Position ]:[Stanowisko / Position ]],0))="n/a","n/a",DN187-INDEX(tab_MinKomp[Wykonywanie pomiarów siły radialnej części / Führen Sie Radialkraftmessungen an Teilen durch],MATCH($B187,tab_MinKomp[[Stanowisko / Position ]:[Stanowisko / Position ]],0)))</f>
        <v>n/a</v>
      </c>
      <c r="DO188" s="315" t="str">
        <f>IF(INDEX(tab_MinKomp[Obsługa komory do testów wybuchwych / Betrieb einer Explosionsprüfkammer],MATCH($B187,tab_MinKomp[[Stanowisko / Position ]:[Stanowisko / Position ]],0))="n/a","n/a",DO187-INDEX(tab_MinKomp[Obsługa komory do testów wybuchwych / Betrieb einer Explosionsprüfkammer],MATCH($B187,tab_MinKomp[[Stanowisko / Position ]:[Stanowisko / Position ]],0)))</f>
        <v>n/a</v>
      </c>
      <c r="DP188" s="315" t="str">
        <f>IF(INDEX(tab_MinKomp[Wykonywanie testów wybuchowych części / Durchführung von Explosionstests an Teilen],MATCH($B187,tab_MinKomp[[Stanowisko / Position ]:[Stanowisko / Position ]],0))="n/a","n/a",DP187-INDEX(tab_MinKomp[Wykonywanie testów wybuchowych części / Durchführung von Explosionstests an Teilen],MATCH($B187,tab_MinKomp[[Stanowisko / Position ]:[Stanowisko / Position ]],0)))</f>
        <v>n/a</v>
      </c>
      <c r="DQ188" s="315" t="str">
        <f>IF(INDEX(tab_MinKomp[Obsługa urządzeń do mierzenia siły trzymania i/lub rozciągania / Betrieb von Geräten zur Messung der Halte- und/oder Dehnkraft],MATCH($B187,tab_MinKomp[[Stanowisko / Position ]:[Stanowisko / Position ]],0))="n/a","n/a",DQ187-INDEX(tab_MinKomp[Obsługa urządzeń do mierzenia siły trzymania i/lub rozciągania / Betrieb von Geräten zur Messung der Halte- und/oder Dehnkraft],MATCH($B187,tab_MinKomp[[Stanowisko / Position ]:[Stanowisko / Position ]],0)))</f>
        <v>n/a</v>
      </c>
      <c r="DR188" s="315" t="str">
        <f>IF(INDEX(tab_MinKomp[Wykonywanie testów mierzenia siły trzymania i/lub rozciągania / Durchführung von Tests zur Messung der Halte- und/oder Streckkraft],MATCH($B187,tab_MinKomp[[Stanowisko / Position ]:[Stanowisko / Position ]],0))="n/a","n/a",DR187-INDEX(tab_MinKomp[Wykonywanie testów mierzenia siły trzymania i/lub rozciągania / Durchführung von Tests zur Messung der Halte- und/oder Streckkraft],MATCH($B187,tab_MinKomp[[Stanowisko / Position ]:[Stanowisko / Position ]],0)))</f>
        <v>n/a</v>
      </c>
      <c r="DS188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Luftstrom)],MATCH($B187,tab_MinKomp[[Stanowisko / Position ]:[Stanowisko / Position ]],0))="n/a","n/a",DS187-INDEX(tab_MinKomp[Obsługa multimetru do pomiarów środowiskowych (temperatura, wilgotność, hałas, oświetlenie, przepływ powietrza) / Betrieb eines Multimeters für Umweltmessungen (Temperatur, Luftfeuchtigkeit, Lärm, Beleuchtung, Luftstrom)],MATCH($B187,tab_MinKomp[[Stanowisko / Position ]:[Stanowisko / Position ]],0)))</f>
        <v>n/a</v>
      </c>
      <c r="DT188" s="315" t="str">
        <f>IF(INDEX(tab_MinKomp[Kontrola warunków środowiskowych pracy (temperatura, wilgotność, hałas, oświetlenie, przepływ powietrza) / Kontrolle der Arbeitsumgebungsbedingungen (Temperatur, Luftfeuchtigkeit, Lärm, Beleuchtung, Luftstrom)],MATCH($B187,tab_MinKomp[[Stanowisko / Position ]:[Stanowisko / Position ]],0))="n/a","n/a",DT187-INDEX(tab_MinKomp[Kontrola warunków środowiskowych pracy (temperatura, wilgotność, hałas, oświetlenie, przepływ powietrza) / Kontrolle der Arbeitsumgebungsbedingungen (Temperatur, Luftfeuchtigkeit, Lärm, Beleuchtung, Luftstrom)],MATCH($B187,tab_MinKomp[[Stanowisko / Position ]:[Stanowisko / Position ]],0)))</f>
        <v>n/a</v>
      </c>
      <c r="DU188" s="315" t="str">
        <f>IF(INDEX(tab_MinKomp[MSA i SPC],MATCH($B187,tab_MinKomp[[Stanowisko / Position ]:[Stanowisko / Position ]],0))="n/a","n/a",DU187-INDEX(tab_MinKomp[MSA i SPC],MATCH($B187,tab_MinKomp[[Stanowisko / Position ]:[Stanowisko / Position ]],0)))</f>
        <v>n/a</v>
      </c>
      <c r="DV188" s="315" t="str">
        <f>IF(INDEX(tab_MinKomp[Kontrola wejściowa komponentów/ Eingangskontrolle],MATCH($B187,tab_MinKomp[[Stanowisko / Position ]:[Stanowisko / Position ]],0))="n/a","n/a",DV187-INDEX(tab_MinKomp[Kontrola wejściowa komponentów/ Eingangskontrolle],MATCH($B187,tab_MinKomp[[Stanowisko / Position ]:[Stanowisko / Position ]],0)))</f>
        <v>n/a</v>
      </c>
      <c r="DW188" s="315" t="str">
        <f>IF(INDEX(tab_MinKomp[Kontrola wyjściowa produktu / Ausgangskontrolle],MATCH($B187,tab_MinKomp[[Stanowisko / Position ]:[Stanowisko / Position ]],0))="n/a","n/a",DW187-INDEX(tab_MinKomp[Kontrola wyjściowa produktu / Ausgangskontrolle],MATCH($B187,tab_MinKomp[[Stanowisko / Position ]:[Stanowisko / Position ]],0)))</f>
        <v>n/a</v>
      </c>
      <c r="DX188" s="315" t="str">
        <f>IF(INDEX(tab_MinKomp[Kontrola codzienna produkcji / Tägliche Produktionskontrolle],MATCH($B187,tab_MinKomp[[Stanowisko / Position ]:[Stanowisko / Position ]],0))="n/a","n/a",DX187-INDEX(tab_MinKomp[Kontrola codzienna produkcji / Tägliche Produktionskontrolle],MATCH($B187,tab_MinKomp[[Stanowisko / Position ]:[Stanowisko / Position ]],0)))</f>
        <v>n/a</v>
      </c>
      <c r="DY188" s="315" t="str">
        <f>IF(INDEX(tab_MinKomp[Konserwacja Rep],MATCH($B187,tab_MinKomp[[Stanowisko / Position ]:[Stanowisko / Position ]],0))="n/a","n/a",DY187-INDEX(tab_MinKomp[Konserwacja Rep],MATCH($B187,tab_MinKomp[[Stanowisko / Position ]:[Stanowisko / Position ]],0)))</f>
        <v>n/a</v>
      </c>
      <c r="DZ188" s="315" t="str">
        <f>IF(INDEX(tab_MinKomp[[Konserwacja Engel ]],MATCH($B187,tab_MinKomp[[Stanowisko / Position ]:[Stanowisko / Position ]],0))="n/a","n/a",DZ187-INDEX(tab_MinKomp[[Konserwacja Engel ]],MATCH($B187,tab_MinKomp[[Stanowisko / Position ]:[Stanowisko / Position ]],0)))</f>
        <v>n/a</v>
      </c>
      <c r="EA188" s="315" t="str">
        <f>IF(INDEX(tab_MinKomp[Konserwacja B 50],MATCH($B187,tab_MinKomp[[Stanowisko / Position ]:[Stanowisko / Position ]],0))="n/a","n/a",EA187-INDEX(tab_MinKomp[Konserwacja B 50],MATCH($B187,tab_MinKomp[[Stanowisko / Position ]:[Stanowisko / Position ]],0)))</f>
        <v>n/a</v>
      </c>
      <c r="EB188" s="315" t="str">
        <f>IF(INDEX(tab_MinKomp[[Konserwacja EOL ]],MATCH($B187,tab_MinKomp[[Stanowisko / Position ]:[Stanowisko / Position ]],0))="n/a","n/a",EB187-INDEX(tab_MinKomp[[Konserwacja EOL ]],MATCH($B187,tab_MinKomp[[Stanowisko / Position ]:[Stanowisko / Position ]],0)))</f>
        <v>n/a</v>
      </c>
      <c r="EC188" s="315" t="str">
        <f>IF(INDEX(tab_MinKomp[Konserwacja Branson],MATCH($B187,tab_MinKomp[[Stanowisko / Position ]:[Stanowisko / Position ]],0))="n/a","n/a",EC187-INDEX(tab_MinKomp[Konserwacja Branson],MATCH($B187,tab_MinKomp[[Stanowisko / Position ]:[Stanowisko / Position ]],0)))</f>
        <v>n/a</v>
      </c>
      <c r="ED188" s="315" t="str">
        <f>IF(INDEX(tab_MinKomp[Konserwacja coolery],MATCH($B187,tab_MinKomp[[Stanowisko / Position ]:[Stanowisko / Position ]],0))="n/a","n/a",ED187-INDEX(tab_MinKomp[Konserwacja coolery],MATCH($B187,tab_MinKomp[[Stanowisko / Position ]:[Stanowisko / Position ]],0)))</f>
        <v>n/a</v>
      </c>
      <c r="EE188" s="315" t="str">
        <f>IF(INDEX(tab_MinKomp[Konserwacja piecy],MATCH($B187,tab_MinKomp[[Stanowisko / Position ]:[Stanowisko / Position ]],0))="n/a","n/a",EE187-INDEX(tab_MinKomp[Konserwacja piecy],MATCH($B187,tab_MinKomp[[Stanowisko / Position ]:[Stanowisko / Position ]],0)))</f>
        <v>n/a</v>
      </c>
      <c r="EF188" s="315" t="str">
        <f>IF(INDEX(tab_MinKomp[Rysunek techniczny- czytanie],MATCH($B187,tab_MinKomp[[Stanowisko / Position ]:[Stanowisko / Position ]],0))="n/a","n/a",EF187-INDEX(tab_MinKomp[Rysunek techniczny- czytanie],MATCH($B187,tab_MinKomp[[Stanowisko / Position ]:[Stanowisko / Position ]],0)))</f>
        <v>n/a</v>
      </c>
      <c r="EG188" s="315" t="str">
        <f>IF(INDEX(tab_MinKomp[Elektryka],MATCH($B187,tab_MinKomp[[Stanowisko / Position ]:[Stanowisko / Position ]],0))="n/a","n/a",EG187-INDEX(tab_MinKomp[Elektryka],MATCH($B187,tab_MinKomp[[Stanowisko / Position ]:[Stanowisko / Position ]],0)))</f>
        <v>n/a</v>
      </c>
      <c r="EH188" s="315" t="str">
        <f>IF(INDEX(tab_MinKomp[Pneumatyka],MATCH($B187,tab_MinKomp[[Stanowisko / Position ]:[Stanowisko / Position ]],0))="n/a","n/a",EH187-INDEX(tab_MinKomp[Pneumatyka],MATCH($B187,tab_MinKomp[[Stanowisko / Position ]:[Stanowisko / Position ]],0)))</f>
        <v>n/a</v>
      </c>
      <c r="EI188" s="315" t="str">
        <f>IF(INDEX(tab_MinKomp[[Hydraulika ]],MATCH($B187,tab_MinKomp[[Stanowisko / Position ]:[Stanowisko / Position ]],0))="n/a","n/a",EI187-INDEX(tab_MinKomp[[Hydraulika ]],MATCH($B187,tab_MinKomp[[Stanowisko / Position ]:[Stanowisko / Position ]],0)))</f>
        <v>n/a</v>
      </c>
      <c r="EJ188" s="315" t="str">
        <f>IF(INDEX(tab_MinKomp[Podciśnienie],MATCH($B187,tab_MinKomp[[Stanowisko / Position ]:[Stanowisko / Position ]],0))="n/a","n/a",EJ187-INDEX(tab_MinKomp[Podciśnienie],MATCH($B187,tab_MinKomp[[Stanowisko / Position ]:[Stanowisko / Position ]],0)))</f>
        <v>n/a</v>
      </c>
      <c r="EK188" s="315" t="str">
        <f>IF(INDEX(tab_MinKomp[Usuwanie awarii],MATCH($B187,tab_MinKomp[[Stanowisko / Position ]:[Stanowisko / Position ]],0))="n/a","n/a",EK187-INDEX(tab_MinKomp[Usuwanie awarii],MATCH($B187,tab_MinKomp[[Stanowisko / Position ]:[Stanowisko / Position ]],0)))</f>
        <v>n/a</v>
      </c>
      <c r="EL188" s="315" t="str">
        <f>IF(INDEX(tab_MinKomp[Obsługa robotów],MATCH($B187,tab_MinKomp[[Stanowisko / Position ]:[Stanowisko / Position ]],0))="n/a","n/a",EL187-INDEX(tab_MinKomp[Obsługa robotów],MATCH($B187,tab_MinKomp[[Stanowisko / Position ]:[Stanowisko / Position ]],0)))</f>
        <v>n/a</v>
      </c>
      <c r="EM188" s="315" t="str">
        <f>IF(INDEX(tab_MinKomp[Obsługa sterowania maszyny],MATCH($B187,tab_MinKomp[[Stanowisko / Position ]:[Stanowisko / Position ]],0))="n/a","n/a",EM187-INDEX(tab_MinKomp[Obsługa sterowania maszyny],MATCH($B187,tab_MinKomp[[Stanowisko / Position ]:[Stanowisko / Position ]],0)))</f>
        <v>n/a</v>
      </c>
      <c r="EN188" s="315" t="str">
        <f>IF(INDEX(tab_MinKomp[Usuwanie przyczyn żródłowych],MATCH($B187,tab_MinKomp[[Stanowisko / Position ]:[Stanowisko / Position ]],0))="n/a","n/a",EN187-INDEX(tab_MinKomp[Usuwanie przyczyn żródłowych],MATCH($B187,tab_MinKomp[[Stanowisko / Position ]:[Stanowisko / Position ]],0)))</f>
        <v>n/a</v>
      </c>
      <c r="EO188" s="315" t="str">
        <f>IF(INDEX(tab_MinKomp[Cmms stosowanie],MATCH($B187,tab_MinKomp[[Stanowisko / Position ]:[Stanowisko / Position ]],0))="n/a","n/a",EO187-INDEX(tab_MinKomp[Cmms stosowanie],MATCH($B187,tab_MinKomp[[Stanowisko / Position ]:[Stanowisko / Position ]],0)))</f>
        <v>n/a</v>
      </c>
      <c r="EP188" s="315" t="str">
        <f>IF(INDEX(tab_MinKomp[[Czyszczenie form gumowych ]],MATCH($B187,tab_MinKomp[[Stanowisko / Position ]:[Stanowisko / Position ]],0))="n/a","n/a",EP187-INDEX(tab_MinKomp[[Czyszczenie form gumowych ]],MATCH($B187,tab_MinKomp[[Stanowisko / Position ]:[Stanowisko / Position ]],0)))</f>
        <v>n/a</v>
      </c>
      <c r="EQ188" s="315" t="str">
        <f>IF(INDEX(tab_MinKomp[Czyszczenie form plastikowych],MATCH($B187,tab_MinKomp[[Stanowisko / Position ]:[Stanowisko / Position ]],0))="n/a","n/a",EQ187-INDEX(tab_MinKomp[Czyszczenie form plastikowych],MATCH($B187,tab_MinKomp[[Stanowisko / Position ]:[Stanowisko / Position ]],0)))</f>
        <v>n/a</v>
      </c>
      <c r="ER188" s="315" t="str">
        <f>IF(INDEX(tab_MinKomp[Wymiana form plastik],MATCH($B187,tab_MinKomp[[Stanowisko / Position ]:[Stanowisko / Position ]],0))="n/a","n/a",ER187-INDEX(tab_MinKomp[Wymiana form plastik],MATCH($B187,tab_MinKomp[[Stanowisko / Position ]:[Stanowisko / Position ]],0)))</f>
        <v>n/a</v>
      </c>
      <c r="ES188" s="315" t="str">
        <f>IF(INDEX(tab_MinKomp[Wymiana form guma],MATCH($B187,tab_MinKomp[[Stanowisko / Position ]:[Stanowisko / Position ]],0))="n/a","n/a",ES187-INDEX(tab_MinKomp[Wymiana form guma],MATCH($B187,tab_MinKomp[[Stanowisko / Position ]:[Stanowisko / Position ]],0)))</f>
        <v>n/a</v>
      </c>
      <c r="ET188" s="315" t="str">
        <f>IF(INDEX(tab_MinKomp[Konserwacja KK],MATCH($B187,tab_MinKomp[[Stanowisko / Position ]:[Stanowisko / Position ]],0))="n/a","n/a",ET187-INDEX(tab_MinKomp[Konserwacja KK],MATCH($B187,tab_MinKomp[[Stanowisko / Position ]:[Stanowisko / Position ]],0)))</f>
        <v>n/a</v>
      </c>
      <c r="EU188" s="315" t="str">
        <f>IF(INDEX(tab_MinKomp[Konserwacja form guma],MATCH($B187,tab_MinKomp[[Stanowisko / Position ]:[Stanowisko / Position ]],0))="n/a","n/a",EU187-INDEX(tab_MinKomp[Konserwacja form guma],MATCH($B187,tab_MinKomp[[Stanowisko / Position ]:[Stanowisko / Position ]],0)))</f>
        <v>n/a</v>
      </c>
      <c r="EV188" s="315" t="str">
        <f>IF(INDEX(tab_MinKomp[Konserwacja form plastiki],MATCH($B187,tab_MinKomp[[Stanowisko / Position ]:[Stanowisko / Position ]],0))="n/a","n/a",EV187-INDEX(tab_MinKomp[Konserwacja form plastiki],MATCH($B187,tab_MinKomp[[Stanowisko / Position ]:[Stanowisko / Position ]],0)))</f>
        <v>n/a</v>
      </c>
      <c r="EW188" s="330" t="str">
        <f>IF(INDEX(tab_MinKomp[Konserwacja form plastiki],MATCH($B187,tab_MinKomp[[Stanowisko / Position ]:[Stanowisko / Position ]],0))="n/a","n/a",EW187-INDEX(tab_MinKomp[Konserwacja form plastiki],MATCH($B187,tab_MinKomp[[Stanowisko / Position ]:[Stanowisko / Position ]],0)))</f>
        <v>n/a</v>
      </c>
      <c r="EX188" s="315" t="str">
        <f>IF(INDEX(tab_MinKomp[Konserwacja Gorącego Kanału],MATCH($B187,tab_MinKomp[[Stanowisko / Position ]:[Stanowisko / Position ]],0))="n/a","n/a",EX187-INDEX(tab_MinKomp[Konserwacja Gorącego Kanału],MATCH($B187,tab_MinKomp[[Stanowisko / Position ]:[Stanowisko / Position ]],0)))</f>
        <v>n/a</v>
      </c>
      <c r="EY188" s="315">
        <f>IF(INDEX(tab_MinKomp[MS Office (Excel)],MATCH($B187,tab_MinKomp[[Stanowisko / Position ]:[Stanowisko / Position ]],0))="n/a","n/a",EY187-INDEX(tab_MinKomp[MS Office (Excel)],MATCH($B187,tab_MinKomp[[Stanowisko / Position ]:[Stanowisko / Position ]],0)))</f>
        <v>0</v>
      </c>
      <c r="EZ188" s="315">
        <f>IF(INDEX(tab_MinKomp[MS Office (Word)],MATCH($B187,tab_MinKomp[[Stanowisko / Position ]:[Stanowisko / Position ]],0))="n/a","n/a",EZ187-INDEX(tab_MinKomp[MS Office (Word)],MATCH($B187,tab_MinKomp[[Stanowisko / Position ]:[Stanowisko / Position ]],0)))</f>
        <v>0</v>
      </c>
      <c r="FA188" s="315">
        <f>IF(INDEX(tab_MinKomp[MS Office (Power Point)],MATCH($B187,tab_MinKomp[[Stanowisko / Position ]:[Stanowisko / Position ]],0))="n/a","n/a",FA187-INDEX(tab_MinKomp[MS Office (Power Point)],MATCH($B187,tab_MinKomp[[Stanowisko / Position ]:[Stanowisko / Position ]],0)))</f>
        <v>0</v>
      </c>
      <c r="FB188" s="315">
        <f>IF(INDEX(tab_MinKomp[Język angielski / Englisch],MATCH($B187,tab_MinKomp[[Stanowisko / Position ]:[Stanowisko / Position ]],0))="n/a","n/a",FB187-INDEX(tab_MinKomp[Język angielski / Englisch],MATCH($B187,tab_MinKomp[[Stanowisko / Position ]:[Stanowisko / Position ]],0)))</f>
        <v>0</v>
      </c>
      <c r="FC188" s="315" t="str">
        <f>IF(INDEX(tab_MinKomp[Język niemiecki / Deutsch],MATCH($B187,tab_MinKomp[[Stanowisko / Position ]:[Stanowisko / Position ]],0))="n/a","n/a",FC187-INDEX(tab_MinKomp[Język niemiecki / Deutsch],MATCH($B187,tab_MinKomp[[Stanowisko / Position ]:[Stanowisko / Position ]],0)))</f>
        <v>n/a</v>
      </c>
      <c r="FD188" s="315">
        <f>IF(INDEX(tab_MinKomp[Zarządzanie dokumentacją procesową / Process dokumentation management],MATCH($B187,tab_MinKomp[[Stanowisko / Position ]:[Stanowisko / Position ]],0))="n/a","n/a",FD187-INDEX(tab_MinKomp[Zarządzanie dokumentacją procesową / Process dokumentation management],MATCH($B187,tab_MinKomp[[Stanowisko / Position ]:[Stanowisko / Position ]],0)))</f>
        <v>0</v>
      </c>
      <c r="FE188" s="315">
        <f>IF(INDEX(tab_MinKomp[Znajomość procesów z obszaru / Kenntiss der prozesse in dem Bereich],MATCH($B187,tab_MinKomp[[Stanowisko / Position ]:[Stanowisko / Position ]],0))="n/a","n/a",FE187-INDEX(tab_MinKomp[Znajomość procesów z obszaru / Kenntiss der prozesse in dem Bereich],MATCH($B187,tab_MinKomp[[Stanowisko / Position ]:[Stanowisko / Position ]],0)))</f>
        <v>1</v>
      </c>
      <c r="FF188" s="315">
        <f>IF(INDEX(tab_MinKomp[optymalizacja procesów / Prozessoptymalisierung],MATCH($B187,tab_MinKomp[[Stanowisko / Position ]:[Stanowisko / Position ]],0))="n/a","n/a",FF187-INDEX(tab_MinKomp[optymalizacja procesów / Prozessoptymalisierung],MATCH($B187,tab_MinKomp[[Stanowisko / Position ]:[Stanowisko / Position ]],0)))</f>
        <v>0</v>
      </c>
      <c r="FG188" s="315">
        <f>IF(INDEX(tab_MinKomp[Umiejętności szkoleniowe / Trainingsfähigkeiten],MATCH($B187,tab_MinKomp[[Stanowisko / Position ]:[Stanowisko / Position ]],0))="n/a","n/a",FG187-INDEX(tab_MinKomp[Umiejętności szkoleniowe / Trainingsfähigkeiten],MATCH($B187,tab_MinKomp[[Stanowisko / Position ]:[Stanowisko / Position ]],0)))</f>
        <v>0</v>
      </c>
      <c r="FH188" s="315">
        <f>IF(INDEX(tab_MinKomp[Analityczne myślenie, podejście / Analitysches Denken, Einstellung],MATCH($B187,tab_MinKomp[[Stanowisko / Position ]:[Stanowisko / Position ]],0))="n/a","n/a",FH187-INDEX(tab_MinKomp[Analityczne myślenie, podejście / Analitysches Denken, Einstellung],MATCH($B187,tab_MinKomp[[Stanowisko / Position ]:[Stanowisko / Position ]],0)))</f>
        <v>0</v>
      </c>
      <c r="FI188" s="315">
        <f>IF(INDEX(tab_MinKomp[Dokładność, precyzja w dzialaniu / Genauigkeit, Präzision in die Arbeit],MATCH($B187,tab_MinKomp[[Stanowisko / Position ]:[Stanowisko / Position ]],0))="n/a","n/a",FI187-INDEX(tab_MinKomp[Dokładność, precyzja w dzialaniu / Genauigkeit, Präzision in die Arbeit],MATCH($B187,tab_MinKomp[[Stanowisko / Position ]:[Stanowisko / Position ]],0)))</f>
        <v>0</v>
      </c>
      <c r="FJ188" s="315">
        <f>IF(INDEX(tab_MinKomp[Dyspozycyjność / Verfügbarkeit],MATCH($B187,tab_MinKomp[[Stanowisko / Position ]:[Stanowisko / Position ]],0))="n/a","n/a",FJ187-INDEX(tab_MinKomp[Dyspozycyjność / Verfügbarkeit],MATCH($B187,tab_MinKomp[[Stanowisko / Position ]:[Stanowisko / Position ]],0)))</f>
        <v>1</v>
      </c>
      <c r="FK188" s="315">
        <f>IF(INDEX(tab_MinKomp[Zaangażowanie / 
Engagement],MATCH($B187,tab_MinKomp[[Stanowisko / Position ]:[Stanowisko / Position ]],0))="n/a","n/a",FK187-INDEX(tab_MinKomp[Zaangażowanie / 
Engagement],MATCH($B187,tab_MinKomp[[Stanowisko / Position ]:[Stanowisko / Position ]],0)))</f>
        <v>1</v>
      </c>
      <c r="FL188" s="315">
        <f>IF(INDEX(tab_MinKomp[Planowanie strategiczne / Strategische Planung],MATCH($B187,tab_MinKomp[[Stanowisko / Position ]:[Stanowisko / Position ]],0))="n/a","n/a",FL187-INDEX(tab_MinKomp[Planowanie strategiczne / Strategische Planung],MATCH($B187,tab_MinKomp[[Stanowisko / Position ]:[Stanowisko / Position ]],0)))</f>
        <v>0</v>
      </c>
      <c r="FM188" s="315">
        <f>IF(INDEX(tab_MinKomp[Konsekwentne i dynamiczne działanie],MATCH($B187,tab_MinKomp[[Stanowisko / Position ]:[Stanowisko / Position ]],0))="n/a","n/a",FM187-INDEX(tab_MinKomp[Konsekwentne i dynamiczne działanie],MATCH($B187,tab_MinKomp[[Stanowisko / Position ]:[Stanowisko / Position ]],0)))</f>
        <v>0</v>
      </c>
      <c r="FN188" s="315">
        <f>IF(INDEX(tab_MinKomp[Elastyczność w działaniu],MATCH($B187,tab_MinKomp[[Stanowisko / Position ]:[Stanowisko / Position ]],0))="n/a","n/a",FN187-INDEX(tab_MinKomp[Elastyczność w działaniu],MATCH($B187,tab_MinKomp[[Stanowisko / Position ]:[Stanowisko / Position ]],0)))</f>
        <v>1</v>
      </c>
      <c r="FO188" s="315">
        <f>IF(INDEX(tab_MinKomp[Komunikatywność],MATCH($B187,tab_MinKomp[[Stanowisko / Position ]:[Stanowisko / Position ]],0))="n/a","n/a",FO187-INDEX(tab_MinKomp[Komunikatywność],MATCH($B187,tab_MinKomp[[Stanowisko / Position ]:[Stanowisko / Position ]],0)))</f>
        <v>1</v>
      </c>
      <c r="FP188" s="315">
        <f>IF(INDEX(tab_MinKomp[Motywowanie i budowanie zaangażowania zespołu],MATCH($B187,tab_MinKomp[[Stanowisko / Position ]:[Stanowisko / Position ]],0))="n/a","n/a",FP187-INDEX(tab_MinKomp[Motywowanie i budowanie zaangażowania zespołu],MATCH($B187,tab_MinKomp[[Stanowisko / Position ]:[Stanowisko / Position ]],0)))</f>
        <v>0</v>
      </c>
      <c r="FQ188" s="318" t="str">
        <f>IFERROR(IF(INDEX(tab_MinKomp[BRAK / Keine],MATCH($B187,tab_MinKomp[[Stanowisko / Position ]:[Stanowisko / Position ]],0))="n/a","n/a",INDEX(tab_MinKomp[BRAK / Keine],MATCH($B187,tab_MinKomp[[Stanowisko / Position ]:[Stanowisko / Position ]],0))-FQ187),"")</f>
        <v>n/a</v>
      </c>
      <c r="FR188" s="315" t="str">
        <f>IF(INDEX(tab_MinKomp[MINIMUM 1 ROK / min. 1 Jahr],MATCH($B187,tab_MinKomp[[Stanowisko / Position ]:[Stanowisko / Position ]],0))="n/a","n/a",INDEX(tab_MinKomp[MINIMUM 1 ROK / min. 1 Jahr],MATCH($B187,tab_MinKomp[[Stanowisko / Position ]:[Stanowisko / Position ]],0)))</f>
        <v>n/a</v>
      </c>
      <c r="FS188" s="315" t="str">
        <f>IF(INDEX(tab_MinKomp[MINIMUM 2 LATA / min. 2 Jahre],MATCH($B187,tab_MinKomp[[Stanowisko / Position ]:[Stanowisko / Position ]],0))="n/a","n/a",INDEX(tab_MinKomp[MINIMUM 2 LATA / min. 2 Jahre],MATCH($B187,tab_MinKomp[[Stanowisko / Position ]:[Stanowisko / Position ]],0)))</f>
        <v>X</v>
      </c>
      <c r="FT188" s="315" t="str">
        <f>IF(INDEX(tab_MinKomp[MINIMUM 3 LATA / min. 3 Jahre],MATCH($B187,tab_MinKomp[[Stanowisko / Position ]:[Stanowisko / Position ]],0))="n/a","n/a",INDEX(tab_MinKomp[MINIMUM 3 LATA / min. 3 Jahre],MATCH($B187,tab_MinKomp[[Stanowisko / Position ]:[Stanowisko / Position ]],0)))</f>
        <v>n/a</v>
      </c>
      <c r="FU188" s="315" t="str">
        <f>IF(INDEX(tab_MinKomp[MINIMUM 4 LATA / min. 4 Jahre],MATCH($B187,tab_MinKomp[[Stanowisko / Position ]:[Stanowisko / Position ]],0))="n/a","n/a",INDEX(tab_MinKomp[MINIMUM 4 LATA / min. 4 Jahre],MATCH($B187,tab_MinKomp[[Stanowisko / Position ]:[Stanowisko / Position ]],0)))</f>
        <v>n/a</v>
      </c>
      <c r="FV188" s="319" t="str">
        <f>IF(INDEX(tab_MinKomp[MINIMUM 5 LAT / min. 5 Jahre],MATCH($B187,tab_MinKomp[[Stanowisko / Position ]:[Stanowisko / Position ]],0))="n/a","n/a",INDEX(tab_MinKomp[MINIMUM 5 LAT / min. 5 Jahre],MATCH($B187,tab_MinKomp[[Stanowisko / Position ]:[Stanowisko / Position ]],0)))</f>
        <v>n/a</v>
      </c>
      <c r="FW188" s="318" t="str">
        <f>IF(INDEX(tab_MinKomp[BRAK / Keine9],MATCH($B187,tab_MinKomp[[Stanowisko / Position ]:[Stanowisko / Position ]],0))="n/a","n/a",INDEX(tab_MinKomp[BRAK / Keine9],MATCH($B187,tab_MinKomp[[Stanowisko / Position ]:[Stanowisko / Position ]],0)))</f>
        <v>n/a</v>
      </c>
      <c r="FX188" s="315" t="str">
        <f>IF(INDEX(tab_MinKomp[ZAWODOWE / Berufsausbildung],MATCH($B187,tab_MinKomp[[Stanowisko / Position ]:[Stanowisko / Position ]],0))="n/a","n/a",INDEX(tab_MinKomp[ZAWODOWE / Berufsausbildung],MATCH($B187,tab_MinKomp[[Stanowisko / Position ]:[Stanowisko / Position ]],0)))</f>
        <v>n/a</v>
      </c>
      <c r="FY188" s="315" t="str">
        <f>IF(INDEX(tab_MinKomp[ŚREDNIE OGÓLNE / Abitur allgemeine],MATCH($B187,tab_MinKomp[[Stanowisko / Position ]:[Stanowisko / Position ]],0))="n/a","n/a",INDEX(tab_MinKomp[ŚREDNIE OGÓLNE / Abitur allgemeine],MATCH($B187,tab_MinKomp[[Stanowisko / Position ]:[Stanowisko / Position ]],0)))</f>
        <v>n/a</v>
      </c>
      <c r="FZ188" s="315" t="str">
        <f>IF(INDEX(tab_MinKomp[ŚREDNIE KIERUNKOWE / berufliches Gymnasium],MATCH($B187,tab_MinKomp[[Stanowisko / Position ]:[Stanowisko / Position ]],0))="n/a","n/a",INDEX(tab_MinKomp[ŚREDNIE KIERUNKOWE / berufliches Gymnasium],MATCH($B187,tab_MinKomp[[Stanowisko / Position ]:[Stanowisko / Position ]],0)))</f>
        <v>n/a</v>
      </c>
      <c r="GA188" s="315" t="str">
        <f>IF(INDEX(tab_MinKomp[WYŻSZE OGÓLNE / Hochschule allgemeine],MATCH($B187,tab_MinKomp[[Stanowisko / Position ]:[Stanowisko / Position ]],0))="n/a","n/a",INDEX(tab_MinKomp[WYŻSZE OGÓLNE / Hochschule allgemeine],MATCH($B187,tab_MinKomp[[Stanowisko / Position ]:[Stanowisko / Position ]],0)))</f>
        <v>n/a</v>
      </c>
      <c r="GB188" s="319" t="str">
        <f>IF(INDEX(tab_MinKomp[WYŻSZE KIERUNKOWE / Hochschule berufliche],MATCH($B187,tab_MinKomp[[Stanowisko / Position ]:[Stanowisko / Position ]],0))="n/a","n/a",INDEX(tab_MinKomp[WYŻSZE KIERUNKOWE / Hochschule berufliche],MATCH($B187,tab_MinKomp[[Stanowisko / Position ]:[Stanowisko / Position ]],0)))</f>
        <v>X</v>
      </c>
      <c r="GC188" s="318" t="str">
        <f>IF(INDEX(tab_MinKomp[PIERWSZA POMOC / Erste Hilfe],MATCH($B187,tab_MinKomp[[Stanowisko / Position ]:[Stanowisko / Position ]],0))="n/a","n/a",INDEX(tab_MinKomp[PIERWSZA POMOC / Erste Hilfe],MATCH($B187,tab_MinKomp[[Stanowisko / Position ]:[Stanowisko / Position ]],0)))</f>
        <v>n/a</v>
      </c>
      <c r="GD188" s="315" t="str">
        <f>IF(INDEX(tab_MinKomp[Specjalista BHP / BHP Spezialist],MATCH($B187,tab_MinKomp[[Stanowisko / Position ]:[Stanowisko / Position ]],0))="n/a","n/a",INDEX(tab_MinKomp[Specjalista BHP / BHP Spezialist],MATCH($B187,tab_MinKomp[[Stanowisko / Position ]:[Stanowisko / Position ]],0)))</f>
        <v>n/a</v>
      </c>
      <c r="GE188" s="315" t="str">
        <f>IF(INDEX(tab_MinKomp[Inspektor ochrony PPOŻ / Brandschutzinspektor],MATCH($B187,tab_MinKomp[[Stanowisko / Position ]:[Stanowisko / Position ]],0))="n/a","n/a",INDEX(tab_MinKomp[Inspektor ochrony PPOŻ / Brandschutzinspektor],MATCH($B187,tab_MinKomp[[Stanowisko / Position ]:[Stanowisko / Position ]],0)))</f>
        <v>n/a</v>
      </c>
      <c r="GF188" s="315" t="str">
        <f>IF(INDEX(tab_MinKomp[WÓZKI JEZDNIOWE / Gebelstapler],MATCH($B187,tab_MinKomp[[Stanowisko / Position ]:[Stanowisko / Position ]],0))="n/a","n/a",INDEX(tab_MinKomp[WÓZKI JEZDNIOWE / Gebelstapler],MATCH($B187,tab_MinKomp[[Stanowisko / Position ]:[Stanowisko / Position ]],0)))</f>
        <v>n/a</v>
      </c>
      <c r="GG188" s="315" t="str">
        <f>IF(INDEX(tab_MinKomp[SEP],MATCH($B187,tab_MinKomp[[Stanowisko / Position ]:[Stanowisko / Position ]],0))="n/a","n/a",INDEX(tab_MinKomp[SEP],MATCH($B187,tab_MinKomp[[Stanowisko / Position ]:[Stanowisko / Position ]],0)))</f>
        <v>n/a</v>
      </c>
      <c r="GH188" s="315" t="str">
        <f>IF(INDEX(tab_MinKomp[SEP  DOZÓR / SEP Aufsicht],MATCH($B187,tab_MinKomp[[Stanowisko / Position ]:[Stanowisko / Position ]],0))="n/a","n/a",INDEX(tab_MinKomp[SEP  DOZÓR / SEP Aufsicht],MATCH($B187,tab_MinKomp[[Stanowisko / Position ]:[Stanowisko / Position ]],0)))</f>
        <v>n/a</v>
      </c>
      <c r="GI188" s="315" t="str">
        <f>IF(INDEX(tab_MinKomp[PODNOŚNIKI / Hebevorrichtung],MATCH($B187,tab_MinKomp[[Stanowisko / Position ]:[Stanowisko / Position ]],0))="n/a","n/a",INDEX(tab_MinKomp[PODNOŚNIKI / Hebevorrichtung],MATCH($B187,tab_MinKomp[[Stanowisko / Position ]:[Stanowisko / Position ]],0)))</f>
        <v>n/a</v>
      </c>
      <c r="GJ188" s="315" t="str">
        <f>IF(INDEX(tab_MinKomp[SUWNICE / Laufkran],MATCH($B187,tab_MinKomp[[Stanowisko / Position ]:[Stanowisko / Position ]],0))="n/a","n/a",INDEX(tab_MinKomp[SUWNICE / Laufkran],MATCH($B187,tab_MinKomp[[Stanowisko / Position ]:[Stanowisko / Position ]],0)))</f>
        <v>n/a</v>
      </c>
      <c r="GK188" s="319" t="str">
        <f>IF(INDEX(tab_MinKomp[WYSOKOŚCIOWE / Höhenberechtigungen],MATCH($B187,tab_MinKomp[[Stanowisko / Position ]:[Stanowisko / Position ]],0))="n/a","n/a",INDEX(tab_MinKomp[WYSOKOŚCIOWE / Höhenberechtigungen],MATCH($B187,tab_MinKomp[[Stanowisko / Position ]:[Stanowisko / Position ]],0)))</f>
        <v>n/a</v>
      </c>
      <c r="GL188" s="320">
        <f>SUM(G188:FP188)/(GL187-(SUM(G188:FP188)))</f>
        <v>0.18699186991869918</v>
      </c>
    </row>
    <row r="189" spans="1:195" ht="28.35" customHeight="1" x14ac:dyDescent="0.25">
      <c r="A189" s="135" t="s">
        <v>259</v>
      </c>
      <c r="B189" s="135" t="s">
        <v>210</v>
      </c>
      <c r="C189" s="135" t="s">
        <v>750</v>
      </c>
      <c r="D189" s="135">
        <v>1673</v>
      </c>
      <c r="E189" s="563" t="s">
        <v>646</v>
      </c>
      <c r="F189" s="307" t="s">
        <v>165</v>
      </c>
      <c r="G189" s="308">
        <v>2</v>
      </c>
      <c r="H189" s="308">
        <v>2</v>
      </c>
      <c r="I189" s="308">
        <v>2</v>
      </c>
      <c r="J189" s="308">
        <v>2</v>
      </c>
      <c r="K189" s="308">
        <v>2</v>
      </c>
      <c r="L189" s="308">
        <v>1</v>
      </c>
      <c r="M189" s="308" t="s">
        <v>176</v>
      </c>
      <c r="N189" s="308" t="s">
        <v>176</v>
      </c>
      <c r="O189" s="308">
        <v>1</v>
      </c>
      <c r="P189" s="308">
        <v>1</v>
      </c>
      <c r="Q189" s="308" t="s">
        <v>176</v>
      </c>
      <c r="R189" s="308" t="s">
        <v>176</v>
      </c>
      <c r="S189" s="308" t="s">
        <v>176</v>
      </c>
      <c r="T189" s="308" t="s">
        <v>176</v>
      </c>
      <c r="U189" s="308" t="s">
        <v>176</v>
      </c>
      <c r="V189" s="308" t="s">
        <v>176</v>
      </c>
      <c r="W189" s="308" t="s">
        <v>176</v>
      </c>
      <c r="X189" s="308" t="s">
        <v>176</v>
      </c>
      <c r="Y189" s="308" t="s">
        <v>176</v>
      </c>
      <c r="Z189" s="308" t="s">
        <v>176</v>
      </c>
      <c r="AA189" s="308" t="s">
        <v>176</v>
      </c>
      <c r="AB189" s="308">
        <v>2</v>
      </c>
      <c r="AC189" s="308">
        <v>2</v>
      </c>
      <c r="AD189" s="308">
        <v>2</v>
      </c>
      <c r="AE189" s="308">
        <v>2</v>
      </c>
      <c r="AF189" s="308">
        <v>1</v>
      </c>
      <c r="AG189" s="308">
        <v>2</v>
      </c>
      <c r="AH189" s="308">
        <v>1</v>
      </c>
      <c r="AI189" s="308" t="s">
        <v>176</v>
      </c>
      <c r="AJ189" s="308">
        <v>1</v>
      </c>
      <c r="AK189" s="308">
        <v>1</v>
      </c>
      <c r="AL189" s="308">
        <v>1</v>
      </c>
      <c r="AM189" s="308">
        <v>2</v>
      </c>
      <c r="AN189" s="308">
        <v>2</v>
      </c>
      <c r="AO189" s="308">
        <v>2</v>
      </c>
      <c r="AP189" s="308">
        <v>2</v>
      </c>
      <c r="AQ189" s="308">
        <v>2</v>
      </c>
      <c r="AR189" s="308">
        <v>2</v>
      </c>
      <c r="AS189" s="308">
        <v>2</v>
      </c>
      <c r="AT189" s="308">
        <v>2</v>
      </c>
      <c r="AU189" s="308">
        <v>2</v>
      </c>
      <c r="AV189" s="308">
        <v>2</v>
      </c>
      <c r="AW189" s="308">
        <v>1</v>
      </c>
      <c r="AX189" s="308">
        <v>1</v>
      </c>
      <c r="AY189" s="308" t="s">
        <v>176</v>
      </c>
      <c r="AZ189" s="308">
        <v>2</v>
      </c>
      <c r="BA189" s="308" t="s">
        <v>176</v>
      </c>
      <c r="BB189" s="308" t="s">
        <v>176</v>
      </c>
      <c r="BC189" s="308" t="s">
        <v>176</v>
      </c>
      <c r="BD189" s="308" t="s">
        <v>176</v>
      </c>
      <c r="BE189" s="308" t="s">
        <v>176</v>
      </c>
      <c r="BF189" s="308" t="s">
        <v>176</v>
      </c>
      <c r="BG189" s="308" t="s">
        <v>176</v>
      </c>
      <c r="BH189" s="308" t="s">
        <v>176</v>
      </c>
      <c r="BI189" s="308" t="s">
        <v>176</v>
      </c>
      <c r="BJ189" s="308" t="s">
        <v>176</v>
      </c>
      <c r="BK189" s="308" t="s">
        <v>176</v>
      </c>
      <c r="BL189" s="308" t="s">
        <v>176</v>
      </c>
      <c r="BM189" s="308" t="s">
        <v>176</v>
      </c>
      <c r="BN189" s="308" t="s">
        <v>176</v>
      </c>
      <c r="BO189" s="308" t="s">
        <v>176</v>
      </c>
      <c r="BP189" s="308" t="s">
        <v>176</v>
      </c>
      <c r="BQ189" s="308" t="s">
        <v>176</v>
      </c>
      <c r="BR189" s="308" t="s">
        <v>176</v>
      </c>
      <c r="BS189" s="308" t="s">
        <v>176</v>
      </c>
      <c r="BT189" s="308" t="s">
        <v>176</v>
      </c>
      <c r="BU189" s="308" t="s">
        <v>176</v>
      </c>
      <c r="BV189" s="308" t="s">
        <v>176</v>
      </c>
      <c r="BW189" s="308" t="s">
        <v>176</v>
      </c>
      <c r="BX189" s="308" t="s">
        <v>176</v>
      </c>
      <c r="BY189" s="308" t="s">
        <v>176</v>
      </c>
      <c r="BZ189" s="308" t="s">
        <v>176</v>
      </c>
      <c r="CA189" s="308" t="s">
        <v>176</v>
      </c>
      <c r="CB189" s="308" t="s">
        <v>176</v>
      </c>
      <c r="CC189" s="308" t="s">
        <v>176</v>
      </c>
      <c r="CD189" s="308" t="s">
        <v>176</v>
      </c>
      <c r="CE189" s="308" t="s">
        <v>176</v>
      </c>
      <c r="CF189" s="308" t="s">
        <v>176</v>
      </c>
      <c r="CG189" s="308" t="s">
        <v>176</v>
      </c>
      <c r="CH189" s="308" t="s">
        <v>176</v>
      </c>
      <c r="CI189" s="308">
        <v>2</v>
      </c>
      <c r="CJ189" s="308" t="s">
        <v>176</v>
      </c>
      <c r="CK189" s="308" t="s">
        <v>176</v>
      </c>
      <c r="CL189" s="308" t="s">
        <v>176</v>
      </c>
      <c r="CM189" s="308">
        <v>2</v>
      </c>
      <c r="CN189" s="308">
        <v>2</v>
      </c>
      <c r="CO189" s="308">
        <v>2</v>
      </c>
      <c r="CP189" s="308">
        <v>2</v>
      </c>
      <c r="CQ189" s="308">
        <v>2</v>
      </c>
      <c r="CR189" s="308">
        <v>1</v>
      </c>
      <c r="CS189" s="308">
        <v>3</v>
      </c>
      <c r="CT189" s="308">
        <v>2</v>
      </c>
      <c r="CU189" s="308">
        <v>2</v>
      </c>
      <c r="CV189" s="308" t="s">
        <v>176</v>
      </c>
      <c r="CW189" s="308">
        <v>2</v>
      </c>
      <c r="CX189" s="308" t="s">
        <v>176</v>
      </c>
      <c r="CY189" s="308" t="s">
        <v>176</v>
      </c>
      <c r="CZ189" s="308" t="s">
        <v>176</v>
      </c>
      <c r="DA189" s="308" t="s">
        <v>176</v>
      </c>
      <c r="DB189" s="308" t="s">
        <v>176</v>
      </c>
      <c r="DC189" s="308" t="s">
        <v>176</v>
      </c>
      <c r="DD189" s="308" t="s">
        <v>176</v>
      </c>
      <c r="DE189" s="308" t="s">
        <v>176</v>
      </c>
      <c r="DF189" s="308" t="s">
        <v>176</v>
      </c>
      <c r="DG189" s="308" t="s">
        <v>176</v>
      </c>
      <c r="DH189" s="308" t="s">
        <v>176</v>
      </c>
      <c r="DI189" s="308" t="s">
        <v>176</v>
      </c>
      <c r="DJ189" s="308" t="s">
        <v>176</v>
      </c>
      <c r="DK189" s="308" t="s">
        <v>176</v>
      </c>
      <c r="DL189" s="308" t="s">
        <v>176</v>
      </c>
      <c r="DM189" s="308" t="s">
        <v>176</v>
      </c>
      <c r="DN189" s="308" t="s">
        <v>176</v>
      </c>
      <c r="DO189" s="308" t="s">
        <v>176</v>
      </c>
      <c r="DP189" s="308" t="s">
        <v>176</v>
      </c>
      <c r="DQ189" s="308" t="s">
        <v>176</v>
      </c>
      <c r="DR189" s="308" t="s">
        <v>176</v>
      </c>
      <c r="DS189" s="308" t="s">
        <v>176</v>
      </c>
      <c r="DT189" s="308" t="s">
        <v>176</v>
      </c>
      <c r="DU189" s="308" t="s">
        <v>176</v>
      </c>
      <c r="DV189" s="308" t="s">
        <v>176</v>
      </c>
      <c r="DW189" s="308" t="s">
        <v>176</v>
      </c>
      <c r="DX189" s="308" t="s">
        <v>176</v>
      </c>
      <c r="DY189" s="308" t="s">
        <v>176</v>
      </c>
      <c r="DZ189" s="308" t="s">
        <v>176</v>
      </c>
      <c r="EA189" s="308" t="s">
        <v>176</v>
      </c>
      <c r="EB189" s="308" t="s">
        <v>176</v>
      </c>
      <c r="EC189" s="308" t="s">
        <v>176</v>
      </c>
      <c r="ED189" s="308" t="s">
        <v>176</v>
      </c>
      <c r="EE189" s="308" t="s">
        <v>176</v>
      </c>
      <c r="EF189" s="308" t="s">
        <v>176</v>
      </c>
      <c r="EG189" s="308" t="s">
        <v>176</v>
      </c>
      <c r="EH189" s="308" t="s">
        <v>176</v>
      </c>
      <c r="EI189" s="308" t="s">
        <v>176</v>
      </c>
      <c r="EJ189" s="308" t="s">
        <v>176</v>
      </c>
      <c r="EK189" s="308" t="s">
        <v>176</v>
      </c>
      <c r="EL189" s="308" t="s">
        <v>176</v>
      </c>
      <c r="EM189" s="308" t="s">
        <v>176</v>
      </c>
      <c r="EN189" s="308" t="s">
        <v>176</v>
      </c>
      <c r="EO189" s="308" t="s">
        <v>176</v>
      </c>
      <c r="EP189" s="308" t="s">
        <v>176</v>
      </c>
      <c r="EQ189" s="308" t="s">
        <v>176</v>
      </c>
      <c r="ER189" s="308" t="s">
        <v>176</v>
      </c>
      <c r="ES189" s="308" t="s">
        <v>176</v>
      </c>
      <c r="ET189" s="308" t="s">
        <v>176</v>
      </c>
      <c r="EU189" s="308" t="s">
        <v>176</v>
      </c>
      <c r="EV189" s="308" t="s">
        <v>176</v>
      </c>
      <c r="EW189" s="308" t="s">
        <v>176</v>
      </c>
      <c r="EX189" s="308" t="s">
        <v>176</v>
      </c>
      <c r="EY189" s="308">
        <v>2</v>
      </c>
      <c r="EZ189" s="308">
        <v>2</v>
      </c>
      <c r="FA189" s="308">
        <v>2</v>
      </c>
      <c r="FB189" s="308">
        <v>2</v>
      </c>
      <c r="FC189" s="308" t="s">
        <v>176</v>
      </c>
      <c r="FD189" s="308">
        <v>2</v>
      </c>
      <c r="FE189" s="308">
        <v>2</v>
      </c>
      <c r="FF189" s="308">
        <v>2</v>
      </c>
      <c r="FG189" s="308">
        <v>2</v>
      </c>
      <c r="FH189" s="308">
        <v>2</v>
      </c>
      <c r="FI189" s="308">
        <v>2</v>
      </c>
      <c r="FJ189" s="308">
        <v>2</v>
      </c>
      <c r="FK189" s="308">
        <v>3</v>
      </c>
      <c r="FL189" s="308">
        <v>1</v>
      </c>
      <c r="FM189" s="308">
        <v>2</v>
      </c>
      <c r="FN189" s="308">
        <v>2</v>
      </c>
      <c r="FO189" s="308">
        <v>2</v>
      </c>
      <c r="FP189" s="308">
        <v>2</v>
      </c>
      <c r="FQ189" s="308" t="s">
        <v>176</v>
      </c>
      <c r="FR189" s="308" t="s">
        <v>176</v>
      </c>
      <c r="FS189" s="308" t="s">
        <v>160</v>
      </c>
      <c r="FT189" s="308" t="s">
        <v>176</v>
      </c>
      <c r="FU189" s="308" t="s">
        <v>176</v>
      </c>
      <c r="FV189" s="308" t="s">
        <v>176</v>
      </c>
      <c r="FW189" s="308" t="s">
        <v>176</v>
      </c>
      <c r="FX189" s="308" t="s">
        <v>176</v>
      </c>
      <c r="FY189" s="308" t="s">
        <v>176</v>
      </c>
      <c r="FZ189" s="308" t="s">
        <v>176</v>
      </c>
      <c r="GA189" s="308" t="s">
        <v>176</v>
      </c>
      <c r="GB189" s="308" t="s">
        <v>160</v>
      </c>
      <c r="GC189" s="308" t="s">
        <v>176</v>
      </c>
      <c r="GD189" s="308" t="s">
        <v>176</v>
      </c>
      <c r="GE189" s="308" t="s">
        <v>176</v>
      </c>
      <c r="GF189" s="308" t="s">
        <v>160</v>
      </c>
      <c r="GG189" s="308" t="s">
        <v>176</v>
      </c>
      <c r="GH189" s="308" t="s">
        <v>176</v>
      </c>
      <c r="GI189" s="308" t="s">
        <v>176</v>
      </c>
      <c r="GJ189" s="308" t="s">
        <v>176</v>
      </c>
      <c r="GK189" s="321" t="s">
        <v>176</v>
      </c>
      <c r="GL189" s="311">
        <f>SUM(G189:FP189)</f>
        <v>108</v>
      </c>
    </row>
    <row r="190" spans="1:195" ht="28.35" customHeight="1" thickBot="1" x14ac:dyDescent="0.3">
      <c r="A190" s="138" t="s">
        <v>259</v>
      </c>
      <c r="B190" s="135" t="s">
        <v>210</v>
      </c>
      <c r="C190" s="135" t="s">
        <v>750</v>
      </c>
      <c r="D190" s="138">
        <f>D189</f>
        <v>1673</v>
      </c>
      <c r="E190" s="564"/>
      <c r="F190" s="312" t="s">
        <v>166</v>
      </c>
      <c r="G190" s="313">
        <f>IF(INDEX(tab_MinKomp[Przepisy BHP / BHP Vorschriften],MATCH($B189,tab_MinKomp[[Stanowisko / Position ]:[Stanowisko / Position ]],0))="n/a","n/a",G189-INDEX(tab_MinKomp[Przepisy BHP / BHP Vorschriften],MATCH($B189,tab_MinKomp[[Stanowisko / Position ]:[Stanowisko / Position ]],0)))</f>
        <v>0</v>
      </c>
      <c r="H190" s="313">
        <f>IF(INDEX(tab_MinKomp[Przepisy PPOŻ / Brandschutzbestimmungen],MATCH($B189,tab_MinKomp[[Stanowisko / Position ]:[Stanowisko / Position ]],0))="n/a","n/a",H189-INDEX(tab_MinKomp[Przepisy PPOŻ / Brandschutzbestimmungen],MATCH($B189,tab_MinKomp[[Stanowisko / Position ]:[Stanowisko / Position ]],0)))</f>
        <v>0</v>
      </c>
      <c r="I190" s="313">
        <v>0</v>
      </c>
      <c r="J190" s="313">
        <v>0</v>
      </c>
      <c r="K190" s="313">
        <f>IF(INDEX(tab_MinKomp[Gospodarka odpadami / Abfallwirtschaft],MATCH($B189,tab_MinKomp[[Stanowisko / Position ]:[Stanowisko / Position ]],0))="n/a","n/a",K189-INDEX(tab_MinKomp[Gospodarka odpadami / Abfallwirtschaft],MATCH($B189,tab_MinKomp[[Stanowisko / Position ]:[Stanowisko / Position ]],0)))</f>
        <v>0</v>
      </c>
      <c r="L190" s="313">
        <f>IF(INDEX(tab_MinKomp[Przepisy kodeksu pracy / Bestimmungen des Arbeitsgesetzes],MATCH($B189,tab_MinKomp[[Stanowisko / Position ]:[Stanowisko / Position ]],0))="n/a","n/a",L189-INDEX(tab_MinKomp[Przepisy kodeksu pracy / Bestimmungen des Arbeitsgesetzes],MATCH($B189,tab_MinKomp[[Stanowisko / Position ]:[Stanowisko / Position ]],0)))</f>
        <v>0</v>
      </c>
      <c r="M190" s="313" t="str">
        <f>IF(INDEX(tab_MinKomp[Przepisy o ub.społ. ZUS  / Sozialversicherungsvorschriften],MATCH($B189,tab_MinKomp[[Stanowisko / Position ]:[Stanowisko / Position ]],0))="n/a","n/a",M189-INDEX(tab_MinKomp[Przepisy o ub.społ. ZUS  / Sozialversicherungsvorschriften],MATCH($B189,tab_MinKomp[[Stanowisko / Position ]:[Stanowisko / Position ]],0)))</f>
        <v>n/a</v>
      </c>
      <c r="N190" s="313" t="str">
        <f>IF(INDEX(tab_MinKomp[PRZEPISY O PDOF /persönlich Einkommensteuergesetz ],MATCH($B189,tab_MinKomp[[Stanowisko / Position ]:[Stanowisko / Position ]],0))="n/a","n/a",N189-INDEX(tab_MinKomp[PRZEPISY O PDOF /persönlich Einkommensteuergesetz ],MATCH($B189,tab_MinKomp[[Stanowisko / Position ]:[Stanowisko / Position ]],0)))</f>
        <v>n/a</v>
      </c>
      <c r="O190" s="313">
        <f>IF(INDEX(tab_MinKomp[Regulamin pracy / Arbeitsordnung],MATCH($B189,tab_MinKomp[[Stanowisko / Position ]:[Stanowisko / Position ]],0))="n/a","n/a",O189-INDEX(tab_MinKomp[Regulamin pracy / Arbeitsordnung],MATCH($B189,tab_MinKomp[[Stanowisko / Position ]:[Stanowisko / Position ]],0)))</f>
        <v>0</v>
      </c>
      <c r="P190" s="313">
        <f>IF(INDEX(tab_MinKomp[Regulamin wynagradzania / Vergütungsordnung],MATCH($B189,tab_MinKomp[[Stanowisko / Position ]:[Stanowisko / Position ]],0))="n/a","n/a",P189-INDEX(tab_MinKomp[Regulamin wynagradzania / Vergütungsordnung],MATCH($B189,tab_MinKomp[[Stanowisko / Position ]:[Stanowisko / Position ]],0)))</f>
        <v>0</v>
      </c>
      <c r="Q190" s="313" t="str">
        <f>IF(INDEX(tab_MinKomp[System R2PŁATNIK PRO: Płace / Lohnabrechnung],MATCH($B189,tab_MinKomp[[Stanowisko / Position ]:[Stanowisko / Position ]],0))="n/a","n/a",Q189-INDEX(tab_MinKomp[System R2PŁATNIK PRO: Płace / Lohnabrechnung],MATCH($B189,tab_MinKomp[[Stanowisko / Position ]:[Stanowisko / Position ]],0)))</f>
        <v>n/a</v>
      </c>
      <c r="R190" s="313" t="str">
        <f>IF(INDEX(tab_MinKomp[SystemR2PŁATNIK PRO: KADRY / Personaldaten],MATCH($B189,tab_MinKomp[[Stanowisko / Position ]:[Stanowisko / Position ]],0))="n/a","n/a",R189-INDEX(tab_MinKomp[SystemR2PŁATNIK PRO: KADRY / Personaldaten],MATCH($B189,tab_MinKomp[[Stanowisko / Position ]:[Stanowisko / Position ]],0)))</f>
        <v>n/a</v>
      </c>
      <c r="S190" s="313" t="str">
        <f>IF(INDEX(tab_MinKomp[SYSTEM R2PŁATNIK PRO: zarządzanie pracownikami / Arbeitsverwaltung],MATCH($B189,tab_MinKomp[[Stanowisko / Position ]:[Stanowisko / Position ]],0))="n/a","n/a",S189-INDEX(tab_MinKomp[SYSTEM R2PŁATNIK PRO: zarządzanie pracownikami / Arbeitsverwaltung],MATCH($B189,tab_MinKomp[[Stanowisko / Position ]:[Stanowisko / Position ]],0)))</f>
        <v>n/a</v>
      </c>
      <c r="T190" s="313" t="str">
        <f>IF(INDEX(tab_MinKomp[Doradztwo, wsparcie personalne / Personalberatung und Unterstützung],MATCH($B189,tab_MinKomp[[Stanowisko / Position ]:[Stanowisko / Position ]],0))="n/a","n/a",T189-INDEX(tab_MinKomp[Doradztwo, wsparcie personalne / Personalberatung und Unterstützung],MATCH($B189,tab_MinKomp[[Stanowisko / Position ]:[Stanowisko / Position ]],0)))</f>
        <v>n/a</v>
      </c>
      <c r="U190" s="315" t="str">
        <f>IF(INDEX(tab_MinKomp[Przepisy o podatku VAT / MwSt.- Gesetz],MATCH($B189,tab_MinKomp[[Stanowisko / Position ]:[Stanowisko / Position ]],0))="n/a","n/a",U189-INDEX(tab_MinKomp[Przepisy o podatku VAT / MwSt.- Gesetz],MATCH($B189,tab_MinKomp[[Stanowisko / Position ]:[Stanowisko / Position ]],0)))</f>
        <v>n/a</v>
      </c>
      <c r="V190" s="315" t="str">
        <f>IF(INDEX(tab_MinKomp[PrzepisyPDOP / geschäftlich Einkommensteuergesetz],MATCH($B189,tab_MinKomp[[Stanowisko / Position ]:[Stanowisko / Position ]],0))="n/a","n/a",V189-INDEX(tab_MinKomp[PrzepisyPDOP / geschäftlich Einkommensteuergesetz],MATCH($B189,tab_MinKomp[[Stanowisko / Position ]:[Stanowisko / Position ]],0)))</f>
        <v>n/a</v>
      </c>
      <c r="W190" s="315" t="str">
        <f>IF(INDEX(tab_MinKomp[System BAAN / FINANSE (FIBU)],MATCH($B189,tab_MinKomp[[Stanowisko / Position ]:[Stanowisko / Position ]],0))="n/a","n/a",W189-INDEX(tab_MinKomp[System BAAN / FINANSE (FIBU)],MATCH($B189,tab_MinKomp[[Stanowisko / Position ]:[Stanowisko / Position ]],0)))</f>
        <v>n/a</v>
      </c>
      <c r="X190" s="315" t="str">
        <f>IF(INDEX(tab_MinKomp[Systemy pomocnicze / Hilfssysteme(STOCKPROGRAM, KALK2000 etc.)],MATCH($B189,tab_MinKomp[[Stanowisko / Position ]:[Stanowisko / Position ]],0))="n/a","n/a",X189-INDEX(tab_MinKomp[Systemy pomocnicze / Hilfssysteme(STOCKPROGRAM, KALK2000 etc.)],MATCH($B189,tab_MinKomp[[Stanowisko / Position ]:[Stanowisko / Position ]],0)))</f>
        <v>n/a</v>
      </c>
      <c r="Y190" s="315" t="str">
        <f>IF(INDEX(tab_MinKomp[Polityka rachunkowości / Buchführungspolitik],MATCH($B189,tab_MinKomp[[Stanowisko / Position ]:[Stanowisko / Position ]],0))="n/a","n/a",Y189-INDEX(tab_MinKomp[Polityka rachunkowości / Buchführungspolitik],MATCH($B189,tab_MinKomp[[Stanowisko / Position ]:[Stanowisko / Position ]],0)))</f>
        <v>n/a</v>
      </c>
      <c r="Z190" s="315" t="str">
        <f>IF(INDEX(tab_MinKomp[Ustawa o rachunkowości / Rechnungslegungsgesetz],MATCH($B189,tab_MinKomp[[Stanowisko / Position ]:[Stanowisko / Position ]],0))="n/a","n/a",Z189-INDEX(tab_MinKomp[Ustawa o rachunkowości / Rechnungslegungsgesetz],MATCH($B189,tab_MinKomp[[Stanowisko / Position ]:[Stanowisko / Position ]],0)))</f>
        <v>n/a</v>
      </c>
      <c r="AA190" s="315" t="str">
        <f>IF(INDEX(tab_MinKomp[WORKFLOW - TS-100],MATCH($B189,tab_MinKomp[[Stanowisko / Position ]:[Stanowisko / Position ]],0))="n/a","n/a",AA189-INDEX(tab_MinKomp[WORKFLOW - TS-100],MATCH($B189,tab_MinKomp[[Stanowisko / Position ]:[Stanowisko / Position ]],0)))</f>
        <v>n/a</v>
      </c>
      <c r="AB190" s="315">
        <f>IF(INDEX(tab_MinKomp[WORKFLOW - SFMS],MATCH($B189,tab_MinKomp[[Stanowisko / Position ]:[Stanowisko / Position ]],0))="n/a","n/a",AB189-INDEX(tab_MinKomp[WORKFLOW - SFMS],MATCH($B189,tab_MinKomp[[Stanowisko / Position ]:[Stanowisko / Position ]],0)))</f>
        <v>0</v>
      </c>
      <c r="AC190" s="315">
        <f>IF(INDEX(tab_MinKomp[System ISO 9001:2015],MATCH($B189,tab_MinKomp[[Stanowisko / Position ]:[Stanowisko / Position ]],0))="n/a","n/a",AC189-INDEX(tab_MinKomp[System ISO 9001:2015],MATCH($B189,tab_MinKomp[[Stanowisko / Position ]:[Stanowisko / Position ]],0)))</f>
        <v>0</v>
      </c>
      <c r="AD190" s="315">
        <f>IF(INDEX(tab_MinKomp[System IATF 16949:2016],MATCH($B189,tab_MinKomp[[Stanowisko / Position ]:[Stanowisko / Position ]],0))="n/a","n/a",AD189-INDEX(tab_MinKomp[System IATF 16949:2016],MATCH($B189,tab_MinKomp[[Stanowisko / Position ]:[Stanowisko / Position ]],0)))</f>
        <v>0</v>
      </c>
      <c r="AE190" s="315">
        <f>IF(INDEX(tab_MinKomp[System ISO 14001:2015],MATCH($B189,tab_MinKomp[[Stanowisko / Position ]:[Stanowisko / Position ]],0))="n/a","n/a",AE189-INDEX(tab_MinKomp[System ISO 14001:2015],MATCH($B189,tab_MinKomp[[Stanowisko / Position ]:[Stanowisko / Position ]],0)))</f>
        <v>1</v>
      </c>
      <c r="AF190" s="315">
        <f>IF(INDEX(tab_MinKomp[System PN-N 18001:2004 / ISO 45001:2018],MATCH($B189,tab_MinKomp[[Stanowisko / Position ]:[Stanowisko / Position ]],0))="n/a","n/a",AF189-INDEX(tab_MinKomp[System PN-N 18001:2004 / ISO 45001:2018],MATCH($B189,tab_MinKomp[[Stanowisko / Position ]:[Stanowisko / Position ]],0)))</f>
        <v>0</v>
      </c>
      <c r="AG190" s="315">
        <v>0</v>
      </c>
      <c r="AH190" s="315">
        <f>IF(INDEX(tab_MinKomp[Wymagania VDA 6.5 Product / Forderungen],MATCH($B189,tab_MinKomp[[Stanowisko / Position ]:[Stanowisko / Position ]],0))="n/a","n/a",AH189-INDEX(tab_MinKomp[Wymagania VDA 6.5 Product / Forderungen],MATCH($B189,tab_MinKomp[[Stanowisko / Position ]:[Stanowisko / Position ]],0)))</f>
        <v>0</v>
      </c>
      <c r="AI190" s="315" t="str">
        <f>IF(INDEX(tab_MinKomp[PSCR (VW Product Safety &amp; Conformity Representative)],MATCH($B189,tab_MinKomp[[Stanowisko / Position ]:[Stanowisko / Position ]],0))="n/a","n/a",AI189-INDEX(tab_MinKomp[PSCR (VW Product Safety &amp; Conformity Representative)],MATCH($B189,tab_MinKomp[[Stanowisko / Position ]:[Stanowisko / Position ]],0)))</f>
        <v>n/a</v>
      </c>
      <c r="AJ190" s="315" t="str">
        <f>IF(INDEX(tab_MinKomp[Auditor systemu ISO 17025:2018],MATCH($B189,tab_MinKomp[[Stanowisko / Position ]:[Stanowisko / Position ]],0))="n/a","n/a",AJ189-INDEX(tab_MinKomp[Auditor systemu ISO 17025:2018],MATCH($B189,tab_MinKomp[[Stanowisko / Position ]:[Stanowisko / Position ]],0)))</f>
        <v>n/a</v>
      </c>
      <c r="AK190" s="315" t="str">
        <f>IF(INDEX(tab_MinKomp[Pełnomocnik systemu / Systemvertreter],MATCH($B189,tab_MinKomp[[Stanowisko / Position ]:[Stanowisko / Position ]],0))="n/a","n/a",AK189-INDEX(tab_MinKomp[Pełnomocnik systemu / Systemvertreter],MATCH($B189,tab_MinKomp[[Stanowisko / Position ]:[Stanowisko / Position ]],0)))</f>
        <v>n/a</v>
      </c>
      <c r="AL190" s="315">
        <f>IF(INDEX(tab_MinKomp[Polityka Etyczna - Compliance],MATCH($B189,tab_MinKomp[[Stanowisko / Position ]:[Stanowisko / Position ]],0))="n/a","n/a",AL189-INDEX(tab_MinKomp[Polityka Etyczna - Compliance],MATCH($B189,tab_MinKomp[[Stanowisko / Position ]:[Stanowisko / Position ]],0)))</f>
        <v>-1</v>
      </c>
      <c r="AM190" s="315">
        <f>IF(INDEX(tab_MinKomp[WDRAŻANIE NOWYCH PROJEKTÓW/ PROCEDURA CTM],MATCH($B189,tab_MinKomp[[Stanowisko / Position ]:[Stanowisko / Position ]],0))="n/a","n/a",AM189-INDEX(tab_MinKomp[WDRAŻANIE NOWYCH PROJEKTÓW/ PROCEDURA CTM],MATCH($B189,tab_MinKomp[[Stanowisko / Position ]:[Stanowisko / Position ]],0)))</f>
        <v>0</v>
      </c>
      <c r="AN190" s="315">
        <f>IF(INDEX(tab_MinKomp[KAMIENIE MILOWE MSL/PIFF],MATCH($B189,tab_MinKomp[[Stanowisko / Position ]:[Stanowisko / Position ]],0))="n/a","n/a",AN189-INDEX(tab_MinKomp[KAMIENIE MILOWE MSL/PIFF],MATCH($B189,tab_MinKomp[[Stanowisko / Position ]:[Stanowisko / Position ]],0)))</f>
        <v>0</v>
      </c>
      <c r="AO190" s="315">
        <f>IF(INDEX(tab_MinKomp[CP],MATCH($B189,tab_MinKomp[[Stanowisko / Position ]:[Stanowisko / Position ]],0))="n/a","n/a",AO189-INDEX(tab_MinKomp[CP],MATCH($B189,tab_MinKomp[[Stanowisko / Position ]:[Stanowisko / Position ]],0)))</f>
        <v>0</v>
      </c>
      <c r="AP190" s="315">
        <f>IF(INDEX(tab_MinKomp[FMEA],MATCH($B189,tab_MinKomp[[Stanowisko / Position ]:[Stanowisko / Position ]],0))="n/a","n/a",AP189-INDEX(tab_MinKomp[FMEA],MATCH($B189,tab_MinKomp[[Stanowisko / Position ]:[Stanowisko / Position ]],0)))</f>
        <v>0</v>
      </c>
      <c r="AQ190" s="315">
        <f>IF(INDEX(tab_MinKomp[FLOW CHART],MATCH($B189,tab_MinKomp[[Stanowisko / Position ]:[Stanowisko / Position ]],0))="n/a","n/a",AQ189-INDEX(tab_MinKomp[FLOW CHART],MATCH($B189,tab_MinKomp[[Stanowisko / Position ]:[Stanowisko / Position ]],0)))</f>
        <v>0</v>
      </c>
      <c r="AR190" s="315">
        <f>IF(INDEX(tab_MinKomp[APQP],MATCH($B189,tab_MinKomp[[Stanowisko / Position ]:[Stanowisko / Position ]],0))="n/a","n/a",AR189-INDEX(tab_MinKomp[APQP],MATCH($B189,tab_MinKomp[[Stanowisko / Position ]:[Stanowisko / Position ]],0)))</f>
        <v>0</v>
      </c>
      <c r="AS190" s="315">
        <f>IF(INDEX(tab_MinKomp[MSA],MATCH($B189,tab_MinKomp[[Stanowisko / Position ]:[Stanowisko / Position ]],0))="n/a","n/a",AS189-INDEX(tab_MinKomp[MSA],MATCH($B189,tab_MinKomp[[Stanowisko / Position ]:[Stanowisko / Position ]],0)))</f>
        <v>0</v>
      </c>
      <c r="AT190" s="315">
        <f>IF(INDEX(tab_MinKomp[SPC],MATCH($B189,tab_MinKomp[[Stanowisko / Position ]:[Stanowisko / Position ]],0))="n/a","n/a",AT189-INDEX(tab_MinKomp[SPC],MATCH($B189,tab_MinKomp[[Stanowisko / Position ]:[Stanowisko / Position ]],0)))</f>
        <v>0</v>
      </c>
      <c r="AU190" s="315">
        <v>0</v>
      </c>
      <c r="AV190" s="315">
        <f>IF(INDEX(tab_MinKomp[5S],MATCH($B189,tab_MinKomp[[Stanowisko / Position ]:[Stanowisko / Position ]],0))="n/a","n/a",AV189-INDEX(tab_MinKomp[5S],MATCH($B189,tab_MinKomp[[Stanowisko / Position ]:[Stanowisko / Position ]],0)))</f>
        <v>0</v>
      </c>
      <c r="AW190" s="315">
        <f>IF(INDEX(tab_MinKomp[LEAN MANAGEMENT],MATCH($B189,tab_MinKomp[[Stanowisko / Position ]:[Stanowisko / Position ]],0))="n/a","n/a",AW189-INDEX(tab_MinKomp[LEAN MANAGEMENT],MATCH($B189,tab_MinKomp[[Stanowisko / Position ]:[Stanowisko / Position ]],0)))</f>
        <v>0</v>
      </c>
      <c r="AX190" s="315">
        <f>IF(INDEX(tab_MinKomp[5R],MATCH($B189,tab_MinKomp[[Stanowisko / Position ]:[Stanowisko / Position ]],0))="n/a","n/a",AX189-INDEX(tab_MinKomp[5R],MATCH($B189,tab_MinKomp[[Stanowisko / Position ]:[Stanowisko / Position ]],0)))</f>
        <v>-1</v>
      </c>
      <c r="AY190" s="315" t="str">
        <f>IF(INDEX(tab_MinKomp[Six Sigma],MATCH($B189,tab_MinKomp[[Stanowisko / Position ]:[Stanowisko / Position ]],0))="n/a","n/a",AY189-INDEX(tab_MinKomp[Six Sigma],MATCH($B189,tab_MinKomp[[Stanowisko / Position ]:[Stanowisko / Position ]],0)))</f>
        <v>n/a</v>
      </c>
      <c r="AZ190" s="315">
        <f>IF(INDEX(tab_MinKomp[System BAAN / Distribution &amp; Supply Chain],MATCH($B189,tab_MinKomp[[Stanowisko / Position ]:[Stanowisko / Position ]],0))="n/a","n/a",AZ189-INDEX(tab_MinKomp[System BAAN / Distribution &amp; Supply Chain],MATCH($B189,tab_MinKomp[[Stanowisko / Position ]:[Stanowisko / Position ]],0)))</f>
        <v>0</v>
      </c>
      <c r="BA190" s="315" t="str">
        <f>IF(INDEX(tab_MinKomp[Gospodarka magazynowa / Lagerverwaltung],MATCH($B189,tab_MinKomp[[Stanowisko / Position ]:[Stanowisko / Position ]],0))="n/a","n/a",BA189-INDEX(tab_MinKomp[Gospodarka magazynowa / Lagerverwaltung],MATCH($B189,tab_MinKomp[[Stanowisko / Position ]:[Stanowisko / Position ]],0)))</f>
        <v>n/a</v>
      </c>
      <c r="BB190" s="315" t="str">
        <f>IF(INDEX(tab_MinKomp[Inwentaryzacja - organizacja i przebieg / Inventurprozess],MATCH($B189,tab_MinKomp[[Stanowisko / Position ]:[Stanowisko / Position ]],0))="n/a","n/a",BB189-INDEX(tab_MinKomp[Inwentaryzacja - organizacja i przebieg / Inventurprozess],MATCH($B189,tab_MinKomp[[Stanowisko / Position ]:[Stanowisko / Position ]],0)))</f>
        <v>n/a</v>
      </c>
      <c r="BC190" s="315" t="str">
        <f>IF(INDEX(tab_MinKomp[Organizacja dostaw / Versorgungsorganisation],MATCH($B189,tab_MinKomp[[Stanowisko / Position ]:[Stanowisko / Position ]],0))="n/a","n/a",BC189-INDEX(tab_MinKomp[Organizacja dostaw / Versorgungsorganisation],MATCH($B189,tab_MinKomp[[Stanowisko / Position ]:[Stanowisko / Position ]],0)))</f>
        <v>n/a</v>
      </c>
      <c r="BD190" s="315" t="str">
        <f>IF(INDEX(tab_MinKomp[Organizacja wysyłek / Organisation von Lieferungen],MATCH($B189,tab_MinKomp[[Stanowisko / Position ]:[Stanowisko / Position ]],0))="n/a","n/a",BD189-INDEX(tab_MinKomp[Organizacja wysyłek / Organisation von Lieferungen],MATCH($B189,tab_MinKomp[[Stanowisko / Position ]:[Stanowisko / Position ]],0)))</f>
        <v>n/a</v>
      </c>
      <c r="BE190" s="315" t="str">
        <f>IF(INDEX(tab_MinKomp[Analiza magazynowa - Program Polen.mdb / Inventuranalyse],MATCH($B189,tab_MinKomp[[Stanowisko / Position ]:[Stanowisko / Position ]],0))="n/a","n/a",BE189-INDEX(tab_MinKomp[Analiza magazynowa - Program Polen.mdb / Inventuranalyse],MATCH($B189,tab_MinKomp[[Stanowisko / Position ]:[Stanowisko / Position ]],0)))</f>
        <v>n/a</v>
      </c>
      <c r="BF190" s="315" t="str">
        <f>IF(INDEX(tab_MinKomp[MMOG (Materials Management Operations Guidelines)],MATCH($B189,tab_MinKomp[[Stanowisko / Position ]:[Stanowisko / Position ]],0))="n/a","n/a",BF189-INDEX(tab_MinKomp[MMOG (Materials Management Operations Guidelines)],MATCH($B189,tab_MinKomp[[Stanowisko / Position ]:[Stanowisko / Position ]],0)))</f>
        <v>n/a</v>
      </c>
      <c r="BG190" s="315" t="str">
        <f>IF(INDEX(tab_MinKomp[DETC],MATCH($B189,tab_MinKomp[[Stanowisko / Position ]:[Stanowisko / Position ]],0))="n/a","n/a",BG189-INDEX(tab_MinKomp[DETC],MATCH($B189,tab_MinKomp[[Stanowisko / Position ]:[Stanowisko / Position ]],0)))</f>
        <v>n/a</v>
      </c>
      <c r="BH190" s="315" t="str">
        <f>IF(INDEX(tab_MinKomp[GPP],MATCH($B189,tab_MinKomp[[Stanowisko / Position ]:[Stanowisko / Position ]],0))="n/a","n/a",BH189-INDEX(tab_MinKomp[GPP],MATCH($B189,tab_MinKomp[[Stanowisko / Position ]:[Stanowisko / Position ]],0)))</f>
        <v>n/a</v>
      </c>
      <c r="BI190" s="315" t="str">
        <f>IF(INDEX(tab_MinKomp[AIAG (Automotive Industry Action Group)],MATCH($B189,tab_MinKomp[[Stanowisko / Position ]:[Stanowisko / Position ]],0))="n/a","n/a",BI189-INDEX(tab_MinKomp[AIAG (Automotive Industry Action Group)],MATCH($B189,tab_MinKomp[[Stanowisko / Position ]:[Stanowisko / Position ]],0)))</f>
        <v>n/a</v>
      </c>
      <c r="BJ190" s="315" t="str">
        <f>IF(INDEX(tab_MinKomp[Super-G disputes],MATCH($B189,tab_MinKomp[[Stanowisko / Position ]:[Stanowisko / Position ]],0))="n/a","n/a",BJ189-INDEX(tab_MinKomp[Super-G disputes],MATCH($B189,tab_MinKomp[[Stanowisko / Position ]:[Stanowisko / Position ]],0)))</f>
        <v>n/a</v>
      </c>
      <c r="BK190" s="315" t="str">
        <f>IF(INDEX(tab_MinKomp[CMMS3/eDDL (Direct Data Link)],MATCH($B189,tab_MinKomp[[Stanowisko / Position ]:[Stanowisko / Position ]],0))="n/a","n/a",BK189-INDEX(tab_MinKomp[CMMS3/eDDL (Direct Data Link)],MATCH($B189,tab_MinKomp[[Stanowisko / Position ]:[Stanowisko / Position ]],0)))</f>
        <v>n/a</v>
      </c>
      <c r="BL190" s="315" t="str">
        <f>IF(INDEX(tab_MinKomp[MP&amp;L (Material Planning and Logistics)],MATCH($B189,tab_MinKomp[[Stanowisko / Position ]:[Stanowisko / Position ]],0))="n/a","n/a",BL189-INDEX(tab_MinKomp[MP&amp;L (Material Planning and Logistics)],MATCH($B189,tab_MinKomp[[Stanowisko / Position ]:[Stanowisko / Position ]],0)))</f>
        <v>n/a</v>
      </c>
      <c r="BM190" s="315" t="str">
        <f>IF(INDEX(tab_MinKomp[Planowanie produkcji / Produktionsplanung],MATCH($B189,tab_MinKomp[[Stanowisko / Position ]:[Stanowisko / Position ]],0))="n/a","n/a",BM189-INDEX(tab_MinKomp[Planowanie produkcji / Produktionsplanung],MATCH($B189,tab_MinKomp[[Stanowisko / Position ]:[Stanowisko / Position ]],0)))</f>
        <v>n/a</v>
      </c>
      <c r="BN190" s="315" t="str">
        <f>IF(INDEX(tab_MinKomp[Obsługa maszyn Engel / Engel Maschinenbedienung],MATCH($B189,tab_MinKomp[[Stanowisko / Position ]:[Stanowisko / Position ]],0))="n/a","n/a",BN189-INDEX(tab_MinKomp[Obsługa maszyn Engel / Engel Maschinenbedienung],MATCH($B189,tab_MinKomp[[Stanowisko / Position ]:[Stanowisko / Position ]],0)))</f>
        <v>n/a</v>
      </c>
      <c r="BO190" s="315" t="str">
        <f>IF(INDEX(tab_MinKomp[Obsługa maszyn Novapax / Novapax Maschinenbedienung],MATCH($B189,tab_MinKomp[[Stanowisko / Position ]:[Stanowisko / Position ]],0))="n/a","n/a",BO189-INDEX(tab_MinKomp[Obsługa maszyn Novapax / Novapax Maschinenbedienung],MATCH($B189,tab_MinKomp[[Stanowisko / Position ]:[Stanowisko / Position ]],0)))</f>
        <v>n/a</v>
      </c>
      <c r="BP190" s="315" t="str">
        <f>IF(INDEX(tab_MinKomp[Obsługa maszyn KVT / KVT Maschinenbedienung],MATCH($B189,tab_MinKomp[[Stanowisko / Position ]:[Stanowisko / Position ]],0))="n/a","n/a",BP189-INDEX(tab_MinKomp[Obsługa maszyn KVT / KVT Maschinenbedienung],MATCH($B189,tab_MinKomp[[Stanowisko / Position ]:[Stanowisko / Position ]],0)))</f>
        <v>n/a</v>
      </c>
      <c r="BQ190" s="315" t="str">
        <f>IF(INDEX(tab_MinKomp[Obsługa maszyn ASL / ASL Maschinenbedienung],MATCH($B189,tab_MinKomp[[Stanowisko / Position ]:[Stanowisko / Position ]],0))="n/a","n/a",BQ189-INDEX(tab_MinKomp[Obsługa maszyn ASL / ASL Maschinenbedienung],MATCH($B189,tab_MinKomp[[Stanowisko / Position ]:[Stanowisko / Position ]],0)))</f>
        <v>n/a</v>
      </c>
      <c r="BR190" s="315" t="str">
        <f>IF(INDEX(tab_MinKomp[Obsługa maszyn Branson / Branson Maschinenbedienung],MATCH($B189,tab_MinKomp[[Stanowisko / Position ]:[Stanowisko / Position ]],0))="n/a","n/a",BR189-INDEX(tab_MinKomp[Obsługa maszyn Branson / Branson Maschinenbedienung],MATCH($B189,tab_MinKomp[[Stanowisko / Position ]:[Stanowisko / Position ]],0)))</f>
        <v>n/a</v>
      </c>
      <c r="BS190" s="315" t="str">
        <f>IF(INDEX(tab_MinKomp[Obsługa maszyn Kamtec / Kamtec Maschinenbedienung],MATCH($B189,tab_MinKomp[[Stanowisko / Position ]:[Stanowisko / Position ]],0))="n/a","n/a",BS189-INDEX(tab_MinKomp[Obsługa maszyn Kamtec / Kamtec Maschinenbedienung],MATCH($B189,tab_MinKomp[[Stanowisko / Position ]:[Stanowisko / Position ]],0)))</f>
        <v>n/a</v>
      </c>
      <c r="BT190" s="315" t="str">
        <f>IF(INDEX(tab_MinKomp[Obsługa maszyn Piovan / Piovan Maschinenbedienung],MATCH($B189,tab_MinKomp[[Stanowisko / Position ]:[Stanowisko / Position ]],0))="n/a","n/a",BT189-INDEX(tab_MinKomp[Obsługa maszyn Piovan / Piovan Maschinenbedienung],MATCH($B189,tab_MinKomp[[Stanowisko / Position ]:[Stanowisko / Position ]],0)))</f>
        <v>n/a</v>
      </c>
      <c r="BU190" s="315" t="str">
        <f>IF(INDEX(tab_MinKomp[Obsługa maszyn REP / REP Maschinenbedienung],MATCH($B189,tab_MinKomp[[Stanowisko / Position ]:[Stanowisko / Position ]],0))="n/a","n/a",BU189-INDEX(tab_MinKomp[Obsługa maszyn REP / REP Maschinenbedienung],MATCH($B189,tab_MinKomp[[Stanowisko / Position ]:[Stanowisko / Position ]],0)))</f>
        <v>n/a</v>
      </c>
      <c r="BV190" s="315" t="str">
        <f>IF(INDEX(tab_MinKomp[Eliminacja awarii / Beseitigung von Ausfällen],MATCH($B189,tab_MinKomp[[Stanowisko / Position ]:[Stanowisko / Position ]],0))="n/a","n/a",BV189-INDEX(tab_MinKomp[Eliminacja awarii / Beseitigung von Ausfällen],MATCH($B189,tab_MinKomp[[Stanowisko / Position ]:[Stanowisko / Position ]],0)))</f>
        <v>n/a</v>
      </c>
      <c r="BW190" s="315" t="str">
        <f>IF(INDEX(tab_MinKomp[Informatyka ogólna (techniczne i systemowe) / Allgemeine IT (Technik und System)],MATCH($B189,tab_MinKomp[[Stanowisko / Position ]:[Stanowisko / Position ]],0))="n/a","n/a",BW189-INDEX(tab_MinKomp[Informatyka ogólna (techniczne i systemowe) / Allgemeine IT (Technik und System)],MATCH($B189,tab_MinKomp[[Stanowisko / Position ]:[Stanowisko / Position ]],0)))</f>
        <v>n/a</v>
      </c>
      <c r="BX190" s="315" t="str">
        <f>IF(INDEX(tab_MinKomp[Sieci komputerowe / Computernetzwerke],MATCH($B189,tab_MinKomp[[Stanowisko / Position ]:[Stanowisko / Position ]],0))="n/a","n/a",BX189-INDEX(tab_MinKomp[Sieci komputerowe / Computernetzwerke],MATCH($B189,tab_MinKomp[[Stanowisko / Position ]:[Stanowisko / Position ]],0)))</f>
        <v>n/a</v>
      </c>
      <c r="BY190" s="315" t="str">
        <f>IF(INDEX(tab_MinKomp[Hardware (komputery PC, drukarki biurowe i etykietowe, telefonia stacjonarna i mobilna) (PC, Drucker, Telefpne, Handys)],MATCH($B189,tab_MinKomp[[Stanowisko / Position ]:[Stanowisko / Position ]],0))="n/a","n/a",BY189-INDEX(tab_MinKomp[Hardware (komputery PC, drukarki biurowe i etykietowe, telefonia stacjonarna i mobilna) (PC, Drucker, Telefpne, Handys)],MATCH($B189,tab_MinKomp[[Stanowisko / Position ]:[Stanowisko / Position ]],0)))</f>
        <v>n/a</v>
      </c>
      <c r="BZ190" s="315" t="str">
        <f>IF(INDEX(tab_MinKomp[Software &amp; Systems (MS Office, MS Remote Desktop)],MATCH($B189,tab_MinKomp[[Stanowisko / Position ]:[Stanowisko / Position ]],0))="n/a","n/a",BZ189-INDEX(tab_MinKomp[Software &amp; Systems (MS Office, MS Remote Desktop)],MATCH($B189,tab_MinKomp[[Stanowisko / Position ]:[Stanowisko / Position ]],0)))</f>
        <v>n/a</v>
      </c>
      <c r="CA190" s="315" t="str">
        <f>IF(INDEX(tab_MinKomp[Programowanie obiektowe (PHP) / Objektprogrammierung],MATCH($B189,tab_MinKomp[[Stanowisko / Position ]:[Stanowisko / Position ]],0))="n/a","n/a",CA189-INDEX(tab_MinKomp[Programowanie obiektowe (PHP) / Objektprogrammierung],MATCH($B189,tab_MinKomp[[Stanowisko / Position ]:[Stanowisko / Position ]],0)))</f>
        <v>n/a</v>
      </c>
      <c r="CB190" s="315" t="str">
        <f>IF(INDEX(tab_MinKomp[Scrum],MATCH($B189,tab_MinKomp[[Stanowisko / Position ]:[Stanowisko / Position ]],0))="n/a","n/a",CB189-INDEX(tab_MinKomp[Scrum],MATCH($B189,tab_MinKomp[[Stanowisko / Position ]:[Stanowisko / Position ]],0)))</f>
        <v>n/a</v>
      </c>
      <c r="CC190" s="315" t="str">
        <f>IF(INDEX(tab_MinKomp[SQL (MySQL)],MATCH($B189,tab_MinKomp[[Stanowisko / Position ]:[Stanowisko / Position ]],0))="n/a","n/a",CC189-INDEX(tab_MinKomp[SQL (MySQL)],MATCH($B189,tab_MinKomp[[Stanowisko / Position ]:[Stanowisko / Position ]],0)))</f>
        <v>n/a</v>
      </c>
      <c r="CD190" s="315" t="str">
        <f>IF(INDEX(tab_MinKomp[Javascript],MATCH($B189,tab_MinKomp[[Stanowisko / Position ]:[Stanowisko / Position ]],0))="n/a","n/a",CD189-INDEX(tab_MinKomp[Javascript],MATCH($B189,tab_MinKomp[[Stanowisko / Position ]:[Stanowisko / Position ]],0)))</f>
        <v>n/a</v>
      </c>
      <c r="CE190" s="315" t="str">
        <f>IF(INDEX(tab_MinKomp[Joomla],MATCH($B189,tab_MinKomp[[Stanowisko / Position ]:[Stanowisko / Position ]],0))="n/a","n/a",CE189-INDEX(tab_MinKomp[Joomla],MATCH($B189,tab_MinKomp[[Stanowisko / Position ]:[Stanowisko / Position ]],0)))</f>
        <v>n/a</v>
      </c>
      <c r="CF190" s="315" t="str">
        <f>IF(INDEX(tab_MinKomp[Bash],MATCH($B189,tab_MinKomp[[Stanowisko / Position ]:[Stanowisko / Position ]],0))="n/a","n/a",CF189-INDEX(tab_MinKomp[Bash],MATCH($B189,tab_MinKomp[[Stanowisko / Position ]:[Stanowisko / Position ]],0)))</f>
        <v>n/a</v>
      </c>
      <c r="CG190" s="315" t="str">
        <f>IF(INDEX(tab_MinKomp[Systemy MES (HYDRA / SFMS)],MATCH($B189,tab_MinKomp[[Stanowisko / Position ]:[Stanowisko / Position ]],0))="n/a","n/a",CG189-INDEX(tab_MinKomp[Systemy MES (HYDRA / SFMS)],MATCH($B189,tab_MinKomp[[Stanowisko / Position ]:[Stanowisko / Position ]],0)))</f>
        <v>n/a</v>
      </c>
      <c r="CH190" s="315" t="str">
        <f>IF(INDEX(tab_MinKomp[HTML / CSS],MATCH($B189,tab_MinKomp[[Stanowisko / Position ]:[Stanowisko / Position ]],0))="n/a","n/a",CH189-INDEX(tab_MinKomp[HTML / CSS],MATCH($B189,tab_MinKomp[[Stanowisko / Position ]:[Stanowisko / Position ]],0)))</f>
        <v>n/a</v>
      </c>
      <c r="CI190" s="315">
        <f>IF(INDEX(tab_MinKomp[SYSTEM PR],MATCH($B189,tab_MinKomp[[Stanowisko / Position ]:[Stanowisko / Position ]],0))="n/a","n/a",CI189-INDEX(tab_MinKomp[SYSTEM PR],MATCH($B189,tab_MinKomp[[Stanowisko / Position ]:[Stanowisko / Position ]],0)))</f>
        <v>0</v>
      </c>
      <c r="CJ190" s="315" t="str">
        <f>IF(INDEX(tab_MinKomp[Techniki negocjacyjne / Verhandlungstechniken],MATCH($B189,tab_MinKomp[[Stanowisko / Position ]:[Stanowisko / Position ]],0))="n/a","n/a",CJ189-INDEX(tab_MinKomp[Techniki negocjacyjne / Verhandlungstechniken],MATCH($B189,tab_MinKomp[[Stanowisko / Position ]:[Stanowisko / Position ]],0)))</f>
        <v>n/a</v>
      </c>
      <c r="CK190" s="315" t="str">
        <f>IF(INDEX(tab_MinKomp[Techniki negocjacyjne / Verhandlungstechniken],MATCH($B189,tab_MinKomp[[Stanowisko / Position ]:[Stanowisko / Position ]],0))="n/a","n/a",CK189-INDEX(tab_MinKomp[Techniki negocjacyjne / Verhandlungstechniken],MATCH($B189,tab_MinKomp[[Stanowisko / Position ]:[Stanowisko / Position ]],0)))</f>
        <v>n/a</v>
      </c>
      <c r="CL190" s="315" t="str">
        <f>IF(INDEX(tab_MinKomp[Znajomość rynku branżowego / Kenntnis des Industrie Marktes],MATCH($B189,tab_MinKomp[[Stanowisko / Position ]:[Stanowisko / Position ]],0))="n/a","n/a",CL189-INDEX(tab_MinKomp[Znajomość rynku branżowego / Kenntnis des Industrie Marktes],MATCH($B189,tab_MinKomp[[Stanowisko / Position ]:[Stanowisko / Position ]],0)))</f>
        <v>n/a</v>
      </c>
      <c r="CM190" s="315">
        <v>0</v>
      </c>
      <c r="CN190" s="315">
        <v>0</v>
      </c>
      <c r="CO190" s="315">
        <v>0</v>
      </c>
      <c r="CP190" s="315">
        <v>0</v>
      </c>
      <c r="CQ190" s="315">
        <v>0</v>
      </c>
      <c r="CR190" s="315">
        <f>IF(INDEX(tab_MinKomp[SUPPLIER MANAGEMENT],MATCH($B189,tab_MinKomp[[Stanowisko / Position ]:[Stanowisko / Position ]],0))="n/a","n/a",CR189-INDEX(tab_MinKomp[SUPPLIER MANAGEMENT],MATCH($B189,tab_MinKomp[[Stanowisko / Position ]:[Stanowisko / Position ]],0)))</f>
        <v>0</v>
      </c>
      <c r="CS190" s="315">
        <f>IF(INDEX(tab_MinKomp[OBSŁUGA PORTALI KLIENTA / Kundenportale],MATCH($B189,tab_MinKomp[[Stanowisko / Position ]:[Stanowisko / Position ]],0))="n/a","n/a",CS189-INDEX(tab_MinKomp[OBSŁUGA PORTALI KLIENTA / Kundenportale],MATCH($B189,tab_MinKomp[[Stanowisko / Position ]:[Stanowisko / Position ]],0)))</f>
        <v>0</v>
      </c>
      <c r="CT190" s="315">
        <v>0</v>
      </c>
      <c r="CU190" s="315">
        <f>IF(INDEX(tab_MinKomp[Rysunek techniczny / technische Zeichnung],MATCH($B189,tab_MinKomp[[Stanowisko / Position ]:[Stanowisko / Position ]],0))="n/a","n/a",CU189-INDEX(tab_MinKomp[Rysunek techniczny / technische Zeichnung],MATCH($B189,tab_MinKomp[[Stanowisko / Position ]:[Stanowisko / Position ]],0)))</f>
        <v>0</v>
      </c>
      <c r="CV190" s="315" t="str">
        <f>IF(INDEX(tab_MinKomp[Kalibracja / Kalibrierung],MATCH($B189,tab_MinKomp[[Stanowisko / Position ]:[Stanowisko / Position ]],0))="n/a","n/a",CV189-INDEX(tab_MinKomp[Kalibracja / Kalibrierung],MATCH($B189,tab_MinKomp[[Stanowisko / Position ]:[Stanowisko / Position ]],0)))</f>
        <v>n/a</v>
      </c>
      <c r="CW190" s="315">
        <f>IF(INDEX(tab_MinKomp[Rekwalifikacja / Requalifizierung],MATCH($B189,tab_MinKomp[[Stanowisko / Position ]:[Stanowisko / Position ]],0))="n/a","n/a",CW189-INDEX(tab_MinKomp[Rekwalifikacja / Requalifizierung],MATCH($B189,tab_MinKomp[[Stanowisko / Position ]:[Stanowisko / Position ]],0)))</f>
        <v>0</v>
      </c>
      <c r="CX190" s="315" t="str">
        <f>IF(INDEX(tab_MinKomp[Obsługa mikroskopu optycznego / Bedienung eines optischen Mikroskops],MATCH($B189,tab_MinKomp[[Stanowisko / Position ]:[Stanowisko / Position ]],0))="n/a","n/a",CX189-INDEX(tab_MinKomp[Obsługa mikroskopu optycznego / Bedienung eines optischen Mikroskops],MATCH($B189,tab_MinKomp[[Stanowisko / Position ]:[Stanowisko / Position ]],0)))</f>
        <v>n/a</v>
      </c>
      <c r="CY190" s="315" t="str">
        <f>IF(INDEX(tab_MinKomp[Wykonywanie pomiarów optycznych - ocena wizualna / Optische Messungen durchführen – visuelle Beurteilung],MATCH($B189,tab_MinKomp[[Stanowisko / Position ]:[Stanowisko / Position ]],0))="n/a","n/a",CY189-INDEX(tab_MinKomp[Wykonywanie pomiarów optycznych - ocena wizualna / Optische Messungen durchführen – visuelle Beurteilung],MATCH($B189,tab_MinKomp[[Stanowisko / Position ]:[Stanowisko / Position ]],0)))</f>
        <v>n/a</v>
      </c>
      <c r="CZ190" s="315" t="str">
        <f>IF(INDEX(tab_MinKomp[Obsługa Rheometra / Rheometra-Unterstützung],MATCH($B189,tab_MinKomp[[Stanowisko / Position ]:[Stanowisko / Position ]],0))="n/a","n/a",CZ189-INDEX(tab_MinKomp[Obsługa Rheometra / Rheometra-Unterstützung],MATCH($B189,tab_MinKomp[[Stanowisko / Position ]:[Stanowisko / Position ]],0)))</f>
        <v>n/a</v>
      </c>
      <c r="DA190" s="315" t="str">
        <f>IF(INDEX(tab_MinKomp[Testy właściwości Rheometra mieszanki gumy],MATCH($B189,tab_MinKomp[[Stanowisko / Position ]:[Stanowisko / Position ]],0))="n/a","n/a",DA189-INDEX(tab_MinKomp[Testy właściwości Rheometra mieszanki gumy],MATCH($B189,tab_MinKomp[[Stanowisko / Position ]:[Stanowisko / Position ]],0)))</f>
        <v>n/a</v>
      </c>
      <c r="DB190" s="315" t="str">
        <f>IF(INDEX(tab_MinKomp[CMM - Contura Zeiss],MATCH($B189,tab_MinKomp[[Stanowisko / Position ]:[Stanowisko / Position ]],0))="n/a","n/a",DB189-INDEX(tab_MinKomp[CMM - Contura Zeiss],MATCH($B189,tab_MinKomp[[Stanowisko / Position ]:[Stanowisko / Position ]],0)))</f>
        <v>n/a</v>
      </c>
      <c r="DC190" s="315" t="str">
        <f>IF(INDEX(tab_MinKomp[Wykonywanie precyzyjnych pomiarów metrycznych, pomiary 3D],MATCH($B189,tab_MinKomp[[Stanowisko / Position ]:[Stanowisko / Position ]],0))="n/a","n/a",DC189-INDEX(tab_MinKomp[Wykonywanie precyzyjnych pomiarów metrycznych, pomiary 3D],MATCH($B189,tab_MinKomp[[Stanowisko / Position ]:[Stanowisko / Position ]],0)))</f>
        <v>n/a</v>
      </c>
      <c r="DD190" s="315" t="str">
        <f>IF(INDEX(tab_MinKomp[Pisanie programów / Programme schreiben],MATCH($B189,tab_MinKomp[[Stanowisko / Position ]:[Stanowisko / Position ]],0))="n/a","n/a",DD189-INDEX(tab_MinKomp[Pisanie programów / Programme schreiben],MATCH($B189,tab_MinKomp[[Stanowisko / Position ]:[Stanowisko / Position ]],0)))</f>
        <v>n/a</v>
      </c>
      <c r="DE190" s="315" t="str">
        <f>IF(INDEX(tab_MinKomp[Obsługa wyposażenia do testów czystości (myjka + analizator) / Betrieb von Sauberkeitsprüfgeräten (Waschmaschine + Analysegerät)],MATCH($B189,tab_MinKomp[[Stanowisko / Position ]:[Stanowisko / Position ]],0))="n/a","n/a",DE189-INDEX(tab_MinKomp[Obsługa wyposażenia do testów czystości (myjka + analizator) / Betrieb von Sauberkeitsprüfgeräten (Waschmaschine + Analysegerät)],MATCH($B189,tab_MinKomp[[Stanowisko / Position ]:[Stanowisko / Position ]],0)))</f>
        <v>n/a</v>
      </c>
      <c r="DF190" s="315" t="str">
        <f>IF(INDEX(tab_MinKomp[Testy czystości / Reinheitstests],MATCH($B189,tab_MinKomp[[Stanowisko / Position ]:[Stanowisko / Position ]],0))="n/a","n/a",DF189-INDEX(tab_MinKomp[Testy czystości / Reinheitstests],MATCH($B189,tab_MinKomp[[Stanowisko / Position ]:[Stanowisko / Position ]],0)))</f>
        <v>n/a</v>
      </c>
      <c r="DG190" s="315" t="str">
        <f>IF(INDEX(tab_MinKomp[Obsługa wysokościomierza / Unterstützung für Höhenmesser],MATCH($B189,tab_MinKomp[[Stanowisko / Position ]:[Stanowisko / Position ]],0))="n/a","n/a",DG189-INDEX(tab_MinKomp[Obsługa wysokościomierza / Unterstützung für Höhenmesser],MATCH($B189,tab_MinKomp[[Stanowisko / Position ]:[Stanowisko / Position ]],0)))</f>
        <v>n/a</v>
      </c>
      <c r="DH190" s="315" t="str">
        <f>IF(INDEX(tab_MinKomp[Pomiary wysokości materiału / Materialhöhenmessungen],MATCH($B189,tab_MinKomp[[Stanowisko / Position ]:[Stanowisko / Position ]],0))="n/a","n/a",DH189-INDEX(tab_MinKomp[Pomiary wysokości materiału / Materialhöhenmessungen],MATCH($B189,tab_MinKomp[[Stanowisko / Position ]:[Stanowisko / Position ]],0)))</f>
        <v>n/a</v>
      </c>
      <c r="DI190" s="315" t="str">
        <f>IF(INDEX(tab_MinKomp[Obsługa okrągłościomierza / Unterstützung für Rundheitsmessgeräte],MATCH($B189,tab_MinKomp[[Stanowisko / Position ]:[Stanowisko / Position ]],0))="n/a","n/a",DI189-INDEX(tab_MinKomp[Obsługa okrągłościomierza / Unterstützung für Rundheitsmessgeräte],MATCH($B189,tab_MinKomp[[Stanowisko / Position ]:[Stanowisko / Position ]],0)))</f>
        <v>n/a</v>
      </c>
      <c r="DJ190" s="315" t="str">
        <f>IF(INDEX(tab_MinKomp[Wykonywania pomiarów owalności, srednicy materiału / Messung der Ovalität und des Durchmessers des Materials],MATCH($B189,tab_MinKomp[[Stanowisko / Position ]:[Stanowisko / Position ]],0))="n/a","n/a",DJ189-INDEX(tab_MinKomp[Wykonywania pomiarów owalności, srednicy materiału / Messung der Ovalität und des Durchmessers des Materials],MATCH($B189,tab_MinKomp[[Stanowisko / Position ]:[Stanowisko / Position ]],0)))</f>
        <v>n/a</v>
      </c>
      <c r="DK190" s="315" t="str">
        <f>IF(INDEX(tab_MinKomp[Obsługa urządzenia do pomiarów chropowoatości powierzchni materiału],MATCH($B189,tab_MinKomp[[Stanowisko / Position ]:[Stanowisko / Position ]],0))="n/a","n/a",DK189-INDEX(tab_MinKomp[Obsługa urządzenia do pomiarów chropowoatości powierzchni materiału],MATCH($B189,tab_MinKomp[[Stanowisko / Position ]:[Stanowisko / Position ]],0)))</f>
        <v>n/a</v>
      </c>
      <c r="DL190" s="315" t="str">
        <f>IF(INDEX(tab_MinKomp[Wykonywanie pomiarów chropowatości powierzchni materiału / Durchführung von Messungen der Materialoberflächenrauheit],MATCH($B189,tab_MinKomp[[Stanowisko / Position ]:[Stanowisko / Position ]],0))="n/a","n/a",DL189-INDEX(tab_MinKomp[Wykonywanie pomiarów chropowatości powierzchni materiału / Durchführung von Messungen der Materialoberflächenrauheit],MATCH($B189,tab_MinKomp[[Stanowisko / Position ]:[Stanowisko / Position ]],0)))</f>
        <v>n/a</v>
      </c>
      <c r="DM190" s="315" t="str">
        <f>IF(INDEX(tab_MinKomp[Obsługa urządzenia do pomiaru siły radialnej części - postępowanie z trzpieniami. / Funktionsweise des Geräts zur Messung der Radialkraft von Teilen – Handhabungsstifte.],MATCH($B189,tab_MinKomp[[Stanowisko / Position ]:[Stanowisko / Position ]],0))="n/a","n/a",DM189-INDEX(tab_MinKomp[Obsługa urządzenia do pomiaru siły radialnej części - postępowanie z trzpieniami. / Funktionsweise des Geräts zur Messung der Radialkraft von Teilen – Handhabungsstifte.],MATCH($B189,tab_MinKomp[[Stanowisko / Position ]:[Stanowisko / Position ]],0)))</f>
        <v>n/a</v>
      </c>
      <c r="DN190" s="315" t="str">
        <f>IF(INDEX(tab_MinKomp[Wykonywanie pomiarów siły radialnej części / Führen Sie Radialkraftmessungen an Teilen durch],MATCH($B189,tab_MinKomp[[Stanowisko / Position ]:[Stanowisko / Position ]],0))="n/a","n/a",DN189-INDEX(tab_MinKomp[Wykonywanie pomiarów siły radialnej części / Führen Sie Radialkraftmessungen an Teilen durch],MATCH($B189,tab_MinKomp[[Stanowisko / Position ]:[Stanowisko / Position ]],0)))</f>
        <v>n/a</v>
      </c>
      <c r="DO190" s="315" t="str">
        <f>IF(INDEX(tab_MinKomp[Obsługa komory do testów wybuchwych / Betrieb einer Explosionsprüfkammer],MATCH($B189,tab_MinKomp[[Stanowisko / Position ]:[Stanowisko / Position ]],0))="n/a","n/a",DO189-INDEX(tab_MinKomp[Obsługa komory do testów wybuchwych / Betrieb einer Explosionsprüfkammer],MATCH($B189,tab_MinKomp[[Stanowisko / Position ]:[Stanowisko / Position ]],0)))</f>
        <v>n/a</v>
      </c>
      <c r="DP190" s="315" t="str">
        <f>IF(INDEX(tab_MinKomp[Wykonywanie testów wybuchowych części / Durchführung von Explosionstests an Teilen],MATCH($B189,tab_MinKomp[[Stanowisko / Position ]:[Stanowisko / Position ]],0))="n/a","n/a",DP189-INDEX(tab_MinKomp[Wykonywanie testów wybuchowych części / Durchführung von Explosionstests an Teilen],MATCH($B189,tab_MinKomp[[Stanowisko / Position ]:[Stanowisko / Position ]],0)))</f>
        <v>n/a</v>
      </c>
      <c r="DQ190" s="315" t="str">
        <f>IF(INDEX(tab_MinKomp[Obsługa urządzeń do mierzenia siły trzymania i/lub rozciągania / Betrieb von Geräten zur Messung der Halte- und/oder Dehnkraft],MATCH($B189,tab_MinKomp[[Stanowisko / Position ]:[Stanowisko / Position ]],0))="n/a","n/a",DQ189-INDEX(tab_MinKomp[Obsługa urządzeń do mierzenia siły trzymania i/lub rozciągania / Betrieb von Geräten zur Messung der Halte- und/oder Dehnkraft],MATCH($B189,tab_MinKomp[[Stanowisko / Position ]:[Stanowisko / Position ]],0)))</f>
        <v>n/a</v>
      </c>
      <c r="DR190" s="315" t="str">
        <f>IF(INDEX(tab_MinKomp[Wykonywanie testów mierzenia siły trzymania i/lub rozciągania / Durchführung von Tests zur Messung der Halte- und/oder Streckkraft],MATCH($B189,tab_MinKomp[[Stanowisko / Position ]:[Stanowisko / Position ]],0))="n/a","n/a",DR189-INDEX(tab_MinKomp[Wykonywanie testów mierzenia siły trzymania i/lub rozciągania / Durchführung von Tests zur Messung der Halte- und/oder Streckkraft],MATCH($B189,tab_MinKomp[[Stanowisko / Position ]:[Stanowisko / Position ]],0)))</f>
        <v>n/a</v>
      </c>
      <c r="DS190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Luftstrom)],MATCH($B189,tab_MinKomp[[Stanowisko / Position ]:[Stanowisko / Position ]],0))="n/a","n/a",DS189-INDEX(tab_MinKomp[Obsługa multimetru do pomiarów środowiskowych (temperatura, wilgotność, hałas, oświetlenie, przepływ powietrza) / Betrieb eines Multimeters für Umweltmessungen (Temperatur, Luftfeuchtigkeit, Lärm, Beleuchtung, Luftstrom)],MATCH($B189,tab_MinKomp[[Stanowisko / Position ]:[Stanowisko / Position ]],0)))</f>
        <v>n/a</v>
      </c>
      <c r="DT190" s="315" t="str">
        <f>IF(INDEX(tab_MinKomp[Kontrola warunków środowiskowych pracy (temperatura, wilgotność, hałas, oświetlenie, przepływ powietrza) / Kontrolle der Arbeitsumgebungsbedingungen (Temperatur, Luftfeuchtigkeit, Lärm, Beleuchtung, Luftstrom)],MATCH($B189,tab_MinKomp[[Stanowisko / Position ]:[Stanowisko / Position ]],0))="n/a","n/a",DT189-INDEX(tab_MinKomp[Kontrola warunków środowiskowych pracy (temperatura, wilgotność, hałas, oświetlenie, przepływ powietrza) / Kontrolle der Arbeitsumgebungsbedingungen (Temperatur, Luftfeuchtigkeit, Lärm, Beleuchtung, Luftstrom)],MATCH($B189,tab_MinKomp[[Stanowisko / Position ]:[Stanowisko / Position ]],0)))</f>
        <v>n/a</v>
      </c>
      <c r="DU190" s="315" t="str">
        <f>IF(INDEX(tab_MinKomp[MSA i SPC],MATCH($B189,tab_MinKomp[[Stanowisko / Position ]:[Stanowisko / Position ]],0))="n/a","n/a",DU189-INDEX(tab_MinKomp[MSA i SPC],MATCH($B189,tab_MinKomp[[Stanowisko / Position ]:[Stanowisko / Position ]],0)))</f>
        <v>n/a</v>
      </c>
      <c r="DV190" s="315" t="str">
        <f>IF(INDEX(tab_MinKomp[Kontrola wejściowa komponentów/ Eingangskontrolle],MATCH($B189,tab_MinKomp[[Stanowisko / Position ]:[Stanowisko / Position ]],0))="n/a","n/a",DV189-INDEX(tab_MinKomp[Kontrola wejściowa komponentów/ Eingangskontrolle],MATCH($B189,tab_MinKomp[[Stanowisko / Position ]:[Stanowisko / Position ]],0)))</f>
        <v>n/a</v>
      </c>
      <c r="DW190" s="315" t="str">
        <f>IF(INDEX(tab_MinKomp[Kontrola wyjściowa produktu / Ausgangskontrolle],MATCH($B189,tab_MinKomp[[Stanowisko / Position ]:[Stanowisko / Position ]],0))="n/a","n/a",DW189-INDEX(tab_MinKomp[Kontrola wyjściowa produktu / Ausgangskontrolle],MATCH($B189,tab_MinKomp[[Stanowisko / Position ]:[Stanowisko / Position ]],0)))</f>
        <v>n/a</v>
      </c>
      <c r="DX190" s="315" t="str">
        <f>IF(INDEX(tab_MinKomp[Kontrola codzienna produkcji / Tägliche Produktionskontrolle],MATCH($B189,tab_MinKomp[[Stanowisko / Position ]:[Stanowisko / Position ]],0))="n/a","n/a",DX189-INDEX(tab_MinKomp[Kontrola codzienna produkcji / Tägliche Produktionskontrolle],MATCH($B189,tab_MinKomp[[Stanowisko / Position ]:[Stanowisko / Position ]],0)))</f>
        <v>n/a</v>
      </c>
      <c r="DY190" s="315" t="str">
        <f>IF(INDEX(tab_MinKomp[Konserwacja Rep],MATCH($B189,tab_MinKomp[[Stanowisko / Position ]:[Stanowisko / Position ]],0))="n/a","n/a",DY189-INDEX(tab_MinKomp[Konserwacja Rep],MATCH($B189,tab_MinKomp[[Stanowisko / Position ]:[Stanowisko / Position ]],0)))</f>
        <v>n/a</v>
      </c>
      <c r="DZ190" s="315" t="str">
        <f>IF(INDEX(tab_MinKomp[[Konserwacja Engel ]],MATCH($B189,tab_MinKomp[[Stanowisko / Position ]:[Stanowisko / Position ]],0))="n/a","n/a",DZ189-INDEX(tab_MinKomp[[Konserwacja Engel ]],MATCH($B189,tab_MinKomp[[Stanowisko / Position ]:[Stanowisko / Position ]],0)))</f>
        <v>n/a</v>
      </c>
      <c r="EA190" s="315" t="str">
        <f>IF(INDEX(tab_MinKomp[Konserwacja B 50],MATCH($B189,tab_MinKomp[[Stanowisko / Position ]:[Stanowisko / Position ]],0))="n/a","n/a",EA189-INDEX(tab_MinKomp[Konserwacja B 50],MATCH($B189,tab_MinKomp[[Stanowisko / Position ]:[Stanowisko / Position ]],0)))</f>
        <v>n/a</v>
      </c>
      <c r="EB190" s="315" t="str">
        <f>IF(INDEX(tab_MinKomp[[Konserwacja EOL ]],MATCH($B189,tab_MinKomp[[Stanowisko / Position ]:[Stanowisko / Position ]],0))="n/a","n/a",EB189-INDEX(tab_MinKomp[[Konserwacja EOL ]],MATCH($B189,tab_MinKomp[[Stanowisko / Position ]:[Stanowisko / Position ]],0)))</f>
        <v>n/a</v>
      </c>
      <c r="EC190" s="315" t="str">
        <f>IF(INDEX(tab_MinKomp[Konserwacja Branson],MATCH($B189,tab_MinKomp[[Stanowisko / Position ]:[Stanowisko / Position ]],0))="n/a","n/a",EC189-INDEX(tab_MinKomp[Konserwacja Branson],MATCH($B189,tab_MinKomp[[Stanowisko / Position ]:[Stanowisko / Position ]],0)))</f>
        <v>n/a</v>
      </c>
      <c r="ED190" s="315" t="str">
        <f>IF(INDEX(tab_MinKomp[Konserwacja coolery],MATCH($B189,tab_MinKomp[[Stanowisko / Position ]:[Stanowisko / Position ]],0))="n/a","n/a",ED189-INDEX(tab_MinKomp[Konserwacja coolery],MATCH($B189,tab_MinKomp[[Stanowisko / Position ]:[Stanowisko / Position ]],0)))</f>
        <v>n/a</v>
      </c>
      <c r="EE190" s="315" t="str">
        <f>IF(INDEX(tab_MinKomp[Konserwacja piecy],MATCH($B189,tab_MinKomp[[Stanowisko / Position ]:[Stanowisko / Position ]],0))="n/a","n/a",EE189-INDEX(tab_MinKomp[Konserwacja piecy],MATCH($B189,tab_MinKomp[[Stanowisko / Position ]:[Stanowisko / Position ]],0)))</f>
        <v>n/a</v>
      </c>
      <c r="EF190" s="315" t="str">
        <f>IF(INDEX(tab_MinKomp[Rysunek techniczny- czytanie],MATCH($B189,tab_MinKomp[[Stanowisko / Position ]:[Stanowisko / Position ]],0))="n/a","n/a",EF189-INDEX(tab_MinKomp[Rysunek techniczny- czytanie],MATCH($B189,tab_MinKomp[[Stanowisko / Position ]:[Stanowisko / Position ]],0)))</f>
        <v>n/a</v>
      </c>
      <c r="EG190" s="315" t="str">
        <f>IF(INDEX(tab_MinKomp[Elektryka],MATCH($B189,tab_MinKomp[[Stanowisko / Position ]:[Stanowisko / Position ]],0))="n/a","n/a",EG189-INDEX(tab_MinKomp[Elektryka],MATCH($B189,tab_MinKomp[[Stanowisko / Position ]:[Stanowisko / Position ]],0)))</f>
        <v>n/a</v>
      </c>
      <c r="EH190" s="315" t="str">
        <f>IF(INDEX(tab_MinKomp[Pneumatyka],MATCH($B189,tab_MinKomp[[Stanowisko / Position ]:[Stanowisko / Position ]],0))="n/a","n/a",EH189-INDEX(tab_MinKomp[Pneumatyka],MATCH($B189,tab_MinKomp[[Stanowisko / Position ]:[Stanowisko / Position ]],0)))</f>
        <v>n/a</v>
      </c>
      <c r="EI190" s="315" t="str">
        <f>IF(INDEX(tab_MinKomp[[Hydraulika ]],MATCH($B189,tab_MinKomp[[Stanowisko / Position ]:[Stanowisko / Position ]],0))="n/a","n/a",EI189-INDEX(tab_MinKomp[[Hydraulika ]],MATCH($B189,tab_MinKomp[[Stanowisko / Position ]:[Stanowisko / Position ]],0)))</f>
        <v>n/a</v>
      </c>
      <c r="EJ190" s="315" t="str">
        <f>IF(INDEX(tab_MinKomp[Podciśnienie],MATCH($B189,tab_MinKomp[[Stanowisko / Position ]:[Stanowisko / Position ]],0))="n/a","n/a",EJ189-INDEX(tab_MinKomp[Podciśnienie],MATCH($B189,tab_MinKomp[[Stanowisko / Position ]:[Stanowisko / Position ]],0)))</f>
        <v>n/a</v>
      </c>
      <c r="EK190" s="315" t="str">
        <f>IF(INDEX(tab_MinKomp[Usuwanie awarii],MATCH($B189,tab_MinKomp[[Stanowisko / Position ]:[Stanowisko / Position ]],0))="n/a","n/a",EK189-INDEX(tab_MinKomp[Usuwanie awarii],MATCH($B189,tab_MinKomp[[Stanowisko / Position ]:[Stanowisko / Position ]],0)))</f>
        <v>n/a</v>
      </c>
      <c r="EL190" s="315" t="str">
        <f>IF(INDEX(tab_MinKomp[Obsługa robotów],MATCH($B189,tab_MinKomp[[Stanowisko / Position ]:[Stanowisko / Position ]],0))="n/a","n/a",EL189-INDEX(tab_MinKomp[Obsługa robotów],MATCH($B189,tab_MinKomp[[Stanowisko / Position ]:[Stanowisko / Position ]],0)))</f>
        <v>n/a</v>
      </c>
      <c r="EM190" s="315" t="str">
        <f>IF(INDEX(tab_MinKomp[Obsługa sterowania maszyny],MATCH($B189,tab_MinKomp[[Stanowisko / Position ]:[Stanowisko / Position ]],0))="n/a","n/a",EM189-INDEX(tab_MinKomp[Obsługa sterowania maszyny],MATCH($B189,tab_MinKomp[[Stanowisko / Position ]:[Stanowisko / Position ]],0)))</f>
        <v>n/a</v>
      </c>
      <c r="EN190" s="315" t="str">
        <f>IF(INDEX(tab_MinKomp[Usuwanie przyczyn żródłowych],MATCH($B189,tab_MinKomp[[Stanowisko / Position ]:[Stanowisko / Position ]],0))="n/a","n/a",EN189-INDEX(tab_MinKomp[Usuwanie przyczyn żródłowych],MATCH($B189,tab_MinKomp[[Stanowisko / Position ]:[Stanowisko / Position ]],0)))</f>
        <v>n/a</v>
      </c>
      <c r="EO190" s="315" t="str">
        <f>IF(INDEX(tab_MinKomp[Cmms stosowanie],MATCH($B189,tab_MinKomp[[Stanowisko / Position ]:[Stanowisko / Position ]],0))="n/a","n/a",EO189-INDEX(tab_MinKomp[Cmms stosowanie],MATCH($B189,tab_MinKomp[[Stanowisko / Position ]:[Stanowisko / Position ]],0)))</f>
        <v>n/a</v>
      </c>
      <c r="EP190" s="315" t="str">
        <f>IF(INDEX(tab_MinKomp[[Czyszczenie form gumowych ]],MATCH($B189,tab_MinKomp[[Stanowisko / Position ]:[Stanowisko / Position ]],0))="n/a","n/a",EP189-INDEX(tab_MinKomp[[Czyszczenie form gumowych ]],MATCH($B189,tab_MinKomp[[Stanowisko / Position ]:[Stanowisko / Position ]],0)))</f>
        <v>n/a</v>
      </c>
      <c r="EQ190" s="315" t="str">
        <f>IF(INDEX(tab_MinKomp[Czyszczenie form plastikowych],MATCH($B189,tab_MinKomp[[Stanowisko / Position ]:[Stanowisko / Position ]],0))="n/a","n/a",EQ189-INDEX(tab_MinKomp[Czyszczenie form plastikowych],MATCH($B189,tab_MinKomp[[Stanowisko / Position ]:[Stanowisko / Position ]],0)))</f>
        <v>n/a</v>
      </c>
      <c r="ER190" s="315" t="str">
        <f>IF(INDEX(tab_MinKomp[Wymiana form plastik],MATCH($B189,tab_MinKomp[[Stanowisko / Position ]:[Stanowisko / Position ]],0))="n/a","n/a",ER189-INDEX(tab_MinKomp[Wymiana form plastik],MATCH($B189,tab_MinKomp[[Stanowisko / Position ]:[Stanowisko / Position ]],0)))</f>
        <v>n/a</v>
      </c>
      <c r="ES190" s="315" t="str">
        <f>IF(INDEX(tab_MinKomp[Wymiana form guma],MATCH($B189,tab_MinKomp[[Stanowisko / Position ]:[Stanowisko / Position ]],0))="n/a","n/a",ES189-INDEX(tab_MinKomp[Wymiana form guma],MATCH($B189,tab_MinKomp[[Stanowisko / Position ]:[Stanowisko / Position ]],0)))</f>
        <v>n/a</v>
      </c>
      <c r="ET190" s="315" t="str">
        <f>IF(INDEX(tab_MinKomp[Konserwacja KK],MATCH($B189,tab_MinKomp[[Stanowisko / Position ]:[Stanowisko / Position ]],0))="n/a","n/a",ET189-INDEX(tab_MinKomp[Konserwacja KK],MATCH($B189,tab_MinKomp[[Stanowisko / Position ]:[Stanowisko / Position ]],0)))</f>
        <v>n/a</v>
      </c>
      <c r="EU190" s="315" t="str">
        <f>IF(INDEX(tab_MinKomp[Konserwacja form guma],MATCH($B189,tab_MinKomp[[Stanowisko / Position ]:[Stanowisko / Position ]],0))="n/a","n/a",EU189-INDEX(tab_MinKomp[Konserwacja form guma],MATCH($B189,tab_MinKomp[[Stanowisko / Position ]:[Stanowisko / Position ]],0)))</f>
        <v>n/a</v>
      </c>
      <c r="EV190" s="315" t="str">
        <f>IF(INDEX(tab_MinKomp[Konserwacja form plastiki],MATCH($B189,tab_MinKomp[[Stanowisko / Position ]:[Stanowisko / Position ]],0))="n/a","n/a",EV189-INDEX(tab_MinKomp[Konserwacja form plastiki],MATCH($B189,tab_MinKomp[[Stanowisko / Position ]:[Stanowisko / Position ]],0)))</f>
        <v>n/a</v>
      </c>
      <c r="EW190" s="330" t="str">
        <f>IF(INDEX(tab_MinKomp[Konserwacja form plastiki],MATCH($B189,tab_MinKomp[[Stanowisko / Position ]:[Stanowisko / Position ]],0))="n/a","n/a",EW189-INDEX(tab_MinKomp[Konserwacja form plastiki],MATCH($B189,tab_MinKomp[[Stanowisko / Position ]:[Stanowisko / Position ]],0)))</f>
        <v>n/a</v>
      </c>
      <c r="EX190" s="315" t="str">
        <f>IF(INDEX(tab_MinKomp[Konserwacja Gorącego Kanału],MATCH($B189,tab_MinKomp[[Stanowisko / Position ]:[Stanowisko / Position ]],0))="n/a","n/a",EX189-INDEX(tab_MinKomp[Konserwacja Gorącego Kanału],MATCH($B189,tab_MinKomp[[Stanowisko / Position ]:[Stanowisko / Position ]],0)))</f>
        <v>n/a</v>
      </c>
      <c r="EY190" s="315">
        <f>IF(INDEX(tab_MinKomp[MS Office (Excel)],MATCH($B189,tab_MinKomp[[Stanowisko / Position ]:[Stanowisko / Position ]],0))="n/a","n/a",EY189-INDEX(tab_MinKomp[MS Office (Excel)],MATCH($B189,tab_MinKomp[[Stanowisko / Position ]:[Stanowisko / Position ]],0)))</f>
        <v>0</v>
      </c>
      <c r="EZ190" s="315">
        <f>IF(INDEX(tab_MinKomp[MS Office (Word)],MATCH($B189,tab_MinKomp[[Stanowisko / Position ]:[Stanowisko / Position ]],0))="n/a","n/a",EZ189-INDEX(tab_MinKomp[MS Office (Word)],MATCH($B189,tab_MinKomp[[Stanowisko / Position ]:[Stanowisko / Position ]],0)))</f>
        <v>0</v>
      </c>
      <c r="FA190" s="315">
        <f>IF(INDEX(tab_MinKomp[MS Office (Power Point)],MATCH($B189,tab_MinKomp[[Stanowisko / Position ]:[Stanowisko / Position ]],0))="n/a","n/a",FA189-INDEX(tab_MinKomp[MS Office (Power Point)],MATCH($B189,tab_MinKomp[[Stanowisko / Position ]:[Stanowisko / Position ]],0)))</f>
        <v>0</v>
      </c>
      <c r="FB190" s="315">
        <f>IF(INDEX(tab_MinKomp[Język angielski / Englisch],MATCH($B189,tab_MinKomp[[Stanowisko / Position ]:[Stanowisko / Position ]],0))="n/a","n/a",FB189-INDEX(tab_MinKomp[Język angielski / Englisch],MATCH($B189,tab_MinKomp[[Stanowisko / Position ]:[Stanowisko / Position ]],0)))</f>
        <v>0</v>
      </c>
      <c r="FC190" s="315" t="str">
        <f>IF(INDEX(tab_MinKomp[Język niemiecki / Deutsch],MATCH($B189,tab_MinKomp[[Stanowisko / Position ]:[Stanowisko / Position ]],0))="n/a","n/a",FC189-INDEX(tab_MinKomp[Język niemiecki / Deutsch],MATCH($B189,tab_MinKomp[[Stanowisko / Position ]:[Stanowisko / Position ]],0)))</f>
        <v>n/a</v>
      </c>
      <c r="FD190" s="315">
        <f>IF(INDEX(tab_MinKomp[Zarządzanie dokumentacją procesową / Process dokumentation management],MATCH($B189,tab_MinKomp[[Stanowisko / Position ]:[Stanowisko / Position ]],0))="n/a","n/a",FD189-INDEX(tab_MinKomp[Zarządzanie dokumentacją procesową / Process dokumentation management],MATCH($B189,tab_MinKomp[[Stanowisko / Position ]:[Stanowisko / Position ]],0)))</f>
        <v>0</v>
      </c>
      <c r="FE190" s="315">
        <f>IF(INDEX(tab_MinKomp[Znajomość procesów z obszaru / Kenntiss der prozesse in dem Bereich],MATCH($B189,tab_MinKomp[[Stanowisko / Position ]:[Stanowisko / Position ]],0))="n/a","n/a",FE189-INDEX(tab_MinKomp[Znajomość procesów z obszaru / Kenntiss der prozesse in dem Bereich],MATCH($B189,tab_MinKomp[[Stanowisko / Position ]:[Stanowisko / Position ]],0)))</f>
        <v>0</v>
      </c>
      <c r="FF190" s="315">
        <f>IF(INDEX(tab_MinKomp[optymalizacja procesów / Prozessoptymalisierung],MATCH($B189,tab_MinKomp[[Stanowisko / Position ]:[Stanowisko / Position ]],0))="n/a","n/a",FF189-INDEX(tab_MinKomp[optymalizacja procesów / Prozessoptymalisierung],MATCH($B189,tab_MinKomp[[Stanowisko / Position ]:[Stanowisko / Position ]],0)))</f>
        <v>0</v>
      </c>
      <c r="FG190" s="315">
        <f>IF(INDEX(tab_MinKomp[Umiejętności szkoleniowe / Trainingsfähigkeiten],MATCH($B189,tab_MinKomp[[Stanowisko / Position ]:[Stanowisko / Position ]],0))="n/a","n/a",FG189-INDEX(tab_MinKomp[Umiejętności szkoleniowe / Trainingsfähigkeiten],MATCH($B189,tab_MinKomp[[Stanowisko / Position ]:[Stanowisko / Position ]],0)))</f>
        <v>0</v>
      </c>
      <c r="FH190" s="315">
        <f>IF(INDEX(tab_MinKomp[Analityczne myślenie, podejście / Analitysches Denken, Einstellung],MATCH($B189,tab_MinKomp[[Stanowisko / Position ]:[Stanowisko / Position ]],0))="n/a","n/a",FH189-INDEX(tab_MinKomp[Analityczne myślenie, podejście / Analitysches Denken, Einstellung],MATCH($B189,tab_MinKomp[[Stanowisko / Position ]:[Stanowisko / Position ]],0)))</f>
        <v>0</v>
      </c>
      <c r="FI190" s="315">
        <f>IF(INDEX(tab_MinKomp[Dokładność, precyzja w dzialaniu / Genauigkeit, Präzision in die Arbeit],MATCH($B189,tab_MinKomp[[Stanowisko / Position ]:[Stanowisko / Position ]],0))="n/a","n/a",FI189-INDEX(tab_MinKomp[Dokładność, precyzja w dzialaniu / Genauigkeit, Präzision in die Arbeit],MATCH($B189,tab_MinKomp[[Stanowisko / Position ]:[Stanowisko / Position ]],0)))</f>
        <v>0</v>
      </c>
      <c r="FJ190" s="315">
        <f>IF(INDEX(tab_MinKomp[Dyspozycyjność / Verfügbarkeit],MATCH($B189,tab_MinKomp[[Stanowisko / Position ]:[Stanowisko / Position ]],0))="n/a","n/a",FJ189-INDEX(tab_MinKomp[Dyspozycyjność / Verfügbarkeit],MATCH($B189,tab_MinKomp[[Stanowisko / Position ]:[Stanowisko / Position ]],0)))</f>
        <v>0</v>
      </c>
      <c r="FK190" s="315">
        <f>IF(INDEX(tab_MinKomp[Zaangażowanie / 
Engagement],MATCH($B189,tab_MinKomp[[Stanowisko / Position ]:[Stanowisko / Position ]],0))="n/a","n/a",FK189-INDEX(tab_MinKomp[Zaangażowanie / 
Engagement],MATCH($B189,tab_MinKomp[[Stanowisko / Position ]:[Stanowisko / Position ]],0)))</f>
        <v>1</v>
      </c>
      <c r="FL190" s="315">
        <f>IF(INDEX(tab_MinKomp[Planowanie strategiczne / Strategische Planung],MATCH($B189,tab_MinKomp[[Stanowisko / Position ]:[Stanowisko / Position ]],0))="n/a","n/a",FL189-INDEX(tab_MinKomp[Planowanie strategiczne / Strategische Planung],MATCH($B189,tab_MinKomp[[Stanowisko / Position ]:[Stanowisko / Position ]],0)))</f>
        <v>-1</v>
      </c>
      <c r="FM190" s="315">
        <f>IF(INDEX(tab_MinKomp[Konsekwentne i dynamiczne działanie],MATCH($B189,tab_MinKomp[[Stanowisko / Position ]:[Stanowisko / Position ]],0))="n/a","n/a",FM189-INDEX(tab_MinKomp[Konsekwentne i dynamiczne działanie],MATCH($B189,tab_MinKomp[[Stanowisko / Position ]:[Stanowisko / Position ]],0)))</f>
        <v>0</v>
      </c>
      <c r="FN190" s="315">
        <f>IF(INDEX(tab_MinKomp[Elastyczność w działaniu],MATCH($B189,tab_MinKomp[[Stanowisko / Position ]:[Stanowisko / Position ]],0))="n/a","n/a",FN189-INDEX(tab_MinKomp[Elastyczność w działaniu],MATCH($B189,tab_MinKomp[[Stanowisko / Position ]:[Stanowisko / Position ]],0)))</f>
        <v>0</v>
      </c>
      <c r="FO190" s="315">
        <f>IF(INDEX(tab_MinKomp[Komunikatywność],MATCH($B189,tab_MinKomp[[Stanowisko / Position ]:[Stanowisko / Position ]],0))="n/a","n/a",FO189-INDEX(tab_MinKomp[Komunikatywność],MATCH($B189,tab_MinKomp[[Stanowisko / Position ]:[Stanowisko / Position ]],0)))</f>
        <v>0</v>
      </c>
      <c r="FP190" s="315">
        <f>IF(INDEX(tab_MinKomp[Motywowanie i budowanie zaangażowania zespołu],MATCH($B189,tab_MinKomp[[Stanowisko / Position ]:[Stanowisko / Position ]],0))="n/a","n/a",FP189-INDEX(tab_MinKomp[Motywowanie i budowanie zaangażowania zespołu],MATCH($B189,tab_MinKomp[[Stanowisko / Position ]:[Stanowisko / Position ]],0)))</f>
        <v>0</v>
      </c>
      <c r="FQ190" s="318" t="str">
        <f>IFERROR(IF(INDEX(tab_MinKomp[BRAK / Keine],MATCH($B189,tab_MinKomp[[Stanowisko / Position ]:[Stanowisko / Position ]],0))="n/a","n/a",INDEX(tab_MinKomp[BRAK / Keine],MATCH($B189,tab_MinKomp[[Stanowisko / Position ]:[Stanowisko / Position ]],0))-FQ189),"")</f>
        <v>n/a</v>
      </c>
      <c r="FR190" s="315" t="str">
        <f>IF(INDEX(tab_MinKomp[MINIMUM 1 ROK / min. 1 Jahr],MATCH($B189,tab_MinKomp[[Stanowisko / Position ]:[Stanowisko / Position ]],0))="n/a","n/a",INDEX(tab_MinKomp[MINIMUM 1 ROK / min. 1 Jahr],MATCH($B189,tab_MinKomp[[Stanowisko / Position ]:[Stanowisko / Position ]],0)))</f>
        <v>n/a</v>
      </c>
      <c r="FS190" s="315" t="str">
        <f>IF(INDEX(tab_MinKomp[MINIMUM 2 LATA / min. 2 Jahre],MATCH($B189,tab_MinKomp[[Stanowisko / Position ]:[Stanowisko / Position ]],0))="n/a","n/a",INDEX(tab_MinKomp[MINIMUM 2 LATA / min. 2 Jahre],MATCH($B189,tab_MinKomp[[Stanowisko / Position ]:[Stanowisko / Position ]],0)))</f>
        <v>X</v>
      </c>
      <c r="FT190" s="315" t="str">
        <f>IF(INDEX(tab_MinKomp[MINIMUM 3 LATA / min. 3 Jahre],MATCH($B189,tab_MinKomp[[Stanowisko / Position ]:[Stanowisko / Position ]],0))="n/a","n/a",INDEX(tab_MinKomp[MINIMUM 3 LATA / min. 3 Jahre],MATCH($B189,tab_MinKomp[[Stanowisko / Position ]:[Stanowisko / Position ]],0)))</f>
        <v>n/a</v>
      </c>
      <c r="FU190" s="315" t="str">
        <f>IF(INDEX(tab_MinKomp[MINIMUM 4 LATA / min. 4 Jahre],MATCH($B189,tab_MinKomp[[Stanowisko / Position ]:[Stanowisko / Position ]],0))="n/a","n/a",INDEX(tab_MinKomp[MINIMUM 4 LATA / min. 4 Jahre],MATCH($B189,tab_MinKomp[[Stanowisko / Position ]:[Stanowisko / Position ]],0)))</f>
        <v>n/a</v>
      </c>
      <c r="FV190" s="319" t="str">
        <f>IF(INDEX(tab_MinKomp[MINIMUM 5 LAT / min. 5 Jahre],MATCH($B189,tab_MinKomp[[Stanowisko / Position ]:[Stanowisko / Position ]],0))="n/a","n/a",INDEX(tab_MinKomp[MINIMUM 5 LAT / min. 5 Jahre],MATCH($B189,tab_MinKomp[[Stanowisko / Position ]:[Stanowisko / Position ]],0)))</f>
        <v>n/a</v>
      </c>
      <c r="FW190" s="318" t="str">
        <f>IF(INDEX(tab_MinKomp[BRAK / Keine9],MATCH($B189,tab_MinKomp[[Stanowisko / Position ]:[Stanowisko / Position ]],0))="n/a","n/a",INDEX(tab_MinKomp[BRAK / Keine9],MATCH($B189,tab_MinKomp[[Stanowisko / Position ]:[Stanowisko / Position ]],0)))</f>
        <v>n/a</v>
      </c>
      <c r="FX190" s="315" t="str">
        <f>IF(INDEX(tab_MinKomp[ZAWODOWE / Berufsausbildung],MATCH($B189,tab_MinKomp[[Stanowisko / Position ]:[Stanowisko / Position ]],0))="n/a","n/a",INDEX(tab_MinKomp[ZAWODOWE / Berufsausbildung],MATCH($B189,tab_MinKomp[[Stanowisko / Position ]:[Stanowisko / Position ]],0)))</f>
        <v>n/a</v>
      </c>
      <c r="FY190" s="315" t="str">
        <f>IF(INDEX(tab_MinKomp[ŚREDNIE OGÓLNE / Abitur allgemeine],MATCH($B189,tab_MinKomp[[Stanowisko / Position ]:[Stanowisko / Position ]],0))="n/a","n/a",INDEX(tab_MinKomp[ŚREDNIE OGÓLNE / Abitur allgemeine],MATCH($B189,tab_MinKomp[[Stanowisko / Position ]:[Stanowisko / Position ]],0)))</f>
        <v>n/a</v>
      </c>
      <c r="FZ190" s="315" t="str">
        <f>IF(INDEX(tab_MinKomp[ŚREDNIE KIERUNKOWE / berufliches Gymnasium],MATCH($B189,tab_MinKomp[[Stanowisko / Position ]:[Stanowisko / Position ]],0))="n/a","n/a",INDEX(tab_MinKomp[ŚREDNIE KIERUNKOWE / berufliches Gymnasium],MATCH($B189,tab_MinKomp[[Stanowisko / Position ]:[Stanowisko / Position ]],0)))</f>
        <v>n/a</v>
      </c>
      <c r="GA190" s="315" t="str">
        <f>IF(INDEX(tab_MinKomp[WYŻSZE OGÓLNE / Hochschule allgemeine],MATCH($B189,tab_MinKomp[[Stanowisko / Position ]:[Stanowisko / Position ]],0))="n/a","n/a",INDEX(tab_MinKomp[WYŻSZE OGÓLNE / Hochschule allgemeine],MATCH($B189,tab_MinKomp[[Stanowisko / Position ]:[Stanowisko / Position ]],0)))</f>
        <v>n/a</v>
      </c>
      <c r="GB190" s="319" t="str">
        <f>IF(INDEX(tab_MinKomp[WYŻSZE KIERUNKOWE / Hochschule berufliche],MATCH($B189,tab_MinKomp[[Stanowisko / Position ]:[Stanowisko / Position ]],0))="n/a","n/a",INDEX(tab_MinKomp[WYŻSZE KIERUNKOWE / Hochschule berufliche],MATCH($B189,tab_MinKomp[[Stanowisko / Position ]:[Stanowisko / Position ]],0)))</f>
        <v>X</v>
      </c>
      <c r="GC190" s="318" t="str">
        <f>IF(INDEX(tab_MinKomp[PIERWSZA POMOC / Erste Hilfe],MATCH($B189,tab_MinKomp[[Stanowisko / Position ]:[Stanowisko / Position ]],0))="n/a","n/a",INDEX(tab_MinKomp[PIERWSZA POMOC / Erste Hilfe],MATCH($B189,tab_MinKomp[[Stanowisko / Position ]:[Stanowisko / Position ]],0)))</f>
        <v>n/a</v>
      </c>
      <c r="GD190" s="315" t="str">
        <f>IF(INDEX(tab_MinKomp[Specjalista BHP / BHP Spezialist],MATCH($B189,tab_MinKomp[[Stanowisko / Position ]:[Stanowisko / Position ]],0))="n/a","n/a",INDEX(tab_MinKomp[Specjalista BHP / BHP Spezialist],MATCH($B189,tab_MinKomp[[Stanowisko / Position ]:[Stanowisko / Position ]],0)))</f>
        <v>n/a</v>
      </c>
      <c r="GE190" s="315" t="str">
        <f>IF(INDEX(tab_MinKomp[Inspektor ochrony PPOŻ / Brandschutzinspektor],MATCH($B189,tab_MinKomp[[Stanowisko / Position ]:[Stanowisko / Position ]],0))="n/a","n/a",INDEX(tab_MinKomp[Inspektor ochrony PPOŻ / Brandschutzinspektor],MATCH($B189,tab_MinKomp[[Stanowisko / Position ]:[Stanowisko / Position ]],0)))</f>
        <v>n/a</v>
      </c>
      <c r="GF190" s="315" t="str">
        <f>IF(INDEX(tab_MinKomp[WÓZKI JEZDNIOWE / Gebelstapler],MATCH($B189,tab_MinKomp[[Stanowisko / Position ]:[Stanowisko / Position ]],0))="n/a","n/a",INDEX(tab_MinKomp[WÓZKI JEZDNIOWE / Gebelstapler],MATCH($B189,tab_MinKomp[[Stanowisko / Position ]:[Stanowisko / Position ]],0)))</f>
        <v>n/a</v>
      </c>
      <c r="GG190" s="315" t="str">
        <f>IF(INDEX(tab_MinKomp[SEP],MATCH($B189,tab_MinKomp[[Stanowisko / Position ]:[Stanowisko / Position ]],0))="n/a","n/a",INDEX(tab_MinKomp[SEP],MATCH($B189,tab_MinKomp[[Stanowisko / Position ]:[Stanowisko / Position ]],0)))</f>
        <v>n/a</v>
      </c>
      <c r="GH190" s="315" t="str">
        <f>IF(INDEX(tab_MinKomp[SEP  DOZÓR / SEP Aufsicht],MATCH($B189,tab_MinKomp[[Stanowisko / Position ]:[Stanowisko / Position ]],0))="n/a","n/a",INDEX(tab_MinKomp[SEP  DOZÓR / SEP Aufsicht],MATCH($B189,tab_MinKomp[[Stanowisko / Position ]:[Stanowisko / Position ]],0)))</f>
        <v>n/a</v>
      </c>
      <c r="GI190" s="315" t="str">
        <f>IF(INDEX(tab_MinKomp[PODNOŚNIKI / Hebevorrichtung],MATCH($B189,tab_MinKomp[[Stanowisko / Position ]:[Stanowisko / Position ]],0))="n/a","n/a",INDEX(tab_MinKomp[PODNOŚNIKI / Hebevorrichtung],MATCH($B189,tab_MinKomp[[Stanowisko / Position ]:[Stanowisko / Position ]],0)))</f>
        <v>n/a</v>
      </c>
      <c r="GJ190" s="315" t="str">
        <f>IF(INDEX(tab_MinKomp[SUWNICE / Laufkran],MATCH($B189,tab_MinKomp[[Stanowisko / Position ]:[Stanowisko / Position ]],0))="n/a","n/a",INDEX(tab_MinKomp[SUWNICE / Laufkran],MATCH($B189,tab_MinKomp[[Stanowisko / Position ]:[Stanowisko / Position ]],0)))</f>
        <v>n/a</v>
      </c>
      <c r="GK190" s="319" t="str">
        <f>IF(INDEX(tab_MinKomp[WYSOKOŚCIOWE / Höhenberechtigungen],MATCH($B189,tab_MinKomp[[Stanowisko / Position ]:[Stanowisko / Position ]],0))="n/a","n/a",INDEX(tab_MinKomp[WYSOKOŚCIOWE / Höhenberechtigungen],MATCH($B189,tab_MinKomp[[Stanowisko / Position ]:[Stanowisko / Position ]],0)))</f>
        <v>n/a</v>
      </c>
      <c r="GL190" s="320">
        <f>SUM(G190:FP190)/(GL189-(SUM(G190:FP190)))</f>
        <v>-9.1743119266055051E-3</v>
      </c>
    </row>
    <row r="191" spans="1:195" ht="28.35" customHeight="1" x14ac:dyDescent="0.25">
      <c r="A191" s="135" t="s">
        <v>260</v>
      </c>
      <c r="B191" s="135" t="s">
        <v>193</v>
      </c>
      <c r="C191" s="135" t="s">
        <v>750</v>
      </c>
      <c r="D191" s="135">
        <v>231</v>
      </c>
      <c r="E191" s="565" t="s">
        <v>677</v>
      </c>
      <c r="F191" s="307" t="s">
        <v>165</v>
      </c>
      <c r="G191" s="308">
        <v>2</v>
      </c>
      <c r="H191" s="308">
        <v>2</v>
      </c>
      <c r="I191" s="308">
        <v>2</v>
      </c>
      <c r="J191" s="308">
        <v>1</v>
      </c>
      <c r="K191" s="308">
        <v>2</v>
      </c>
      <c r="L191" s="308">
        <v>1</v>
      </c>
      <c r="M191" s="308" t="s">
        <v>176</v>
      </c>
      <c r="N191" s="308" t="s">
        <v>176</v>
      </c>
      <c r="O191" s="308">
        <v>1</v>
      </c>
      <c r="P191" s="308">
        <v>1</v>
      </c>
      <c r="Q191" s="308" t="s">
        <v>176</v>
      </c>
      <c r="R191" s="308" t="s">
        <v>176</v>
      </c>
      <c r="S191" s="308" t="s">
        <v>176</v>
      </c>
      <c r="T191" s="308" t="s">
        <v>176</v>
      </c>
      <c r="U191" s="308" t="s">
        <v>176</v>
      </c>
      <c r="V191" s="308" t="s">
        <v>176</v>
      </c>
      <c r="W191" s="308" t="s">
        <v>176</v>
      </c>
      <c r="X191" s="308" t="s">
        <v>176</v>
      </c>
      <c r="Y191" s="308" t="s">
        <v>176</v>
      </c>
      <c r="Z191" s="308" t="s">
        <v>176</v>
      </c>
      <c r="AA191" s="308" t="s">
        <v>176</v>
      </c>
      <c r="AB191" s="308" t="s">
        <v>176</v>
      </c>
      <c r="AC191" s="308">
        <v>1</v>
      </c>
      <c r="AD191" s="308">
        <v>1</v>
      </c>
      <c r="AE191" s="308">
        <v>1</v>
      </c>
      <c r="AF191" s="308">
        <v>1</v>
      </c>
      <c r="AG191" s="308">
        <v>1</v>
      </c>
      <c r="AH191" s="308">
        <v>1</v>
      </c>
      <c r="AI191" s="308" t="s">
        <v>176</v>
      </c>
      <c r="AJ191" s="308" t="s">
        <v>176</v>
      </c>
      <c r="AK191" s="308" t="s">
        <v>176</v>
      </c>
      <c r="AL191" s="308">
        <v>1</v>
      </c>
      <c r="AM191" s="308" t="s">
        <v>176</v>
      </c>
      <c r="AN191" s="308" t="s">
        <v>176</v>
      </c>
      <c r="AO191" s="308">
        <v>1</v>
      </c>
      <c r="AP191" s="308">
        <v>1</v>
      </c>
      <c r="AQ191" s="308">
        <v>1</v>
      </c>
      <c r="AR191" s="308" t="s">
        <v>176</v>
      </c>
      <c r="AS191" s="308">
        <v>1</v>
      </c>
      <c r="AT191" s="308">
        <v>1</v>
      </c>
      <c r="AU191" s="308">
        <v>1</v>
      </c>
      <c r="AV191" s="308">
        <v>2</v>
      </c>
      <c r="AW191" s="308">
        <v>1</v>
      </c>
      <c r="AX191" s="308">
        <v>1</v>
      </c>
      <c r="AY191" s="308" t="s">
        <v>176</v>
      </c>
      <c r="AZ191" s="308" t="s">
        <v>176</v>
      </c>
      <c r="BA191" s="308" t="s">
        <v>176</v>
      </c>
      <c r="BB191" s="308" t="s">
        <v>176</v>
      </c>
      <c r="BC191" s="308" t="s">
        <v>176</v>
      </c>
      <c r="BD191" s="308" t="s">
        <v>176</v>
      </c>
      <c r="BE191" s="308" t="s">
        <v>176</v>
      </c>
      <c r="BF191" s="308" t="s">
        <v>176</v>
      </c>
      <c r="BG191" s="308" t="s">
        <v>176</v>
      </c>
      <c r="BH191" s="308" t="s">
        <v>176</v>
      </c>
      <c r="BI191" s="308" t="s">
        <v>176</v>
      </c>
      <c r="BJ191" s="308" t="s">
        <v>176</v>
      </c>
      <c r="BK191" s="308" t="s">
        <v>176</v>
      </c>
      <c r="BL191" s="308" t="s">
        <v>176</v>
      </c>
      <c r="BM191" s="308" t="s">
        <v>176</v>
      </c>
      <c r="BN191" s="308" t="s">
        <v>176</v>
      </c>
      <c r="BO191" s="308" t="s">
        <v>176</v>
      </c>
      <c r="BP191" s="308" t="s">
        <v>176</v>
      </c>
      <c r="BQ191" s="308" t="s">
        <v>176</v>
      </c>
      <c r="BR191" s="308" t="s">
        <v>176</v>
      </c>
      <c r="BS191" s="308" t="s">
        <v>176</v>
      </c>
      <c r="BT191" s="308" t="s">
        <v>176</v>
      </c>
      <c r="BU191" s="308" t="s">
        <v>176</v>
      </c>
      <c r="BV191" s="308" t="s">
        <v>176</v>
      </c>
      <c r="BW191" s="308" t="s">
        <v>176</v>
      </c>
      <c r="BX191" s="308" t="s">
        <v>176</v>
      </c>
      <c r="BY191" s="308" t="s">
        <v>176</v>
      </c>
      <c r="BZ191" s="308" t="s">
        <v>176</v>
      </c>
      <c r="CA191" s="308" t="s">
        <v>176</v>
      </c>
      <c r="CB191" s="308" t="s">
        <v>176</v>
      </c>
      <c r="CC191" s="308" t="s">
        <v>176</v>
      </c>
      <c r="CD191" s="308" t="s">
        <v>176</v>
      </c>
      <c r="CE191" s="308" t="s">
        <v>176</v>
      </c>
      <c r="CF191" s="308" t="s">
        <v>176</v>
      </c>
      <c r="CG191" s="308" t="s">
        <v>176</v>
      </c>
      <c r="CH191" s="308" t="s">
        <v>176</v>
      </c>
      <c r="CI191" s="308" t="s">
        <v>176</v>
      </c>
      <c r="CJ191" s="308" t="s">
        <v>176</v>
      </c>
      <c r="CK191" s="308" t="s">
        <v>176</v>
      </c>
      <c r="CL191" s="308" t="s">
        <v>176</v>
      </c>
      <c r="CM191" s="308" t="s">
        <v>176</v>
      </c>
      <c r="CN191" s="308">
        <v>1</v>
      </c>
      <c r="CO191" s="308" t="s">
        <v>176</v>
      </c>
      <c r="CP191" s="308" t="s">
        <v>176</v>
      </c>
      <c r="CQ191" s="308" t="s">
        <v>176</v>
      </c>
      <c r="CR191" s="308" t="s">
        <v>176</v>
      </c>
      <c r="CS191" s="308" t="s">
        <v>176</v>
      </c>
      <c r="CT191" s="308">
        <v>2</v>
      </c>
      <c r="CU191" s="308">
        <v>2</v>
      </c>
      <c r="CV191" s="308">
        <v>2</v>
      </c>
      <c r="CW191" s="308">
        <v>2</v>
      </c>
      <c r="CX191" s="308">
        <v>2</v>
      </c>
      <c r="CY191" s="308">
        <v>2</v>
      </c>
      <c r="CZ191" s="308">
        <v>2</v>
      </c>
      <c r="DA191" s="308">
        <v>2</v>
      </c>
      <c r="DB191" s="308">
        <v>1</v>
      </c>
      <c r="DC191" s="308">
        <v>1</v>
      </c>
      <c r="DD191" s="308" t="s">
        <v>176</v>
      </c>
      <c r="DE191" s="308">
        <v>1</v>
      </c>
      <c r="DF191" s="308">
        <v>1</v>
      </c>
      <c r="DG191" s="308">
        <v>2</v>
      </c>
      <c r="DH191" s="308">
        <v>2</v>
      </c>
      <c r="DI191" s="308">
        <v>2</v>
      </c>
      <c r="DJ191" s="308">
        <v>2</v>
      </c>
      <c r="DK191" s="308">
        <v>2</v>
      </c>
      <c r="DL191" s="308">
        <v>2</v>
      </c>
      <c r="DM191" s="308">
        <v>2</v>
      </c>
      <c r="DN191" s="308">
        <v>2</v>
      </c>
      <c r="DO191" s="308">
        <v>3</v>
      </c>
      <c r="DP191" s="308">
        <v>3</v>
      </c>
      <c r="DQ191" s="308">
        <v>2</v>
      </c>
      <c r="DR191" s="308">
        <v>2</v>
      </c>
      <c r="DS191" s="308">
        <v>1</v>
      </c>
      <c r="DT191" s="308">
        <v>1</v>
      </c>
      <c r="DU191" s="308">
        <v>1</v>
      </c>
      <c r="DV191" s="308">
        <v>2</v>
      </c>
      <c r="DW191" s="308">
        <v>2</v>
      </c>
      <c r="DX191" s="308">
        <v>2</v>
      </c>
      <c r="DY191" s="308" t="s">
        <v>176</v>
      </c>
      <c r="DZ191" s="308" t="s">
        <v>176</v>
      </c>
      <c r="EA191" s="308" t="s">
        <v>176</v>
      </c>
      <c r="EB191" s="308" t="s">
        <v>176</v>
      </c>
      <c r="EC191" s="308" t="s">
        <v>176</v>
      </c>
      <c r="ED191" s="308" t="s">
        <v>176</v>
      </c>
      <c r="EE191" s="308" t="s">
        <v>176</v>
      </c>
      <c r="EF191" s="308" t="s">
        <v>176</v>
      </c>
      <c r="EG191" s="308" t="s">
        <v>176</v>
      </c>
      <c r="EH191" s="308" t="s">
        <v>176</v>
      </c>
      <c r="EI191" s="308" t="s">
        <v>176</v>
      </c>
      <c r="EJ191" s="308" t="s">
        <v>176</v>
      </c>
      <c r="EK191" s="308" t="s">
        <v>176</v>
      </c>
      <c r="EL191" s="308" t="s">
        <v>176</v>
      </c>
      <c r="EM191" s="308" t="s">
        <v>176</v>
      </c>
      <c r="EN191" s="308" t="s">
        <v>176</v>
      </c>
      <c r="EO191" s="308" t="s">
        <v>176</v>
      </c>
      <c r="EP191" s="308" t="s">
        <v>176</v>
      </c>
      <c r="EQ191" s="308" t="s">
        <v>176</v>
      </c>
      <c r="ER191" s="308" t="s">
        <v>176</v>
      </c>
      <c r="ES191" s="308" t="s">
        <v>176</v>
      </c>
      <c r="ET191" s="308" t="s">
        <v>176</v>
      </c>
      <c r="EU191" s="308" t="s">
        <v>176</v>
      </c>
      <c r="EV191" s="308" t="s">
        <v>176</v>
      </c>
      <c r="EW191" s="308" t="s">
        <v>176</v>
      </c>
      <c r="EX191" s="308" t="s">
        <v>176</v>
      </c>
      <c r="EY191" s="308">
        <v>2</v>
      </c>
      <c r="EZ191" s="308">
        <v>2</v>
      </c>
      <c r="FA191" s="308">
        <v>1</v>
      </c>
      <c r="FB191" s="308" t="s">
        <v>176</v>
      </c>
      <c r="FC191" s="308" t="s">
        <v>176</v>
      </c>
      <c r="FD191" s="308">
        <v>1</v>
      </c>
      <c r="FE191" s="308">
        <v>2</v>
      </c>
      <c r="FF191" s="308" t="s">
        <v>176</v>
      </c>
      <c r="FG191" s="308">
        <v>1</v>
      </c>
      <c r="FH191" s="308">
        <v>1</v>
      </c>
      <c r="FI191" s="308">
        <v>2</v>
      </c>
      <c r="FJ191" s="308">
        <v>2</v>
      </c>
      <c r="FK191" s="308">
        <v>2</v>
      </c>
      <c r="FL191" s="308" t="s">
        <v>176</v>
      </c>
      <c r="FM191" s="308" t="s">
        <v>176</v>
      </c>
      <c r="FN191" s="308" t="s">
        <v>176</v>
      </c>
      <c r="FO191" s="308">
        <v>1</v>
      </c>
      <c r="FP191" s="308" t="s">
        <v>176</v>
      </c>
      <c r="FQ191" s="308" t="s">
        <v>176</v>
      </c>
      <c r="FR191" s="308" t="s">
        <v>160</v>
      </c>
      <c r="FS191" s="308" t="s">
        <v>176</v>
      </c>
      <c r="FT191" s="308" t="s">
        <v>176</v>
      </c>
      <c r="FU191" s="308" t="s">
        <v>176</v>
      </c>
      <c r="FV191" s="308" t="s">
        <v>176</v>
      </c>
      <c r="FW191" s="308" t="s">
        <v>176</v>
      </c>
      <c r="FX191" s="308" t="s">
        <v>176</v>
      </c>
      <c r="FY191" s="308" t="s">
        <v>176</v>
      </c>
      <c r="FZ191" s="308" t="s">
        <v>160</v>
      </c>
      <c r="GA191" s="308" t="s">
        <v>176</v>
      </c>
      <c r="GB191" s="308" t="s">
        <v>176</v>
      </c>
      <c r="GC191" s="308" t="s">
        <v>176</v>
      </c>
      <c r="GD191" s="308" t="s">
        <v>176</v>
      </c>
      <c r="GE191" s="308" t="s">
        <v>176</v>
      </c>
      <c r="GF191" s="308" t="s">
        <v>176</v>
      </c>
      <c r="GG191" s="308" t="s">
        <v>176</v>
      </c>
      <c r="GH191" s="308" t="s">
        <v>176</v>
      </c>
      <c r="GI191" s="308" t="s">
        <v>176</v>
      </c>
      <c r="GJ191" s="308" t="s">
        <v>176</v>
      </c>
      <c r="GK191" s="321" t="s">
        <v>176</v>
      </c>
      <c r="GL191" s="311">
        <f>SUM(G191:FP191)</f>
        <v>102</v>
      </c>
    </row>
    <row r="192" spans="1:195" ht="28.35" customHeight="1" thickBot="1" x14ac:dyDescent="0.3">
      <c r="A192" s="138" t="str">
        <f>A191</f>
        <v>Jakość-Quality Labor</v>
      </c>
      <c r="B192" s="138" t="str">
        <f>B191</f>
        <v>Inspektor jakości</v>
      </c>
      <c r="C192" s="135" t="s">
        <v>750</v>
      </c>
      <c r="D192" s="138">
        <f>D191</f>
        <v>231</v>
      </c>
      <c r="E192" s="566" t="str">
        <f>E191</f>
        <v>Tabaka Andrzej</v>
      </c>
      <c r="F192" s="312" t="s">
        <v>166</v>
      </c>
      <c r="G192" s="313">
        <f>IF(INDEX(tab_MinKomp[Przepisy BHP / BHP Vorschriften],MATCH($B191,tab_MinKomp[[Stanowisko / Position ]:[Stanowisko / Position ]],0))="n/a","n/a",G191-INDEX(tab_MinKomp[Przepisy BHP / BHP Vorschriften],MATCH($B191,tab_MinKomp[[Stanowisko / Position ]:[Stanowisko / Position ]],0)))</f>
        <v>0</v>
      </c>
      <c r="H192" s="314">
        <f>IF(INDEX(tab_MinKomp[Przepisy PPOŻ / Brandschutzbestimmungen],MATCH($B191,tab_MinKomp[[Stanowisko / Position ]:[Stanowisko / Position ]],0))="n/a","n/a",H191-INDEX(tab_MinKomp[Przepisy PPOŻ / Brandschutzbestimmungen],MATCH($B191,tab_MinKomp[[Stanowisko / Position ]:[Stanowisko / Position ]],0)))</f>
        <v>0</v>
      </c>
      <c r="I192" s="314">
        <f>IF(INDEX(tab_MinKomp[Ryzyko zawodowe na stanowiskach pracyv/ Berufliche Risiken an Arbeitsstellen],MATCH($B191,tab_MinKomp[[Stanowisko / Position ]:[Stanowisko / Position ]],0))="n/a","n/a",I191-INDEX(tab_MinKomp[Ryzyko zawodowe na stanowiskach pracyv/ Berufliche Risiken an Arbeitsstellen],MATCH($B191,tab_MinKomp[[Stanowisko / Position ]:[Stanowisko / Position ]],0)))</f>
        <v>0</v>
      </c>
      <c r="J192" s="314">
        <f>IF(INDEX(tab_MinKomp[Gospodarka substancjami niebezpiecznymi / Gefahrstoffmanagement],MATCH($B191,tab_MinKomp[[Stanowisko / Position ]:[Stanowisko / Position ]],0))="n/a","n/a",J191-INDEX(tab_MinKomp[Gospodarka substancjami niebezpiecznymi / Gefahrstoffmanagement],MATCH($B191,tab_MinKomp[[Stanowisko / Position ]:[Stanowisko / Position ]],0)))</f>
        <v>0</v>
      </c>
      <c r="K192" s="314">
        <f>IF(INDEX(tab_MinKomp[Gospodarka odpadami / Abfallwirtschaft],MATCH($B191,tab_MinKomp[[Stanowisko / Position ]:[Stanowisko / Position ]],0))="n/a","n/a",K191-INDEX(tab_MinKomp[Gospodarka odpadami / Abfallwirtschaft],MATCH($B191,tab_MinKomp[[Stanowisko / Position ]:[Stanowisko / Position ]],0)))</f>
        <v>0</v>
      </c>
      <c r="L192" s="315">
        <f>IF(INDEX(tab_MinKomp[Przepisy kodeksu pracy / Bestimmungen des Arbeitsgesetzes],MATCH($B191,tab_MinKomp[[Stanowisko / Position ]:[Stanowisko / Position ]],0))="n/a","n/a",L191-INDEX(tab_MinKomp[Przepisy kodeksu pracy / Bestimmungen des Arbeitsgesetzes],MATCH($B191,tab_MinKomp[[Stanowisko / Position ]:[Stanowisko / Position ]],0)))</f>
        <v>0</v>
      </c>
      <c r="M192" s="316" t="str">
        <f>IF(INDEX(tab_MinKomp[Przepisy o ub.społ. ZUS  / Sozialversicherungsvorschriften],MATCH($B191,tab_MinKomp[[Stanowisko / Position ]:[Stanowisko / Position ]],0))="n/a","n/a",M191-INDEX(tab_MinKomp[Przepisy o ub.społ. ZUS  / Sozialversicherungsvorschriften],MATCH($B191,tab_MinKomp[[Stanowisko / Position ]:[Stanowisko / Position ]],0)))</f>
        <v>n/a</v>
      </c>
      <c r="N192" s="315" t="str">
        <f>IF(INDEX(tab_MinKomp[PRZEPISY O PDOF /persönlich Einkommensteuergesetz ],MATCH($B191,tab_MinKomp[[Stanowisko / Position ]:[Stanowisko / Position ]],0))="n/a","n/a",N191-INDEX(tab_MinKomp[PRZEPISY O PDOF /persönlich Einkommensteuergesetz ],MATCH($B191,tab_MinKomp[[Stanowisko / Position ]:[Stanowisko / Position ]],0)))</f>
        <v>n/a</v>
      </c>
      <c r="O192" s="315">
        <f>IF(INDEX(tab_MinKomp[Regulamin pracy / Arbeitsordnung],MATCH($B191,tab_MinKomp[[Stanowisko / Position ]:[Stanowisko / Position ]],0))="n/a","n/a",O191-INDEX(tab_MinKomp[Regulamin pracy / Arbeitsordnung],MATCH($B191,tab_MinKomp[[Stanowisko / Position ]:[Stanowisko / Position ]],0)))</f>
        <v>0</v>
      </c>
      <c r="P192" s="315">
        <f>IF(INDEX(tab_MinKomp[Regulamin wynagradzania / Vergütungsordnung],MATCH($B191,tab_MinKomp[[Stanowisko / Position ]:[Stanowisko / Position ]],0))="n/a","n/a",P191-INDEX(tab_MinKomp[Regulamin wynagradzania / Vergütungsordnung],MATCH($B191,tab_MinKomp[[Stanowisko / Position ]:[Stanowisko / Position ]],0)))</f>
        <v>0</v>
      </c>
      <c r="Q192" s="315" t="str">
        <f>IF(INDEX(tab_MinKomp[System R2PŁATNIK PRO: Płace / Lohnabrechnung],MATCH($B191,tab_MinKomp[[Stanowisko / Position ]:[Stanowisko / Position ]],0))="n/a","n/a",Q191-INDEX(tab_MinKomp[System R2PŁATNIK PRO: Płace / Lohnabrechnung],MATCH($B191,tab_MinKomp[[Stanowisko / Position ]:[Stanowisko / Position ]],0)))</f>
        <v>n/a</v>
      </c>
      <c r="R192" s="315" t="str">
        <f>IF(INDEX(tab_MinKomp[SystemR2PŁATNIK PRO: KADRY / Personaldaten],MATCH($B191,tab_MinKomp[[Stanowisko / Position ]:[Stanowisko / Position ]],0))="n/a","n/a",R191-INDEX(tab_MinKomp[SystemR2PŁATNIK PRO: KADRY / Personaldaten],MATCH($B191,tab_MinKomp[[Stanowisko / Position ]:[Stanowisko / Position ]],0)))</f>
        <v>n/a</v>
      </c>
      <c r="S192" s="315" t="str">
        <f>IF(INDEX(tab_MinKomp[SYSTEM R2PŁATNIK PRO: zarządzanie pracownikami / Arbeitsverwaltung],MATCH($B191,tab_MinKomp[[Stanowisko / Position ]:[Stanowisko / Position ]],0))="n/a","n/a",S191-INDEX(tab_MinKomp[SYSTEM R2PŁATNIK PRO: zarządzanie pracownikami / Arbeitsverwaltung],MATCH($B191,tab_MinKomp[[Stanowisko / Position ]:[Stanowisko / Position ]],0)))</f>
        <v>n/a</v>
      </c>
      <c r="T192" s="315" t="str">
        <f>IF(INDEX(tab_MinKomp[Doradztwo, wsparcie personalne / Personalberatung und Unterstützung],MATCH($B191,tab_MinKomp[[Stanowisko / Position ]:[Stanowisko / Position ]],0))="n/a","n/a",T191-INDEX(tab_MinKomp[Doradztwo, wsparcie personalne / Personalberatung und Unterstützung],MATCH($B191,tab_MinKomp[[Stanowisko / Position ]:[Stanowisko / Position ]],0)))</f>
        <v>n/a</v>
      </c>
      <c r="U192" s="315" t="str">
        <f>IF(INDEX(tab_MinKomp[Przepisy o podatku VAT / MwSt.- Gesetz],MATCH($B191,tab_MinKomp[[Stanowisko / Position ]:[Stanowisko / Position ]],0))="n/a","n/a",U191-INDEX(tab_MinKomp[Przepisy o podatku VAT / MwSt.- Gesetz],MATCH($B191,tab_MinKomp[[Stanowisko / Position ]:[Stanowisko / Position ]],0)))</f>
        <v>n/a</v>
      </c>
      <c r="V192" s="315" t="str">
        <f>IF(INDEX(tab_MinKomp[PrzepisyPDOP / geschäftlich Einkommensteuergesetz],MATCH($B191,tab_MinKomp[[Stanowisko / Position ]:[Stanowisko / Position ]],0))="n/a","n/a",V191-INDEX(tab_MinKomp[PrzepisyPDOP / geschäftlich Einkommensteuergesetz],MATCH($B191,tab_MinKomp[[Stanowisko / Position ]:[Stanowisko / Position ]],0)))</f>
        <v>n/a</v>
      </c>
      <c r="W192" s="315" t="str">
        <f>IF(INDEX(tab_MinKomp[System BAAN / FINANSE (FIBU)],MATCH($B191,tab_MinKomp[[Stanowisko / Position ]:[Stanowisko / Position ]],0))="n/a","n/a",W191-INDEX(tab_MinKomp[System BAAN / FINANSE (FIBU)],MATCH($B191,tab_MinKomp[[Stanowisko / Position ]:[Stanowisko / Position ]],0)))</f>
        <v>n/a</v>
      </c>
      <c r="X192" s="315" t="str">
        <f>IF(INDEX(tab_MinKomp[Systemy pomocnicze / Hilfssysteme(STOCKPROGRAM, KALK2000 etc.)],MATCH($B191,tab_MinKomp[[Stanowisko / Position ]:[Stanowisko / Position ]],0))="n/a","n/a",X191-INDEX(tab_MinKomp[Systemy pomocnicze / Hilfssysteme(STOCKPROGRAM, KALK2000 etc.)],MATCH($B191,tab_MinKomp[[Stanowisko / Position ]:[Stanowisko / Position ]],0)))</f>
        <v>n/a</v>
      </c>
      <c r="Y192" s="315" t="str">
        <f>IF(INDEX(tab_MinKomp[Polityka rachunkowości / Buchführungspolitik],MATCH($B191,tab_MinKomp[[Stanowisko / Position ]:[Stanowisko / Position ]],0))="n/a","n/a",Y191-INDEX(tab_MinKomp[Polityka rachunkowości / Buchführungspolitik],MATCH($B191,tab_MinKomp[[Stanowisko / Position ]:[Stanowisko / Position ]],0)))</f>
        <v>n/a</v>
      </c>
      <c r="Z192" s="315" t="str">
        <f>IF(INDEX(tab_MinKomp[Ustawa o rachunkowości / Rechnungslegungsgesetz],MATCH($B191,tab_MinKomp[[Stanowisko / Position ]:[Stanowisko / Position ]],0))="n/a","n/a",Z191-INDEX(tab_MinKomp[Ustawa o rachunkowości / Rechnungslegungsgesetz],MATCH($B191,tab_MinKomp[[Stanowisko / Position ]:[Stanowisko / Position ]],0)))</f>
        <v>n/a</v>
      </c>
      <c r="AA192" s="315" t="str">
        <f>IF(INDEX(tab_MinKomp[WORKFLOW - TS-100],MATCH($B191,tab_MinKomp[[Stanowisko / Position ]:[Stanowisko / Position ]],0))="n/a","n/a",AA191-INDEX(tab_MinKomp[WORKFLOW - TS-100],MATCH($B191,tab_MinKomp[[Stanowisko / Position ]:[Stanowisko / Position ]],0)))</f>
        <v>n/a</v>
      </c>
      <c r="AB192" s="315" t="str">
        <f>IF(INDEX(tab_MinKomp[WORKFLOW - SFMS],MATCH($B191,tab_MinKomp[[Stanowisko / Position ]:[Stanowisko / Position ]],0))="n/a","n/a",AB191-INDEX(tab_MinKomp[WORKFLOW - SFMS],MATCH($B191,tab_MinKomp[[Stanowisko / Position ]:[Stanowisko / Position ]],0)))</f>
        <v>n/a</v>
      </c>
      <c r="AC192" s="315">
        <f>IF(INDEX(tab_MinKomp[System ISO 9001:2015],MATCH($B191,tab_MinKomp[[Stanowisko / Position ]:[Stanowisko / Position ]],0))="n/a","n/a",AC191-INDEX(tab_MinKomp[System ISO 9001:2015],MATCH($B191,tab_MinKomp[[Stanowisko / Position ]:[Stanowisko / Position ]],0)))</f>
        <v>0</v>
      </c>
      <c r="AD192" s="315">
        <f>IF(INDEX(tab_MinKomp[System IATF 16949:2016],MATCH($B191,tab_MinKomp[[Stanowisko / Position ]:[Stanowisko / Position ]],0))="n/a","n/a",AD191-INDEX(tab_MinKomp[System IATF 16949:2016],MATCH($B191,tab_MinKomp[[Stanowisko / Position ]:[Stanowisko / Position ]],0)))</f>
        <v>0</v>
      </c>
      <c r="AE192" s="315">
        <f>IF(INDEX(tab_MinKomp[System ISO 14001:2015],MATCH($B191,tab_MinKomp[[Stanowisko / Position ]:[Stanowisko / Position ]],0))="n/a","n/a",AE191-INDEX(tab_MinKomp[System ISO 14001:2015],MATCH($B191,tab_MinKomp[[Stanowisko / Position ]:[Stanowisko / Position ]],0)))</f>
        <v>0</v>
      </c>
      <c r="AF192" s="315">
        <f>IF(INDEX(tab_MinKomp[System PN-N 18001:2004 / ISO 45001:2018],MATCH($B191,tab_MinKomp[[Stanowisko / Position ]:[Stanowisko / Position ]],0))="n/a","n/a",AF191-INDEX(tab_MinKomp[System PN-N 18001:2004 / ISO 45001:2018],MATCH($B191,tab_MinKomp[[Stanowisko / Position ]:[Stanowisko / Position ]],0)))</f>
        <v>0</v>
      </c>
      <c r="AG192" s="315">
        <f>IF(INDEX(tab_MinKomp[Wymagania VDA 6.3 Process / Forderungen],MATCH($B191,tab_MinKomp[[Stanowisko / Position ]:[Stanowisko / Position ]],0))="n/a","n/a",AG191-INDEX(tab_MinKomp[Wymagania VDA 6.3 Process / Forderungen],MATCH($B191,tab_MinKomp[[Stanowisko / Position ]:[Stanowisko / Position ]],0)))</f>
        <v>0</v>
      </c>
      <c r="AH192" s="315">
        <f>IF(INDEX(tab_MinKomp[Wymagania VDA 6.5 Product / Forderungen],MATCH($B191,tab_MinKomp[[Stanowisko / Position ]:[Stanowisko / Position ]],0))="n/a","n/a",AH191-INDEX(tab_MinKomp[Wymagania VDA 6.5 Product / Forderungen],MATCH($B191,tab_MinKomp[[Stanowisko / Position ]:[Stanowisko / Position ]],0)))</f>
        <v>0</v>
      </c>
      <c r="AI192" s="315" t="str">
        <f>IF(INDEX(tab_MinKomp[PSCR (VW Product Safety &amp; Conformity Representative)],MATCH($B191,tab_MinKomp[[Stanowisko / Position ]:[Stanowisko / Position ]],0))="n/a","n/a",AI191-INDEX(tab_MinKomp[PSCR (VW Product Safety &amp; Conformity Representative)],MATCH($B191,tab_MinKomp[[Stanowisko / Position ]:[Stanowisko / Position ]],0)))</f>
        <v>n/a</v>
      </c>
      <c r="AJ192" s="315" t="str">
        <f>IF(INDEX(tab_MinKomp[Auditor systemu ISO 17025:2018],MATCH($B191,tab_MinKomp[[Stanowisko / Position ]:[Stanowisko / Position ]],0))="n/a","n/a",AJ191-INDEX(tab_MinKomp[Auditor systemu ISO 17025:2018],MATCH($B191,tab_MinKomp[[Stanowisko / Position ]:[Stanowisko / Position ]],0)))</f>
        <v>n/a</v>
      </c>
      <c r="AK192" s="315" t="str">
        <f>IF(INDEX(tab_MinKomp[Pełnomocnik systemu / Systemvertreter],MATCH($B191,tab_MinKomp[[Stanowisko / Position ]:[Stanowisko / Position ]],0))="n/a","n/a",AK191-INDEX(tab_MinKomp[Pełnomocnik systemu / Systemvertreter],MATCH($B191,tab_MinKomp[[Stanowisko / Position ]:[Stanowisko / Position ]],0)))</f>
        <v>n/a</v>
      </c>
      <c r="AL192" s="315">
        <v>0</v>
      </c>
      <c r="AM192" s="315" t="str">
        <f>IF(INDEX(tab_MinKomp[WDRAŻANIE NOWYCH PROJEKTÓW/ PROCEDURA CTM],MATCH($B191,tab_MinKomp[[Stanowisko / Position ]:[Stanowisko / Position ]],0))="n/a","n/a",AM191-INDEX(tab_MinKomp[WDRAŻANIE NOWYCH PROJEKTÓW/ PROCEDURA CTM],MATCH($B191,tab_MinKomp[[Stanowisko / Position ]:[Stanowisko / Position ]],0)))</f>
        <v>n/a</v>
      </c>
      <c r="AN192" s="315" t="str">
        <f>IF(INDEX(tab_MinKomp[KAMIENIE MILOWE MSL/PIFF],MATCH($B191,tab_MinKomp[[Stanowisko / Position ]:[Stanowisko / Position ]],0))="n/a","n/a",AN191-INDEX(tab_MinKomp[KAMIENIE MILOWE MSL/PIFF],MATCH($B191,tab_MinKomp[[Stanowisko / Position ]:[Stanowisko / Position ]],0)))</f>
        <v>n/a</v>
      </c>
      <c r="AO192" s="315">
        <f>IF(INDEX(tab_MinKomp[CP],MATCH($B191,tab_MinKomp[[Stanowisko / Position ]:[Stanowisko / Position ]],0))="n/a","n/a",AO191-INDEX(tab_MinKomp[CP],MATCH($B191,tab_MinKomp[[Stanowisko / Position ]:[Stanowisko / Position ]],0)))</f>
        <v>0</v>
      </c>
      <c r="AP192" s="315">
        <f>IF(INDEX(tab_MinKomp[FMEA],MATCH($B191,tab_MinKomp[[Stanowisko / Position ]:[Stanowisko / Position ]],0))="n/a","n/a",AP191-INDEX(tab_MinKomp[FMEA],MATCH($B191,tab_MinKomp[[Stanowisko / Position ]:[Stanowisko / Position ]],0)))</f>
        <v>0</v>
      </c>
      <c r="AQ192" s="315">
        <f>IF(INDEX(tab_MinKomp[FLOW CHART],MATCH($B191,tab_MinKomp[[Stanowisko / Position ]:[Stanowisko / Position ]],0))="n/a","n/a",AQ191-INDEX(tab_MinKomp[FLOW CHART],MATCH($B191,tab_MinKomp[[Stanowisko / Position ]:[Stanowisko / Position ]],0)))</f>
        <v>0</v>
      </c>
      <c r="AR192" s="315" t="str">
        <f>IF(INDEX(tab_MinKomp[APQP],MATCH($B191,tab_MinKomp[[Stanowisko / Position ]:[Stanowisko / Position ]],0))="n/a","n/a",AR191-INDEX(tab_MinKomp[APQP],MATCH($B191,tab_MinKomp[[Stanowisko / Position ]:[Stanowisko / Position ]],0)))</f>
        <v>n/a</v>
      </c>
      <c r="AS192" s="315">
        <f>IF(INDEX(tab_MinKomp[MSA],MATCH($B191,tab_MinKomp[[Stanowisko / Position ]:[Stanowisko / Position ]],0))="n/a","n/a",AS191-INDEX(tab_MinKomp[MSA],MATCH($B191,tab_MinKomp[[Stanowisko / Position ]:[Stanowisko / Position ]],0)))</f>
        <v>0</v>
      </c>
      <c r="AT192" s="315">
        <f>IF(INDEX(tab_MinKomp[SPC],MATCH($B191,tab_MinKomp[[Stanowisko / Position ]:[Stanowisko / Position ]],0))="n/a","n/a",AT191-INDEX(tab_MinKomp[SPC],MATCH($B191,tab_MinKomp[[Stanowisko / Position ]:[Stanowisko / Position ]],0)))</f>
        <v>0</v>
      </c>
      <c r="AU192" s="315">
        <f>IF(INDEX(tab_MinKomp[CSR (SPECYFICZNE WYMAGANIA KLIENTA)],MATCH($B191,tab_MinKomp[[Stanowisko / Position ]:[Stanowisko / Position ]],0))="n/a","n/a",AU191-INDEX(tab_MinKomp[CSR (SPECYFICZNE WYMAGANIA KLIENTA)],MATCH($B191,tab_MinKomp[[Stanowisko / Position ]:[Stanowisko / Position ]],0)))</f>
        <v>0</v>
      </c>
      <c r="AV192" s="315">
        <f>IF(INDEX(tab_MinKomp[5S],MATCH($B191,tab_MinKomp[[Stanowisko / Position ]:[Stanowisko / Position ]],0))="n/a","n/a",AV191-INDEX(tab_MinKomp[5S],MATCH($B191,tab_MinKomp[[Stanowisko / Position ]:[Stanowisko / Position ]],0)))</f>
        <v>0</v>
      </c>
      <c r="AW192" s="315">
        <f>IF(INDEX(tab_MinKomp[LEAN MANAGEMENT],MATCH($B191,tab_MinKomp[[Stanowisko / Position ]:[Stanowisko / Position ]],0))="n/a","n/a",AW191-INDEX(tab_MinKomp[LEAN MANAGEMENT],MATCH($B191,tab_MinKomp[[Stanowisko / Position ]:[Stanowisko / Position ]],0)))</f>
        <v>0</v>
      </c>
      <c r="AX192" s="315">
        <f>IF(INDEX(tab_MinKomp[5R],MATCH($B191,tab_MinKomp[[Stanowisko / Position ]:[Stanowisko / Position ]],0))="n/a","n/a",AX191-INDEX(tab_MinKomp[5R],MATCH($B191,tab_MinKomp[[Stanowisko / Position ]:[Stanowisko / Position ]],0)))</f>
        <v>-1</v>
      </c>
      <c r="AY192" s="315" t="str">
        <f>IF(INDEX(tab_MinKomp[Six Sigma],MATCH($B191,tab_MinKomp[[Stanowisko / Position ]:[Stanowisko / Position ]],0))="n/a","n/a",AY191-INDEX(tab_MinKomp[Six Sigma],MATCH($B191,tab_MinKomp[[Stanowisko / Position ]:[Stanowisko / Position ]],0)))</f>
        <v>n/a</v>
      </c>
      <c r="AZ192" s="315" t="str">
        <f>IF(INDEX(tab_MinKomp[System BAAN / Distribution &amp; Supply Chain],MATCH($B191,tab_MinKomp[[Stanowisko / Position ]:[Stanowisko / Position ]],0))="n/a","n/a",AZ191-INDEX(tab_MinKomp[System BAAN / Distribution &amp; Supply Chain],MATCH($B191,tab_MinKomp[[Stanowisko / Position ]:[Stanowisko / Position ]],0)))</f>
        <v>n/a</v>
      </c>
      <c r="BA192" s="315" t="str">
        <f>IF(INDEX(tab_MinKomp[Gospodarka magazynowa / Lagerverwaltung],MATCH($B191,tab_MinKomp[[Stanowisko / Position ]:[Stanowisko / Position ]],0))="n/a","n/a",BA191-INDEX(tab_MinKomp[Gospodarka magazynowa / Lagerverwaltung],MATCH($B191,tab_MinKomp[[Stanowisko / Position ]:[Stanowisko / Position ]],0)))</f>
        <v>n/a</v>
      </c>
      <c r="BB192" s="315" t="str">
        <f>IF(INDEX(tab_MinKomp[Inwentaryzacja - organizacja i przebieg / Inventurprozess],MATCH($B191,tab_MinKomp[[Stanowisko / Position ]:[Stanowisko / Position ]],0))="n/a","n/a",BB191-INDEX(tab_MinKomp[Inwentaryzacja - organizacja i przebieg / Inventurprozess],MATCH($B191,tab_MinKomp[[Stanowisko / Position ]:[Stanowisko / Position ]],0)))</f>
        <v>n/a</v>
      </c>
      <c r="BC192" s="315" t="str">
        <f>IF(INDEX(tab_MinKomp[Organizacja dostaw / Versorgungsorganisation],MATCH($B191,tab_MinKomp[[Stanowisko / Position ]:[Stanowisko / Position ]],0))="n/a","n/a",BC191-INDEX(tab_MinKomp[Organizacja dostaw / Versorgungsorganisation],MATCH($B191,tab_MinKomp[[Stanowisko / Position ]:[Stanowisko / Position ]],0)))</f>
        <v>n/a</v>
      </c>
      <c r="BD192" s="315" t="str">
        <f>IF(INDEX(tab_MinKomp[Organizacja wysyłek / Organisation von Lieferungen],MATCH($B191,tab_MinKomp[[Stanowisko / Position ]:[Stanowisko / Position ]],0))="n/a","n/a",BD191-INDEX(tab_MinKomp[Organizacja wysyłek / Organisation von Lieferungen],MATCH($B191,tab_MinKomp[[Stanowisko / Position ]:[Stanowisko / Position ]],0)))</f>
        <v>n/a</v>
      </c>
      <c r="BE192" s="315" t="str">
        <f>IF(INDEX(tab_MinKomp[Analiza magazynowa - Program Polen.mdb / Inventuranalyse],MATCH($B191,tab_MinKomp[[Stanowisko / Position ]:[Stanowisko / Position ]],0))="n/a","n/a",BE191-INDEX(tab_MinKomp[Analiza magazynowa - Program Polen.mdb / Inventuranalyse],MATCH($B191,tab_MinKomp[[Stanowisko / Position ]:[Stanowisko / Position ]],0)))</f>
        <v>n/a</v>
      </c>
      <c r="BF192" s="315" t="str">
        <f>IF(INDEX(tab_MinKomp[MMOG (Materials Management Operations Guidelines)],MATCH($B191,tab_MinKomp[[Stanowisko / Position ]:[Stanowisko / Position ]],0))="n/a","n/a",BF191-INDEX(tab_MinKomp[MMOG (Materials Management Operations Guidelines)],MATCH($B191,tab_MinKomp[[Stanowisko / Position ]:[Stanowisko / Position ]],0)))</f>
        <v>n/a</v>
      </c>
      <c r="BG192" s="315" t="str">
        <f>IF(INDEX(tab_MinKomp[GPP],MATCH($B191,tab_MinKomp[[Stanowisko / Position ]:[Stanowisko / Position ]],0))="n/a","n/a",BG191-INDEX(tab_MinKomp[GPP],MATCH($B191,tab_MinKomp[[Stanowisko / Position ]:[Stanowisko / Position ]],0)))</f>
        <v>n/a</v>
      </c>
      <c r="BH192" s="315" t="str">
        <f>IF(INDEX(tab_MinKomp[AIAG (Automotive Industry Action Group)],MATCH($B191,tab_MinKomp[[Stanowisko / Position ]:[Stanowisko / Position ]],0))="n/a","n/a",BH191-INDEX(tab_MinKomp[AIAG (Automotive Industry Action Group)],MATCH($B191,tab_MinKomp[[Stanowisko / Position ]:[Stanowisko / Position ]],0)))</f>
        <v>n/a</v>
      </c>
      <c r="BI192" s="315" t="str">
        <f>IF(INDEX(tab_MinKomp[Super-G disputes],MATCH($B191,tab_MinKomp[[Stanowisko / Position ]:[Stanowisko / Position ]],0))="n/a","n/a",BI191-INDEX(tab_MinKomp[Super-G disputes],MATCH($B191,tab_MinKomp[[Stanowisko / Position ]:[Stanowisko / Position ]],0)))</f>
        <v>n/a</v>
      </c>
      <c r="BJ192" s="315" t="str">
        <f>IF(INDEX(tab_MinKomp[CMMS3/eDDL (Direct Data Link)],MATCH($B191,tab_MinKomp[[Stanowisko / Position ]:[Stanowisko / Position ]],0))="n/a","n/a",BJ191-INDEX(tab_MinKomp[CMMS3/eDDL (Direct Data Link)],MATCH($B191,tab_MinKomp[[Stanowisko / Position ]:[Stanowisko / Position ]],0)))</f>
        <v>n/a</v>
      </c>
      <c r="BK192" s="315" t="str">
        <f>IF(INDEX(tab_MinKomp[MP&amp;L (Material Planning and Logistics)],MATCH($B191,tab_MinKomp[[Stanowisko / Position ]:[Stanowisko / Position ]],0))="n/a","n/a",BK191-INDEX(tab_MinKomp[MP&amp;L (Material Planning and Logistics)],MATCH($B191,tab_MinKomp[[Stanowisko / Position ]:[Stanowisko / Position ]],0)))</f>
        <v>n/a</v>
      </c>
      <c r="BL192" s="315" t="str">
        <f>IF(INDEX(tab_MinKomp[Supplier delivery rating],MATCH($B191,tab_MinKomp[[Stanowisko / Position ]:[Stanowisko / Position ]],0))="n/a","n/a",BL191-INDEX(tab_MinKomp[Supplier delivery rating],MATCH($B191,tab_MinKomp[[Stanowisko / Position ]:[Stanowisko / Position ]],0)))</f>
        <v>n/a</v>
      </c>
      <c r="BM192" s="315" t="str">
        <f>IF(INDEX(tab_MinKomp[Planowanie produkcji / Produktionsplanung],MATCH($B191,tab_MinKomp[[Stanowisko / Position ]:[Stanowisko / Position ]],0))="n/a","n/a",BM191-INDEX(tab_MinKomp[Planowanie produkcji / Produktionsplanung],MATCH($B191,tab_MinKomp[[Stanowisko / Position ]:[Stanowisko / Position ]],0)))</f>
        <v>n/a</v>
      </c>
      <c r="BN192" s="315" t="str">
        <f>IF(INDEX(tab_MinKomp[Obsługa maszyn Engel / Engel Maschinenbedienung],MATCH($B191,tab_MinKomp[[Stanowisko / Position ]:[Stanowisko / Position ]],0))="n/a","n/a",BN191-INDEX(tab_MinKomp[Obsługa maszyn Engel / Engel Maschinenbedienung],MATCH($B191,tab_MinKomp[[Stanowisko / Position ]:[Stanowisko / Position ]],0)))</f>
        <v>n/a</v>
      </c>
      <c r="BO192" s="315" t="str">
        <f>IF(INDEX(tab_MinKomp[Obsługa maszyn Novapax / Novapax Maschinenbedienung],MATCH($B191,tab_MinKomp[[Stanowisko / Position ]:[Stanowisko / Position ]],0))="n/a","n/a",BO191-INDEX(tab_MinKomp[Obsługa maszyn Novapax / Novapax Maschinenbedienung],MATCH($B191,tab_MinKomp[[Stanowisko / Position ]:[Stanowisko / Position ]],0)))</f>
        <v>n/a</v>
      </c>
      <c r="BP192" s="315" t="str">
        <f>IF(INDEX(tab_MinKomp[Obsługa maszyn KVT / KVT Maschinenbedienung],MATCH($B191,tab_MinKomp[[Stanowisko / Position ]:[Stanowisko / Position ]],0))="n/a","n/a",BP191-INDEX(tab_MinKomp[Obsługa maszyn KVT / KVT Maschinenbedienung],MATCH($B191,tab_MinKomp[[Stanowisko / Position ]:[Stanowisko / Position ]],0)))</f>
        <v>n/a</v>
      </c>
      <c r="BQ192" s="315" t="str">
        <f>IF(INDEX(tab_MinKomp[Obsługa maszyn ASL / ASL Maschinenbedienung],MATCH($B191,tab_MinKomp[[Stanowisko / Position ]:[Stanowisko / Position ]],0))="n/a","n/a",BQ191-INDEX(tab_MinKomp[Obsługa maszyn ASL / ASL Maschinenbedienung],MATCH($B191,tab_MinKomp[[Stanowisko / Position ]:[Stanowisko / Position ]],0)))</f>
        <v>n/a</v>
      </c>
      <c r="BR192" s="315" t="str">
        <f>IF(INDEX(tab_MinKomp[Obsługa maszyn Branson / Branson Maschinenbedienung],MATCH($B191,tab_MinKomp[[Stanowisko / Position ]:[Stanowisko / Position ]],0))="n/a","n/a",BR191-INDEX(tab_MinKomp[Obsługa maszyn Branson / Branson Maschinenbedienung],MATCH($B191,tab_MinKomp[[Stanowisko / Position ]:[Stanowisko / Position ]],0)))</f>
        <v>n/a</v>
      </c>
      <c r="BS192" s="315" t="str">
        <f>IF(INDEX(tab_MinKomp[Obsługa maszyn Kamtec / Kamtec Maschinenbedienung],MATCH($B191,tab_MinKomp[[Stanowisko / Position ]:[Stanowisko / Position ]],0))="n/a","n/a",BS191-INDEX(tab_MinKomp[Obsługa maszyn Kamtec / Kamtec Maschinenbedienung],MATCH($B191,tab_MinKomp[[Stanowisko / Position ]:[Stanowisko / Position ]],0)))</f>
        <v>n/a</v>
      </c>
      <c r="BT192" s="315" t="str">
        <f>IF(INDEX(tab_MinKomp[Obsługa maszyn Piovan / Piovan Maschinenbedienung],MATCH($B191,tab_MinKomp[[Stanowisko / Position ]:[Stanowisko / Position ]],0))="n/a","n/a",BT191-INDEX(tab_MinKomp[Obsługa maszyn Piovan / Piovan Maschinenbedienung],MATCH($B191,tab_MinKomp[[Stanowisko / Position ]:[Stanowisko / Position ]],0)))</f>
        <v>n/a</v>
      </c>
      <c r="BU192" s="315" t="str">
        <f>IF(INDEX(tab_MinKomp[Obsługa maszyn REP / REP Maschinenbedienung],MATCH($B191,tab_MinKomp[[Stanowisko / Position ]:[Stanowisko / Position ]],0))="n/a","n/a",BU191-INDEX(tab_MinKomp[Obsługa maszyn REP / REP Maschinenbedienung],MATCH($B191,tab_MinKomp[[Stanowisko / Position ]:[Stanowisko / Position ]],0)))</f>
        <v>n/a</v>
      </c>
      <c r="BV192" s="315" t="str">
        <f>IF(INDEX(tab_MinKomp[Eliminacja awarii / Beseitigung von Ausfällen],MATCH($B191,tab_MinKomp[[Stanowisko / Position ]:[Stanowisko / Position ]],0))="n/a","n/a",BV191-INDEX(tab_MinKomp[Eliminacja awarii / Beseitigung von Ausfällen],MATCH($B191,tab_MinKomp[[Stanowisko / Position ]:[Stanowisko / Position ]],0)))</f>
        <v>n/a</v>
      </c>
      <c r="BW192" s="315" t="str">
        <f>IF(INDEX(tab_MinKomp[Informatyka ogólna (techniczne i systemowe) / Allgemeine IT (Technik und System)],MATCH($B191,tab_MinKomp[[Stanowisko / Position ]:[Stanowisko / Position ]],0))="n/a","n/a",BW191-INDEX(tab_MinKomp[Informatyka ogólna (techniczne i systemowe) / Allgemeine IT (Technik und System)],MATCH($B191,tab_MinKomp[[Stanowisko / Position ]:[Stanowisko / Position ]],0)))</f>
        <v>n/a</v>
      </c>
      <c r="BX192" s="315" t="str">
        <f>IF(INDEX(tab_MinKomp[Sieci komputerowe / Computernetzwerke],MATCH($B191,tab_MinKomp[[Stanowisko / Position ]:[Stanowisko / Position ]],0))="n/a","n/a",BX191-INDEX(tab_MinKomp[Sieci komputerowe / Computernetzwerke],MATCH($B191,tab_MinKomp[[Stanowisko / Position ]:[Stanowisko / Position ]],0)))</f>
        <v>n/a</v>
      </c>
      <c r="BY192" s="315" t="str">
        <f>IF(INDEX(tab_MinKomp[Hardware (komputery PC, drukarki biurowe i etykietowe, telefonia stacjonarna i mobilna) (PC, Drucker, Telefpne, Handys)],MATCH($B191,tab_MinKomp[[Stanowisko / Position ]:[Stanowisko / Position ]],0))="n/a","n/a",BY191-INDEX(tab_MinKomp[Hardware (komputery PC, drukarki biurowe i etykietowe, telefonia stacjonarna i mobilna) (PC, Drucker, Telefpne, Handys)],MATCH($B191,tab_MinKomp[[Stanowisko / Position ]:[Stanowisko / Position ]],0)))</f>
        <v>n/a</v>
      </c>
      <c r="BZ192" s="315" t="str">
        <f>IF(INDEX(tab_MinKomp[Software &amp; Systems (MS Office, MS Remote Desktop)],MATCH($B191,tab_MinKomp[[Stanowisko / Position ]:[Stanowisko / Position ]],0))="n/a","n/a",BZ191-INDEX(tab_MinKomp[Software &amp; Systems (MS Office, MS Remote Desktop)],MATCH($B191,tab_MinKomp[[Stanowisko / Position ]:[Stanowisko / Position ]],0)))</f>
        <v>n/a</v>
      </c>
      <c r="CA192" s="315" t="str">
        <f>IF(INDEX(tab_MinKomp[Programowanie obiektowe (PHP) / Objektprogrammierung],MATCH($B191,tab_MinKomp[[Stanowisko / Position ]:[Stanowisko / Position ]],0))="n/a","n/a",CA191-INDEX(tab_MinKomp[Programowanie obiektowe (PHP) / Objektprogrammierung],MATCH($B191,tab_MinKomp[[Stanowisko / Position ]:[Stanowisko / Position ]],0)))</f>
        <v>n/a</v>
      </c>
      <c r="CB192" s="315" t="str">
        <f>IF(INDEX(tab_MinKomp[Scrum],MATCH($B191,tab_MinKomp[[Stanowisko / Position ]:[Stanowisko / Position ]],0))="n/a","n/a",CB191-INDEX(tab_MinKomp[Scrum],MATCH($B191,tab_MinKomp[[Stanowisko / Position ]:[Stanowisko / Position ]],0)))</f>
        <v>n/a</v>
      </c>
      <c r="CC192" s="315" t="str">
        <f>IF(INDEX(tab_MinKomp[SQL (MySQL)],MATCH($B191,tab_MinKomp[[Stanowisko / Position ]:[Stanowisko / Position ]],0))="n/a","n/a",CC191-INDEX(tab_MinKomp[SQL (MySQL)],MATCH($B191,tab_MinKomp[[Stanowisko / Position ]:[Stanowisko / Position ]],0)))</f>
        <v>n/a</v>
      </c>
      <c r="CD192" s="315" t="str">
        <f>IF(INDEX(tab_MinKomp[Javascript],MATCH($B191,tab_MinKomp[[Stanowisko / Position ]:[Stanowisko / Position ]],0))="n/a","n/a",CD191-INDEX(tab_MinKomp[Javascript],MATCH($B191,tab_MinKomp[[Stanowisko / Position ]:[Stanowisko / Position ]],0)))</f>
        <v>n/a</v>
      </c>
      <c r="CE192" s="315" t="str">
        <f>IF(INDEX(tab_MinKomp[Joomla],MATCH($B191,tab_MinKomp[[Stanowisko / Position ]:[Stanowisko / Position ]],0))="n/a","n/a",CE191-INDEX(tab_MinKomp[Joomla],MATCH($B191,tab_MinKomp[[Stanowisko / Position ]:[Stanowisko / Position ]],0)))</f>
        <v>n/a</v>
      </c>
      <c r="CF192" s="315" t="str">
        <f>IF(INDEX(tab_MinKomp[Bash],MATCH($B191,tab_MinKomp[[Stanowisko / Position ]:[Stanowisko / Position ]],0))="n/a","n/a",CF191-INDEX(tab_MinKomp[Bash],MATCH($B191,tab_MinKomp[[Stanowisko / Position ]:[Stanowisko / Position ]],0)))</f>
        <v>n/a</v>
      </c>
      <c r="CG192" s="315" t="str">
        <f>IF(INDEX(tab_MinKomp[Systemy MES (HYDRA / SFMS)],MATCH($B191,tab_MinKomp[[Stanowisko / Position ]:[Stanowisko / Position ]],0))="n/a","n/a",CG191-INDEX(tab_MinKomp[Systemy MES (HYDRA / SFMS)],MATCH($B191,tab_MinKomp[[Stanowisko / Position ]:[Stanowisko / Position ]],0)))</f>
        <v>n/a</v>
      </c>
      <c r="CH192" s="315" t="str">
        <f>IF(INDEX(tab_MinKomp[HTML / CSS],MATCH($B191,tab_MinKomp[[Stanowisko / Position ]:[Stanowisko / Position ]],0))="n/a","n/a",CH191-INDEX(tab_MinKomp[HTML / CSS],MATCH($B191,tab_MinKomp[[Stanowisko / Position ]:[Stanowisko / Position ]],0)))</f>
        <v>n/a</v>
      </c>
      <c r="CI192" s="315" t="str">
        <f>IF(INDEX(tab_MinKomp[SYSTEM PR],MATCH($B191,tab_MinKomp[[Stanowisko / Position ]:[Stanowisko / Position ]],0))="n/a","n/a",CI191-INDEX(tab_MinKomp[SYSTEM PR],MATCH($B191,tab_MinKomp[[Stanowisko / Position ]:[Stanowisko / Position ]],0)))</f>
        <v>n/a</v>
      </c>
      <c r="CJ192" s="315" t="str">
        <f>IF(INDEX(tab_MinKomp[System Einkauf XP / EBA],MATCH($B191,tab_MinKomp[[Stanowisko / Position ]:[Stanowisko / Position ]],0))="n/a","n/a",CJ191-INDEX(tab_MinKomp[System Einkauf XP / EBA],MATCH($B191,tab_MinKomp[[Stanowisko / Position ]:[Stanowisko / Position ]],0)))</f>
        <v>n/a</v>
      </c>
      <c r="CK192" s="315" t="str">
        <f>IF(INDEX(tab_MinKomp[Techniki negocjacyjne / Verhandlungstechniken],MATCH($B191,tab_MinKomp[[Stanowisko / Position ]:[Stanowisko / Position ]],0))="n/a","n/a",CK191-INDEX(tab_MinKomp[Techniki negocjacyjne / Verhandlungstechniken],MATCH($B191,tab_MinKomp[[Stanowisko / Position ]:[Stanowisko / Position ]],0)))</f>
        <v>n/a</v>
      </c>
      <c r="CL192" s="315" t="str">
        <f>IF(INDEX(tab_MinKomp[Znajomość rynku branżowego / Kenntnis des Industrie Marktes],MATCH($B191,tab_MinKomp[[Stanowisko / Position ]:[Stanowisko / Position ]],0))="n/a","n/a",CL191-INDEX(tab_MinKomp[Znajomość rynku branżowego / Kenntnis des Industrie Marktes],MATCH($B191,tab_MinKomp[[Stanowisko / Position ]:[Stanowisko / Position ]],0)))</f>
        <v>n/a</v>
      </c>
      <c r="CM192" s="315" t="str">
        <f>IF(INDEX(tab_MinKomp[SUPPLIER MANAGEMENT],MATCH($B191,tab_MinKomp[[Stanowisko / Position ]:[Stanowisko / Position ]],0))="n/a","n/a",CM191-INDEX(tab_MinKomp[SUPPLIER MANAGEMENT],MATCH($B191,tab_MinKomp[[Stanowisko / Position ]:[Stanowisko / Position ]],0)))</f>
        <v>n/a</v>
      </c>
      <c r="CN192" s="315">
        <f>IF(INDEX(tab_MinKomp[NARZĘDZIA JAKOŚCIOWE (5WHY, Ishikawa, etc) / QS-Werkzeuge],MATCH($B191,tab_MinKomp[[Stanowisko / Position ]:[Stanowisko / Position ]],0))="n/a","n/a",CN191-INDEX(tab_MinKomp[NARZĘDZIA JAKOŚCIOWE (5WHY, Ishikawa, etc) / QS-Werkzeuge],MATCH($B191,tab_MinKomp[[Stanowisko / Position ]:[Stanowisko / Position ]],0)))</f>
        <v>0</v>
      </c>
      <c r="CO192" s="315" t="str">
        <f>IF(INDEX(tab_MinKomp[SUPPLIER MANAGEMENT],MATCH($B191,tab_MinKomp[[Stanowisko / Position ]:[Stanowisko / Position ]],0))="n/a","n/a",CO191-INDEX(tab_MinKomp[SUPPLIER MANAGEMENT],MATCH($B191,tab_MinKomp[[Stanowisko / Position ]:[Stanowisko / Position ]],0)))</f>
        <v>n/a</v>
      </c>
      <c r="CP192" s="315" t="str">
        <f>IF(INDEX(tab_MinKomp[SUPPLIER MANAGEMENT],MATCH($B191,tab_MinKomp[[Stanowisko / Position ]:[Stanowisko / Position ]],0))="n/a","n/a",CP191-INDEX(tab_MinKomp[SUPPLIER MANAGEMENT],MATCH($B191,tab_MinKomp[[Stanowisko / Position ]:[Stanowisko / Position ]],0)))</f>
        <v>n/a</v>
      </c>
      <c r="CQ192" s="315" t="str">
        <f>IF(INDEX(tab_MinKomp[SUPPLIER MANAGEMENT],MATCH($B191,tab_MinKomp[[Stanowisko / Position ]:[Stanowisko / Position ]],0))="n/a","n/a",CQ191-INDEX(tab_MinKomp[SUPPLIER MANAGEMENT],MATCH($B191,tab_MinKomp[[Stanowisko / Position ]:[Stanowisko / Position ]],0)))</f>
        <v>n/a</v>
      </c>
      <c r="CR192" s="315" t="str">
        <f>IF(INDEX(tab_MinKomp[SUPPLIER MANAGEMENT],MATCH($B191,tab_MinKomp[[Stanowisko / Position ]:[Stanowisko / Position ]],0))="n/a","n/a",CR191-INDEX(tab_MinKomp[SUPPLIER MANAGEMENT],MATCH($B191,tab_MinKomp[[Stanowisko / Position ]:[Stanowisko / Position ]],0)))</f>
        <v>n/a</v>
      </c>
      <c r="CS192" s="315" t="str">
        <f>IF(INDEX(tab_MinKomp[OBSŁUGA PORTALI KLIENTA / Kundenportale],MATCH($B191,tab_MinKomp[[Stanowisko / Position ]:[Stanowisko / Position ]],0))="n/a","n/a",CS191-INDEX(tab_MinKomp[OBSŁUGA PORTALI KLIENTA / Kundenportale],MATCH($B191,tab_MinKomp[[Stanowisko / Position ]:[Stanowisko / Position ]],0)))</f>
        <v>n/a</v>
      </c>
      <c r="CT192" s="315">
        <f>IF(INDEX(tab_MinKomp[Obsługa systemu BABTECQ / BABTECQ System],MATCH($B191,tab_MinKomp[[Stanowisko / Position ]:[Stanowisko / Position ]],0))="n/a","n/a",CT191-INDEX(tab_MinKomp[Obsługa systemu BABTECQ / BABTECQ System],MATCH($B191,tab_MinKomp[[Stanowisko / Position ]:[Stanowisko / Position ]],0)))</f>
        <v>1</v>
      </c>
      <c r="CU192" s="315">
        <f>IF(INDEX(tab_MinKomp[Rysunek techniczny / technische Zeichnung],MATCH($B191,tab_MinKomp[[Stanowisko / Position ]:[Stanowisko / Position ]],0))="n/a","n/a",CU191-INDEX(tab_MinKomp[Rysunek techniczny / technische Zeichnung],MATCH($B191,tab_MinKomp[[Stanowisko / Position ]:[Stanowisko / Position ]],0)))</f>
        <v>0</v>
      </c>
      <c r="CV192" s="315">
        <f>IF(INDEX(tab_MinKomp[Obsługa systemu BABTECQ / BABTECQ System],MATCH($B191,tab_MinKomp[[Stanowisko / Position ]:[Stanowisko / Position ]],0))="n/a","n/a",CV191-INDEX(tab_MinKomp[Obsługa systemu BABTECQ / BABTECQ System],MATCH($B191,tab_MinKomp[[Stanowisko / Position ]:[Stanowisko / Position ]],0)))</f>
        <v>1</v>
      </c>
      <c r="CW192" s="315">
        <f>IF(INDEX(tab_MinKomp[Obsługa systemu BABTECQ / BABTECQ System],MATCH($B191,tab_MinKomp[[Stanowisko / Position ]:[Stanowisko / Position ]],0))="n/a","n/a",CW191-INDEX(tab_MinKomp[Obsługa systemu BABTECQ / BABTECQ System],MATCH($B191,tab_MinKomp[[Stanowisko / Position ]:[Stanowisko / Position ]],0)))</f>
        <v>1</v>
      </c>
      <c r="CX192" s="315">
        <f>IF(INDEX(tab_MinKomp[Rysunek techniczny / technische Zeichnung],MATCH($B191,tab_MinKomp[[Stanowisko / Position ]:[Stanowisko / Position ]],0))="n/a","n/a",CX191-INDEX(tab_MinKomp[Rysunek techniczny / technische Zeichnung],MATCH($B191,tab_MinKomp[[Stanowisko / Position ]:[Stanowisko / Position ]],0)))</f>
        <v>0</v>
      </c>
      <c r="CY192" s="315">
        <f>IF(INDEX(tab_MinKomp[Rysunek techniczny / technische Zeichnung],MATCH($B191,tab_MinKomp[[Stanowisko / Position ]:[Stanowisko / Position ]],0))="n/a","n/a",CY191-INDEX(tab_MinKomp[Rysunek techniczny / technische Zeichnung],MATCH($B191,tab_MinKomp[[Stanowisko / Position ]:[Stanowisko / Position ]],0)))</f>
        <v>0</v>
      </c>
      <c r="CZ192" s="315">
        <f>IF(INDEX(tab_MinKomp[Rysunek techniczny / technische Zeichnung],MATCH($B191,tab_MinKomp[[Stanowisko / Position ]:[Stanowisko / Position ]],0))="n/a","n/a",CZ191-INDEX(tab_MinKomp[Rysunek techniczny / technische Zeichnung],MATCH($B191,tab_MinKomp[[Stanowisko / Position ]:[Stanowisko / Position ]],0)))</f>
        <v>0</v>
      </c>
      <c r="DA192" s="315">
        <f>IF(INDEX(tab_MinKomp[Rysunek techniczny / technische Zeichnung],MATCH($B191,tab_MinKomp[[Stanowisko / Position ]:[Stanowisko / Position ]],0))="n/a","n/a",DA191-INDEX(tab_MinKomp[Rysunek techniczny / technische Zeichnung],MATCH($B191,tab_MinKomp[[Stanowisko / Position ]:[Stanowisko / Position ]],0)))</f>
        <v>0</v>
      </c>
      <c r="DB192" s="315">
        <f>IF(INDEX(tab_MinKomp[Obsługa systemu BABTECQ / BABTECQ System],MATCH($B191,tab_MinKomp[[Stanowisko / Position ]:[Stanowisko / Position ]],0))="n/a","n/a",DB191-INDEX(tab_MinKomp[Obsługa systemu BABTECQ / BABTECQ System],MATCH($B191,tab_MinKomp[[Stanowisko / Position ]:[Stanowisko / Position ]],0)))</f>
        <v>0</v>
      </c>
      <c r="DC192" s="315">
        <f>IF(INDEX(tab_MinKomp[Obsługa systemu BABTECQ / BABTECQ System],MATCH($B191,tab_MinKomp[[Stanowisko / Position ]:[Stanowisko / Position ]],0))="n/a","n/a",DC191-INDEX(tab_MinKomp[Obsługa systemu BABTECQ / BABTECQ System],MATCH($B191,tab_MinKomp[[Stanowisko / Position ]:[Stanowisko / Position ]],0)))</f>
        <v>0</v>
      </c>
      <c r="DD192" s="315" t="str">
        <f>IF(INDEX(tab_MinKomp[Pisanie programów / Programme schreiben],MATCH($B191,tab_MinKomp[[Stanowisko / Position ]:[Stanowisko / Position ]],0))="n/a","n/a",DD191-INDEX(tab_MinKomp[Pisanie programów / Programme schreiben],MATCH($B191,tab_MinKomp[[Stanowisko / Position ]:[Stanowisko / Position ]],0)))</f>
        <v>n/a</v>
      </c>
      <c r="DE192" s="315">
        <f>IF(INDEX(tab_MinKomp[Rysunek techniczny / technische Zeichnung],MATCH($B191,tab_MinKomp[[Stanowisko / Position ]:[Stanowisko / Position ]],0))="n/a","n/a",DE191-INDEX(tab_MinKomp[Rysunek techniczny / technische Zeichnung],MATCH($B191,tab_MinKomp[[Stanowisko / Position ]:[Stanowisko / Position ]],0)))</f>
        <v>-1</v>
      </c>
      <c r="DF192" s="315">
        <f>IF(INDEX(tab_MinKomp[Rysunek techniczny / technische Zeichnung],MATCH($B191,tab_MinKomp[[Stanowisko / Position ]:[Stanowisko / Position ]],0))="n/a","n/a",DF191-INDEX(tab_MinKomp[Rysunek techniczny / technische Zeichnung],MATCH($B191,tab_MinKomp[[Stanowisko / Position ]:[Stanowisko / Position ]],0)))</f>
        <v>-1</v>
      </c>
      <c r="DG192" s="315">
        <f>IF(INDEX(tab_MinKomp[Rysunek techniczny / technische Zeichnung],MATCH($B191,tab_MinKomp[[Stanowisko / Position ]:[Stanowisko / Position ]],0))="n/a","n/a",DG191-INDEX(tab_MinKomp[Rysunek techniczny / technische Zeichnung],MATCH($B191,tab_MinKomp[[Stanowisko / Position ]:[Stanowisko / Position ]],0)))</f>
        <v>0</v>
      </c>
      <c r="DH192" s="315">
        <f>IF(INDEX(tab_MinKomp[Rysunek techniczny / technische Zeichnung],MATCH($B191,tab_MinKomp[[Stanowisko / Position ]:[Stanowisko / Position ]],0))="n/a","n/a",DH191-INDEX(tab_MinKomp[Rysunek techniczny / technische Zeichnung],MATCH($B191,tab_MinKomp[[Stanowisko / Position ]:[Stanowisko / Position ]],0)))</f>
        <v>0</v>
      </c>
      <c r="DI192" s="315">
        <f>IF(INDEX(tab_MinKomp[Rysunek techniczny / technische Zeichnung],MATCH($B191,tab_MinKomp[[Stanowisko / Position ]:[Stanowisko / Position ]],0))="n/a","n/a",DI191-INDEX(tab_MinKomp[Rysunek techniczny / technische Zeichnung],MATCH($B191,tab_MinKomp[[Stanowisko / Position ]:[Stanowisko / Position ]],0)))</f>
        <v>0</v>
      </c>
      <c r="DJ192" s="315">
        <f>IF(INDEX(tab_MinKomp[Rysunek techniczny / technische Zeichnung],MATCH($B191,tab_MinKomp[[Stanowisko / Position ]:[Stanowisko / Position ]],0))="n/a","n/a",DJ191-INDEX(tab_MinKomp[Rysunek techniczny / technische Zeichnung],MATCH($B191,tab_MinKomp[[Stanowisko / Position ]:[Stanowisko / Position ]],0)))</f>
        <v>0</v>
      </c>
      <c r="DK192" s="315">
        <f>IF(INDEX(tab_MinKomp[Rysunek techniczny / technische Zeichnung],MATCH($B191,tab_MinKomp[[Stanowisko / Position ]:[Stanowisko / Position ]],0))="n/a","n/a",DK191-INDEX(tab_MinKomp[Rysunek techniczny / technische Zeichnung],MATCH($B191,tab_MinKomp[[Stanowisko / Position ]:[Stanowisko / Position ]],0)))</f>
        <v>0</v>
      </c>
      <c r="DL192" s="315">
        <f>IF(INDEX(tab_MinKomp[Rysunek techniczny / technische Zeichnung],MATCH($B191,tab_MinKomp[[Stanowisko / Position ]:[Stanowisko / Position ]],0))="n/a","n/a",DL191-INDEX(tab_MinKomp[Rysunek techniczny / technische Zeichnung],MATCH($B191,tab_MinKomp[[Stanowisko / Position ]:[Stanowisko / Position ]],0)))</f>
        <v>0</v>
      </c>
      <c r="DM192" s="315">
        <f>IF(INDEX(tab_MinKomp[Rysunek techniczny / technische Zeichnung],MATCH($B191,tab_MinKomp[[Stanowisko / Position ]:[Stanowisko / Position ]],0))="n/a","n/a",DM191-INDEX(tab_MinKomp[Rysunek techniczny / technische Zeichnung],MATCH($B191,tab_MinKomp[[Stanowisko / Position ]:[Stanowisko / Position ]],0)))</f>
        <v>0</v>
      </c>
      <c r="DN192" s="315">
        <f>IF(INDEX(tab_MinKomp[Rysunek techniczny / technische Zeichnung],MATCH($B191,tab_MinKomp[[Stanowisko / Position ]:[Stanowisko / Position ]],0))="n/a","n/a",DN191-INDEX(tab_MinKomp[Rysunek techniczny / technische Zeichnung],MATCH($B191,tab_MinKomp[[Stanowisko / Position ]:[Stanowisko / Position ]],0)))</f>
        <v>0</v>
      </c>
      <c r="DO192" s="315">
        <f>IF(INDEX(tab_MinKomp[Rysunek techniczny / technische Zeichnung],MATCH($B191,tab_MinKomp[[Stanowisko / Position ]:[Stanowisko / Position ]],0))="n/a","n/a",DO191-INDEX(tab_MinKomp[Rysunek techniczny / technische Zeichnung],MATCH($B191,tab_MinKomp[[Stanowisko / Position ]:[Stanowisko / Position ]],0)))</f>
        <v>1</v>
      </c>
      <c r="DP192" s="315">
        <f>IF(INDEX(tab_MinKomp[Rysunek techniczny / technische Zeichnung],MATCH($B191,tab_MinKomp[[Stanowisko / Position ]:[Stanowisko / Position ]],0))="n/a","n/a",DP191-INDEX(tab_MinKomp[Rysunek techniczny / technische Zeichnung],MATCH($B191,tab_MinKomp[[Stanowisko / Position ]:[Stanowisko / Position ]],0)))</f>
        <v>1</v>
      </c>
      <c r="DQ192" s="315">
        <f>IF(INDEX(tab_MinKomp[Rysunek techniczny / technische Zeichnung],MATCH($B191,tab_MinKomp[[Stanowisko / Position ]:[Stanowisko / Position ]],0))="n/a","n/a",DQ191-INDEX(tab_MinKomp[Rysunek techniczny / technische Zeichnung],MATCH($B191,tab_MinKomp[[Stanowisko / Position ]:[Stanowisko / Position ]],0)))</f>
        <v>0</v>
      </c>
      <c r="DR192" s="315">
        <f>IF(INDEX(tab_MinKomp[Rysunek techniczny / technische Zeichnung],MATCH($B191,tab_MinKomp[[Stanowisko / Position ]:[Stanowisko / Position ]],0))="n/a","n/a",DR191-INDEX(tab_MinKomp[Rysunek techniczny / technische Zeichnung],MATCH($B191,tab_MinKomp[[Stanowisko / Position ]:[Stanowisko / Position ]],0)))</f>
        <v>0</v>
      </c>
      <c r="DS192" s="315">
        <f>IF(INDEX(tab_MinKomp[Obsługa systemu BABTECQ / BABTECQ System],MATCH($B191,tab_MinKomp[[Stanowisko / Position ]:[Stanowisko / Position ]],0))="n/a","n/a",DS191-INDEX(tab_MinKomp[Obsługa systemu BABTECQ / BABTECQ System],MATCH($B191,tab_MinKomp[[Stanowisko / Position ]:[Stanowisko / Position ]],0)))</f>
        <v>0</v>
      </c>
      <c r="DT192" s="315">
        <f>IF(INDEX(tab_MinKomp[Obsługa systemu BABTECQ / BABTECQ System],MATCH($B191,tab_MinKomp[[Stanowisko / Position ]:[Stanowisko / Position ]],0))="n/a","n/a",DT191-INDEX(tab_MinKomp[Obsługa systemu BABTECQ / BABTECQ System],MATCH($B191,tab_MinKomp[[Stanowisko / Position ]:[Stanowisko / Position ]],0)))</f>
        <v>0</v>
      </c>
      <c r="DU192" s="315">
        <f>IF(INDEX(tab_MinKomp[Obsługa systemu BABTECQ / BABTECQ System],MATCH($B191,tab_MinKomp[[Stanowisko / Position ]:[Stanowisko / Position ]],0))="n/a","n/a",DU191-INDEX(tab_MinKomp[Obsługa systemu BABTECQ / BABTECQ System],MATCH($B191,tab_MinKomp[[Stanowisko / Position ]:[Stanowisko / Position ]],0)))</f>
        <v>0</v>
      </c>
      <c r="DV192" s="315">
        <f>IF(INDEX(tab_MinKomp[Rysunek techniczny / technische Zeichnung],MATCH($B191,tab_MinKomp[[Stanowisko / Position ]:[Stanowisko / Position ]],0))="n/a","n/a",DV191-INDEX(tab_MinKomp[Rysunek techniczny / technische Zeichnung],MATCH($B191,tab_MinKomp[[Stanowisko / Position ]:[Stanowisko / Position ]],0)))</f>
        <v>0</v>
      </c>
      <c r="DW192" s="315">
        <f>IF(INDEX(tab_MinKomp[Rysunek techniczny / technische Zeichnung],MATCH($B191,tab_MinKomp[[Stanowisko / Position ]:[Stanowisko / Position ]],0))="n/a","n/a",DW191-INDEX(tab_MinKomp[Rysunek techniczny / technische Zeichnung],MATCH($B191,tab_MinKomp[[Stanowisko / Position ]:[Stanowisko / Position ]],0)))</f>
        <v>0</v>
      </c>
      <c r="DX192" s="315">
        <f>IF(INDEX(tab_MinKomp[Rysunek techniczny / technische Zeichnung],MATCH($B191,tab_MinKomp[[Stanowisko / Position ]:[Stanowisko / Position ]],0))="n/a","n/a",DX191-INDEX(tab_MinKomp[Rysunek techniczny / technische Zeichnung],MATCH($B191,tab_MinKomp[[Stanowisko / Position ]:[Stanowisko / Position ]],0)))</f>
        <v>0</v>
      </c>
      <c r="DY192" s="315" t="str">
        <f>IF(INDEX(tab_MinKomp[Konserwacja Rep],MATCH($B191,tab_MinKomp[[Stanowisko / Position ]:[Stanowisko / Position ]],0))="n/a","n/a",DY191-INDEX(tab_MinKomp[Konserwacja Rep],MATCH($B191,tab_MinKomp[[Stanowisko / Position ]:[Stanowisko / Position ]],0)))</f>
        <v>n/a</v>
      </c>
      <c r="DZ192" s="315" t="str">
        <f>IF(INDEX(tab_MinKomp[[Konserwacja Engel ]],MATCH($B191,tab_MinKomp[[Stanowisko / Position ]:[Stanowisko / Position ]],0))="n/a","n/a",DZ191-INDEX(tab_MinKomp[[Konserwacja Engel ]],MATCH($B191,tab_MinKomp[[Stanowisko / Position ]:[Stanowisko / Position ]],0)))</f>
        <v>n/a</v>
      </c>
      <c r="EA192" s="315" t="str">
        <f>IF(INDEX(tab_MinKomp[Konserwacja B 50],MATCH($B191,tab_MinKomp[[Stanowisko / Position ]:[Stanowisko / Position ]],0))="n/a","n/a",EA191-INDEX(tab_MinKomp[Konserwacja B 50],MATCH($B191,tab_MinKomp[[Stanowisko / Position ]:[Stanowisko / Position ]],0)))</f>
        <v>n/a</v>
      </c>
      <c r="EB192" s="315" t="str">
        <f>IF(INDEX(tab_MinKomp[[Konserwacja EOL ]],MATCH($B191,tab_MinKomp[[Stanowisko / Position ]:[Stanowisko / Position ]],0))="n/a","n/a",EB191-INDEX(tab_MinKomp[[Konserwacja EOL ]],MATCH($B191,tab_MinKomp[[Stanowisko / Position ]:[Stanowisko / Position ]],0)))</f>
        <v>n/a</v>
      </c>
      <c r="EC192" s="315" t="str">
        <f>IF(INDEX(tab_MinKomp[Konserwacja Branson],MATCH($B191,tab_MinKomp[[Stanowisko / Position ]:[Stanowisko / Position ]],0))="n/a","n/a",EC191-INDEX(tab_MinKomp[Konserwacja Branson],MATCH($B191,tab_MinKomp[[Stanowisko / Position ]:[Stanowisko / Position ]],0)))</f>
        <v>n/a</v>
      </c>
      <c r="ED192" s="315" t="str">
        <f>IF(INDEX(tab_MinKomp[Konserwacja coolery],MATCH($B191,tab_MinKomp[[Stanowisko / Position ]:[Stanowisko / Position ]],0))="n/a","n/a",ED191-INDEX(tab_MinKomp[Konserwacja coolery],MATCH($B191,tab_MinKomp[[Stanowisko / Position ]:[Stanowisko / Position ]],0)))</f>
        <v>n/a</v>
      </c>
      <c r="EE192" s="315" t="str">
        <f>IF(INDEX(tab_MinKomp[Konserwacja piecy],MATCH($B191,tab_MinKomp[[Stanowisko / Position ]:[Stanowisko / Position ]],0))="n/a","n/a",EE191-INDEX(tab_MinKomp[Konserwacja piecy],MATCH($B191,tab_MinKomp[[Stanowisko / Position ]:[Stanowisko / Position ]],0)))</f>
        <v>n/a</v>
      </c>
      <c r="EF192" s="315" t="str">
        <f>IF(INDEX(tab_MinKomp[Rysunek techniczny- czytanie],MATCH($B191,tab_MinKomp[[Stanowisko / Position ]:[Stanowisko / Position ]],0))="n/a","n/a",EF191-INDEX(tab_MinKomp[Rysunek techniczny- czytanie],MATCH($B191,tab_MinKomp[[Stanowisko / Position ]:[Stanowisko / Position ]],0)))</f>
        <v>n/a</v>
      </c>
      <c r="EG192" s="315" t="str">
        <f>IF(INDEX(tab_MinKomp[Elektryka],MATCH($B191,tab_MinKomp[[Stanowisko / Position ]:[Stanowisko / Position ]],0))="n/a","n/a",EG191-INDEX(tab_MinKomp[Elektryka],MATCH($B191,tab_MinKomp[[Stanowisko / Position ]:[Stanowisko / Position ]],0)))</f>
        <v>n/a</v>
      </c>
      <c r="EH192" s="315" t="str">
        <f>IF(INDEX(tab_MinKomp[Pneumatyka],MATCH($B191,tab_MinKomp[[Stanowisko / Position ]:[Stanowisko / Position ]],0))="n/a","n/a",EH191-INDEX(tab_MinKomp[Pneumatyka],MATCH($B191,tab_MinKomp[[Stanowisko / Position ]:[Stanowisko / Position ]],0)))</f>
        <v>n/a</v>
      </c>
      <c r="EI192" s="315" t="str">
        <f>IF(INDEX(tab_MinKomp[[Hydraulika ]],MATCH($B191,tab_MinKomp[[Stanowisko / Position ]:[Stanowisko / Position ]],0))="n/a","n/a",EI191-INDEX(tab_MinKomp[[Hydraulika ]],MATCH($B191,tab_MinKomp[[Stanowisko / Position ]:[Stanowisko / Position ]],0)))</f>
        <v>n/a</v>
      </c>
      <c r="EJ192" s="315" t="str">
        <f>IF(INDEX(tab_MinKomp[Podciśnienie],MATCH($B191,tab_MinKomp[[Stanowisko / Position ]:[Stanowisko / Position ]],0))="n/a","n/a",EJ191-INDEX(tab_MinKomp[Podciśnienie],MATCH($B191,tab_MinKomp[[Stanowisko / Position ]:[Stanowisko / Position ]],0)))</f>
        <v>n/a</v>
      </c>
      <c r="EK192" s="315" t="str">
        <f>IF(INDEX(tab_MinKomp[Usuwanie awarii],MATCH($B191,tab_MinKomp[[Stanowisko / Position ]:[Stanowisko / Position ]],0))="n/a","n/a",EK191-INDEX(tab_MinKomp[Usuwanie awarii],MATCH($B191,tab_MinKomp[[Stanowisko / Position ]:[Stanowisko / Position ]],0)))</f>
        <v>n/a</v>
      </c>
      <c r="EL192" s="315" t="str">
        <f>IF(INDEX(tab_MinKomp[Obsługa robotów],MATCH($B191,tab_MinKomp[[Stanowisko / Position ]:[Stanowisko / Position ]],0))="n/a","n/a",EL191-INDEX(tab_MinKomp[Obsługa robotów],MATCH($B191,tab_MinKomp[[Stanowisko / Position ]:[Stanowisko / Position ]],0)))</f>
        <v>n/a</v>
      </c>
      <c r="EM192" s="315" t="str">
        <f>IF(INDEX(tab_MinKomp[Obsługa sterowania maszyny],MATCH($B191,tab_MinKomp[[Stanowisko / Position ]:[Stanowisko / Position ]],0))="n/a","n/a",EM191-INDEX(tab_MinKomp[Obsługa sterowania maszyny],MATCH($B191,tab_MinKomp[[Stanowisko / Position ]:[Stanowisko / Position ]],0)))</f>
        <v>n/a</v>
      </c>
      <c r="EN192" s="315" t="str">
        <f>IF(INDEX(tab_MinKomp[Usuwanie przyczyn żródłowych],MATCH($B191,tab_MinKomp[[Stanowisko / Position ]:[Stanowisko / Position ]],0))="n/a","n/a",EN191-INDEX(tab_MinKomp[Usuwanie przyczyn żródłowych],MATCH($B191,tab_MinKomp[[Stanowisko / Position ]:[Stanowisko / Position ]],0)))</f>
        <v>n/a</v>
      </c>
      <c r="EO192" s="315" t="str">
        <f>IF(INDEX(tab_MinKomp[Cmms stosowanie],MATCH($B191,tab_MinKomp[[Stanowisko / Position ]:[Stanowisko / Position ]],0))="n/a","n/a",EO191-INDEX(tab_MinKomp[Cmms stosowanie],MATCH($B191,tab_MinKomp[[Stanowisko / Position ]:[Stanowisko / Position ]],0)))</f>
        <v>n/a</v>
      </c>
      <c r="EP192" s="315" t="str">
        <f>IF(INDEX(tab_MinKomp[[Czyszczenie form gumowych ]],MATCH($B191,tab_MinKomp[[Stanowisko / Position ]:[Stanowisko / Position ]],0))="n/a","n/a",EP191-INDEX(tab_MinKomp[[Czyszczenie form gumowych ]],MATCH($B191,tab_MinKomp[[Stanowisko / Position ]:[Stanowisko / Position ]],0)))</f>
        <v>n/a</v>
      </c>
      <c r="EQ192" s="315" t="str">
        <f>IF(INDEX(tab_MinKomp[Czyszczenie form plastikowych],MATCH($B191,tab_MinKomp[[Stanowisko / Position ]:[Stanowisko / Position ]],0))="n/a","n/a",EQ191-INDEX(tab_MinKomp[Czyszczenie form plastikowych],MATCH($B191,tab_MinKomp[[Stanowisko / Position ]:[Stanowisko / Position ]],0)))</f>
        <v>n/a</v>
      </c>
      <c r="ER192" s="315" t="str">
        <f>IF(INDEX(tab_MinKomp[Wymiana form plastik],MATCH($B191,tab_MinKomp[[Stanowisko / Position ]:[Stanowisko / Position ]],0))="n/a","n/a",ER191-INDEX(tab_MinKomp[Wymiana form plastik],MATCH($B191,tab_MinKomp[[Stanowisko / Position ]:[Stanowisko / Position ]],0)))</f>
        <v>n/a</v>
      </c>
      <c r="ES192" s="315" t="str">
        <f>IF(INDEX(tab_MinKomp[Wymiana form guma],MATCH($B191,tab_MinKomp[[Stanowisko / Position ]:[Stanowisko / Position ]],0))="n/a","n/a",ES191-INDEX(tab_MinKomp[Wymiana form guma],MATCH($B191,tab_MinKomp[[Stanowisko / Position ]:[Stanowisko / Position ]],0)))</f>
        <v>n/a</v>
      </c>
      <c r="ET192" s="315" t="str">
        <f>IF(INDEX(tab_MinKomp[Konserwacja KK],MATCH($B191,tab_MinKomp[[Stanowisko / Position ]:[Stanowisko / Position ]],0))="n/a","n/a",ET191-INDEX(tab_MinKomp[Konserwacja KK],MATCH($B191,tab_MinKomp[[Stanowisko / Position ]:[Stanowisko / Position ]],0)))</f>
        <v>n/a</v>
      </c>
      <c r="EU192" s="315" t="str">
        <f>IF(INDEX(tab_MinKomp[Konserwacja form guma],MATCH($B191,tab_MinKomp[[Stanowisko / Position ]:[Stanowisko / Position ]],0))="n/a","n/a",EU191-INDEX(tab_MinKomp[Konserwacja form guma],MATCH($B191,tab_MinKomp[[Stanowisko / Position ]:[Stanowisko / Position ]],0)))</f>
        <v>n/a</v>
      </c>
      <c r="EV192" s="315" t="str">
        <f>IF(INDEX(tab_MinKomp[Konserwacja form plastiki],MATCH($B191,tab_MinKomp[[Stanowisko / Position ]:[Stanowisko / Position ]],0))="n/a","n/a",EV191-INDEX(tab_MinKomp[Konserwacja form plastiki],MATCH($B191,tab_MinKomp[[Stanowisko / Position ]:[Stanowisko / Position ]],0)))</f>
        <v>n/a</v>
      </c>
      <c r="EW192" s="330" t="str">
        <f>IF(INDEX(tab_MinKomp[Konserwacja form plastiki],MATCH($B191,tab_MinKomp[[Stanowisko / Position ]:[Stanowisko / Position ]],0))="n/a","n/a",EW191-INDEX(tab_MinKomp[Konserwacja form plastiki],MATCH($B191,tab_MinKomp[[Stanowisko / Position ]:[Stanowisko / Position ]],0)))</f>
        <v>n/a</v>
      </c>
      <c r="EX192" s="315" t="str">
        <f>IF(INDEX(tab_MinKomp[Konserwacja Gorącego Kanału],MATCH($B191,tab_MinKomp[[Stanowisko / Position ]:[Stanowisko / Position ]],0))="n/a","n/a",EX191-INDEX(tab_MinKomp[Konserwacja Gorącego Kanału],MATCH($B191,tab_MinKomp[[Stanowisko / Position ]:[Stanowisko / Position ]],0)))</f>
        <v>n/a</v>
      </c>
      <c r="EY192" s="315">
        <f>IF(INDEX(tab_MinKomp[MS Office (Excel)],MATCH($B191,tab_MinKomp[[Stanowisko / Position ]:[Stanowisko / Position ]],0))="n/a","n/a",EY191-INDEX(tab_MinKomp[MS Office (Excel)],MATCH($B191,tab_MinKomp[[Stanowisko / Position ]:[Stanowisko / Position ]],0)))</f>
        <v>0</v>
      </c>
      <c r="EZ192" s="315">
        <f>IF(INDEX(tab_MinKomp[MS Office (Word)],MATCH($B191,tab_MinKomp[[Stanowisko / Position ]:[Stanowisko / Position ]],0))="n/a","n/a",EZ191-INDEX(tab_MinKomp[MS Office (Word)],MATCH($B191,tab_MinKomp[[Stanowisko / Position ]:[Stanowisko / Position ]],0)))</f>
        <v>0</v>
      </c>
      <c r="FA192" s="315">
        <f>IF(INDEX(tab_MinKomp[MS Office (Power Point)],MATCH($B191,tab_MinKomp[[Stanowisko / Position ]:[Stanowisko / Position ]],0))="n/a","n/a",FA191-INDEX(tab_MinKomp[MS Office (Power Point)],MATCH($B191,tab_MinKomp[[Stanowisko / Position ]:[Stanowisko / Position ]],0)))</f>
        <v>0</v>
      </c>
      <c r="FB192" s="315" t="str">
        <f>IF(INDEX(tab_MinKomp[Język angielski / Englisch],MATCH($B191,tab_MinKomp[[Stanowisko / Position ]:[Stanowisko / Position ]],0))="n/a","n/a",FB191-INDEX(tab_MinKomp[Język angielski / Englisch],MATCH($B191,tab_MinKomp[[Stanowisko / Position ]:[Stanowisko / Position ]],0)))</f>
        <v>n/a</v>
      </c>
      <c r="FC192" s="315" t="str">
        <f>IF(INDEX(tab_MinKomp[Język niemiecki / Deutsch],MATCH($B191,tab_MinKomp[[Stanowisko / Position ]:[Stanowisko / Position ]],0))="n/a","n/a",FC191-INDEX(tab_MinKomp[Język niemiecki / Deutsch],MATCH($B191,tab_MinKomp[[Stanowisko / Position ]:[Stanowisko / Position ]],0)))</f>
        <v>n/a</v>
      </c>
      <c r="FD192" s="315">
        <f>IF(INDEX(tab_MinKomp[Zarządzanie dokumentacją procesową / Process dokumentation management],MATCH($B191,tab_MinKomp[[Stanowisko / Position ]:[Stanowisko / Position ]],0))="n/a","n/a",FD191-INDEX(tab_MinKomp[Zarządzanie dokumentacją procesową / Process dokumentation management],MATCH($B191,tab_MinKomp[[Stanowisko / Position ]:[Stanowisko / Position ]],0)))</f>
        <v>-1</v>
      </c>
      <c r="FE192" s="315">
        <f>IF(INDEX(tab_MinKomp[Znajomość procesów z obszaru / Kenntiss der prozesse in dem Bereich],MATCH($B191,tab_MinKomp[[Stanowisko / Position ]:[Stanowisko / Position ]],0))="n/a","n/a",FE191-INDEX(tab_MinKomp[Znajomość procesów z obszaru / Kenntiss der prozesse in dem Bereich],MATCH($B191,tab_MinKomp[[Stanowisko / Position ]:[Stanowisko / Position ]],0)))</f>
        <v>0</v>
      </c>
      <c r="FF192" s="315" t="str">
        <f>IF(INDEX(tab_MinKomp[optymalizacja procesów / Prozessoptymalisierung],MATCH($B191,tab_MinKomp[[Stanowisko / Position ]:[Stanowisko / Position ]],0))="n/a","n/a",FF191-INDEX(tab_MinKomp[optymalizacja procesów / Prozessoptymalisierung],MATCH($B191,tab_MinKomp[[Stanowisko / Position ]:[Stanowisko / Position ]],0)))</f>
        <v>n/a</v>
      </c>
      <c r="FG192" s="315">
        <f>IF(INDEX(tab_MinKomp[Umiejętności szkoleniowe / Trainingsfähigkeiten],MATCH($B191,tab_MinKomp[[Stanowisko / Position ]:[Stanowisko / Position ]],0))="n/a","n/a",FG191-INDEX(tab_MinKomp[Umiejętności szkoleniowe / Trainingsfähigkeiten],MATCH($B191,tab_MinKomp[[Stanowisko / Position ]:[Stanowisko / Position ]],0)))</f>
        <v>-1</v>
      </c>
      <c r="FH192" s="315">
        <f>IF(INDEX(tab_MinKomp[Analityczne myślenie, podejście / Analitysches Denken, Einstellung],MATCH($B191,tab_MinKomp[[Stanowisko / Position ]:[Stanowisko / Position ]],0))="n/a","n/a",FH191-INDEX(tab_MinKomp[Analityczne myślenie, podejście / Analitysches Denken, Einstellung],MATCH($B191,tab_MinKomp[[Stanowisko / Position ]:[Stanowisko / Position ]],0)))</f>
        <v>-1</v>
      </c>
      <c r="FI192" s="315">
        <f>IF(INDEX(tab_MinKomp[Dokładność, precyzja w dzialaniu / Genauigkeit, Präzision in die Arbeit],MATCH($B191,tab_MinKomp[[Stanowisko / Position ]:[Stanowisko / Position ]],0))="n/a","n/a",FI191-INDEX(tab_MinKomp[Dokładność, precyzja w dzialaniu / Genauigkeit, Präzision in die Arbeit],MATCH($B191,tab_MinKomp[[Stanowisko / Position ]:[Stanowisko / Position ]],0)))</f>
        <v>0</v>
      </c>
      <c r="FJ192" s="315">
        <f>IF(INDEX(tab_MinKomp[Dyspozycyjność / Verfügbarkeit],MATCH($B191,tab_MinKomp[[Stanowisko / Position ]:[Stanowisko / Position ]],0))="n/a","n/a",FJ191-INDEX(tab_MinKomp[Dyspozycyjność / Verfügbarkeit],MATCH($B191,tab_MinKomp[[Stanowisko / Position ]:[Stanowisko / Position ]],0)))</f>
        <v>0</v>
      </c>
      <c r="FK192" s="315">
        <f>IF(INDEX(tab_MinKomp[Zaangażowanie / 
Engagement],MATCH($B191,tab_MinKomp[[Stanowisko / Position ]:[Stanowisko / Position ]],0))="n/a","n/a",FK191-INDEX(tab_MinKomp[Zaangażowanie / 
Engagement],MATCH($B191,tab_MinKomp[[Stanowisko / Position ]:[Stanowisko / Position ]],0)))</f>
        <v>0</v>
      </c>
      <c r="FL192" s="315" t="str">
        <f>IF(INDEX(tab_MinKomp[Planowanie strategiczne / Strategische Planung],MATCH($B191,tab_MinKomp[[Stanowisko / Position ]:[Stanowisko / Position ]],0))="n/a","n/a",FL191-INDEX(tab_MinKomp[Planowanie strategiczne / Strategische Planung],MATCH($B191,tab_MinKomp[[Stanowisko / Position ]:[Stanowisko / Position ]],0)))</f>
        <v>n/a</v>
      </c>
      <c r="FM192" s="315" t="str">
        <f>IF(INDEX(tab_MinKomp[Konsekwentne i dynamiczne działanie],MATCH($B191,tab_MinKomp[[Stanowisko / Position ]:[Stanowisko / Position ]],0))="n/a","n/a",FM191-INDEX(tab_MinKomp[Konsekwentne i dynamiczne działanie],MATCH($B191,tab_MinKomp[[Stanowisko / Position ]:[Stanowisko / Position ]],0)))</f>
        <v>n/a</v>
      </c>
      <c r="FN192" s="315" t="str">
        <f>IF(INDEX(tab_MinKomp[Elastyczność w działaniu],MATCH($B191,tab_MinKomp[[Stanowisko / Position ]:[Stanowisko / Position ]],0))="n/a","n/a",FN191-INDEX(tab_MinKomp[Elastyczność w działaniu],MATCH($B191,tab_MinKomp[[Stanowisko / Position ]:[Stanowisko / Position ]],0)))</f>
        <v>n/a</v>
      </c>
      <c r="FO192" s="315">
        <f>IF(INDEX(tab_MinKomp[Komunikatywność],MATCH($B191,tab_MinKomp[[Stanowisko / Position ]:[Stanowisko / Position ]],0))="n/a","n/a",FO191-INDEX(tab_MinKomp[Komunikatywność],MATCH($B191,tab_MinKomp[[Stanowisko / Position ]:[Stanowisko / Position ]],0)))</f>
        <v>-1</v>
      </c>
      <c r="FP192" s="314" t="str">
        <f>IF(INDEX(tab_MinKomp[Motywowanie i budowanie zaangażowania zespołu],MATCH($B191,tab_MinKomp[[Stanowisko / Position ]:[Stanowisko / Position ]],0))="n/a","n/a",FP191-INDEX(tab_MinKomp[Motywowanie i budowanie zaangażowania zespołu],MATCH($B191,tab_MinKomp[[Stanowisko / Position ]:[Stanowisko / Position ]],0)))</f>
        <v>n/a</v>
      </c>
      <c r="FQ192" s="318" t="str">
        <f>IFERROR(IF(INDEX(tab_MinKomp[BRAK / Keine],MATCH($B191,tab_MinKomp[[Stanowisko / Position ]:[Stanowisko / Position ]],0))="n/a","n/a",INDEX(tab_MinKomp[BRAK / Keine],MATCH($B191,tab_MinKomp[[Stanowisko / Position ]:[Stanowisko / Position ]],0))-FQ191),"")</f>
        <v>n/a</v>
      </c>
      <c r="FR192" s="315" t="str">
        <f>IF(INDEX(tab_MinKomp[MINIMUM 1 ROK / min. 1 Jahr],MATCH($B191,tab_MinKomp[[Stanowisko / Position ]:[Stanowisko / Position ]],0))="n/a","n/a",INDEX(tab_MinKomp[MINIMUM 1 ROK / min. 1 Jahr],MATCH($B191,tab_MinKomp[[Stanowisko / Position ]:[Stanowisko / Position ]],0)))</f>
        <v>X</v>
      </c>
      <c r="FS192" s="315" t="str">
        <f>IF(INDEX(tab_MinKomp[MINIMUM 2 LATA / min. 2 Jahre],MATCH($B191,tab_MinKomp[[Stanowisko / Position ]:[Stanowisko / Position ]],0))="n/a","n/a",INDEX(tab_MinKomp[MINIMUM 2 LATA / min. 2 Jahre],MATCH($B191,tab_MinKomp[[Stanowisko / Position ]:[Stanowisko / Position ]],0)))</f>
        <v>n/a</v>
      </c>
      <c r="FT192" s="315" t="str">
        <f>IF(INDEX(tab_MinKomp[MINIMUM 3 LATA / min. 3 Jahre],MATCH($B191,tab_MinKomp[[Stanowisko / Position ]:[Stanowisko / Position ]],0))="n/a","n/a",INDEX(tab_MinKomp[MINIMUM 3 LATA / min. 3 Jahre],MATCH($B191,tab_MinKomp[[Stanowisko / Position ]:[Stanowisko / Position ]],0)))</f>
        <v>n/a</v>
      </c>
      <c r="FU192" s="315" t="str">
        <f>IF(INDEX(tab_MinKomp[MINIMUM 4 LATA / min. 4 Jahre],MATCH($B191,tab_MinKomp[[Stanowisko / Position ]:[Stanowisko / Position ]],0))="n/a","n/a",INDEX(tab_MinKomp[MINIMUM 4 LATA / min. 4 Jahre],MATCH($B191,tab_MinKomp[[Stanowisko / Position ]:[Stanowisko / Position ]],0)))</f>
        <v>n/a</v>
      </c>
      <c r="FV192" s="319" t="str">
        <f>IF(INDEX(tab_MinKomp[MINIMUM 5 LAT / min. 5 Jahre],MATCH($B191,tab_MinKomp[[Stanowisko / Position ]:[Stanowisko / Position ]],0))="n/a","n/a",INDEX(tab_MinKomp[MINIMUM 5 LAT / min. 5 Jahre],MATCH($B191,tab_MinKomp[[Stanowisko / Position ]:[Stanowisko / Position ]],0)))</f>
        <v>n/a</v>
      </c>
      <c r="FW192" s="318" t="str">
        <f>IF(INDEX(tab_MinKomp[BRAK / Keine9],MATCH($B191,tab_MinKomp[[Stanowisko / Position ]:[Stanowisko / Position ]],0))="n/a","n/a",INDEX(tab_MinKomp[BRAK / Keine9],MATCH($B191,tab_MinKomp[[Stanowisko / Position ]:[Stanowisko / Position ]],0)))</f>
        <v>n/a</v>
      </c>
      <c r="FX192" s="315" t="str">
        <f>IF(INDEX(tab_MinKomp[ZAWODOWE / Berufsausbildung],MATCH($B191,tab_MinKomp[[Stanowisko / Position ]:[Stanowisko / Position ]],0))="n/a","n/a",INDEX(tab_MinKomp[ZAWODOWE / Berufsausbildung],MATCH($B191,tab_MinKomp[[Stanowisko / Position ]:[Stanowisko / Position ]],0)))</f>
        <v>X</v>
      </c>
      <c r="FY192" s="315" t="str">
        <f>IF(INDEX(tab_MinKomp[ŚREDNIE OGÓLNE / Abitur allgemeine],MATCH($B191,tab_MinKomp[[Stanowisko / Position ]:[Stanowisko / Position ]],0))="n/a","n/a",INDEX(tab_MinKomp[ŚREDNIE OGÓLNE / Abitur allgemeine],MATCH($B191,tab_MinKomp[[Stanowisko / Position ]:[Stanowisko / Position ]],0)))</f>
        <v>n/a</v>
      </c>
      <c r="FZ192" s="315" t="str">
        <f>IF(INDEX(tab_MinKomp[ŚREDNIE KIERUNKOWE / berufliches Gymnasium],MATCH($B191,tab_MinKomp[[Stanowisko / Position ]:[Stanowisko / Position ]],0))="n/a","n/a",INDEX(tab_MinKomp[ŚREDNIE KIERUNKOWE / berufliches Gymnasium],MATCH($B191,tab_MinKomp[[Stanowisko / Position ]:[Stanowisko / Position ]],0)))</f>
        <v>n/a</v>
      </c>
      <c r="GA192" s="315" t="str">
        <f>IF(INDEX(tab_MinKomp[WYŻSZE OGÓLNE / Hochschule allgemeine],MATCH($B191,tab_MinKomp[[Stanowisko / Position ]:[Stanowisko / Position ]],0))="n/a","n/a",INDEX(tab_MinKomp[WYŻSZE OGÓLNE / Hochschule allgemeine],MATCH($B191,tab_MinKomp[[Stanowisko / Position ]:[Stanowisko / Position ]],0)))</f>
        <v>n/a</v>
      </c>
      <c r="GB192" s="319" t="str">
        <f>IF(INDEX(tab_MinKomp[WYŻSZE KIERUNKOWE / Hochschule berufliche],MATCH($B191,tab_MinKomp[[Stanowisko / Position ]:[Stanowisko / Position ]],0))="n/a","n/a",INDEX(tab_MinKomp[WYŻSZE KIERUNKOWE / Hochschule berufliche],MATCH($B191,tab_MinKomp[[Stanowisko / Position ]:[Stanowisko / Position ]],0)))</f>
        <v>n/a</v>
      </c>
      <c r="GC192" s="318" t="str">
        <f>IF(INDEX(tab_MinKomp[PIERWSZA POMOC / Erste Hilfe],MATCH($B191,tab_MinKomp[[Stanowisko / Position ]:[Stanowisko / Position ]],0))="n/a","n/a",INDEX(tab_MinKomp[PIERWSZA POMOC / Erste Hilfe],MATCH($B191,tab_MinKomp[[Stanowisko / Position ]:[Stanowisko / Position ]],0)))</f>
        <v>n/a</v>
      </c>
      <c r="GD192" s="315" t="str">
        <f>IF(INDEX(tab_MinKomp[Specjalista BHP / BHP Spezialist],MATCH($B191,tab_MinKomp[[Stanowisko / Position ]:[Stanowisko / Position ]],0))="n/a","n/a",INDEX(tab_MinKomp[Specjalista BHP / BHP Spezialist],MATCH($B191,tab_MinKomp[[Stanowisko / Position ]:[Stanowisko / Position ]],0)))</f>
        <v>n/a</v>
      </c>
      <c r="GE192" s="315" t="str">
        <f>IF(INDEX(tab_MinKomp[Inspektor ochrony PPOŻ / Brandschutzinspektor],MATCH($B191,tab_MinKomp[[Stanowisko / Position ]:[Stanowisko / Position ]],0))="n/a","n/a",INDEX(tab_MinKomp[Inspektor ochrony PPOŻ / Brandschutzinspektor],MATCH($B191,tab_MinKomp[[Stanowisko / Position ]:[Stanowisko / Position ]],0)))</f>
        <v>n/a</v>
      </c>
      <c r="GF192" s="315" t="str">
        <f>IF(INDEX(tab_MinKomp[WÓZKI JEZDNIOWE / Gebelstapler],MATCH($B191,tab_MinKomp[[Stanowisko / Position ]:[Stanowisko / Position ]],0))="n/a","n/a",INDEX(tab_MinKomp[WÓZKI JEZDNIOWE / Gebelstapler],MATCH($B191,tab_MinKomp[[Stanowisko / Position ]:[Stanowisko / Position ]],0)))</f>
        <v>n/a</v>
      </c>
      <c r="GG192" s="315" t="str">
        <f>IF(INDEX(tab_MinKomp[SEP],MATCH($B191,tab_MinKomp[[Stanowisko / Position ]:[Stanowisko / Position ]],0))="n/a","n/a",INDEX(tab_MinKomp[SEP],MATCH($B191,tab_MinKomp[[Stanowisko / Position ]:[Stanowisko / Position ]],0)))</f>
        <v>n/a</v>
      </c>
      <c r="GH192" s="315" t="str">
        <f>IF(INDEX(tab_MinKomp[SEP  DOZÓR / SEP Aufsicht],MATCH($B191,tab_MinKomp[[Stanowisko / Position ]:[Stanowisko / Position ]],0))="n/a","n/a",INDEX(tab_MinKomp[SEP  DOZÓR / SEP Aufsicht],MATCH($B191,tab_MinKomp[[Stanowisko / Position ]:[Stanowisko / Position ]],0)))</f>
        <v>n/a</v>
      </c>
      <c r="GI192" s="315" t="str">
        <f>IF(INDEX(tab_MinKomp[PODNOŚNIKI / Hebevorrichtung],MATCH($B191,tab_MinKomp[[Stanowisko / Position ]:[Stanowisko / Position ]],0))="n/a","n/a",INDEX(tab_MinKomp[PODNOŚNIKI / Hebevorrichtung],MATCH($B191,tab_MinKomp[[Stanowisko / Position ]:[Stanowisko / Position ]],0)))</f>
        <v>n/a</v>
      </c>
      <c r="GJ192" s="315" t="str">
        <f>IF(INDEX(tab_MinKomp[SUWNICE / Laufkran],MATCH($B191,tab_MinKomp[[Stanowisko / Position ]:[Stanowisko / Position ]],0))="n/a","n/a",INDEX(tab_MinKomp[SUWNICE / Laufkran],MATCH($B191,tab_MinKomp[[Stanowisko / Position ]:[Stanowisko / Position ]],0)))</f>
        <v>n/a</v>
      </c>
      <c r="GK192" s="319" t="str">
        <f>IF(INDEX(tab_MinKomp[WYSOKOŚCIOWE / Höhenberechtigungen],MATCH($B191,tab_MinKomp[[Stanowisko / Position ]:[Stanowisko / Position ]],0))="n/a","n/a",INDEX(tab_MinKomp[WYSOKOŚCIOWE / Höhenberechtigungen],MATCH($B191,tab_MinKomp[[Stanowisko / Position ]:[Stanowisko / Position ]],0)))</f>
        <v>n/a</v>
      </c>
      <c r="GL192" s="320">
        <f>SUM(G192:FP192)/(GL191-(SUM(G192:FP192)))</f>
        <v>-1.9230769230769232E-2</v>
      </c>
    </row>
    <row r="193" spans="1:195" ht="28.35" customHeight="1" thickBot="1" x14ac:dyDescent="0.3">
      <c r="A193" s="135" t="s">
        <v>260</v>
      </c>
      <c r="B193" s="135" t="s">
        <v>193</v>
      </c>
      <c r="C193" s="135" t="s">
        <v>750</v>
      </c>
      <c r="D193" s="135">
        <v>1278</v>
      </c>
      <c r="E193" s="565" t="s">
        <v>676</v>
      </c>
      <c r="F193" s="307" t="s">
        <v>165</v>
      </c>
      <c r="G193" s="308">
        <v>2</v>
      </c>
      <c r="H193" s="308">
        <v>2</v>
      </c>
      <c r="I193" s="308">
        <v>2</v>
      </c>
      <c r="J193" s="308">
        <v>1</v>
      </c>
      <c r="K193" s="308">
        <v>2</v>
      </c>
      <c r="L193" s="308">
        <v>1</v>
      </c>
      <c r="M193" s="308" t="s">
        <v>176</v>
      </c>
      <c r="N193" s="308" t="s">
        <v>176</v>
      </c>
      <c r="O193" s="308">
        <v>1</v>
      </c>
      <c r="P193" s="308">
        <v>1</v>
      </c>
      <c r="Q193" s="308" t="s">
        <v>176</v>
      </c>
      <c r="R193" s="308" t="s">
        <v>176</v>
      </c>
      <c r="S193" s="308" t="s">
        <v>176</v>
      </c>
      <c r="T193" s="308" t="s">
        <v>176</v>
      </c>
      <c r="U193" s="308" t="s">
        <v>176</v>
      </c>
      <c r="V193" s="308" t="s">
        <v>176</v>
      </c>
      <c r="W193" s="308" t="s">
        <v>176</v>
      </c>
      <c r="X193" s="308" t="s">
        <v>176</v>
      </c>
      <c r="Y193" s="308" t="s">
        <v>176</v>
      </c>
      <c r="Z193" s="308" t="s">
        <v>176</v>
      </c>
      <c r="AA193" s="308" t="s">
        <v>176</v>
      </c>
      <c r="AB193" s="308" t="s">
        <v>176</v>
      </c>
      <c r="AC193" s="308">
        <v>1</v>
      </c>
      <c r="AD193" s="308">
        <v>1</v>
      </c>
      <c r="AE193" s="308">
        <v>1</v>
      </c>
      <c r="AF193" s="308">
        <v>1</v>
      </c>
      <c r="AG193" s="308">
        <v>1</v>
      </c>
      <c r="AH193" s="308">
        <v>1</v>
      </c>
      <c r="AI193" s="308" t="s">
        <v>176</v>
      </c>
      <c r="AJ193" s="308" t="s">
        <v>176</v>
      </c>
      <c r="AK193" s="308" t="s">
        <v>176</v>
      </c>
      <c r="AL193" s="308">
        <v>1</v>
      </c>
      <c r="AM193" s="308" t="s">
        <v>176</v>
      </c>
      <c r="AN193" s="308" t="s">
        <v>176</v>
      </c>
      <c r="AO193" s="308">
        <v>1</v>
      </c>
      <c r="AP193" s="308">
        <v>1</v>
      </c>
      <c r="AQ193" s="308">
        <v>1</v>
      </c>
      <c r="AR193" s="308" t="s">
        <v>176</v>
      </c>
      <c r="AS193" s="308">
        <v>1</v>
      </c>
      <c r="AT193" s="308">
        <v>1</v>
      </c>
      <c r="AU193" s="308">
        <v>1</v>
      </c>
      <c r="AV193" s="308">
        <v>2</v>
      </c>
      <c r="AW193" s="308">
        <v>1</v>
      </c>
      <c r="AX193" s="308">
        <v>1</v>
      </c>
      <c r="AY193" s="308" t="s">
        <v>176</v>
      </c>
      <c r="AZ193" s="308" t="s">
        <v>176</v>
      </c>
      <c r="BA193" s="308" t="s">
        <v>176</v>
      </c>
      <c r="BB193" s="308" t="s">
        <v>176</v>
      </c>
      <c r="BC193" s="308" t="s">
        <v>176</v>
      </c>
      <c r="BD193" s="308" t="s">
        <v>176</v>
      </c>
      <c r="BE193" s="308" t="s">
        <v>176</v>
      </c>
      <c r="BF193" s="308" t="s">
        <v>176</v>
      </c>
      <c r="BG193" s="308" t="s">
        <v>176</v>
      </c>
      <c r="BH193" s="308" t="s">
        <v>176</v>
      </c>
      <c r="BI193" s="308" t="s">
        <v>176</v>
      </c>
      <c r="BJ193" s="308" t="s">
        <v>176</v>
      </c>
      <c r="BK193" s="308" t="s">
        <v>176</v>
      </c>
      <c r="BL193" s="308" t="s">
        <v>176</v>
      </c>
      <c r="BM193" s="308" t="s">
        <v>176</v>
      </c>
      <c r="BN193" s="308" t="s">
        <v>176</v>
      </c>
      <c r="BO193" s="308" t="s">
        <v>176</v>
      </c>
      <c r="BP193" s="308" t="s">
        <v>176</v>
      </c>
      <c r="BQ193" s="308" t="s">
        <v>176</v>
      </c>
      <c r="BR193" s="308" t="s">
        <v>176</v>
      </c>
      <c r="BS193" s="308" t="s">
        <v>176</v>
      </c>
      <c r="BT193" s="308" t="s">
        <v>176</v>
      </c>
      <c r="BU193" s="308" t="s">
        <v>176</v>
      </c>
      <c r="BV193" s="308" t="s">
        <v>176</v>
      </c>
      <c r="BW193" s="308" t="s">
        <v>176</v>
      </c>
      <c r="BX193" s="308" t="s">
        <v>176</v>
      </c>
      <c r="BY193" s="308" t="s">
        <v>176</v>
      </c>
      <c r="BZ193" s="308" t="s">
        <v>176</v>
      </c>
      <c r="CA193" s="308" t="s">
        <v>176</v>
      </c>
      <c r="CB193" s="308" t="s">
        <v>176</v>
      </c>
      <c r="CC193" s="308" t="s">
        <v>176</v>
      </c>
      <c r="CD193" s="308" t="s">
        <v>176</v>
      </c>
      <c r="CE193" s="308" t="s">
        <v>176</v>
      </c>
      <c r="CF193" s="308" t="s">
        <v>176</v>
      </c>
      <c r="CG193" s="308" t="s">
        <v>176</v>
      </c>
      <c r="CH193" s="308" t="s">
        <v>176</v>
      </c>
      <c r="CI193" s="308">
        <v>1</v>
      </c>
      <c r="CJ193" s="308" t="s">
        <v>176</v>
      </c>
      <c r="CK193" s="308" t="s">
        <v>176</v>
      </c>
      <c r="CL193" s="308" t="s">
        <v>176</v>
      </c>
      <c r="CM193" s="308" t="s">
        <v>176</v>
      </c>
      <c r="CN193" s="308">
        <v>1</v>
      </c>
      <c r="CO193" s="308" t="s">
        <v>176</v>
      </c>
      <c r="CP193" s="308" t="s">
        <v>176</v>
      </c>
      <c r="CQ193" s="308" t="s">
        <v>176</v>
      </c>
      <c r="CR193" s="308" t="s">
        <v>176</v>
      </c>
      <c r="CS193" s="308" t="s">
        <v>176</v>
      </c>
      <c r="CT193" s="308">
        <v>2</v>
      </c>
      <c r="CU193" s="308">
        <v>2</v>
      </c>
      <c r="CV193" s="308">
        <v>2</v>
      </c>
      <c r="CW193" s="308">
        <v>2</v>
      </c>
      <c r="CX193" s="308">
        <v>2</v>
      </c>
      <c r="CY193" s="308">
        <v>2</v>
      </c>
      <c r="CZ193" s="308">
        <v>1</v>
      </c>
      <c r="DA193" s="308">
        <v>1</v>
      </c>
      <c r="DB193" s="308">
        <v>1</v>
      </c>
      <c r="DC193" s="308">
        <v>1</v>
      </c>
      <c r="DD193" s="308" t="s">
        <v>176</v>
      </c>
      <c r="DE193" s="308">
        <v>1</v>
      </c>
      <c r="DF193" s="308">
        <v>2</v>
      </c>
      <c r="DG193" s="308">
        <v>1</v>
      </c>
      <c r="DH193" s="308">
        <v>1</v>
      </c>
      <c r="DI193" s="308">
        <v>1</v>
      </c>
      <c r="DJ193" s="308">
        <v>1</v>
      </c>
      <c r="DK193" s="308">
        <v>1</v>
      </c>
      <c r="DL193" s="308">
        <v>1</v>
      </c>
      <c r="DM193" s="308">
        <v>1</v>
      </c>
      <c r="DN193" s="308">
        <v>1</v>
      </c>
      <c r="DO193" s="308">
        <v>1</v>
      </c>
      <c r="DP193" s="308">
        <v>1</v>
      </c>
      <c r="DQ193" s="308">
        <v>1</v>
      </c>
      <c r="DR193" s="308">
        <v>1</v>
      </c>
      <c r="DS193" s="308">
        <v>1</v>
      </c>
      <c r="DT193" s="308">
        <v>1</v>
      </c>
      <c r="DU193" s="308">
        <v>2</v>
      </c>
      <c r="DV193" s="308">
        <v>2</v>
      </c>
      <c r="DW193" s="308">
        <v>2</v>
      </c>
      <c r="DX193" s="308">
        <v>2</v>
      </c>
      <c r="DY193" s="308" t="s">
        <v>176</v>
      </c>
      <c r="DZ193" s="308" t="s">
        <v>176</v>
      </c>
      <c r="EA193" s="308" t="s">
        <v>176</v>
      </c>
      <c r="EB193" s="308" t="s">
        <v>176</v>
      </c>
      <c r="EC193" s="308" t="s">
        <v>176</v>
      </c>
      <c r="ED193" s="308" t="s">
        <v>176</v>
      </c>
      <c r="EE193" s="308" t="s">
        <v>176</v>
      </c>
      <c r="EF193" s="308" t="s">
        <v>176</v>
      </c>
      <c r="EG193" s="308" t="s">
        <v>176</v>
      </c>
      <c r="EH193" s="308" t="s">
        <v>176</v>
      </c>
      <c r="EI193" s="308" t="s">
        <v>176</v>
      </c>
      <c r="EJ193" s="308" t="s">
        <v>176</v>
      </c>
      <c r="EK193" s="308" t="s">
        <v>176</v>
      </c>
      <c r="EL193" s="308" t="s">
        <v>176</v>
      </c>
      <c r="EM193" s="308" t="s">
        <v>176</v>
      </c>
      <c r="EN193" s="308" t="s">
        <v>176</v>
      </c>
      <c r="EO193" s="308" t="s">
        <v>176</v>
      </c>
      <c r="EP193" s="308" t="s">
        <v>176</v>
      </c>
      <c r="EQ193" s="308" t="s">
        <v>176</v>
      </c>
      <c r="ER193" s="308" t="s">
        <v>176</v>
      </c>
      <c r="ES193" s="308" t="s">
        <v>176</v>
      </c>
      <c r="ET193" s="308" t="s">
        <v>176</v>
      </c>
      <c r="EU193" s="308" t="s">
        <v>176</v>
      </c>
      <c r="EV193" s="308" t="s">
        <v>176</v>
      </c>
      <c r="EW193" s="308" t="s">
        <v>176</v>
      </c>
      <c r="EX193" s="308" t="s">
        <v>176</v>
      </c>
      <c r="EY193" s="308">
        <v>2</v>
      </c>
      <c r="EZ193" s="308">
        <v>2</v>
      </c>
      <c r="FA193" s="308">
        <v>2</v>
      </c>
      <c r="FB193" s="308" t="s">
        <v>176</v>
      </c>
      <c r="FC193" s="308" t="s">
        <v>176</v>
      </c>
      <c r="FD193" s="308">
        <v>2</v>
      </c>
      <c r="FE193" s="308">
        <v>1</v>
      </c>
      <c r="FF193" s="308" t="s">
        <v>176</v>
      </c>
      <c r="FG193" s="308">
        <v>1</v>
      </c>
      <c r="FH193" s="308">
        <v>1</v>
      </c>
      <c r="FI193" s="308">
        <v>2</v>
      </c>
      <c r="FJ193" s="308">
        <v>2</v>
      </c>
      <c r="FK193" s="308">
        <v>2</v>
      </c>
      <c r="FL193" s="308" t="s">
        <v>176</v>
      </c>
      <c r="FM193" s="308" t="s">
        <v>176</v>
      </c>
      <c r="FN193" s="308" t="s">
        <v>176</v>
      </c>
      <c r="FO193" s="308"/>
      <c r="FP193" s="308" t="s">
        <v>176</v>
      </c>
      <c r="FQ193" s="308" t="s">
        <v>176</v>
      </c>
      <c r="FR193" s="308" t="s">
        <v>160</v>
      </c>
      <c r="FS193" s="308" t="s">
        <v>176</v>
      </c>
      <c r="FT193" s="308" t="s">
        <v>176</v>
      </c>
      <c r="FU193" s="308" t="s">
        <v>176</v>
      </c>
      <c r="FV193" s="308" t="s">
        <v>176</v>
      </c>
      <c r="FW193" s="308" t="s">
        <v>176</v>
      </c>
      <c r="FX193" s="308" t="s">
        <v>176</v>
      </c>
      <c r="FY193" s="308" t="s">
        <v>176</v>
      </c>
      <c r="FZ193" s="308" t="s">
        <v>160</v>
      </c>
      <c r="GA193" s="308" t="s">
        <v>176</v>
      </c>
      <c r="GB193" s="308" t="s">
        <v>176</v>
      </c>
      <c r="GC193" s="308" t="s">
        <v>176</v>
      </c>
      <c r="GD193" s="308" t="s">
        <v>176</v>
      </c>
      <c r="GE193" s="308" t="s">
        <v>176</v>
      </c>
      <c r="GF193" s="308" t="s">
        <v>176</v>
      </c>
      <c r="GG193" s="308" t="s">
        <v>176</v>
      </c>
      <c r="GH193" s="308" t="s">
        <v>176</v>
      </c>
      <c r="GI193" s="308" t="s">
        <v>176</v>
      </c>
      <c r="GJ193" s="308" t="s">
        <v>176</v>
      </c>
      <c r="GK193" s="321" t="s">
        <v>176</v>
      </c>
      <c r="GL193" s="311">
        <f t="shared" ref="GL193:GL194" si="5">SUM(G193:FP193)</f>
        <v>89</v>
      </c>
    </row>
    <row r="194" spans="1:195" ht="28.35" customHeight="1" thickBot="1" x14ac:dyDescent="0.3">
      <c r="A194" s="138" t="str">
        <f>A193</f>
        <v>Jakość-Quality Labor</v>
      </c>
      <c r="B194" s="138" t="str">
        <f>B193</f>
        <v>Inspektor jakości</v>
      </c>
      <c r="C194" s="135" t="s">
        <v>750</v>
      </c>
      <c r="D194" s="138">
        <f>D193</f>
        <v>1278</v>
      </c>
      <c r="E194" s="567" t="str">
        <f>E193</f>
        <v>Dobrenko Iwona</v>
      </c>
      <c r="F194" s="331" t="s">
        <v>166</v>
      </c>
      <c r="G194" s="351">
        <f>IF(INDEX(tab_MinKomp[Przepisy BHP / BHP Vorschriften],MATCH($B193,tab_MinKomp[[Stanowisko / Position ]:[Stanowisko / Position ]],0))="n/a","n/a",G193-INDEX(tab_MinKomp[Przepisy BHP / BHP Vorschriften],MATCH($B193,tab_MinKomp[[Stanowisko / Position ]:[Stanowisko / Position ]],0)))</f>
        <v>0</v>
      </c>
      <c r="H194" s="334">
        <f>IF(INDEX(tab_MinKomp[Przepisy PPOŻ / Brandschutzbestimmungen],MATCH($B193,tab_MinKomp[[Stanowisko / Position ]:[Stanowisko / Position ]],0))="n/a","n/a",H193-INDEX(tab_MinKomp[Przepisy PPOŻ / Brandschutzbestimmungen],MATCH($B193,tab_MinKomp[[Stanowisko / Position ]:[Stanowisko / Position ]],0)))</f>
        <v>0</v>
      </c>
      <c r="I194" s="334">
        <f>IF(INDEX(tab_MinKomp[Ryzyko zawodowe na stanowiskach pracyv/ Berufliche Risiken an Arbeitsstellen],MATCH($B193,tab_MinKomp[[Stanowisko / Position ]:[Stanowisko / Position ]],0))="n/a","n/a",I193-INDEX(tab_MinKomp[Ryzyko zawodowe na stanowiskach pracyv/ Berufliche Risiken an Arbeitsstellen],MATCH($B193,tab_MinKomp[[Stanowisko / Position ]:[Stanowisko / Position ]],0)))</f>
        <v>0</v>
      </c>
      <c r="J194" s="334">
        <f>IF(INDEX(tab_MinKomp[Gospodarka substancjami niebezpiecznymi / Gefahrstoffmanagement],MATCH($B193,tab_MinKomp[[Stanowisko / Position ]:[Stanowisko / Position ]],0))="n/a","n/a",J193-INDEX(tab_MinKomp[Gospodarka substancjami niebezpiecznymi / Gefahrstoffmanagement],MATCH($B193,tab_MinKomp[[Stanowisko / Position ]:[Stanowisko / Position ]],0)))</f>
        <v>0</v>
      </c>
      <c r="K194" s="334">
        <f>IF(INDEX(tab_MinKomp[Gospodarka odpadami / Abfallwirtschaft],MATCH($B193,tab_MinKomp[[Stanowisko / Position ]:[Stanowisko / Position ]],0))="n/a","n/a",K193-INDEX(tab_MinKomp[Gospodarka odpadami / Abfallwirtschaft],MATCH($B193,tab_MinKomp[[Stanowisko / Position ]:[Stanowisko / Position ]],0)))</f>
        <v>0</v>
      </c>
      <c r="L194" s="333">
        <f>IF(INDEX(tab_MinKomp[Przepisy kodeksu pracy / Bestimmungen des Arbeitsgesetzes],MATCH($B193,tab_MinKomp[[Stanowisko / Position ]:[Stanowisko / Position ]],0))="n/a","n/a",L193-INDEX(tab_MinKomp[Przepisy kodeksu pracy / Bestimmungen des Arbeitsgesetzes],MATCH($B193,tab_MinKomp[[Stanowisko / Position ]:[Stanowisko / Position ]],0)))</f>
        <v>0</v>
      </c>
      <c r="M194" s="332" t="str">
        <f>IF(INDEX(tab_MinKomp[Przepisy o ub.społ. ZUS  / Sozialversicherungsvorschriften],MATCH($B193,tab_MinKomp[[Stanowisko / Position ]:[Stanowisko / Position ]],0))="n/a","n/a",M193-INDEX(tab_MinKomp[Przepisy o ub.społ. ZUS  / Sozialversicherungsvorschriften],MATCH($B193,tab_MinKomp[[Stanowisko / Position ]:[Stanowisko / Position ]],0)))</f>
        <v>n/a</v>
      </c>
      <c r="N194" s="333" t="str">
        <f>IF(INDEX(tab_MinKomp[PRZEPISY O PDOF /persönlich Einkommensteuergesetz ],MATCH($B193,tab_MinKomp[[Stanowisko / Position ]:[Stanowisko / Position ]],0))="n/a","n/a",N193-INDEX(tab_MinKomp[PRZEPISY O PDOF /persönlich Einkommensteuergesetz ],MATCH($B193,tab_MinKomp[[Stanowisko / Position ]:[Stanowisko / Position ]],0)))</f>
        <v>n/a</v>
      </c>
      <c r="O194" s="333">
        <f>IF(INDEX(tab_MinKomp[Regulamin pracy / Arbeitsordnung],MATCH($B193,tab_MinKomp[[Stanowisko / Position ]:[Stanowisko / Position ]],0))="n/a","n/a",O193-INDEX(tab_MinKomp[Regulamin pracy / Arbeitsordnung],MATCH($B193,tab_MinKomp[[Stanowisko / Position ]:[Stanowisko / Position ]],0)))</f>
        <v>0</v>
      </c>
      <c r="P194" s="333">
        <f>IF(INDEX(tab_MinKomp[Regulamin wynagradzania / Vergütungsordnung],MATCH($B193,tab_MinKomp[[Stanowisko / Position ]:[Stanowisko / Position ]],0))="n/a","n/a",P193-INDEX(tab_MinKomp[Regulamin wynagradzania / Vergütungsordnung],MATCH($B193,tab_MinKomp[[Stanowisko / Position ]:[Stanowisko / Position ]],0)))</f>
        <v>0</v>
      </c>
      <c r="Q194" s="333" t="str">
        <f>IF(INDEX(tab_MinKomp[System R2PŁATNIK PRO: Płace / Lohnabrechnung],MATCH($B193,tab_MinKomp[[Stanowisko / Position ]:[Stanowisko / Position ]],0))="n/a","n/a",Q193-INDEX(tab_MinKomp[System R2PŁATNIK PRO: Płace / Lohnabrechnung],MATCH($B193,tab_MinKomp[[Stanowisko / Position ]:[Stanowisko / Position ]],0)))</f>
        <v>n/a</v>
      </c>
      <c r="R194" s="333" t="str">
        <f>IF(INDEX(tab_MinKomp[SystemR2PŁATNIK PRO: KADRY / Personaldaten],MATCH($B193,tab_MinKomp[[Stanowisko / Position ]:[Stanowisko / Position ]],0))="n/a","n/a",R193-INDEX(tab_MinKomp[SystemR2PŁATNIK PRO: KADRY / Personaldaten],MATCH($B193,tab_MinKomp[[Stanowisko / Position ]:[Stanowisko / Position ]],0)))</f>
        <v>n/a</v>
      </c>
      <c r="S194" s="333" t="str">
        <f>IF(INDEX(tab_MinKomp[SYSTEM R2PŁATNIK PRO: zarządzanie pracownikami / Arbeitsverwaltung],MATCH($B193,tab_MinKomp[[Stanowisko / Position ]:[Stanowisko / Position ]],0))="n/a","n/a",S193-INDEX(tab_MinKomp[SYSTEM R2PŁATNIK PRO: zarządzanie pracownikami / Arbeitsverwaltung],MATCH($B193,tab_MinKomp[[Stanowisko / Position ]:[Stanowisko / Position ]],0)))</f>
        <v>n/a</v>
      </c>
      <c r="T194" s="333" t="str">
        <f>IF(INDEX(tab_MinKomp[Doradztwo, wsparcie personalne / Personalberatung und Unterstützung],MATCH($B193,tab_MinKomp[[Stanowisko / Position ]:[Stanowisko / Position ]],0))="n/a","n/a",T193-INDEX(tab_MinKomp[Doradztwo, wsparcie personalne / Personalberatung und Unterstützung],MATCH($B193,tab_MinKomp[[Stanowisko / Position ]:[Stanowisko / Position ]],0)))</f>
        <v>n/a</v>
      </c>
      <c r="U194" s="333" t="str">
        <f>IF(INDEX(tab_MinKomp[Przepisy o podatku VAT / MwSt.- Gesetz],MATCH($B193,tab_MinKomp[[Stanowisko / Position ]:[Stanowisko / Position ]],0))="n/a","n/a",U193-INDEX(tab_MinKomp[Przepisy o podatku VAT / MwSt.- Gesetz],MATCH($B193,tab_MinKomp[[Stanowisko / Position ]:[Stanowisko / Position ]],0)))</f>
        <v>n/a</v>
      </c>
      <c r="V194" s="333" t="str">
        <f>IF(INDEX(tab_MinKomp[PrzepisyPDOP / geschäftlich Einkommensteuergesetz],MATCH($B193,tab_MinKomp[[Stanowisko / Position ]:[Stanowisko / Position ]],0))="n/a","n/a",V193-INDEX(tab_MinKomp[PrzepisyPDOP / geschäftlich Einkommensteuergesetz],MATCH($B193,tab_MinKomp[[Stanowisko / Position ]:[Stanowisko / Position ]],0)))</f>
        <v>n/a</v>
      </c>
      <c r="W194" s="333" t="str">
        <f>IF(INDEX(tab_MinKomp[System BAAN / FINANSE (FIBU)],MATCH($B193,tab_MinKomp[[Stanowisko / Position ]:[Stanowisko / Position ]],0))="n/a","n/a",W193-INDEX(tab_MinKomp[System BAAN / FINANSE (FIBU)],MATCH($B193,tab_MinKomp[[Stanowisko / Position ]:[Stanowisko / Position ]],0)))</f>
        <v>n/a</v>
      </c>
      <c r="X194" s="333" t="str">
        <f>IF(INDEX(tab_MinKomp[Systemy pomocnicze / Hilfssysteme(STOCKPROGRAM, KALK2000 etc.)],MATCH($B193,tab_MinKomp[[Stanowisko / Position ]:[Stanowisko / Position ]],0))="n/a","n/a",X193-INDEX(tab_MinKomp[Systemy pomocnicze / Hilfssysteme(STOCKPROGRAM, KALK2000 etc.)],MATCH($B193,tab_MinKomp[[Stanowisko / Position ]:[Stanowisko / Position ]],0)))</f>
        <v>n/a</v>
      </c>
      <c r="Y194" s="333" t="str">
        <f>IF(INDEX(tab_MinKomp[Polityka rachunkowości / Buchführungspolitik],MATCH($B193,tab_MinKomp[[Stanowisko / Position ]:[Stanowisko / Position ]],0))="n/a","n/a",Y193-INDEX(tab_MinKomp[Polityka rachunkowości / Buchführungspolitik],MATCH($B193,tab_MinKomp[[Stanowisko / Position ]:[Stanowisko / Position ]],0)))</f>
        <v>n/a</v>
      </c>
      <c r="Z194" s="333" t="str">
        <f>IF(INDEX(tab_MinKomp[Ustawa o rachunkowości / Rechnungslegungsgesetz],MATCH($B193,tab_MinKomp[[Stanowisko / Position ]:[Stanowisko / Position ]],0))="n/a","n/a",Z193-INDEX(tab_MinKomp[Ustawa o rachunkowości / Rechnungslegungsgesetz],MATCH($B193,tab_MinKomp[[Stanowisko / Position ]:[Stanowisko / Position ]],0)))</f>
        <v>n/a</v>
      </c>
      <c r="AA194" s="333" t="str">
        <f>IF(INDEX(tab_MinKomp[WORKFLOW - TS-100],MATCH($B193,tab_MinKomp[[Stanowisko / Position ]:[Stanowisko / Position ]],0))="n/a","n/a",AA193-INDEX(tab_MinKomp[WORKFLOW - TS-100],MATCH($B193,tab_MinKomp[[Stanowisko / Position ]:[Stanowisko / Position ]],0)))</f>
        <v>n/a</v>
      </c>
      <c r="AB194" s="333" t="str">
        <f>IF(INDEX(tab_MinKomp[WORKFLOW - SFMS],MATCH($B193,tab_MinKomp[[Stanowisko / Position ]:[Stanowisko / Position ]],0))="n/a","n/a",AB193-INDEX(tab_MinKomp[WORKFLOW - SFMS],MATCH($B193,tab_MinKomp[[Stanowisko / Position ]:[Stanowisko / Position ]],0)))</f>
        <v>n/a</v>
      </c>
      <c r="AC194" s="333">
        <f>IF(INDEX(tab_MinKomp[System ISO 9001:2015],MATCH($B193,tab_MinKomp[[Stanowisko / Position ]:[Stanowisko / Position ]],0))="n/a","n/a",AC193-INDEX(tab_MinKomp[System ISO 9001:2015],MATCH($B193,tab_MinKomp[[Stanowisko / Position ]:[Stanowisko / Position ]],0)))</f>
        <v>0</v>
      </c>
      <c r="AD194" s="333">
        <f>IF(INDEX(tab_MinKomp[System IATF 16949:2016],MATCH($B193,tab_MinKomp[[Stanowisko / Position ]:[Stanowisko / Position ]],0))="n/a","n/a",AD193-INDEX(tab_MinKomp[System IATF 16949:2016],MATCH($B193,tab_MinKomp[[Stanowisko / Position ]:[Stanowisko / Position ]],0)))</f>
        <v>0</v>
      </c>
      <c r="AE194" s="333">
        <f>IF(INDEX(tab_MinKomp[System ISO 14001:2015],MATCH($B193,tab_MinKomp[[Stanowisko / Position ]:[Stanowisko / Position ]],0))="n/a","n/a",AE193-INDEX(tab_MinKomp[System ISO 14001:2015],MATCH($B193,tab_MinKomp[[Stanowisko / Position ]:[Stanowisko / Position ]],0)))</f>
        <v>0</v>
      </c>
      <c r="AF194" s="333">
        <f>IF(INDEX(tab_MinKomp[System PN-N 18001:2004 / ISO 45001:2018],MATCH($B193,tab_MinKomp[[Stanowisko / Position ]:[Stanowisko / Position ]],0))="n/a","n/a",AF193-INDEX(tab_MinKomp[System PN-N 18001:2004 / ISO 45001:2018],MATCH($B193,tab_MinKomp[[Stanowisko / Position ]:[Stanowisko / Position ]],0)))</f>
        <v>0</v>
      </c>
      <c r="AG194" s="333">
        <f>IF(INDEX(tab_MinKomp[Wymagania VDA 6.3 Process / Forderungen],MATCH($B193,tab_MinKomp[[Stanowisko / Position ]:[Stanowisko / Position ]],0))="n/a","n/a",AG193-INDEX(tab_MinKomp[Wymagania VDA 6.3 Process / Forderungen],MATCH($B193,tab_MinKomp[[Stanowisko / Position ]:[Stanowisko / Position ]],0)))</f>
        <v>0</v>
      </c>
      <c r="AH194" s="333">
        <f>IF(INDEX(tab_MinKomp[Wymagania VDA 6.5 Product / Forderungen],MATCH($B193,tab_MinKomp[[Stanowisko / Position ]:[Stanowisko / Position ]],0))="n/a","n/a",AH193-INDEX(tab_MinKomp[Wymagania VDA 6.5 Product / Forderungen],MATCH($B193,tab_MinKomp[[Stanowisko / Position ]:[Stanowisko / Position ]],0)))</f>
        <v>0</v>
      </c>
      <c r="AI194" s="333" t="str">
        <f>IF(INDEX(tab_MinKomp[PSCR (VW Product Safety &amp; Conformity Representative)],MATCH($B193,tab_MinKomp[[Stanowisko / Position ]:[Stanowisko / Position ]],0))="n/a","n/a",AI193-INDEX(tab_MinKomp[PSCR (VW Product Safety &amp; Conformity Representative)],MATCH($B193,tab_MinKomp[[Stanowisko / Position ]:[Stanowisko / Position ]],0)))</f>
        <v>n/a</v>
      </c>
      <c r="AJ194" s="333" t="str">
        <f>IF(INDEX(tab_MinKomp[Auditor systemu ISO 17025:2018],MATCH($B193,tab_MinKomp[[Stanowisko / Position ]:[Stanowisko / Position ]],0))="n/a","n/a",AJ193-INDEX(tab_MinKomp[Auditor systemu ISO 17025:2018],MATCH($B193,tab_MinKomp[[Stanowisko / Position ]:[Stanowisko / Position ]],0)))</f>
        <v>n/a</v>
      </c>
      <c r="AK194" s="333" t="str">
        <f>IF(INDEX(tab_MinKomp[Pełnomocnik systemu / Systemvertreter],MATCH($B193,tab_MinKomp[[Stanowisko / Position ]:[Stanowisko / Position ]],0))="n/a","n/a",AK193-INDEX(tab_MinKomp[Pełnomocnik systemu / Systemvertreter],MATCH($B193,tab_MinKomp[[Stanowisko / Position ]:[Stanowisko / Position ]],0)))</f>
        <v>n/a</v>
      </c>
      <c r="AL194" s="315">
        <v>0</v>
      </c>
      <c r="AM194" s="333" t="str">
        <f>IF(INDEX(tab_MinKomp[WDRAŻANIE NOWYCH PROJEKTÓW/ PROCEDURA CTM],MATCH($B193,tab_MinKomp[[Stanowisko / Position ]:[Stanowisko / Position ]],0))="n/a","n/a",AM193-INDEX(tab_MinKomp[WDRAŻANIE NOWYCH PROJEKTÓW/ PROCEDURA CTM],MATCH($B193,tab_MinKomp[[Stanowisko / Position ]:[Stanowisko / Position ]],0)))</f>
        <v>n/a</v>
      </c>
      <c r="AN194" s="333" t="str">
        <f>IF(INDEX(tab_MinKomp[KAMIENIE MILOWE MSL/PIFF],MATCH($B193,tab_MinKomp[[Stanowisko / Position ]:[Stanowisko / Position ]],0))="n/a","n/a",AN193-INDEX(tab_MinKomp[KAMIENIE MILOWE MSL/PIFF],MATCH($B193,tab_MinKomp[[Stanowisko / Position ]:[Stanowisko / Position ]],0)))</f>
        <v>n/a</v>
      </c>
      <c r="AO194" s="333">
        <f>IF(INDEX(tab_MinKomp[CP],MATCH($B193,tab_MinKomp[[Stanowisko / Position ]:[Stanowisko / Position ]],0))="n/a","n/a",AO193-INDEX(tab_MinKomp[CP],MATCH($B193,tab_MinKomp[[Stanowisko / Position ]:[Stanowisko / Position ]],0)))</f>
        <v>0</v>
      </c>
      <c r="AP194" s="333">
        <f>IF(INDEX(tab_MinKomp[FMEA],MATCH($B193,tab_MinKomp[[Stanowisko / Position ]:[Stanowisko / Position ]],0))="n/a","n/a",AP193-INDEX(tab_MinKomp[FMEA],MATCH($B193,tab_MinKomp[[Stanowisko / Position ]:[Stanowisko / Position ]],0)))</f>
        <v>0</v>
      </c>
      <c r="AQ194" s="333">
        <f>IF(INDEX(tab_MinKomp[FLOW CHART],MATCH($B193,tab_MinKomp[[Stanowisko / Position ]:[Stanowisko / Position ]],0))="n/a","n/a",AQ193-INDEX(tab_MinKomp[FLOW CHART],MATCH($B193,tab_MinKomp[[Stanowisko / Position ]:[Stanowisko / Position ]],0)))</f>
        <v>0</v>
      </c>
      <c r="AR194" s="333" t="str">
        <f>IF(INDEX(tab_MinKomp[APQP],MATCH($B193,tab_MinKomp[[Stanowisko / Position ]:[Stanowisko / Position ]],0))="n/a","n/a",AR193-INDEX(tab_MinKomp[APQP],MATCH($B193,tab_MinKomp[[Stanowisko / Position ]:[Stanowisko / Position ]],0)))</f>
        <v>n/a</v>
      </c>
      <c r="AS194" s="333">
        <f>IF(INDEX(tab_MinKomp[MSA],MATCH($B193,tab_MinKomp[[Stanowisko / Position ]:[Stanowisko / Position ]],0))="n/a","n/a",AS193-INDEX(tab_MinKomp[MSA],MATCH($B193,tab_MinKomp[[Stanowisko / Position ]:[Stanowisko / Position ]],0)))</f>
        <v>0</v>
      </c>
      <c r="AT194" s="333">
        <f>IF(INDEX(tab_MinKomp[SPC],MATCH($B193,tab_MinKomp[[Stanowisko / Position ]:[Stanowisko / Position ]],0))="n/a","n/a",AT193-INDEX(tab_MinKomp[SPC],MATCH($B193,tab_MinKomp[[Stanowisko / Position ]:[Stanowisko / Position ]],0)))</f>
        <v>0</v>
      </c>
      <c r="AU194" s="333">
        <f>IF(INDEX(tab_MinKomp[CSR (SPECYFICZNE WYMAGANIA KLIENTA)],MATCH($B193,tab_MinKomp[[Stanowisko / Position ]:[Stanowisko / Position ]],0))="n/a","n/a",AU193-INDEX(tab_MinKomp[CSR (SPECYFICZNE WYMAGANIA KLIENTA)],MATCH($B193,tab_MinKomp[[Stanowisko / Position ]:[Stanowisko / Position ]],0)))</f>
        <v>0</v>
      </c>
      <c r="AV194" s="333">
        <f>IF(INDEX(tab_MinKomp[5S],MATCH($B193,tab_MinKomp[[Stanowisko / Position ]:[Stanowisko / Position ]],0))="n/a","n/a",AV193-INDEX(tab_MinKomp[5S],MATCH($B193,tab_MinKomp[[Stanowisko / Position ]:[Stanowisko / Position ]],0)))</f>
        <v>0</v>
      </c>
      <c r="AW194" s="333">
        <f>IF(INDEX(tab_MinKomp[LEAN MANAGEMENT],MATCH($B193,tab_MinKomp[[Stanowisko / Position ]:[Stanowisko / Position ]],0))="n/a","n/a",AW193-INDEX(tab_MinKomp[LEAN MANAGEMENT],MATCH($B193,tab_MinKomp[[Stanowisko / Position ]:[Stanowisko / Position ]],0)))</f>
        <v>0</v>
      </c>
      <c r="AX194" s="333">
        <f>IF(INDEX(tab_MinKomp[5R],MATCH($B193,tab_MinKomp[[Stanowisko / Position ]:[Stanowisko / Position ]],0))="n/a","n/a",AX193-INDEX(tab_MinKomp[5R],MATCH($B193,tab_MinKomp[[Stanowisko / Position ]:[Stanowisko / Position ]],0)))</f>
        <v>-1</v>
      </c>
      <c r="AY194" s="333" t="str">
        <f>IF(INDEX(tab_MinKomp[Six Sigma],MATCH($B193,tab_MinKomp[[Stanowisko / Position ]:[Stanowisko / Position ]],0))="n/a","n/a",AY193-INDEX(tab_MinKomp[Six Sigma],MATCH($B193,tab_MinKomp[[Stanowisko / Position ]:[Stanowisko / Position ]],0)))</f>
        <v>n/a</v>
      </c>
      <c r="AZ194" s="333" t="str">
        <f>IF(INDEX(tab_MinKomp[System BAAN / Distribution &amp; Supply Chain],MATCH($B193,tab_MinKomp[[Stanowisko / Position ]:[Stanowisko / Position ]],0))="n/a","n/a",AZ193-INDEX(tab_MinKomp[System BAAN / Distribution &amp; Supply Chain],MATCH($B193,tab_MinKomp[[Stanowisko / Position ]:[Stanowisko / Position ]],0)))</f>
        <v>n/a</v>
      </c>
      <c r="BA194" s="333" t="str">
        <f>IF(INDEX(tab_MinKomp[Gospodarka magazynowa / Lagerverwaltung],MATCH($B193,tab_MinKomp[[Stanowisko / Position ]:[Stanowisko / Position ]],0))="n/a","n/a",BA193-INDEX(tab_MinKomp[Gospodarka magazynowa / Lagerverwaltung],MATCH($B193,tab_MinKomp[[Stanowisko / Position ]:[Stanowisko / Position ]],0)))</f>
        <v>n/a</v>
      </c>
      <c r="BB194" s="333" t="str">
        <f>IF(INDEX(tab_MinKomp[Inwentaryzacja - organizacja i przebieg / Inventurprozess],MATCH($B193,tab_MinKomp[[Stanowisko / Position ]:[Stanowisko / Position ]],0))="n/a","n/a",BB193-INDEX(tab_MinKomp[Inwentaryzacja - organizacja i przebieg / Inventurprozess],MATCH($B193,tab_MinKomp[[Stanowisko / Position ]:[Stanowisko / Position ]],0)))</f>
        <v>n/a</v>
      </c>
      <c r="BC194" s="333" t="str">
        <f>IF(INDEX(tab_MinKomp[Organizacja dostaw / Versorgungsorganisation],MATCH($B193,tab_MinKomp[[Stanowisko / Position ]:[Stanowisko / Position ]],0))="n/a","n/a",BC193-INDEX(tab_MinKomp[Organizacja dostaw / Versorgungsorganisation],MATCH($B193,tab_MinKomp[[Stanowisko / Position ]:[Stanowisko / Position ]],0)))</f>
        <v>n/a</v>
      </c>
      <c r="BD194" s="333" t="str">
        <f>IF(INDEX(tab_MinKomp[Organizacja wysyłek / Organisation von Lieferungen],MATCH($B193,tab_MinKomp[[Stanowisko / Position ]:[Stanowisko / Position ]],0))="n/a","n/a",BD193-INDEX(tab_MinKomp[Organizacja wysyłek / Organisation von Lieferungen],MATCH($B193,tab_MinKomp[[Stanowisko / Position ]:[Stanowisko / Position ]],0)))</f>
        <v>n/a</v>
      </c>
      <c r="BE194" s="333" t="str">
        <f>IF(INDEX(tab_MinKomp[Analiza magazynowa - Program Polen.mdb / Inventuranalyse],MATCH($B193,tab_MinKomp[[Stanowisko / Position ]:[Stanowisko / Position ]],0))="n/a","n/a",BE193-INDEX(tab_MinKomp[Analiza magazynowa - Program Polen.mdb / Inventuranalyse],MATCH($B193,tab_MinKomp[[Stanowisko / Position ]:[Stanowisko / Position ]],0)))</f>
        <v>n/a</v>
      </c>
      <c r="BF194" s="333" t="str">
        <f>IF(INDEX(tab_MinKomp[MMOG (Materials Management Operations Guidelines)],MATCH($B193,tab_MinKomp[[Stanowisko / Position ]:[Stanowisko / Position ]],0))="n/a","n/a",BF193-INDEX(tab_MinKomp[MMOG (Materials Management Operations Guidelines)],MATCH($B193,tab_MinKomp[[Stanowisko / Position ]:[Stanowisko / Position ]],0)))</f>
        <v>n/a</v>
      </c>
      <c r="BG194" s="333" t="str">
        <f>IF(INDEX(tab_MinKomp[GPP],MATCH($B193,tab_MinKomp[[Stanowisko / Position ]:[Stanowisko / Position ]],0))="n/a","n/a",BG193-INDEX(tab_MinKomp[GPP],MATCH($B193,tab_MinKomp[[Stanowisko / Position ]:[Stanowisko / Position ]],0)))</f>
        <v>n/a</v>
      </c>
      <c r="BH194" s="333" t="str">
        <f>IF(INDEX(tab_MinKomp[AIAG (Automotive Industry Action Group)],MATCH($B193,tab_MinKomp[[Stanowisko / Position ]:[Stanowisko / Position ]],0))="n/a","n/a",BH193-INDEX(tab_MinKomp[AIAG (Automotive Industry Action Group)],MATCH($B193,tab_MinKomp[[Stanowisko / Position ]:[Stanowisko / Position ]],0)))</f>
        <v>n/a</v>
      </c>
      <c r="BI194" s="333" t="str">
        <f>IF(INDEX(tab_MinKomp[Super-G disputes],MATCH($B193,tab_MinKomp[[Stanowisko / Position ]:[Stanowisko / Position ]],0))="n/a","n/a",BI193-INDEX(tab_MinKomp[Super-G disputes],MATCH($B193,tab_MinKomp[[Stanowisko / Position ]:[Stanowisko / Position ]],0)))</f>
        <v>n/a</v>
      </c>
      <c r="BJ194" s="333" t="str">
        <f>IF(INDEX(tab_MinKomp[CMMS3/eDDL (Direct Data Link)],MATCH($B193,tab_MinKomp[[Stanowisko / Position ]:[Stanowisko / Position ]],0))="n/a","n/a",BJ193-INDEX(tab_MinKomp[CMMS3/eDDL (Direct Data Link)],MATCH($B193,tab_MinKomp[[Stanowisko / Position ]:[Stanowisko / Position ]],0)))</f>
        <v>n/a</v>
      </c>
      <c r="BK194" s="333" t="str">
        <f>IF(INDEX(tab_MinKomp[MP&amp;L (Material Planning and Logistics)],MATCH($B193,tab_MinKomp[[Stanowisko / Position ]:[Stanowisko / Position ]],0))="n/a","n/a",BK193-INDEX(tab_MinKomp[MP&amp;L (Material Planning and Logistics)],MATCH($B193,tab_MinKomp[[Stanowisko / Position ]:[Stanowisko / Position ]],0)))</f>
        <v>n/a</v>
      </c>
      <c r="BL194" s="333" t="str">
        <f>IF(INDEX(tab_MinKomp[Supplier delivery rating],MATCH($B193,tab_MinKomp[[Stanowisko / Position ]:[Stanowisko / Position ]],0))="n/a","n/a",BL193-INDEX(tab_MinKomp[Supplier delivery rating],MATCH($B193,tab_MinKomp[[Stanowisko / Position ]:[Stanowisko / Position ]],0)))</f>
        <v>n/a</v>
      </c>
      <c r="BM194" s="333" t="str">
        <f>IF(INDEX(tab_MinKomp[Planowanie produkcji / Produktionsplanung],MATCH($B193,tab_MinKomp[[Stanowisko / Position ]:[Stanowisko / Position ]],0))="n/a","n/a",BM193-INDEX(tab_MinKomp[Planowanie produkcji / Produktionsplanung],MATCH($B193,tab_MinKomp[[Stanowisko / Position ]:[Stanowisko / Position ]],0)))</f>
        <v>n/a</v>
      </c>
      <c r="BN194" s="333" t="str">
        <f>IF(INDEX(tab_MinKomp[Obsługa maszyn Engel / Engel Maschinenbedienung],MATCH($B193,tab_MinKomp[[Stanowisko / Position ]:[Stanowisko / Position ]],0))="n/a","n/a",BN193-INDEX(tab_MinKomp[Obsługa maszyn Engel / Engel Maschinenbedienung],MATCH($B193,tab_MinKomp[[Stanowisko / Position ]:[Stanowisko / Position ]],0)))</f>
        <v>n/a</v>
      </c>
      <c r="BO194" s="333" t="str">
        <f>IF(INDEX(tab_MinKomp[Obsługa maszyn Novapax / Novapax Maschinenbedienung],MATCH($B193,tab_MinKomp[[Stanowisko / Position ]:[Stanowisko / Position ]],0))="n/a","n/a",BO193-INDEX(tab_MinKomp[Obsługa maszyn Novapax / Novapax Maschinenbedienung],MATCH($B193,tab_MinKomp[[Stanowisko / Position ]:[Stanowisko / Position ]],0)))</f>
        <v>n/a</v>
      </c>
      <c r="BP194" s="333" t="str">
        <f>IF(INDEX(tab_MinKomp[Obsługa maszyn KVT / KVT Maschinenbedienung],MATCH($B193,tab_MinKomp[[Stanowisko / Position ]:[Stanowisko / Position ]],0))="n/a","n/a",BP193-INDEX(tab_MinKomp[Obsługa maszyn KVT / KVT Maschinenbedienung],MATCH($B193,tab_MinKomp[[Stanowisko / Position ]:[Stanowisko / Position ]],0)))</f>
        <v>n/a</v>
      </c>
      <c r="BQ194" s="333" t="str">
        <f>IF(INDEX(tab_MinKomp[Obsługa maszyn ASL / ASL Maschinenbedienung],MATCH($B193,tab_MinKomp[[Stanowisko / Position ]:[Stanowisko / Position ]],0))="n/a","n/a",BQ193-INDEX(tab_MinKomp[Obsługa maszyn ASL / ASL Maschinenbedienung],MATCH($B193,tab_MinKomp[[Stanowisko / Position ]:[Stanowisko / Position ]],0)))</f>
        <v>n/a</v>
      </c>
      <c r="BR194" s="333" t="str">
        <f>IF(INDEX(tab_MinKomp[Obsługa maszyn Branson / Branson Maschinenbedienung],MATCH($B193,tab_MinKomp[[Stanowisko / Position ]:[Stanowisko / Position ]],0))="n/a","n/a",BR193-INDEX(tab_MinKomp[Obsługa maszyn Branson / Branson Maschinenbedienung],MATCH($B193,tab_MinKomp[[Stanowisko / Position ]:[Stanowisko / Position ]],0)))</f>
        <v>n/a</v>
      </c>
      <c r="BS194" s="333" t="str">
        <f>IF(INDEX(tab_MinKomp[Obsługa maszyn Kamtec / Kamtec Maschinenbedienung],MATCH($B193,tab_MinKomp[[Stanowisko / Position ]:[Stanowisko / Position ]],0))="n/a","n/a",BS193-INDEX(tab_MinKomp[Obsługa maszyn Kamtec / Kamtec Maschinenbedienung],MATCH($B193,tab_MinKomp[[Stanowisko / Position ]:[Stanowisko / Position ]],0)))</f>
        <v>n/a</v>
      </c>
      <c r="BT194" s="333" t="str">
        <f>IF(INDEX(tab_MinKomp[Obsługa maszyn Piovan / Piovan Maschinenbedienung],MATCH($B193,tab_MinKomp[[Stanowisko / Position ]:[Stanowisko / Position ]],0))="n/a","n/a",BT193-INDEX(tab_MinKomp[Obsługa maszyn Piovan / Piovan Maschinenbedienung],MATCH($B193,tab_MinKomp[[Stanowisko / Position ]:[Stanowisko / Position ]],0)))</f>
        <v>n/a</v>
      </c>
      <c r="BU194" s="333" t="str">
        <f>IF(INDEX(tab_MinKomp[Obsługa maszyn REP / REP Maschinenbedienung],MATCH($B193,tab_MinKomp[[Stanowisko / Position ]:[Stanowisko / Position ]],0))="n/a","n/a",BU193-INDEX(tab_MinKomp[Obsługa maszyn REP / REP Maschinenbedienung],MATCH($B193,tab_MinKomp[[Stanowisko / Position ]:[Stanowisko / Position ]],0)))</f>
        <v>n/a</v>
      </c>
      <c r="BV194" s="333" t="str">
        <f>IF(INDEX(tab_MinKomp[Eliminacja awarii / Beseitigung von Ausfällen],MATCH($B193,tab_MinKomp[[Stanowisko / Position ]:[Stanowisko / Position ]],0))="n/a","n/a",BV193-INDEX(tab_MinKomp[Eliminacja awarii / Beseitigung von Ausfällen],MATCH($B193,tab_MinKomp[[Stanowisko / Position ]:[Stanowisko / Position ]],0)))</f>
        <v>n/a</v>
      </c>
      <c r="BW194" s="333" t="str">
        <f>IF(INDEX(tab_MinKomp[Informatyka ogólna (techniczne i systemowe) / Allgemeine IT (Technik und System)],MATCH($B193,tab_MinKomp[[Stanowisko / Position ]:[Stanowisko / Position ]],0))="n/a","n/a",BW193-INDEX(tab_MinKomp[Informatyka ogólna (techniczne i systemowe) / Allgemeine IT (Technik und System)],MATCH($B193,tab_MinKomp[[Stanowisko / Position ]:[Stanowisko / Position ]],0)))</f>
        <v>n/a</v>
      </c>
      <c r="BX194" s="333" t="str">
        <f>IF(INDEX(tab_MinKomp[Sieci komputerowe / Computernetzwerke],MATCH($B193,tab_MinKomp[[Stanowisko / Position ]:[Stanowisko / Position ]],0))="n/a","n/a",BX193-INDEX(tab_MinKomp[Sieci komputerowe / Computernetzwerke],MATCH($B193,tab_MinKomp[[Stanowisko / Position ]:[Stanowisko / Position ]],0)))</f>
        <v>n/a</v>
      </c>
      <c r="BY194" s="333" t="str">
        <f>IF(INDEX(tab_MinKomp[Hardware (komputery PC, drukarki biurowe i etykietowe, telefonia stacjonarna i mobilna) (PC, Drucker, Telefpne, Handys)],MATCH($B193,tab_MinKomp[[Stanowisko / Position ]:[Stanowisko / Position ]],0))="n/a","n/a",BY193-INDEX(tab_MinKomp[Hardware (komputery PC, drukarki biurowe i etykietowe, telefonia stacjonarna i mobilna) (PC, Drucker, Telefpne, Handys)],MATCH($B193,tab_MinKomp[[Stanowisko / Position ]:[Stanowisko / Position ]],0)))</f>
        <v>n/a</v>
      </c>
      <c r="BZ194" s="333" t="str">
        <f>IF(INDEX(tab_MinKomp[Software &amp; Systems (MS Office, MS Remote Desktop)],MATCH($B193,tab_MinKomp[[Stanowisko / Position ]:[Stanowisko / Position ]],0))="n/a","n/a",BZ193-INDEX(tab_MinKomp[Software &amp; Systems (MS Office, MS Remote Desktop)],MATCH($B193,tab_MinKomp[[Stanowisko / Position ]:[Stanowisko / Position ]],0)))</f>
        <v>n/a</v>
      </c>
      <c r="CA194" s="333" t="str">
        <f>IF(INDEX(tab_MinKomp[Programowanie obiektowe (PHP) / Objektprogrammierung],MATCH($B193,tab_MinKomp[[Stanowisko / Position ]:[Stanowisko / Position ]],0))="n/a","n/a",CA193-INDEX(tab_MinKomp[Programowanie obiektowe (PHP) / Objektprogrammierung],MATCH($B193,tab_MinKomp[[Stanowisko / Position ]:[Stanowisko / Position ]],0)))</f>
        <v>n/a</v>
      </c>
      <c r="CB194" s="333" t="str">
        <f>IF(INDEX(tab_MinKomp[Scrum],MATCH($B193,tab_MinKomp[[Stanowisko / Position ]:[Stanowisko / Position ]],0))="n/a","n/a",CB193-INDEX(tab_MinKomp[Scrum],MATCH($B193,tab_MinKomp[[Stanowisko / Position ]:[Stanowisko / Position ]],0)))</f>
        <v>n/a</v>
      </c>
      <c r="CC194" s="333" t="str">
        <f>IF(INDEX(tab_MinKomp[SQL (MySQL)],MATCH($B193,tab_MinKomp[[Stanowisko / Position ]:[Stanowisko / Position ]],0))="n/a","n/a",CC193-INDEX(tab_MinKomp[SQL (MySQL)],MATCH($B193,tab_MinKomp[[Stanowisko / Position ]:[Stanowisko / Position ]],0)))</f>
        <v>n/a</v>
      </c>
      <c r="CD194" s="333" t="str">
        <f>IF(INDEX(tab_MinKomp[Javascript],MATCH($B193,tab_MinKomp[[Stanowisko / Position ]:[Stanowisko / Position ]],0))="n/a","n/a",CD193-INDEX(tab_MinKomp[Javascript],MATCH($B193,tab_MinKomp[[Stanowisko / Position ]:[Stanowisko / Position ]],0)))</f>
        <v>n/a</v>
      </c>
      <c r="CE194" s="333" t="str">
        <f>IF(INDEX(tab_MinKomp[Joomla],MATCH($B193,tab_MinKomp[[Stanowisko / Position ]:[Stanowisko / Position ]],0))="n/a","n/a",CE193-INDEX(tab_MinKomp[Joomla],MATCH($B193,tab_MinKomp[[Stanowisko / Position ]:[Stanowisko / Position ]],0)))</f>
        <v>n/a</v>
      </c>
      <c r="CF194" s="333" t="str">
        <f>IF(INDEX(tab_MinKomp[Bash],MATCH($B193,tab_MinKomp[[Stanowisko / Position ]:[Stanowisko / Position ]],0))="n/a","n/a",CF193-INDEX(tab_MinKomp[Bash],MATCH($B193,tab_MinKomp[[Stanowisko / Position ]:[Stanowisko / Position ]],0)))</f>
        <v>n/a</v>
      </c>
      <c r="CG194" s="333" t="str">
        <f>IF(INDEX(tab_MinKomp[Systemy MES (HYDRA / SFMS)],MATCH($B193,tab_MinKomp[[Stanowisko / Position ]:[Stanowisko / Position ]],0))="n/a","n/a",CG193-INDEX(tab_MinKomp[Systemy MES (HYDRA / SFMS)],MATCH($B193,tab_MinKomp[[Stanowisko / Position ]:[Stanowisko / Position ]],0)))</f>
        <v>n/a</v>
      </c>
      <c r="CH194" s="333" t="str">
        <f>IF(INDEX(tab_MinKomp[HTML / CSS],MATCH($B193,tab_MinKomp[[Stanowisko / Position ]:[Stanowisko / Position ]],0))="n/a","n/a",CH193-INDEX(tab_MinKomp[HTML / CSS],MATCH($B193,tab_MinKomp[[Stanowisko / Position ]:[Stanowisko / Position ]],0)))</f>
        <v>n/a</v>
      </c>
      <c r="CI194" s="333" t="str">
        <f>IF(INDEX(tab_MinKomp[SYSTEM PR],MATCH($B193,tab_MinKomp[[Stanowisko / Position ]:[Stanowisko / Position ]],0))="n/a","n/a",CI193-INDEX(tab_MinKomp[SYSTEM PR],MATCH($B193,tab_MinKomp[[Stanowisko / Position ]:[Stanowisko / Position ]],0)))</f>
        <v>n/a</v>
      </c>
      <c r="CJ194" s="333" t="str">
        <f>IF(INDEX(tab_MinKomp[System Einkauf XP / EBA],MATCH($B193,tab_MinKomp[[Stanowisko / Position ]:[Stanowisko / Position ]],0))="n/a","n/a",CJ193-INDEX(tab_MinKomp[System Einkauf XP / EBA],MATCH($B193,tab_MinKomp[[Stanowisko / Position ]:[Stanowisko / Position ]],0)))</f>
        <v>n/a</v>
      </c>
      <c r="CK194" s="333" t="str">
        <f>IF(INDEX(tab_MinKomp[Techniki negocjacyjne / Verhandlungstechniken],MATCH($B193,tab_MinKomp[[Stanowisko / Position ]:[Stanowisko / Position ]],0))="n/a","n/a",CK193-INDEX(tab_MinKomp[Techniki negocjacyjne / Verhandlungstechniken],MATCH($B193,tab_MinKomp[[Stanowisko / Position ]:[Stanowisko / Position ]],0)))</f>
        <v>n/a</v>
      </c>
      <c r="CL194" s="333" t="str">
        <f>IF(INDEX(tab_MinKomp[Znajomość rynku branżowego / Kenntnis des Industrie Marktes],MATCH($B193,tab_MinKomp[[Stanowisko / Position ]:[Stanowisko / Position ]],0))="n/a","n/a",CL193-INDEX(tab_MinKomp[Znajomość rynku branżowego / Kenntnis des Industrie Marktes],MATCH($B193,tab_MinKomp[[Stanowisko / Position ]:[Stanowisko / Position ]],0)))</f>
        <v>n/a</v>
      </c>
      <c r="CM194" s="333" t="str">
        <f>IF(INDEX(tab_MinKomp[SUPPLIER MANAGEMENT],MATCH($B193,tab_MinKomp[[Stanowisko / Position ]:[Stanowisko / Position ]],0))="n/a","n/a",CM193-INDEX(tab_MinKomp[SUPPLIER MANAGEMENT],MATCH($B193,tab_MinKomp[[Stanowisko / Position ]:[Stanowisko / Position ]],0)))</f>
        <v>n/a</v>
      </c>
      <c r="CN194" s="333">
        <f>IF(INDEX(tab_MinKomp[NARZĘDZIA JAKOŚCIOWE (5WHY, Ishikawa, etc) / QS-Werkzeuge],MATCH($B193,tab_MinKomp[[Stanowisko / Position ]:[Stanowisko / Position ]],0))="n/a","n/a",CN193-INDEX(tab_MinKomp[NARZĘDZIA JAKOŚCIOWE (5WHY, Ishikawa, etc) / QS-Werkzeuge],MATCH($B193,tab_MinKomp[[Stanowisko / Position ]:[Stanowisko / Position ]],0)))</f>
        <v>0</v>
      </c>
      <c r="CO194" s="333" t="str">
        <f>IF(INDEX(tab_MinKomp[SUPPLIER MANAGEMENT],MATCH($B193,tab_MinKomp[[Stanowisko / Position ]:[Stanowisko / Position ]],0))="n/a","n/a",CO193-INDEX(tab_MinKomp[SUPPLIER MANAGEMENT],MATCH($B193,tab_MinKomp[[Stanowisko / Position ]:[Stanowisko / Position ]],0)))</f>
        <v>n/a</v>
      </c>
      <c r="CP194" s="333" t="str">
        <f>IF(INDEX(tab_MinKomp[SUPPLIER MANAGEMENT],MATCH($B193,tab_MinKomp[[Stanowisko / Position ]:[Stanowisko / Position ]],0))="n/a","n/a",CP193-INDEX(tab_MinKomp[SUPPLIER MANAGEMENT],MATCH($B193,tab_MinKomp[[Stanowisko / Position ]:[Stanowisko / Position ]],0)))</f>
        <v>n/a</v>
      </c>
      <c r="CQ194" s="333" t="str">
        <f>IF(INDEX(tab_MinKomp[SUPPLIER MANAGEMENT],MATCH($B193,tab_MinKomp[[Stanowisko / Position ]:[Stanowisko / Position ]],0))="n/a","n/a",CQ193-INDEX(tab_MinKomp[SUPPLIER MANAGEMENT],MATCH($B193,tab_MinKomp[[Stanowisko / Position ]:[Stanowisko / Position ]],0)))</f>
        <v>n/a</v>
      </c>
      <c r="CR194" s="333" t="str">
        <f>IF(INDEX(tab_MinKomp[SUPPLIER MANAGEMENT],MATCH($B193,tab_MinKomp[[Stanowisko / Position ]:[Stanowisko / Position ]],0))="n/a","n/a",CR193-INDEX(tab_MinKomp[SUPPLIER MANAGEMENT],MATCH($B193,tab_MinKomp[[Stanowisko / Position ]:[Stanowisko / Position ]],0)))</f>
        <v>n/a</v>
      </c>
      <c r="CS194" s="333" t="str">
        <f>IF(INDEX(tab_MinKomp[OBSŁUGA PORTALI KLIENTA / Kundenportale],MATCH($B193,tab_MinKomp[[Stanowisko / Position ]:[Stanowisko / Position ]],0))="n/a","n/a",CS193-INDEX(tab_MinKomp[OBSŁUGA PORTALI KLIENTA / Kundenportale],MATCH($B193,tab_MinKomp[[Stanowisko / Position ]:[Stanowisko / Position ]],0)))</f>
        <v>n/a</v>
      </c>
      <c r="CT194" s="333">
        <f>IF(INDEX(tab_MinKomp[Obsługa systemu BABTECQ / BABTECQ System],MATCH($B193,tab_MinKomp[[Stanowisko / Position ]:[Stanowisko / Position ]],0))="n/a","n/a",CT193-INDEX(tab_MinKomp[Obsługa systemu BABTECQ / BABTECQ System],MATCH($B193,tab_MinKomp[[Stanowisko / Position ]:[Stanowisko / Position ]],0)))</f>
        <v>1</v>
      </c>
      <c r="CU194" s="333">
        <f>IF(INDEX(tab_MinKomp[Rysunek techniczny / technische Zeichnung],MATCH($B193,tab_MinKomp[[Stanowisko / Position ]:[Stanowisko / Position ]],0))="n/a","n/a",CU193-INDEX(tab_MinKomp[Rysunek techniczny / technische Zeichnung],MATCH($B193,tab_MinKomp[[Stanowisko / Position ]:[Stanowisko / Position ]],0)))</f>
        <v>0</v>
      </c>
      <c r="CV194" s="333">
        <f>IF(INDEX(tab_MinKomp[Obsługa systemu BABTECQ / BABTECQ System],MATCH($B193,tab_MinKomp[[Stanowisko / Position ]:[Stanowisko / Position ]],0))="n/a","n/a",CV193-INDEX(tab_MinKomp[Obsługa systemu BABTECQ / BABTECQ System],MATCH($B193,tab_MinKomp[[Stanowisko / Position ]:[Stanowisko / Position ]],0)))</f>
        <v>1</v>
      </c>
      <c r="CW194" s="333">
        <f>IF(INDEX(tab_MinKomp[Obsługa systemu BABTECQ / BABTECQ System],MATCH($B193,tab_MinKomp[[Stanowisko / Position ]:[Stanowisko / Position ]],0))="n/a","n/a",CW193-INDEX(tab_MinKomp[Obsługa systemu BABTECQ / BABTECQ System],MATCH($B193,tab_MinKomp[[Stanowisko / Position ]:[Stanowisko / Position ]],0)))</f>
        <v>1</v>
      </c>
      <c r="CX194" s="333">
        <f>IF(INDEX(tab_MinKomp[Rysunek techniczny / technische Zeichnung],MATCH($B193,tab_MinKomp[[Stanowisko / Position ]:[Stanowisko / Position ]],0))="n/a","n/a",CX193-INDEX(tab_MinKomp[Rysunek techniczny / technische Zeichnung],MATCH($B193,tab_MinKomp[[Stanowisko / Position ]:[Stanowisko / Position ]],0)))</f>
        <v>0</v>
      </c>
      <c r="CY194" s="333">
        <f>IF(INDEX(tab_MinKomp[Rysunek techniczny / technische Zeichnung],MATCH($B193,tab_MinKomp[[Stanowisko / Position ]:[Stanowisko / Position ]],0))="n/a","n/a",CY193-INDEX(tab_MinKomp[Rysunek techniczny / technische Zeichnung],MATCH($B193,tab_MinKomp[[Stanowisko / Position ]:[Stanowisko / Position ]],0)))</f>
        <v>0</v>
      </c>
      <c r="CZ194" s="333">
        <f>IF(INDEX(tab_MinKomp[Rysunek techniczny / technische Zeichnung],MATCH($B193,tab_MinKomp[[Stanowisko / Position ]:[Stanowisko / Position ]],0))="n/a","n/a",CZ193-INDEX(tab_MinKomp[Rysunek techniczny / technische Zeichnung],MATCH($B193,tab_MinKomp[[Stanowisko / Position ]:[Stanowisko / Position ]],0)))</f>
        <v>-1</v>
      </c>
      <c r="DA194" s="333">
        <f>IF(INDEX(tab_MinKomp[Rysunek techniczny / technische Zeichnung],MATCH($B193,tab_MinKomp[[Stanowisko / Position ]:[Stanowisko / Position ]],0))="n/a","n/a",DA193-INDEX(tab_MinKomp[Rysunek techniczny / technische Zeichnung],MATCH($B193,tab_MinKomp[[Stanowisko / Position ]:[Stanowisko / Position ]],0)))</f>
        <v>-1</v>
      </c>
      <c r="DB194" s="333">
        <f>IF(INDEX(tab_MinKomp[Obsługa systemu BABTECQ / BABTECQ System],MATCH($B193,tab_MinKomp[[Stanowisko / Position ]:[Stanowisko / Position ]],0))="n/a","n/a",DB193-INDEX(tab_MinKomp[Obsługa systemu BABTECQ / BABTECQ System],MATCH($B193,tab_MinKomp[[Stanowisko / Position ]:[Stanowisko / Position ]],0)))</f>
        <v>0</v>
      </c>
      <c r="DC194" s="333">
        <f>IF(INDEX(tab_MinKomp[Obsługa systemu BABTECQ / BABTECQ System],MATCH($B193,tab_MinKomp[[Stanowisko / Position ]:[Stanowisko / Position ]],0))="n/a","n/a",DC193-INDEX(tab_MinKomp[Obsługa systemu BABTECQ / BABTECQ System],MATCH($B193,tab_MinKomp[[Stanowisko / Position ]:[Stanowisko / Position ]],0)))</f>
        <v>0</v>
      </c>
      <c r="DD194" s="333" t="str">
        <f>IF(INDEX(tab_MinKomp[Pisanie programów / Programme schreiben],MATCH($B193,tab_MinKomp[[Stanowisko / Position ]:[Stanowisko / Position ]],0))="n/a","n/a",DD193-INDEX(tab_MinKomp[Pisanie programów / Programme schreiben],MATCH($B193,tab_MinKomp[[Stanowisko / Position ]:[Stanowisko / Position ]],0)))</f>
        <v>n/a</v>
      </c>
      <c r="DE194" s="333">
        <f>IF(INDEX(tab_MinKomp[Rysunek techniczny / technische Zeichnung],MATCH($B193,tab_MinKomp[[Stanowisko / Position ]:[Stanowisko / Position ]],0))="n/a","n/a",DE193-INDEX(tab_MinKomp[Rysunek techniczny / technische Zeichnung],MATCH($B193,tab_MinKomp[[Stanowisko / Position ]:[Stanowisko / Position ]],0)))</f>
        <v>-1</v>
      </c>
      <c r="DF194" s="333">
        <f>IF(INDEX(tab_MinKomp[Rysunek techniczny / technische Zeichnung],MATCH($B193,tab_MinKomp[[Stanowisko / Position ]:[Stanowisko / Position ]],0))="n/a","n/a",DF193-INDEX(tab_MinKomp[Rysunek techniczny / technische Zeichnung],MATCH($B193,tab_MinKomp[[Stanowisko / Position ]:[Stanowisko / Position ]],0)))</f>
        <v>0</v>
      </c>
      <c r="DG194" s="333">
        <f>IF(INDEX(tab_MinKomp[Rysunek techniczny / technische Zeichnung],MATCH($B193,tab_MinKomp[[Stanowisko / Position ]:[Stanowisko / Position ]],0))="n/a","n/a",DG193-INDEX(tab_MinKomp[Rysunek techniczny / technische Zeichnung],MATCH($B193,tab_MinKomp[[Stanowisko / Position ]:[Stanowisko / Position ]],0)))</f>
        <v>-1</v>
      </c>
      <c r="DH194" s="333">
        <f>IF(INDEX(tab_MinKomp[Rysunek techniczny / technische Zeichnung],MATCH($B193,tab_MinKomp[[Stanowisko / Position ]:[Stanowisko / Position ]],0))="n/a","n/a",DH193-INDEX(tab_MinKomp[Rysunek techniczny / technische Zeichnung],MATCH($B193,tab_MinKomp[[Stanowisko / Position ]:[Stanowisko / Position ]],0)))</f>
        <v>-1</v>
      </c>
      <c r="DI194" s="333">
        <f>IF(INDEX(tab_MinKomp[Rysunek techniczny / technische Zeichnung],MATCH($B193,tab_MinKomp[[Stanowisko / Position ]:[Stanowisko / Position ]],0))="n/a","n/a",DI193-INDEX(tab_MinKomp[Rysunek techniczny / technische Zeichnung],MATCH($B193,tab_MinKomp[[Stanowisko / Position ]:[Stanowisko / Position ]],0)))</f>
        <v>-1</v>
      </c>
      <c r="DJ194" s="333">
        <f>IF(INDEX(tab_MinKomp[Rysunek techniczny / technische Zeichnung],MATCH($B193,tab_MinKomp[[Stanowisko / Position ]:[Stanowisko / Position ]],0))="n/a","n/a",DJ193-INDEX(tab_MinKomp[Rysunek techniczny / technische Zeichnung],MATCH($B193,tab_MinKomp[[Stanowisko / Position ]:[Stanowisko / Position ]],0)))</f>
        <v>-1</v>
      </c>
      <c r="DK194" s="333">
        <f>IF(INDEX(tab_MinKomp[Rysunek techniczny / technische Zeichnung],MATCH($B193,tab_MinKomp[[Stanowisko / Position ]:[Stanowisko / Position ]],0))="n/a","n/a",DK193-INDEX(tab_MinKomp[Rysunek techniczny / technische Zeichnung],MATCH($B193,tab_MinKomp[[Stanowisko / Position ]:[Stanowisko / Position ]],0)))</f>
        <v>-1</v>
      </c>
      <c r="DL194" s="333">
        <f>IF(INDEX(tab_MinKomp[Rysunek techniczny / technische Zeichnung],MATCH($B193,tab_MinKomp[[Stanowisko / Position ]:[Stanowisko / Position ]],0))="n/a","n/a",DL193-INDEX(tab_MinKomp[Rysunek techniczny / technische Zeichnung],MATCH($B193,tab_MinKomp[[Stanowisko / Position ]:[Stanowisko / Position ]],0)))</f>
        <v>-1</v>
      </c>
      <c r="DM194" s="333">
        <f>IF(INDEX(tab_MinKomp[Rysunek techniczny / technische Zeichnung],MATCH($B193,tab_MinKomp[[Stanowisko / Position ]:[Stanowisko / Position ]],0))="n/a","n/a",DM193-INDEX(tab_MinKomp[Rysunek techniczny / technische Zeichnung],MATCH($B193,tab_MinKomp[[Stanowisko / Position ]:[Stanowisko / Position ]],0)))</f>
        <v>-1</v>
      </c>
      <c r="DN194" s="333">
        <f>IF(INDEX(tab_MinKomp[Rysunek techniczny / technische Zeichnung],MATCH($B193,tab_MinKomp[[Stanowisko / Position ]:[Stanowisko / Position ]],0))="n/a","n/a",DN193-INDEX(tab_MinKomp[Rysunek techniczny / technische Zeichnung],MATCH($B193,tab_MinKomp[[Stanowisko / Position ]:[Stanowisko / Position ]],0)))</f>
        <v>-1</v>
      </c>
      <c r="DO194" s="333">
        <f>IF(INDEX(tab_MinKomp[Rysunek techniczny / technische Zeichnung],MATCH($B193,tab_MinKomp[[Stanowisko / Position ]:[Stanowisko / Position ]],0))="n/a","n/a",DO193-INDEX(tab_MinKomp[Rysunek techniczny / technische Zeichnung],MATCH($B193,tab_MinKomp[[Stanowisko / Position ]:[Stanowisko / Position ]],0)))</f>
        <v>-1</v>
      </c>
      <c r="DP194" s="333">
        <f>IF(INDEX(tab_MinKomp[Rysunek techniczny / technische Zeichnung],MATCH($B193,tab_MinKomp[[Stanowisko / Position ]:[Stanowisko / Position ]],0))="n/a","n/a",DP193-INDEX(tab_MinKomp[Rysunek techniczny / technische Zeichnung],MATCH($B193,tab_MinKomp[[Stanowisko / Position ]:[Stanowisko / Position ]],0)))</f>
        <v>-1</v>
      </c>
      <c r="DQ194" s="333">
        <f>IF(INDEX(tab_MinKomp[Rysunek techniczny / technische Zeichnung],MATCH($B193,tab_MinKomp[[Stanowisko / Position ]:[Stanowisko / Position ]],0))="n/a","n/a",DQ193-INDEX(tab_MinKomp[Rysunek techniczny / technische Zeichnung],MATCH($B193,tab_MinKomp[[Stanowisko / Position ]:[Stanowisko / Position ]],0)))</f>
        <v>-1</v>
      </c>
      <c r="DR194" s="333">
        <f>IF(INDEX(tab_MinKomp[Rysunek techniczny / technische Zeichnung],MATCH($B193,tab_MinKomp[[Stanowisko / Position ]:[Stanowisko / Position ]],0))="n/a","n/a",DR193-INDEX(tab_MinKomp[Rysunek techniczny / technische Zeichnung],MATCH($B193,tab_MinKomp[[Stanowisko / Position ]:[Stanowisko / Position ]],0)))</f>
        <v>-1</v>
      </c>
      <c r="DS194" s="333">
        <f>IF(INDEX(tab_MinKomp[Obsługa systemu BABTECQ / BABTECQ System],MATCH($B193,tab_MinKomp[[Stanowisko / Position ]:[Stanowisko / Position ]],0))="n/a","n/a",DS193-INDEX(tab_MinKomp[Obsługa systemu BABTECQ / BABTECQ System],MATCH($B193,tab_MinKomp[[Stanowisko / Position ]:[Stanowisko / Position ]],0)))</f>
        <v>0</v>
      </c>
      <c r="DT194" s="333">
        <f>IF(INDEX(tab_MinKomp[Obsługa systemu BABTECQ / BABTECQ System],MATCH($B193,tab_MinKomp[[Stanowisko / Position ]:[Stanowisko / Position ]],0))="n/a","n/a",DT193-INDEX(tab_MinKomp[Obsługa systemu BABTECQ / BABTECQ System],MATCH($B193,tab_MinKomp[[Stanowisko / Position ]:[Stanowisko / Position ]],0)))</f>
        <v>0</v>
      </c>
      <c r="DU194" s="333">
        <f>IF(INDEX(tab_MinKomp[Obsługa systemu BABTECQ / BABTECQ System],MATCH($B193,tab_MinKomp[[Stanowisko / Position ]:[Stanowisko / Position ]],0))="n/a","n/a",DU193-INDEX(tab_MinKomp[Obsługa systemu BABTECQ / BABTECQ System],MATCH($B193,tab_MinKomp[[Stanowisko / Position ]:[Stanowisko / Position ]],0)))</f>
        <v>1</v>
      </c>
      <c r="DV194" s="333">
        <f>IF(INDEX(tab_MinKomp[Rysunek techniczny / technische Zeichnung],MATCH($B193,tab_MinKomp[[Stanowisko / Position ]:[Stanowisko / Position ]],0))="n/a","n/a",DV193-INDEX(tab_MinKomp[Rysunek techniczny / technische Zeichnung],MATCH($B193,tab_MinKomp[[Stanowisko / Position ]:[Stanowisko / Position ]],0)))</f>
        <v>0</v>
      </c>
      <c r="DW194" s="333">
        <f>IF(INDEX(tab_MinKomp[Rysunek techniczny / technische Zeichnung],MATCH($B193,tab_MinKomp[[Stanowisko / Position ]:[Stanowisko / Position ]],0))="n/a","n/a",DW193-INDEX(tab_MinKomp[Rysunek techniczny / technische Zeichnung],MATCH($B193,tab_MinKomp[[Stanowisko / Position ]:[Stanowisko / Position ]],0)))</f>
        <v>0</v>
      </c>
      <c r="DX194" s="333">
        <f>IF(INDEX(tab_MinKomp[Rysunek techniczny / technische Zeichnung],MATCH($B193,tab_MinKomp[[Stanowisko / Position ]:[Stanowisko / Position ]],0))="n/a","n/a",DX193-INDEX(tab_MinKomp[Rysunek techniczny / technische Zeichnung],MATCH($B193,tab_MinKomp[[Stanowisko / Position ]:[Stanowisko / Position ]],0)))</f>
        <v>0</v>
      </c>
      <c r="DY194" s="333" t="str">
        <f>IF(INDEX(tab_MinKomp[Konserwacja Rep],MATCH($B193,tab_MinKomp[[Stanowisko / Position ]:[Stanowisko / Position ]],0))="n/a","n/a",DY193-INDEX(tab_MinKomp[Konserwacja Rep],MATCH($B193,tab_MinKomp[[Stanowisko / Position ]:[Stanowisko / Position ]],0)))</f>
        <v>n/a</v>
      </c>
      <c r="DZ194" s="333" t="str">
        <f>IF(INDEX(tab_MinKomp[[Konserwacja Engel ]],MATCH($B193,tab_MinKomp[[Stanowisko / Position ]:[Stanowisko / Position ]],0))="n/a","n/a",DZ193-INDEX(tab_MinKomp[[Konserwacja Engel ]],MATCH($B193,tab_MinKomp[[Stanowisko / Position ]:[Stanowisko / Position ]],0)))</f>
        <v>n/a</v>
      </c>
      <c r="EA194" s="333" t="str">
        <f>IF(INDEX(tab_MinKomp[Konserwacja B 50],MATCH($B193,tab_MinKomp[[Stanowisko / Position ]:[Stanowisko / Position ]],0))="n/a","n/a",EA193-INDEX(tab_MinKomp[Konserwacja B 50],MATCH($B193,tab_MinKomp[[Stanowisko / Position ]:[Stanowisko / Position ]],0)))</f>
        <v>n/a</v>
      </c>
      <c r="EB194" s="333" t="str">
        <f>IF(INDEX(tab_MinKomp[[Konserwacja EOL ]],MATCH($B193,tab_MinKomp[[Stanowisko / Position ]:[Stanowisko / Position ]],0))="n/a","n/a",EB193-INDEX(tab_MinKomp[[Konserwacja EOL ]],MATCH($B193,tab_MinKomp[[Stanowisko / Position ]:[Stanowisko / Position ]],0)))</f>
        <v>n/a</v>
      </c>
      <c r="EC194" s="333" t="str">
        <f>IF(INDEX(tab_MinKomp[Konserwacja Branson],MATCH($B193,tab_MinKomp[[Stanowisko / Position ]:[Stanowisko / Position ]],0))="n/a","n/a",EC193-INDEX(tab_MinKomp[Konserwacja Branson],MATCH($B193,tab_MinKomp[[Stanowisko / Position ]:[Stanowisko / Position ]],0)))</f>
        <v>n/a</v>
      </c>
      <c r="ED194" s="333" t="str">
        <f>IF(INDEX(tab_MinKomp[Konserwacja coolery],MATCH($B193,tab_MinKomp[[Stanowisko / Position ]:[Stanowisko / Position ]],0))="n/a","n/a",ED193-INDEX(tab_MinKomp[Konserwacja coolery],MATCH($B193,tab_MinKomp[[Stanowisko / Position ]:[Stanowisko / Position ]],0)))</f>
        <v>n/a</v>
      </c>
      <c r="EE194" s="333" t="str">
        <f>IF(INDEX(tab_MinKomp[Konserwacja piecy],MATCH($B193,tab_MinKomp[[Stanowisko / Position ]:[Stanowisko / Position ]],0))="n/a","n/a",EE193-INDEX(tab_MinKomp[Konserwacja piecy],MATCH($B193,tab_MinKomp[[Stanowisko / Position ]:[Stanowisko / Position ]],0)))</f>
        <v>n/a</v>
      </c>
      <c r="EF194" s="333" t="str">
        <f>IF(INDEX(tab_MinKomp[Rysunek techniczny- czytanie],MATCH($B193,tab_MinKomp[[Stanowisko / Position ]:[Stanowisko / Position ]],0))="n/a","n/a",EF193-INDEX(tab_MinKomp[Rysunek techniczny- czytanie],MATCH($B193,tab_MinKomp[[Stanowisko / Position ]:[Stanowisko / Position ]],0)))</f>
        <v>n/a</v>
      </c>
      <c r="EG194" s="333" t="str">
        <f>IF(INDEX(tab_MinKomp[Elektryka],MATCH($B193,tab_MinKomp[[Stanowisko / Position ]:[Stanowisko / Position ]],0))="n/a","n/a",EG193-INDEX(tab_MinKomp[Elektryka],MATCH($B193,tab_MinKomp[[Stanowisko / Position ]:[Stanowisko / Position ]],0)))</f>
        <v>n/a</v>
      </c>
      <c r="EH194" s="333" t="str">
        <f>IF(INDEX(tab_MinKomp[Pneumatyka],MATCH($B193,tab_MinKomp[[Stanowisko / Position ]:[Stanowisko / Position ]],0))="n/a","n/a",EH193-INDEX(tab_MinKomp[Pneumatyka],MATCH($B193,tab_MinKomp[[Stanowisko / Position ]:[Stanowisko / Position ]],0)))</f>
        <v>n/a</v>
      </c>
      <c r="EI194" s="333" t="str">
        <f>IF(INDEX(tab_MinKomp[[Hydraulika ]],MATCH($B193,tab_MinKomp[[Stanowisko / Position ]:[Stanowisko / Position ]],0))="n/a","n/a",EI193-INDEX(tab_MinKomp[[Hydraulika ]],MATCH($B193,tab_MinKomp[[Stanowisko / Position ]:[Stanowisko / Position ]],0)))</f>
        <v>n/a</v>
      </c>
      <c r="EJ194" s="333" t="str">
        <f>IF(INDEX(tab_MinKomp[Podciśnienie],MATCH($B193,tab_MinKomp[[Stanowisko / Position ]:[Stanowisko / Position ]],0))="n/a","n/a",EJ193-INDEX(tab_MinKomp[Podciśnienie],MATCH($B193,tab_MinKomp[[Stanowisko / Position ]:[Stanowisko / Position ]],0)))</f>
        <v>n/a</v>
      </c>
      <c r="EK194" s="333" t="str">
        <f>IF(INDEX(tab_MinKomp[Usuwanie awarii],MATCH($B193,tab_MinKomp[[Stanowisko / Position ]:[Stanowisko / Position ]],0))="n/a","n/a",EK193-INDEX(tab_MinKomp[Usuwanie awarii],MATCH($B193,tab_MinKomp[[Stanowisko / Position ]:[Stanowisko / Position ]],0)))</f>
        <v>n/a</v>
      </c>
      <c r="EL194" s="333" t="str">
        <f>IF(INDEX(tab_MinKomp[Obsługa robotów],MATCH($B193,tab_MinKomp[[Stanowisko / Position ]:[Stanowisko / Position ]],0))="n/a","n/a",EL193-INDEX(tab_MinKomp[Obsługa robotów],MATCH($B193,tab_MinKomp[[Stanowisko / Position ]:[Stanowisko / Position ]],0)))</f>
        <v>n/a</v>
      </c>
      <c r="EM194" s="333" t="str">
        <f>IF(INDEX(tab_MinKomp[Obsługa sterowania maszyny],MATCH($B193,tab_MinKomp[[Stanowisko / Position ]:[Stanowisko / Position ]],0))="n/a","n/a",EM193-INDEX(tab_MinKomp[Obsługa sterowania maszyny],MATCH($B193,tab_MinKomp[[Stanowisko / Position ]:[Stanowisko / Position ]],0)))</f>
        <v>n/a</v>
      </c>
      <c r="EN194" s="333" t="str">
        <f>IF(INDEX(tab_MinKomp[Usuwanie przyczyn żródłowych],MATCH($B193,tab_MinKomp[[Stanowisko / Position ]:[Stanowisko / Position ]],0))="n/a","n/a",EN193-INDEX(tab_MinKomp[Usuwanie przyczyn żródłowych],MATCH($B193,tab_MinKomp[[Stanowisko / Position ]:[Stanowisko / Position ]],0)))</f>
        <v>n/a</v>
      </c>
      <c r="EO194" s="333" t="str">
        <f>IF(INDEX(tab_MinKomp[Cmms stosowanie],MATCH($B193,tab_MinKomp[[Stanowisko / Position ]:[Stanowisko / Position ]],0))="n/a","n/a",EO193-INDEX(tab_MinKomp[Cmms stosowanie],MATCH($B193,tab_MinKomp[[Stanowisko / Position ]:[Stanowisko / Position ]],0)))</f>
        <v>n/a</v>
      </c>
      <c r="EP194" s="333" t="str">
        <f>IF(INDEX(tab_MinKomp[[Czyszczenie form gumowych ]],MATCH($B193,tab_MinKomp[[Stanowisko / Position ]:[Stanowisko / Position ]],0))="n/a","n/a",EP193-INDEX(tab_MinKomp[[Czyszczenie form gumowych ]],MATCH($B193,tab_MinKomp[[Stanowisko / Position ]:[Stanowisko / Position ]],0)))</f>
        <v>n/a</v>
      </c>
      <c r="EQ194" s="333" t="str">
        <f>IF(INDEX(tab_MinKomp[Czyszczenie form plastikowych],MATCH($B193,tab_MinKomp[[Stanowisko / Position ]:[Stanowisko / Position ]],0))="n/a","n/a",EQ193-INDEX(tab_MinKomp[Czyszczenie form plastikowych],MATCH($B193,tab_MinKomp[[Stanowisko / Position ]:[Stanowisko / Position ]],0)))</f>
        <v>n/a</v>
      </c>
      <c r="ER194" s="333" t="str">
        <f>IF(INDEX(tab_MinKomp[Wymiana form plastik],MATCH($B193,tab_MinKomp[[Stanowisko / Position ]:[Stanowisko / Position ]],0))="n/a","n/a",ER193-INDEX(tab_MinKomp[Wymiana form plastik],MATCH($B193,tab_MinKomp[[Stanowisko / Position ]:[Stanowisko / Position ]],0)))</f>
        <v>n/a</v>
      </c>
      <c r="ES194" s="333" t="str">
        <f>IF(INDEX(tab_MinKomp[Wymiana form guma],MATCH($B193,tab_MinKomp[[Stanowisko / Position ]:[Stanowisko / Position ]],0))="n/a","n/a",ES193-INDEX(tab_MinKomp[Wymiana form guma],MATCH($B193,tab_MinKomp[[Stanowisko / Position ]:[Stanowisko / Position ]],0)))</f>
        <v>n/a</v>
      </c>
      <c r="ET194" s="333" t="str">
        <f>IF(INDEX(tab_MinKomp[Konserwacja KK],MATCH($B193,tab_MinKomp[[Stanowisko / Position ]:[Stanowisko / Position ]],0))="n/a","n/a",ET193-INDEX(tab_MinKomp[Konserwacja KK],MATCH($B193,tab_MinKomp[[Stanowisko / Position ]:[Stanowisko / Position ]],0)))</f>
        <v>n/a</v>
      </c>
      <c r="EU194" s="333" t="str">
        <f>IF(INDEX(tab_MinKomp[Konserwacja form guma],MATCH($B193,tab_MinKomp[[Stanowisko / Position ]:[Stanowisko / Position ]],0))="n/a","n/a",EU193-INDEX(tab_MinKomp[Konserwacja form guma],MATCH($B193,tab_MinKomp[[Stanowisko / Position ]:[Stanowisko / Position ]],0)))</f>
        <v>n/a</v>
      </c>
      <c r="EV194" s="333" t="str">
        <f>IF(INDEX(tab_MinKomp[Konserwacja form plastiki],MATCH($B193,tab_MinKomp[[Stanowisko / Position ]:[Stanowisko / Position ]],0))="n/a","n/a",EV193-INDEX(tab_MinKomp[Konserwacja form plastiki],MATCH($B193,tab_MinKomp[[Stanowisko / Position ]:[Stanowisko / Position ]],0)))</f>
        <v>n/a</v>
      </c>
      <c r="EW194" s="330" t="str">
        <f>IF(INDEX(tab_MinKomp[Konserwacja form plastiki],MATCH($B193,tab_MinKomp[[Stanowisko / Position ]:[Stanowisko / Position ]],0))="n/a","n/a",EW193-INDEX(tab_MinKomp[Konserwacja form plastiki],MATCH($B193,tab_MinKomp[[Stanowisko / Position ]:[Stanowisko / Position ]],0)))</f>
        <v>n/a</v>
      </c>
      <c r="EX194" s="333" t="str">
        <f>IF(INDEX(tab_MinKomp[Konserwacja Gorącego Kanału],MATCH($B193,tab_MinKomp[[Stanowisko / Position ]:[Stanowisko / Position ]],0))="n/a","n/a",EX193-INDEX(tab_MinKomp[Konserwacja Gorącego Kanału],MATCH($B193,tab_MinKomp[[Stanowisko / Position ]:[Stanowisko / Position ]],0)))</f>
        <v>n/a</v>
      </c>
      <c r="EY194" s="333">
        <f>IF(INDEX(tab_MinKomp[MS Office (Excel)],MATCH($B193,tab_MinKomp[[Stanowisko / Position ]:[Stanowisko / Position ]],0))="n/a","n/a",EY193-INDEX(tab_MinKomp[MS Office (Excel)],MATCH($B193,tab_MinKomp[[Stanowisko / Position ]:[Stanowisko / Position ]],0)))</f>
        <v>0</v>
      </c>
      <c r="EZ194" s="333">
        <f>IF(INDEX(tab_MinKomp[MS Office (Word)],MATCH($B193,tab_MinKomp[[Stanowisko / Position ]:[Stanowisko / Position ]],0))="n/a","n/a",EZ193-INDEX(tab_MinKomp[MS Office (Word)],MATCH($B193,tab_MinKomp[[Stanowisko / Position ]:[Stanowisko / Position ]],0)))</f>
        <v>0</v>
      </c>
      <c r="FA194" s="333">
        <f>IF(INDEX(tab_MinKomp[MS Office (Power Point)],MATCH($B193,tab_MinKomp[[Stanowisko / Position ]:[Stanowisko / Position ]],0))="n/a","n/a",FA193-INDEX(tab_MinKomp[MS Office (Power Point)],MATCH($B193,tab_MinKomp[[Stanowisko / Position ]:[Stanowisko / Position ]],0)))</f>
        <v>1</v>
      </c>
      <c r="FB194" s="333" t="str">
        <f>IF(INDEX(tab_MinKomp[Język angielski / Englisch],MATCH($B193,tab_MinKomp[[Stanowisko / Position ]:[Stanowisko / Position ]],0))="n/a","n/a",FB193-INDEX(tab_MinKomp[Język angielski / Englisch],MATCH($B193,tab_MinKomp[[Stanowisko / Position ]:[Stanowisko / Position ]],0)))</f>
        <v>n/a</v>
      </c>
      <c r="FC194" s="333" t="str">
        <f>IF(INDEX(tab_MinKomp[Język niemiecki / Deutsch],MATCH($B193,tab_MinKomp[[Stanowisko / Position ]:[Stanowisko / Position ]],0))="n/a","n/a",FC193-INDEX(tab_MinKomp[Język niemiecki / Deutsch],MATCH($B193,tab_MinKomp[[Stanowisko / Position ]:[Stanowisko / Position ]],0)))</f>
        <v>n/a</v>
      </c>
      <c r="FD194" s="333">
        <f>IF(INDEX(tab_MinKomp[Zarządzanie dokumentacją procesową / Process dokumentation management],MATCH($B193,tab_MinKomp[[Stanowisko / Position ]:[Stanowisko / Position ]],0))="n/a","n/a",FD193-INDEX(tab_MinKomp[Zarządzanie dokumentacją procesową / Process dokumentation management],MATCH($B193,tab_MinKomp[[Stanowisko / Position ]:[Stanowisko / Position ]],0)))</f>
        <v>0</v>
      </c>
      <c r="FE194" s="333">
        <f>IF(INDEX(tab_MinKomp[Znajomość procesów z obszaru / Kenntiss der prozesse in dem Bereich],MATCH($B193,tab_MinKomp[[Stanowisko / Position ]:[Stanowisko / Position ]],0))="n/a","n/a",FE193-INDEX(tab_MinKomp[Znajomość procesów z obszaru / Kenntiss der prozesse in dem Bereich],MATCH($B193,tab_MinKomp[[Stanowisko / Position ]:[Stanowisko / Position ]],0)))</f>
        <v>-1</v>
      </c>
      <c r="FF194" s="333" t="str">
        <f>IF(INDEX(tab_MinKomp[optymalizacja procesów / Prozessoptymalisierung],MATCH($B193,tab_MinKomp[[Stanowisko / Position ]:[Stanowisko / Position ]],0))="n/a","n/a",FF193-INDEX(tab_MinKomp[optymalizacja procesów / Prozessoptymalisierung],MATCH($B193,tab_MinKomp[[Stanowisko / Position ]:[Stanowisko / Position ]],0)))</f>
        <v>n/a</v>
      </c>
      <c r="FG194" s="333">
        <f>IF(INDEX(tab_MinKomp[Umiejętności szkoleniowe / Trainingsfähigkeiten],MATCH($B193,tab_MinKomp[[Stanowisko / Position ]:[Stanowisko / Position ]],0))="n/a","n/a",FG193-INDEX(tab_MinKomp[Umiejętności szkoleniowe / Trainingsfähigkeiten],MATCH($B193,tab_MinKomp[[Stanowisko / Position ]:[Stanowisko / Position ]],0)))</f>
        <v>-1</v>
      </c>
      <c r="FH194" s="333">
        <f>IF(INDEX(tab_MinKomp[Analityczne myślenie, podejście / Analitysches Denken, Einstellung],MATCH($B193,tab_MinKomp[[Stanowisko / Position ]:[Stanowisko / Position ]],0))="n/a","n/a",FH193-INDEX(tab_MinKomp[Analityczne myślenie, podejście / Analitysches Denken, Einstellung],MATCH($B193,tab_MinKomp[[Stanowisko / Position ]:[Stanowisko / Position ]],0)))</f>
        <v>-1</v>
      </c>
      <c r="FI194" s="333">
        <f>IF(INDEX(tab_MinKomp[Dokładność, precyzja w dzialaniu / Genauigkeit, Präzision in die Arbeit],MATCH($B193,tab_MinKomp[[Stanowisko / Position ]:[Stanowisko / Position ]],0))="n/a","n/a",FI193-INDEX(tab_MinKomp[Dokładność, precyzja w dzialaniu / Genauigkeit, Präzision in die Arbeit],MATCH($B193,tab_MinKomp[[Stanowisko / Position ]:[Stanowisko / Position ]],0)))</f>
        <v>0</v>
      </c>
      <c r="FJ194" s="333">
        <f>IF(INDEX(tab_MinKomp[Dyspozycyjność / Verfügbarkeit],MATCH($B193,tab_MinKomp[[Stanowisko / Position ]:[Stanowisko / Position ]],0))="n/a","n/a",FJ193-INDEX(tab_MinKomp[Dyspozycyjność / Verfügbarkeit],MATCH($B193,tab_MinKomp[[Stanowisko / Position ]:[Stanowisko / Position ]],0)))</f>
        <v>0</v>
      </c>
      <c r="FK194" s="333">
        <f>IF(INDEX(tab_MinKomp[Zaangażowanie / 
Engagement],MATCH($B193,tab_MinKomp[[Stanowisko / Position ]:[Stanowisko / Position ]],0))="n/a","n/a",FK193-INDEX(tab_MinKomp[Zaangażowanie / 
Engagement],MATCH($B193,tab_MinKomp[[Stanowisko / Position ]:[Stanowisko / Position ]],0)))</f>
        <v>0</v>
      </c>
      <c r="FL194" s="333" t="str">
        <f>IF(INDEX(tab_MinKomp[Planowanie strategiczne / Strategische Planung],MATCH($B193,tab_MinKomp[[Stanowisko / Position ]:[Stanowisko / Position ]],0))="n/a","n/a",FL193-INDEX(tab_MinKomp[Planowanie strategiczne / Strategische Planung],MATCH($B193,tab_MinKomp[[Stanowisko / Position ]:[Stanowisko / Position ]],0)))</f>
        <v>n/a</v>
      </c>
      <c r="FM194" s="333" t="str">
        <f>IF(INDEX(tab_MinKomp[Konsekwentne i dynamiczne działanie],MATCH($B193,tab_MinKomp[[Stanowisko / Position ]:[Stanowisko / Position ]],0))="n/a","n/a",FM193-INDEX(tab_MinKomp[Konsekwentne i dynamiczne działanie],MATCH($B193,tab_MinKomp[[Stanowisko / Position ]:[Stanowisko / Position ]],0)))</f>
        <v>n/a</v>
      </c>
      <c r="FN194" s="333" t="str">
        <f>IF(INDEX(tab_MinKomp[Elastyczność w działaniu],MATCH($B193,tab_MinKomp[[Stanowisko / Position ]:[Stanowisko / Position ]],0))="n/a","n/a",FN193-INDEX(tab_MinKomp[Elastyczność w działaniu],MATCH($B193,tab_MinKomp[[Stanowisko / Position ]:[Stanowisko / Position ]],0)))</f>
        <v>n/a</v>
      </c>
      <c r="FO194" s="333">
        <f>IF(INDEX(tab_MinKomp[Komunikatywność],MATCH($B193,tab_MinKomp[[Stanowisko / Position ]:[Stanowisko / Position ]],0))="n/a","n/a",FO193-INDEX(tab_MinKomp[Komunikatywność],MATCH($B193,tab_MinKomp[[Stanowisko / Position ]:[Stanowisko / Position ]],0)))</f>
        <v>-2</v>
      </c>
      <c r="FP194" s="334" t="str">
        <f>IF(INDEX(tab_MinKomp[Motywowanie i budowanie zaangażowania zespołu],MATCH($B193,tab_MinKomp[[Stanowisko / Position ]:[Stanowisko / Position ]],0))="n/a","n/a",FP193-INDEX(tab_MinKomp[Motywowanie i budowanie zaangażowania zespołu],MATCH($B193,tab_MinKomp[[Stanowisko / Position ]:[Stanowisko / Position ]],0)))</f>
        <v>n/a</v>
      </c>
      <c r="FQ194" s="335" t="str">
        <f>IFERROR(IF(INDEX(tab_MinKomp[BRAK / Keine],MATCH($B193,tab_MinKomp[[Stanowisko / Position ]:[Stanowisko / Position ]],0))="n/a","n/a",INDEX(tab_MinKomp[BRAK / Keine],MATCH($B193,tab_MinKomp[[Stanowisko / Position ]:[Stanowisko / Position ]],0))-FQ193),"")</f>
        <v>n/a</v>
      </c>
      <c r="FR194" s="333" t="str">
        <f>IF(INDEX(tab_MinKomp[MINIMUM 1 ROK / min. 1 Jahr],MATCH($B193,tab_MinKomp[[Stanowisko / Position ]:[Stanowisko / Position ]],0))="n/a","n/a",INDEX(tab_MinKomp[MINIMUM 1 ROK / min. 1 Jahr],MATCH($B193,tab_MinKomp[[Stanowisko / Position ]:[Stanowisko / Position ]],0)))</f>
        <v>X</v>
      </c>
      <c r="FS194" s="333" t="str">
        <f>IF(INDEX(tab_MinKomp[MINIMUM 2 LATA / min. 2 Jahre],MATCH($B193,tab_MinKomp[[Stanowisko / Position ]:[Stanowisko / Position ]],0))="n/a","n/a",INDEX(tab_MinKomp[MINIMUM 2 LATA / min. 2 Jahre],MATCH($B193,tab_MinKomp[[Stanowisko / Position ]:[Stanowisko / Position ]],0)))</f>
        <v>n/a</v>
      </c>
      <c r="FT194" s="333" t="str">
        <f>IF(INDEX(tab_MinKomp[MINIMUM 3 LATA / min. 3 Jahre],MATCH($B193,tab_MinKomp[[Stanowisko / Position ]:[Stanowisko / Position ]],0))="n/a","n/a",INDEX(tab_MinKomp[MINIMUM 3 LATA / min. 3 Jahre],MATCH($B193,tab_MinKomp[[Stanowisko / Position ]:[Stanowisko / Position ]],0)))</f>
        <v>n/a</v>
      </c>
      <c r="FU194" s="333" t="str">
        <f>IF(INDEX(tab_MinKomp[MINIMUM 4 LATA / min. 4 Jahre],MATCH($B193,tab_MinKomp[[Stanowisko / Position ]:[Stanowisko / Position ]],0))="n/a","n/a",INDEX(tab_MinKomp[MINIMUM 4 LATA / min. 4 Jahre],MATCH($B193,tab_MinKomp[[Stanowisko / Position ]:[Stanowisko / Position ]],0)))</f>
        <v>n/a</v>
      </c>
      <c r="FV194" s="336" t="str">
        <f>IF(INDEX(tab_MinKomp[MINIMUM 5 LAT / min. 5 Jahre],MATCH($B193,tab_MinKomp[[Stanowisko / Position ]:[Stanowisko / Position ]],0))="n/a","n/a",INDEX(tab_MinKomp[MINIMUM 5 LAT / min. 5 Jahre],MATCH($B193,tab_MinKomp[[Stanowisko / Position ]:[Stanowisko / Position ]],0)))</f>
        <v>n/a</v>
      </c>
      <c r="FW194" s="335" t="str">
        <f>IF(INDEX(tab_MinKomp[BRAK / Keine9],MATCH($B193,tab_MinKomp[[Stanowisko / Position ]:[Stanowisko / Position ]],0))="n/a","n/a",INDEX(tab_MinKomp[BRAK / Keine9],MATCH($B193,tab_MinKomp[[Stanowisko / Position ]:[Stanowisko / Position ]],0)))</f>
        <v>n/a</v>
      </c>
      <c r="FX194" s="333" t="str">
        <f>IF(INDEX(tab_MinKomp[ZAWODOWE / Berufsausbildung],MATCH($B193,tab_MinKomp[[Stanowisko / Position ]:[Stanowisko / Position ]],0))="n/a","n/a",INDEX(tab_MinKomp[ZAWODOWE / Berufsausbildung],MATCH($B193,tab_MinKomp[[Stanowisko / Position ]:[Stanowisko / Position ]],0)))</f>
        <v>X</v>
      </c>
      <c r="FY194" s="333" t="str">
        <f>IF(INDEX(tab_MinKomp[ŚREDNIE OGÓLNE / Abitur allgemeine],MATCH($B193,tab_MinKomp[[Stanowisko / Position ]:[Stanowisko / Position ]],0))="n/a","n/a",INDEX(tab_MinKomp[ŚREDNIE OGÓLNE / Abitur allgemeine],MATCH($B193,tab_MinKomp[[Stanowisko / Position ]:[Stanowisko / Position ]],0)))</f>
        <v>n/a</v>
      </c>
      <c r="FZ194" s="333" t="s">
        <v>160</v>
      </c>
      <c r="GA194" s="333" t="str">
        <f>IF(INDEX(tab_MinKomp[WYŻSZE OGÓLNE / Hochschule allgemeine],MATCH($B193,tab_MinKomp[[Stanowisko / Position ]:[Stanowisko / Position ]],0))="n/a","n/a",INDEX(tab_MinKomp[WYŻSZE OGÓLNE / Hochschule allgemeine],MATCH($B193,tab_MinKomp[[Stanowisko / Position ]:[Stanowisko / Position ]],0)))</f>
        <v>n/a</v>
      </c>
      <c r="GB194" s="336" t="str">
        <f>IF(INDEX(tab_MinKomp[WYŻSZE KIERUNKOWE / Hochschule berufliche],MATCH($B193,tab_MinKomp[[Stanowisko / Position ]:[Stanowisko / Position ]],0))="n/a","n/a",INDEX(tab_MinKomp[WYŻSZE KIERUNKOWE / Hochschule berufliche],MATCH($B193,tab_MinKomp[[Stanowisko / Position ]:[Stanowisko / Position ]],0)))</f>
        <v>n/a</v>
      </c>
      <c r="GC194" s="335" t="str">
        <f>IF(INDEX(tab_MinKomp[PIERWSZA POMOC / Erste Hilfe],MATCH($B193,tab_MinKomp[[Stanowisko / Position ]:[Stanowisko / Position ]],0))="n/a","n/a",INDEX(tab_MinKomp[PIERWSZA POMOC / Erste Hilfe],MATCH($B193,tab_MinKomp[[Stanowisko / Position ]:[Stanowisko / Position ]],0)))</f>
        <v>n/a</v>
      </c>
      <c r="GD194" s="333" t="str">
        <f>IF(INDEX(tab_MinKomp[Specjalista BHP / BHP Spezialist],MATCH($B193,tab_MinKomp[[Stanowisko / Position ]:[Stanowisko / Position ]],0))="n/a","n/a",INDEX(tab_MinKomp[Specjalista BHP / BHP Spezialist],MATCH($B193,tab_MinKomp[[Stanowisko / Position ]:[Stanowisko / Position ]],0)))</f>
        <v>n/a</v>
      </c>
      <c r="GE194" s="333" t="str">
        <f>IF(INDEX(tab_MinKomp[Inspektor ochrony PPOŻ / Brandschutzinspektor],MATCH($B193,tab_MinKomp[[Stanowisko / Position ]:[Stanowisko / Position ]],0))="n/a","n/a",INDEX(tab_MinKomp[Inspektor ochrony PPOŻ / Brandschutzinspektor],MATCH($B193,tab_MinKomp[[Stanowisko / Position ]:[Stanowisko / Position ]],0)))</f>
        <v>n/a</v>
      </c>
      <c r="GF194" s="333" t="str">
        <f>IF(INDEX(tab_MinKomp[WÓZKI JEZDNIOWE / Gebelstapler],MATCH($B193,tab_MinKomp[[Stanowisko / Position ]:[Stanowisko / Position ]],0))="n/a","n/a",INDEX(tab_MinKomp[WÓZKI JEZDNIOWE / Gebelstapler],MATCH($B193,tab_MinKomp[[Stanowisko / Position ]:[Stanowisko / Position ]],0)))</f>
        <v>n/a</v>
      </c>
      <c r="GG194" s="333" t="str">
        <f>IF(INDEX(tab_MinKomp[SEP],MATCH($B193,tab_MinKomp[[Stanowisko / Position ]:[Stanowisko / Position ]],0))="n/a","n/a",INDEX(tab_MinKomp[SEP],MATCH($B193,tab_MinKomp[[Stanowisko / Position ]:[Stanowisko / Position ]],0)))</f>
        <v>n/a</v>
      </c>
      <c r="GH194" s="333" t="str">
        <f>IF(INDEX(tab_MinKomp[SEP  DOZÓR / SEP Aufsicht],MATCH($B193,tab_MinKomp[[Stanowisko / Position ]:[Stanowisko / Position ]],0))="n/a","n/a",INDEX(tab_MinKomp[SEP  DOZÓR / SEP Aufsicht],MATCH($B193,tab_MinKomp[[Stanowisko / Position ]:[Stanowisko / Position ]],0)))</f>
        <v>n/a</v>
      </c>
      <c r="GI194" s="333" t="str">
        <f>IF(INDEX(tab_MinKomp[PODNOŚNIKI / Hebevorrichtung],MATCH($B193,tab_MinKomp[[Stanowisko / Position ]:[Stanowisko / Position ]],0))="n/a","n/a",INDEX(tab_MinKomp[PODNOŚNIKI / Hebevorrichtung],MATCH($B193,tab_MinKomp[[Stanowisko / Position ]:[Stanowisko / Position ]],0)))</f>
        <v>n/a</v>
      </c>
      <c r="GJ194" s="333" t="str">
        <f>IF(INDEX(tab_MinKomp[SUWNICE / Laufkran],MATCH($B193,tab_MinKomp[[Stanowisko / Position ]:[Stanowisko / Position ]],0))="n/a","n/a",INDEX(tab_MinKomp[SUWNICE / Laufkran],MATCH($B193,tab_MinKomp[[Stanowisko / Position ]:[Stanowisko / Position ]],0)))</f>
        <v>n/a</v>
      </c>
      <c r="GK194" s="336" t="str">
        <f>IF(INDEX(tab_MinKomp[WYSOKOŚCIOWE / Höhenberechtigungen],MATCH($B193,tab_MinKomp[[Stanowisko / Position ]:[Stanowisko / Position ]],0))="n/a","n/a",INDEX(tab_MinKomp[WYSOKOŚCIOWE / Höhenberechtigungen],MATCH($B193,tab_MinKomp[[Stanowisko / Position ]:[Stanowisko / Position ]],0)))</f>
        <v>n/a</v>
      </c>
      <c r="GL194" s="311">
        <f t="shared" si="5"/>
        <v>-16</v>
      </c>
    </row>
    <row r="195" spans="1:195" s="133" customFormat="1" ht="28.35" customHeight="1" x14ac:dyDescent="0.25">
      <c r="A195" s="138" t="s">
        <v>181</v>
      </c>
      <c r="B195" s="138" t="s">
        <v>597</v>
      </c>
      <c r="C195" s="138" t="s">
        <v>613</v>
      </c>
      <c r="D195" s="138">
        <v>1763</v>
      </c>
      <c r="E195" s="572" t="s">
        <v>705</v>
      </c>
      <c r="F195" s="339" t="s">
        <v>165</v>
      </c>
      <c r="G195" s="308">
        <v>2</v>
      </c>
      <c r="H195" s="308">
        <v>2</v>
      </c>
      <c r="I195" s="308">
        <v>2</v>
      </c>
      <c r="J195" s="308">
        <v>2</v>
      </c>
      <c r="K195" s="308">
        <v>2</v>
      </c>
      <c r="L195" s="308">
        <v>1</v>
      </c>
      <c r="M195" s="308" t="s">
        <v>176</v>
      </c>
      <c r="N195" s="308" t="s">
        <v>176</v>
      </c>
      <c r="O195" s="308">
        <v>1</v>
      </c>
      <c r="P195" s="308">
        <v>1</v>
      </c>
      <c r="Q195" s="308" t="s">
        <v>176</v>
      </c>
      <c r="R195" s="308" t="s">
        <v>176</v>
      </c>
      <c r="S195" s="308" t="s">
        <v>176</v>
      </c>
      <c r="T195" s="308" t="s">
        <v>176</v>
      </c>
      <c r="U195" s="308" t="s">
        <v>176</v>
      </c>
      <c r="V195" s="308" t="s">
        <v>176</v>
      </c>
      <c r="W195" s="308" t="s">
        <v>176</v>
      </c>
      <c r="X195" s="308" t="s">
        <v>176</v>
      </c>
      <c r="Y195" s="308" t="s">
        <v>176</v>
      </c>
      <c r="Z195" s="308" t="s">
        <v>176</v>
      </c>
      <c r="AA195" s="308" t="s">
        <v>176</v>
      </c>
      <c r="AB195" s="308" t="s">
        <v>176</v>
      </c>
      <c r="AC195" s="308" t="s">
        <v>176</v>
      </c>
      <c r="AD195" s="308" t="s">
        <v>176</v>
      </c>
      <c r="AE195" s="308" t="s">
        <v>176</v>
      </c>
      <c r="AF195" s="308" t="s">
        <v>176</v>
      </c>
      <c r="AG195" s="308" t="s">
        <v>176</v>
      </c>
      <c r="AH195" s="308" t="s">
        <v>176</v>
      </c>
      <c r="AI195" s="308" t="s">
        <v>176</v>
      </c>
      <c r="AJ195" s="308" t="s">
        <v>176</v>
      </c>
      <c r="AK195" s="308" t="s">
        <v>176</v>
      </c>
      <c r="AL195" s="308">
        <v>1</v>
      </c>
      <c r="AM195" s="308" t="s">
        <v>176</v>
      </c>
      <c r="AN195" s="308" t="s">
        <v>176</v>
      </c>
      <c r="AO195" s="308" t="s">
        <v>176</v>
      </c>
      <c r="AP195" s="308" t="s">
        <v>176</v>
      </c>
      <c r="AQ195" s="308" t="s">
        <v>176</v>
      </c>
      <c r="AR195" s="308" t="s">
        <v>176</v>
      </c>
      <c r="AS195" s="308" t="s">
        <v>176</v>
      </c>
      <c r="AT195" s="308" t="s">
        <v>176</v>
      </c>
      <c r="AU195" s="308" t="s">
        <v>176</v>
      </c>
      <c r="AV195" s="308">
        <v>1</v>
      </c>
      <c r="AW195" s="308"/>
      <c r="AX195" s="308"/>
      <c r="AY195" s="308" t="s">
        <v>176</v>
      </c>
      <c r="AZ195" s="308" t="s">
        <v>176</v>
      </c>
      <c r="BA195" s="308" t="s">
        <v>176</v>
      </c>
      <c r="BB195" s="308" t="s">
        <v>176</v>
      </c>
      <c r="BC195" s="308" t="s">
        <v>176</v>
      </c>
      <c r="BD195" s="308" t="s">
        <v>176</v>
      </c>
      <c r="BE195" s="308" t="s">
        <v>176</v>
      </c>
      <c r="BF195" s="308" t="s">
        <v>176</v>
      </c>
      <c r="BG195" s="308" t="s">
        <v>176</v>
      </c>
      <c r="BH195" s="308" t="s">
        <v>176</v>
      </c>
      <c r="BI195" s="308" t="s">
        <v>176</v>
      </c>
      <c r="BJ195" s="308" t="s">
        <v>176</v>
      </c>
      <c r="BK195" s="308" t="s">
        <v>176</v>
      </c>
      <c r="BL195" s="308" t="s">
        <v>176</v>
      </c>
      <c r="BM195" s="308" t="s">
        <v>176</v>
      </c>
      <c r="BN195" s="308">
        <v>1</v>
      </c>
      <c r="BO195" s="308">
        <v>1</v>
      </c>
      <c r="BP195" s="308">
        <v>1</v>
      </c>
      <c r="BQ195" s="308">
        <v>1</v>
      </c>
      <c r="BR195" s="308">
        <v>1</v>
      </c>
      <c r="BS195" s="308">
        <v>1</v>
      </c>
      <c r="BT195" s="308">
        <v>1</v>
      </c>
      <c r="BU195" s="308">
        <v>1</v>
      </c>
      <c r="BV195" s="308">
        <v>1</v>
      </c>
      <c r="BW195" s="308" t="s">
        <v>176</v>
      </c>
      <c r="BX195" s="308" t="s">
        <v>176</v>
      </c>
      <c r="BY195" s="308" t="s">
        <v>176</v>
      </c>
      <c r="BZ195" s="308" t="s">
        <v>176</v>
      </c>
      <c r="CA195" s="308" t="s">
        <v>176</v>
      </c>
      <c r="CB195" s="308" t="s">
        <v>176</v>
      </c>
      <c r="CC195" s="308" t="s">
        <v>176</v>
      </c>
      <c r="CD195" s="308" t="s">
        <v>176</v>
      </c>
      <c r="CE195" s="308" t="s">
        <v>176</v>
      </c>
      <c r="CF195" s="308" t="s">
        <v>176</v>
      </c>
      <c r="CG195" s="308" t="s">
        <v>176</v>
      </c>
      <c r="CH195" s="308" t="s">
        <v>176</v>
      </c>
      <c r="CI195" s="328" t="s">
        <v>176</v>
      </c>
      <c r="CJ195" s="308" t="s">
        <v>176</v>
      </c>
      <c r="CK195" s="308" t="s">
        <v>176</v>
      </c>
      <c r="CL195" s="308" t="s">
        <v>176</v>
      </c>
      <c r="CM195" s="308" t="s">
        <v>176</v>
      </c>
      <c r="CN195" s="308"/>
      <c r="CO195" s="308"/>
      <c r="CP195" s="308"/>
      <c r="CQ195" s="308" t="s">
        <v>176</v>
      </c>
      <c r="CR195" s="308" t="s">
        <v>176</v>
      </c>
      <c r="CS195" s="308" t="s">
        <v>176</v>
      </c>
      <c r="CT195" s="308" t="s">
        <v>176</v>
      </c>
      <c r="CU195" s="308"/>
      <c r="CV195" s="308" t="s">
        <v>176</v>
      </c>
      <c r="CW195" s="308" t="s">
        <v>176</v>
      </c>
      <c r="CX195" s="308" t="s">
        <v>176</v>
      </c>
      <c r="CY195" s="308" t="s">
        <v>176</v>
      </c>
      <c r="CZ195" s="308" t="s">
        <v>176</v>
      </c>
      <c r="DA195" s="308" t="s">
        <v>176</v>
      </c>
      <c r="DB195" s="308" t="s">
        <v>176</v>
      </c>
      <c r="DC195" s="308" t="s">
        <v>176</v>
      </c>
      <c r="DD195" s="308" t="s">
        <v>176</v>
      </c>
      <c r="DE195" s="308" t="s">
        <v>176</v>
      </c>
      <c r="DF195" s="308" t="s">
        <v>176</v>
      </c>
      <c r="DG195" s="308" t="s">
        <v>176</v>
      </c>
      <c r="DH195" s="308" t="s">
        <v>176</v>
      </c>
      <c r="DI195" s="308" t="s">
        <v>176</v>
      </c>
      <c r="DJ195" s="308" t="s">
        <v>176</v>
      </c>
      <c r="DK195" s="308" t="s">
        <v>176</v>
      </c>
      <c r="DL195" s="308" t="s">
        <v>176</v>
      </c>
      <c r="DM195" s="308" t="s">
        <v>176</v>
      </c>
      <c r="DN195" s="308" t="s">
        <v>176</v>
      </c>
      <c r="DO195" s="308" t="s">
        <v>176</v>
      </c>
      <c r="DP195" s="308" t="s">
        <v>176</v>
      </c>
      <c r="DQ195" s="308" t="s">
        <v>176</v>
      </c>
      <c r="DR195" s="308" t="s">
        <v>176</v>
      </c>
      <c r="DS195" s="308" t="s">
        <v>176</v>
      </c>
      <c r="DT195" s="308" t="s">
        <v>176</v>
      </c>
      <c r="DU195" s="308" t="s">
        <v>176</v>
      </c>
      <c r="DV195" s="306" t="s">
        <v>176</v>
      </c>
      <c r="DW195" s="306" t="s">
        <v>176</v>
      </c>
      <c r="DX195" s="306" t="s">
        <v>176</v>
      </c>
      <c r="DY195" s="308">
        <v>1</v>
      </c>
      <c r="DZ195" s="308">
        <v>1</v>
      </c>
      <c r="EA195" s="308">
        <v>1</v>
      </c>
      <c r="EB195" s="308">
        <v>0</v>
      </c>
      <c r="EC195" s="308">
        <v>0</v>
      </c>
      <c r="ED195" s="308">
        <v>2</v>
      </c>
      <c r="EE195" s="308">
        <v>1</v>
      </c>
      <c r="EF195" s="308">
        <v>0</v>
      </c>
      <c r="EG195" s="308">
        <v>1</v>
      </c>
      <c r="EH195" s="308">
        <v>1</v>
      </c>
      <c r="EI195" s="308">
        <v>0</v>
      </c>
      <c r="EJ195" s="308">
        <v>1</v>
      </c>
      <c r="EK195" s="308">
        <v>0</v>
      </c>
      <c r="EL195" s="308">
        <v>0</v>
      </c>
      <c r="EM195" s="308">
        <v>0</v>
      </c>
      <c r="EN195" s="308">
        <v>0</v>
      </c>
      <c r="EO195" s="308">
        <v>2</v>
      </c>
      <c r="EP195" s="308" t="s">
        <v>176</v>
      </c>
      <c r="EQ195" s="308" t="s">
        <v>176</v>
      </c>
      <c r="ER195" s="308" t="s">
        <v>176</v>
      </c>
      <c r="ES195" s="308" t="s">
        <v>176</v>
      </c>
      <c r="ET195" s="308" t="s">
        <v>176</v>
      </c>
      <c r="EU195" s="308" t="s">
        <v>176</v>
      </c>
      <c r="EV195" s="308" t="s">
        <v>176</v>
      </c>
      <c r="EW195" s="308" t="s">
        <v>176</v>
      </c>
      <c r="EX195" s="308" t="s">
        <v>176</v>
      </c>
      <c r="EY195" s="308">
        <v>1</v>
      </c>
      <c r="EZ195" s="308">
        <v>1</v>
      </c>
      <c r="FA195" s="309" t="s">
        <v>176</v>
      </c>
      <c r="FB195" s="309" t="s">
        <v>176</v>
      </c>
      <c r="FC195" s="309" t="s">
        <v>176</v>
      </c>
      <c r="FD195" s="308">
        <v>1</v>
      </c>
      <c r="FE195" s="308">
        <v>1</v>
      </c>
      <c r="FF195" s="308">
        <v>0</v>
      </c>
      <c r="FG195" s="308">
        <v>0</v>
      </c>
      <c r="FH195" s="308">
        <v>1</v>
      </c>
      <c r="FI195" s="308">
        <v>1</v>
      </c>
      <c r="FJ195" s="308">
        <v>1</v>
      </c>
      <c r="FK195" s="308">
        <v>2</v>
      </c>
      <c r="FL195" s="308" t="s">
        <v>176</v>
      </c>
      <c r="FM195" s="308">
        <v>1</v>
      </c>
      <c r="FN195" s="308" t="s">
        <v>176</v>
      </c>
      <c r="FO195" s="308" t="s">
        <v>176</v>
      </c>
      <c r="FP195" s="308" t="s">
        <v>176</v>
      </c>
      <c r="FQ195" s="308" t="s">
        <v>176</v>
      </c>
      <c r="FR195" s="308" t="s">
        <v>176</v>
      </c>
      <c r="FS195" s="308" t="s">
        <v>176</v>
      </c>
      <c r="FT195" s="308" t="s">
        <v>176</v>
      </c>
      <c r="FU195" s="308" t="s">
        <v>176</v>
      </c>
      <c r="FV195" s="308" t="s">
        <v>176</v>
      </c>
      <c r="FW195" s="308" t="s">
        <v>176</v>
      </c>
      <c r="FX195" s="308" t="s">
        <v>176</v>
      </c>
      <c r="FY195" s="308"/>
      <c r="FZ195" s="308" t="s">
        <v>176</v>
      </c>
      <c r="GA195" s="308" t="s">
        <v>176</v>
      </c>
      <c r="GB195" s="308" t="s">
        <v>176</v>
      </c>
      <c r="GC195" s="308" t="s">
        <v>176</v>
      </c>
      <c r="GD195" s="308" t="s">
        <v>176</v>
      </c>
      <c r="GE195" s="308" t="s">
        <v>176</v>
      </c>
      <c r="GF195" s="308" t="s">
        <v>387</v>
      </c>
      <c r="GG195" s="308" t="s">
        <v>387</v>
      </c>
      <c r="GH195" s="308" t="s">
        <v>387</v>
      </c>
      <c r="GI195" s="308" t="s">
        <v>387</v>
      </c>
      <c r="GJ195" s="308" t="s">
        <v>387</v>
      </c>
      <c r="GK195" s="308" t="s">
        <v>387</v>
      </c>
      <c r="GL195" s="329">
        <f>SUM(G195:FP195)</f>
        <v>45</v>
      </c>
      <c r="GM195" s="132"/>
    </row>
    <row r="196" spans="1:195" s="133" customFormat="1" ht="28.35" customHeight="1" thickBot="1" x14ac:dyDescent="0.3">
      <c r="A196" s="138" t="s">
        <v>181</v>
      </c>
      <c r="B196" s="138" t="s">
        <v>597</v>
      </c>
      <c r="C196" s="138" t="s">
        <v>613</v>
      </c>
      <c r="D196" s="138">
        <v>1763</v>
      </c>
      <c r="E196" s="573"/>
      <c r="F196" s="331" t="s">
        <v>166</v>
      </c>
      <c r="G196" s="387">
        <f>IF(INDEX(tab_MinKomp[Przepisy BHP / BHP Vorschriften],MATCH($B195,tab_MinKomp[[Stanowisko / Position ]:[Stanowisko / Position ]],0))="n/a","n/a",G195-INDEX(tab_MinKomp[Przepisy BHP / BHP Vorschriften],MATCH($B195,tab_MinKomp[[Stanowisko / Position ]:[Stanowisko / Position ]],0)))</f>
        <v>0</v>
      </c>
      <c r="H196" s="387">
        <f>IF(INDEX(tab_MinKomp[Przepisy PPOŻ / Brandschutzbestimmungen],MATCH($B195,tab_MinKomp[[Stanowisko / Position ]:[Stanowisko / Position ]],0))="n/a","n/a",H195-INDEX(tab_MinKomp[Przepisy PPOŻ / Brandschutzbestimmungen],MATCH($B195,tab_MinKomp[[Stanowisko / Position ]:[Stanowisko / Position ]],0)))</f>
        <v>0</v>
      </c>
      <c r="I196" s="387">
        <f>IF(INDEX(tab_MinKomp[Ryzyko zawodowe na stanowiskach pracyv/ Berufliche Risiken an Arbeitsstellen],MATCH($B195,tab_MinKomp[[Stanowisko / Position ]:[Stanowisko / Position ]],0))="n/a","n/a",I195-INDEX(tab_MinKomp[Ryzyko zawodowe na stanowiskach pracyv/ Berufliche Risiken an Arbeitsstellen],MATCH($B195,tab_MinKomp[[Stanowisko / Position ]:[Stanowisko / Position ]],0)))</f>
        <v>0</v>
      </c>
      <c r="J196" s="387">
        <f>IF(INDEX(tab_MinKomp[Gospodarka substancjami niebezpiecznymi / Gefahrstoffmanagement],MATCH($B195,tab_MinKomp[[Stanowisko / Position ]:[Stanowisko / Position ]],0))="n/a","n/a",J195-INDEX(tab_MinKomp[Gospodarka substancjami niebezpiecznymi / Gefahrstoffmanagement],MATCH($B195,tab_MinKomp[[Stanowisko / Position ]:[Stanowisko / Position ]],0)))</f>
        <v>0</v>
      </c>
      <c r="K196" s="387">
        <f>IF(INDEX(tab_MinKomp[Gospodarka odpadami / Abfallwirtschaft],MATCH($B195,tab_MinKomp[[Stanowisko / Position ]:[Stanowisko / Position ]],0))="n/a","n/a",K195-INDEX(tab_MinKomp[Gospodarka odpadami / Abfallwirtschaft],MATCH($B195,tab_MinKomp[[Stanowisko / Position ]:[Stanowisko / Position ]],0)))</f>
        <v>0</v>
      </c>
      <c r="L196" s="349">
        <f>IF(INDEX(tab_MinKomp[Przepisy kodeksu pracy / Bestimmungen des Arbeitsgesetzes],MATCH($B195,tab_MinKomp[[Stanowisko / Position ]:[Stanowisko / Position ]],0))="n/a","n/a",L195-INDEX(tab_MinKomp[Przepisy kodeksu pracy / Bestimmungen des Arbeitsgesetzes],MATCH($B195,tab_MinKomp[[Stanowisko / Position ]:[Stanowisko / Position ]],0)))</f>
        <v>0</v>
      </c>
      <c r="M196" s="349" t="str">
        <f>IF(INDEX(tab_MinKomp[Przepisy o ub.społ. ZUS  / Sozialversicherungsvorschriften],MATCH($B195,tab_MinKomp[[Stanowisko / Position ]:[Stanowisko / Position ]],0))="n/a","n/a",M195-INDEX(tab_MinKomp[Przepisy o ub.społ. ZUS  / Sozialversicherungsvorschriften],MATCH($B195,tab_MinKomp[[Stanowisko / Position ]:[Stanowisko / Position ]],0)))</f>
        <v>n/a</v>
      </c>
      <c r="N196" s="349" t="str">
        <f>IF(INDEX(tab_MinKomp[PRZEPISY O PDOF /persönlich Einkommensteuergesetz ],MATCH($B195,tab_MinKomp[[Stanowisko / Position ]:[Stanowisko / Position ]],0))="n/a","n/a",N195-INDEX(tab_MinKomp[PRZEPISY O PDOF /persönlich Einkommensteuergesetz ],MATCH($B195,tab_MinKomp[[Stanowisko / Position ]:[Stanowisko / Position ]],0)))</f>
        <v>n/a</v>
      </c>
      <c r="O196" s="349">
        <f>IF(INDEX(tab_MinKomp[Regulamin pracy / Arbeitsordnung],MATCH($B195,tab_MinKomp[[Stanowisko / Position ]:[Stanowisko / Position ]],0))="n/a","n/a",O195-INDEX(tab_MinKomp[Regulamin pracy / Arbeitsordnung],MATCH($B195,tab_MinKomp[[Stanowisko / Position ]:[Stanowisko / Position ]],0)))</f>
        <v>0</v>
      </c>
      <c r="P196" s="349">
        <f>IF(INDEX(tab_MinKomp[Regulamin wynagradzania / Vergütungsordnung],MATCH($B195,tab_MinKomp[[Stanowisko / Position ]:[Stanowisko / Position ]],0))="n/a","n/a",P195-INDEX(tab_MinKomp[Regulamin wynagradzania / Vergütungsordnung],MATCH($B195,tab_MinKomp[[Stanowisko / Position ]:[Stanowisko / Position ]],0)))</f>
        <v>0</v>
      </c>
      <c r="Q196" s="349" t="str">
        <f>IF(INDEX(tab_MinKomp[System R2PŁATNIK PRO: Płace / Lohnabrechnung],MATCH($B195,tab_MinKomp[[Stanowisko / Position ]:[Stanowisko / Position ]],0))="n/a","n/a",Q195-INDEX(tab_MinKomp[System R2PŁATNIK PRO: Płace / Lohnabrechnung],MATCH($B195,tab_MinKomp[[Stanowisko / Position ]:[Stanowisko / Position ]],0)))</f>
        <v>n/a</v>
      </c>
      <c r="R196" s="349" t="str">
        <f>IF(INDEX(tab_MinKomp[SystemR2PŁATNIK PRO: KADRY / Personaldaten],MATCH($B195,tab_MinKomp[[Stanowisko / Position ]:[Stanowisko / Position ]],0))="n/a","n/a",R195-INDEX(tab_MinKomp[SystemR2PŁATNIK PRO: KADRY / Personaldaten],MATCH($B195,tab_MinKomp[[Stanowisko / Position ]:[Stanowisko / Position ]],0)))</f>
        <v>n/a</v>
      </c>
      <c r="S196" s="349" t="str">
        <f>IF(INDEX(tab_MinKomp[SYSTEM R2PŁATNIK PRO: zarządzanie pracownikami / Arbeitsverwaltung],MATCH($B195,tab_MinKomp[[Stanowisko / Position ]:[Stanowisko / Position ]],0))="n/a","n/a",S195-INDEX(tab_MinKomp[SYSTEM R2PŁATNIK PRO: zarządzanie pracownikami / Arbeitsverwaltung],MATCH($B195,tab_MinKomp[[Stanowisko / Position ]:[Stanowisko / Position ]],0)))</f>
        <v>n/a</v>
      </c>
      <c r="T196" s="349" t="str">
        <f>IF(INDEX(tab_MinKomp[Doradztwo, wsparcie personalne / Personalberatung und Unterstützung],MATCH($B195,tab_MinKomp[[Stanowisko / Position ]:[Stanowisko / Position ]],0))="n/a","n/a",T195-INDEX(tab_MinKomp[Doradztwo, wsparcie personalne / Personalberatung und Unterstützung],MATCH($B195,tab_MinKomp[[Stanowisko / Position ]:[Stanowisko / Position ]],0)))</f>
        <v>n/a</v>
      </c>
      <c r="U196" s="349" t="str">
        <f>IF(INDEX(tab_MinKomp[Przepisy o podatku VAT / MwSt.- Gesetz],MATCH($B195,tab_MinKomp[[Stanowisko / Position ]:[Stanowisko / Position ]],0))="n/a","n/a",U195-INDEX(tab_MinKomp[Przepisy o podatku VAT / MwSt.- Gesetz],MATCH($B195,tab_MinKomp[[Stanowisko / Position ]:[Stanowisko / Position ]],0)))</f>
        <v>n/a</v>
      </c>
      <c r="V196" s="349" t="str">
        <f>IF(INDEX(tab_MinKomp[PrzepisyPDOP / geschäftlich Einkommensteuergesetz],MATCH($B195,tab_MinKomp[[Stanowisko / Position ]:[Stanowisko / Position ]],0))="n/a","n/a",V195-INDEX(tab_MinKomp[PrzepisyPDOP / geschäftlich Einkommensteuergesetz],MATCH($B195,tab_MinKomp[[Stanowisko / Position ]:[Stanowisko / Position ]],0)))</f>
        <v>n/a</v>
      </c>
      <c r="W196" s="349" t="str">
        <f>IF(INDEX(tab_MinKomp[System BAAN / FINANSE (FIBU)],MATCH($B195,tab_MinKomp[[Stanowisko / Position ]:[Stanowisko / Position ]],0))="n/a","n/a",W195-INDEX(tab_MinKomp[System BAAN / FINANSE (FIBU)],MATCH($B195,tab_MinKomp[[Stanowisko / Position ]:[Stanowisko / Position ]],0)))</f>
        <v>n/a</v>
      </c>
      <c r="X196" s="349" t="str">
        <f>IF(INDEX(tab_MinKomp[Systemy pomocnicze / Hilfssysteme(STOCKPROGRAM, KALK2000 etc.)],MATCH($B195,tab_MinKomp[[Stanowisko / Position ]:[Stanowisko / Position ]],0))="n/a","n/a",X195-INDEX(tab_MinKomp[Systemy pomocnicze / Hilfssysteme(STOCKPROGRAM, KALK2000 etc.)],MATCH($B195,tab_MinKomp[[Stanowisko / Position ]:[Stanowisko / Position ]],0)))</f>
        <v>n/a</v>
      </c>
      <c r="Y196" s="349" t="str">
        <f>IF(INDEX(tab_MinKomp[Polityka rachunkowości / Buchführungspolitik],MATCH($B195,tab_MinKomp[[Stanowisko / Position ]:[Stanowisko / Position ]],0))="n/a","n/a",Y195-INDEX(tab_MinKomp[Polityka rachunkowości / Buchführungspolitik],MATCH($B195,tab_MinKomp[[Stanowisko / Position ]:[Stanowisko / Position ]],0)))</f>
        <v>n/a</v>
      </c>
      <c r="Z196" s="349" t="str">
        <f>IF(INDEX(tab_MinKomp[Ustawa o rachunkowości / Rechnungslegungsgesetz],MATCH($B195,tab_MinKomp[[Stanowisko / Position ]:[Stanowisko / Position ]],0))="n/a","n/a",Z195-INDEX(tab_MinKomp[Ustawa o rachunkowości / Rechnungslegungsgesetz],MATCH($B195,tab_MinKomp[[Stanowisko / Position ]:[Stanowisko / Position ]],0)))</f>
        <v>n/a</v>
      </c>
      <c r="AA196" s="349" t="str">
        <f>IF(INDEX(tab_MinKomp[WORKFLOW - TS-100],MATCH($B195,tab_MinKomp[[Stanowisko / Position ]:[Stanowisko / Position ]],0))="n/a","n/a",AA195-INDEX(tab_MinKomp[WORKFLOW - TS-100],MATCH($B195,tab_MinKomp[[Stanowisko / Position ]:[Stanowisko / Position ]],0)))</f>
        <v>n/a</v>
      </c>
      <c r="AB196" s="349" t="str">
        <f>IF(INDEX(tab_MinKomp[WORKFLOW - SFMS],MATCH($B195,tab_MinKomp[[Stanowisko / Position ]:[Stanowisko / Position ]],0))="n/a","n/a",AB195-INDEX(tab_MinKomp[WORKFLOW - SFMS],MATCH($B195,tab_MinKomp[[Stanowisko / Position ]:[Stanowisko / Position ]],0)))</f>
        <v>n/a</v>
      </c>
      <c r="AC196" s="349" t="str">
        <f>IF(INDEX(tab_MinKomp[System ISO 9001:2015],MATCH($B195,tab_MinKomp[[Stanowisko / Position ]:[Stanowisko / Position ]],0))="n/a","n/a",AC195-INDEX(tab_MinKomp[System ISO 9001:2015],MATCH($B195,tab_MinKomp[[Stanowisko / Position ]:[Stanowisko / Position ]],0)))</f>
        <v>n/a</v>
      </c>
      <c r="AD196" s="349" t="str">
        <f>IF(INDEX(tab_MinKomp[System IATF 16949:2016],MATCH($B195,tab_MinKomp[[Stanowisko / Position ]:[Stanowisko / Position ]],0))="n/a","n/a",AD195-INDEX(tab_MinKomp[System IATF 16949:2016],MATCH($B195,tab_MinKomp[[Stanowisko / Position ]:[Stanowisko / Position ]],0)))</f>
        <v>n/a</v>
      </c>
      <c r="AE196" s="349" t="str">
        <f>IF(INDEX(tab_MinKomp[System ISO 14001:2015],MATCH($B195,tab_MinKomp[[Stanowisko / Position ]:[Stanowisko / Position ]],0))="n/a","n/a",AE195-INDEX(tab_MinKomp[System ISO 14001:2015],MATCH($B195,tab_MinKomp[[Stanowisko / Position ]:[Stanowisko / Position ]],0)))</f>
        <v>n/a</v>
      </c>
      <c r="AF196" s="349" t="str">
        <f>IF(INDEX(tab_MinKomp[System PN-N 18001:2004 / ISO 45001:2018],MATCH($B195,tab_MinKomp[[Stanowisko / Position ]:[Stanowisko / Position ]],0))="n/a","n/a",AF195-INDEX(tab_MinKomp[System PN-N 18001:2004 / ISO 45001:2018],MATCH($B195,tab_MinKomp[[Stanowisko / Position ]:[Stanowisko / Position ]],0)))</f>
        <v>n/a</v>
      </c>
      <c r="AG196" s="349" t="str">
        <f>IF(INDEX(tab_MinKomp[Wymagania VDA 6.3 Process / Forderungen],MATCH($B195,tab_MinKomp[[Stanowisko / Position ]:[Stanowisko / Position ]],0))="n/a","n/a",AG195-INDEX(tab_MinKomp[Wymagania VDA 6.3 Process / Forderungen],MATCH($B195,tab_MinKomp[[Stanowisko / Position ]:[Stanowisko / Position ]],0)))</f>
        <v>n/a</v>
      </c>
      <c r="AH196" s="349" t="str">
        <f>IF(INDEX(tab_MinKomp[Wymagania VDA 6.5 Product / Forderungen],MATCH($B195,tab_MinKomp[[Stanowisko / Position ]:[Stanowisko / Position ]],0))="n/a","n/a",AH195-INDEX(tab_MinKomp[Wymagania VDA 6.5 Product / Forderungen],MATCH($B195,tab_MinKomp[[Stanowisko / Position ]:[Stanowisko / Position ]],0)))</f>
        <v>n/a</v>
      </c>
      <c r="AI196" s="349" t="str">
        <f>IF(INDEX(tab_MinKomp[PSCR (VW Product Safety &amp; Conformity Representative)],MATCH($B195,tab_MinKomp[[Stanowisko / Position ]:[Stanowisko / Position ]],0))="n/a","n/a",AI195-INDEX(tab_MinKomp[PSCR (VW Product Safety &amp; Conformity Representative)],MATCH($B195,tab_MinKomp[[Stanowisko / Position ]:[Stanowisko / Position ]],0)))</f>
        <v>n/a</v>
      </c>
      <c r="AJ196" s="349" t="str">
        <f>IF(INDEX(tab_MinKomp[Auditor systemu ISO 17025:2018],MATCH($B195,tab_MinKomp[[Stanowisko / Position ]:[Stanowisko / Position ]],0))="n/a","n/a",AJ195-INDEX(tab_MinKomp[Auditor systemu ISO 17025:2018],MATCH($B195,tab_MinKomp[[Stanowisko / Position ]:[Stanowisko / Position ]],0)))</f>
        <v>n/a</v>
      </c>
      <c r="AK196" s="349" t="str">
        <f>IF(INDEX(tab_MinKomp[Pełnomocnik systemu / Systemvertreter],MATCH($B195,tab_MinKomp[[Stanowisko / Position ]:[Stanowisko / Position ]],0))="n/a","n/a",AK195-INDEX(tab_MinKomp[Pełnomocnik systemu / Systemvertreter],MATCH($B195,tab_MinKomp[[Stanowisko / Position ]:[Stanowisko / Position ]],0)))</f>
        <v>n/a</v>
      </c>
      <c r="AL196" s="349">
        <f>IF(INDEX(tab_MinKomp[Polityka Etyczna - Compliance],MATCH($B195,tab_MinKomp[[Stanowisko / Position ]:[Stanowisko / Position ]],0))="n/a","n/a",AL195-INDEX(tab_MinKomp[Polityka Etyczna - Compliance],MATCH($B195,tab_MinKomp[[Stanowisko / Position ]:[Stanowisko / Position ]],0)))</f>
        <v>0</v>
      </c>
      <c r="AM196" s="349" t="str">
        <f>IF(INDEX(tab_MinKomp[WDRAŻANIE NOWYCH PROJEKTÓW/ PROCEDURA CTM],MATCH($B195,tab_MinKomp[[Stanowisko / Position ]:[Stanowisko / Position ]],0))="n/a","n/a",AM195-INDEX(tab_MinKomp[WDRAŻANIE NOWYCH PROJEKTÓW/ PROCEDURA CTM],MATCH($B195,tab_MinKomp[[Stanowisko / Position ]:[Stanowisko / Position ]],0)))</f>
        <v>n/a</v>
      </c>
      <c r="AN196" s="349" t="str">
        <f>IF(INDEX(tab_MinKomp[KAMIENIE MILOWE MSL/PIFF],MATCH($B195,tab_MinKomp[[Stanowisko / Position ]:[Stanowisko / Position ]],0))="n/a","n/a",AN195-INDEX(tab_MinKomp[KAMIENIE MILOWE MSL/PIFF],MATCH($B195,tab_MinKomp[[Stanowisko / Position ]:[Stanowisko / Position ]],0)))</f>
        <v>n/a</v>
      </c>
      <c r="AO196" s="349" t="str">
        <f>IF(INDEX(tab_MinKomp[CP],MATCH($B195,tab_MinKomp[[Stanowisko / Position ]:[Stanowisko / Position ]],0))="n/a","n/a",AO195-INDEX(tab_MinKomp[CP],MATCH($B195,tab_MinKomp[[Stanowisko / Position ]:[Stanowisko / Position ]],0)))</f>
        <v>n/a</v>
      </c>
      <c r="AP196" s="349" t="str">
        <f>IF(INDEX(tab_MinKomp[FMEA],MATCH($B195,tab_MinKomp[[Stanowisko / Position ]:[Stanowisko / Position ]],0))="n/a","n/a",AP195-INDEX(tab_MinKomp[FMEA],MATCH($B195,tab_MinKomp[[Stanowisko / Position ]:[Stanowisko / Position ]],0)))</f>
        <v>n/a</v>
      </c>
      <c r="AQ196" s="349" t="str">
        <f>IF(INDEX(tab_MinKomp[FLOW CHART],MATCH($B195,tab_MinKomp[[Stanowisko / Position ]:[Stanowisko / Position ]],0))="n/a","n/a",AQ195-INDEX(tab_MinKomp[FLOW CHART],MATCH($B195,tab_MinKomp[[Stanowisko / Position ]:[Stanowisko / Position ]],0)))</f>
        <v>n/a</v>
      </c>
      <c r="AR196" s="349" t="str">
        <f>IF(INDEX(tab_MinKomp[APQP],MATCH($B195,tab_MinKomp[[Stanowisko / Position ]:[Stanowisko / Position ]],0))="n/a","n/a",AR195-INDEX(tab_MinKomp[APQP],MATCH($B195,tab_MinKomp[[Stanowisko / Position ]:[Stanowisko / Position ]],0)))</f>
        <v>n/a</v>
      </c>
      <c r="AS196" s="349" t="str">
        <f>IF(INDEX(tab_MinKomp[MSA],MATCH($B195,tab_MinKomp[[Stanowisko / Position ]:[Stanowisko / Position ]],0))="n/a","n/a",AS195-INDEX(tab_MinKomp[MSA],MATCH($B195,tab_MinKomp[[Stanowisko / Position ]:[Stanowisko / Position ]],0)))</f>
        <v>n/a</v>
      </c>
      <c r="AT196" s="349" t="str">
        <f>IF(INDEX(tab_MinKomp[SPC],MATCH($B195,tab_MinKomp[[Stanowisko / Position ]:[Stanowisko / Position ]],0))="n/a","n/a",AT195-INDEX(tab_MinKomp[SPC],MATCH($B195,tab_MinKomp[[Stanowisko / Position ]:[Stanowisko / Position ]],0)))</f>
        <v>n/a</v>
      </c>
      <c r="AU196" s="349" t="str">
        <f>IF(INDEX(tab_MinKomp[CSR (SPECYFICZNE WYMAGANIA KLIENTA)],MATCH($B195,tab_MinKomp[[Stanowisko / Position ]:[Stanowisko / Position ]],0))="n/a","n/a",AU195-INDEX(tab_MinKomp[CSR (SPECYFICZNE WYMAGANIA KLIENTA)],MATCH($B195,tab_MinKomp[[Stanowisko / Position ]:[Stanowisko / Position ]],0)))</f>
        <v>n/a</v>
      </c>
      <c r="AV196" s="349">
        <f>IF(INDEX(tab_MinKomp[5S],MATCH($B195,tab_MinKomp[[Stanowisko / Position ]:[Stanowisko / Position ]],0))="n/a","n/a",AV195-INDEX(tab_MinKomp[5S],MATCH($B195,tab_MinKomp[[Stanowisko / Position ]:[Stanowisko / Position ]],0)))</f>
        <v>-1</v>
      </c>
      <c r="AW196" s="349">
        <f>IF(INDEX(tab_MinKomp[LEAN MANAGEMENT],MATCH($B195,tab_MinKomp[[Stanowisko / Position ]:[Stanowisko / Position ]],0))="n/a","n/a",AW195-INDEX(tab_MinKomp[LEAN MANAGEMENT],MATCH($B195,tab_MinKomp[[Stanowisko / Position ]:[Stanowisko / Position ]],0)))</f>
        <v>-1</v>
      </c>
      <c r="AX196" s="349">
        <f>IF(INDEX(tab_MinKomp[5R],MATCH($B195,tab_MinKomp[[Stanowisko / Position ]:[Stanowisko / Position ]],0))="n/a","n/a",AX195-INDEX(tab_MinKomp[5R],MATCH($B195,tab_MinKomp[[Stanowisko / Position ]:[Stanowisko / Position ]],0)))</f>
        <v>-1</v>
      </c>
      <c r="AY196" s="349" t="str">
        <f>IF(INDEX(tab_MinKomp[Six Sigma],MATCH($B195,tab_MinKomp[[Stanowisko / Position ]:[Stanowisko / Position ]],0))="n/a","n/a",AY195-INDEX(tab_MinKomp[Six Sigma],MATCH($B195,tab_MinKomp[[Stanowisko / Position ]:[Stanowisko / Position ]],0)))</f>
        <v>n/a</v>
      </c>
      <c r="AZ196" s="349" t="str">
        <f>IF(INDEX(tab_MinKomp[System BAAN / Distribution &amp; Supply Chain],MATCH($B195,tab_MinKomp[[Stanowisko / Position ]:[Stanowisko / Position ]],0))="n/a","n/a",AZ195-INDEX(tab_MinKomp[System BAAN / Distribution &amp; Supply Chain],MATCH($B195,tab_MinKomp[[Stanowisko / Position ]:[Stanowisko / Position ]],0)))</f>
        <v>n/a</v>
      </c>
      <c r="BA196" s="349" t="str">
        <f>IF(INDEX(tab_MinKomp[Gospodarka magazynowa / Lagerverwaltung],MATCH($B195,tab_MinKomp[[Stanowisko / Position ]:[Stanowisko / Position ]],0))="n/a","n/a",BA195-INDEX(tab_MinKomp[Gospodarka magazynowa / Lagerverwaltung],MATCH($B195,tab_MinKomp[[Stanowisko / Position ]:[Stanowisko / Position ]],0)))</f>
        <v>n/a</v>
      </c>
      <c r="BB196" s="349" t="str">
        <f>IF(INDEX(tab_MinKomp[Inwentaryzacja - organizacja i przebieg / Inventurprozess],MATCH($B195,tab_MinKomp[[Stanowisko / Position ]:[Stanowisko / Position ]],0))="n/a","n/a",BB195-INDEX(tab_MinKomp[Inwentaryzacja - organizacja i przebieg / Inventurprozess],MATCH($B195,tab_MinKomp[[Stanowisko / Position ]:[Stanowisko / Position ]],0)))</f>
        <v>n/a</v>
      </c>
      <c r="BC196" s="349" t="str">
        <f>IF(INDEX(tab_MinKomp[Organizacja dostaw / Versorgungsorganisation],MATCH($B195,tab_MinKomp[[Stanowisko / Position ]:[Stanowisko / Position ]],0))="n/a","n/a",BC195-INDEX(tab_MinKomp[Organizacja dostaw / Versorgungsorganisation],MATCH($B195,tab_MinKomp[[Stanowisko / Position ]:[Stanowisko / Position ]],0)))</f>
        <v>n/a</v>
      </c>
      <c r="BD196" s="349" t="str">
        <f>IF(INDEX(tab_MinKomp[Organizacja wysyłek / Organisation von Lieferungen],MATCH($B195,tab_MinKomp[[Stanowisko / Position ]:[Stanowisko / Position ]],0))="n/a","n/a",BD195-INDEX(tab_MinKomp[Organizacja wysyłek / Organisation von Lieferungen],MATCH($B195,tab_MinKomp[[Stanowisko / Position ]:[Stanowisko / Position ]],0)))</f>
        <v>n/a</v>
      </c>
      <c r="BE196" s="349" t="str">
        <f>IF(INDEX(tab_MinKomp[Analiza magazynowa - Program Polen.mdb / Inventuranalyse],MATCH($B195,tab_MinKomp[[Stanowisko / Position ]:[Stanowisko / Position ]],0))="n/a","n/a",BE195-INDEX(tab_MinKomp[Analiza magazynowa - Program Polen.mdb / Inventuranalyse],MATCH($B195,tab_MinKomp[[Stanowisko / Position ]:[Stanowisko / Position ]],0)))</f>
        <v>n/a</v>
      </c>
      <c r="BF196" s="349" t="str">
        <f>IF(INDEX(tab_MinKomp[MMOG (Materials Management Operations Guidelines)],MATCH($B195,tab_MinKomp[[Stanowisko / Position ]:[Stanowisko / Position ]],0))="n/a","n/a",BF195-INDEX(tab_MinKomp[MMOG (Materials Management Operations Guidelines)],MATCH($B195,tab_MinKomp[[Stanowisko / Position ]:[Stanowisko / Position ]],0)))</f>
        <v>n/a</v>
      </c>
      <c r="BG196" s="349" t="str">
        <f>IF(INDEX(tab_MinKomp[DETC],MATCH($B195,tab_MinKomp[[Stanowisko / Position ]:[Stanowisko / Position ]],0))="n/a","n/a",BG195-INDEX(tab_MinKomp[DETC],MATCH($B195,tab_MinKomp[[Stanowisko / Position ]:[Stanowisko / Position ]],0)))</f>
        <v>n/a</v>
      </c>
      <c r="BH196" s="349" t="str">
        <f>IF(INDEX(tab_MinKomp[GPP],MATCH($B195,tab_MinKomp[[Stanowisko / Position ]:[Stanowisko / Position ]],0))="n/a","n/a",BH195-INDEX(tab_MinKomp[GPP],MATCH($B195,tab_MinKomp[[Stanowisko / Position ]:[Stanowisko / Position ]],0)))</f>
        <v>n/a</v>
      </c>
      <c r="BI196" s="349" t="str">
        <f>IF(INDEX(tab_MinKomp[AIAG (Automotive Industry Action Group)],MATCH($B195,tab_MinKomp[[Stanowisko / Position ]:[Stanowisko / Position ]],0))="n/a","n/a",BI195-INDEX(tab_MinKomp[AIAG (Automotive Industry Action Group)],MATCH($B195,tab_MinKomp[[Stanowisko / Position ]:[Stanowisko / Position ]],0)))</f>
        <v>n/a</v>
      </c>
      <c r="BJ196" s="349" t="str">
        <f>IF(INDEX(tab_MinKomp[Super-G disputes],MATCH($B195,tab_MinKomp[[Stanowisko / Position ]:[Stanowisko / Position ]],0))="n/a","n/a",BJ195-INDEX(tab_MinKomp[Super-G disputes],MATCH($B195,tab_MinKomp[[Stanowisko / Position ]:[Stanowisko / Position ]],0)))</f>
        <v>n/a</v>
      </c>
      <c r="BK196" s="349" t="str">
        <f>IF(INDEX(tab_MinKomp[CMMS3/eDDL (Direct Data Link)],MATCH($B195,tab_MinKomp[[Stanowisko / Position ]:[Stanowisko / Position ]],0))="n/a","n/a",BK195-INDEX(tab_MinKomp[CMMS3/eDDL (Direct Data Link)],MATCH($B195,tab_MinKomp[[Stanowisko / Position ]:[Stanowisko / Position ]],0)))</f>
        <v>n/a</v>
      </c>
      <c r="BL196" s="349" t="str">
        <f>IF(INDEX(tab_MinKomp[MP&amp;L (Material Planning and Logistics)],MATCH($B195,tab_MinKomp[[Stanowisko / Position ]:[Stanowisko / Position ]],0))="n/a","n/a",BL195-INDEX(tab_MinKomp[MP&amp;L (Material Planning and Logistics)],MATCH($B195,tab_MinKomp[[Stanowisko / Position ]:[Stanowisko / Position ]],0)))</f>
        <v>n/a</v>
      </c>
      <c r="BM196" s="349" t="str">
        <f>IF(INDEX(tab_MinKomp[Planowanie produkcji / Produktionsplanung],MATCH($B195,tab_MinKomp[[Stanowisko / Position ]:[Stanowisko / Position ]],0))="n/a","n/a",BM195-INDEX(tab_MinKomp[Planowanie produkcji / Produktionsplanung],MATCH($B195,tab_MinKomp[[Stanowisko / Position ]:[Stanowisko / Position ]],0)))</f>
        <v>n/a</v>
      </c>
      <c r="BN196" s="349">
        <f>IF(INDEX(tab_MinKomp[Obsługa maszyn Engel / Engel Maschinenbedienung],MATCH($B195,tab_MinKomp[[Stanowisko / Position ]:[Stanowisko / Position ]],0))="n/a","n/a",BN195-INDEX(tab_MinKomp[Obsługa maszyn Engel / Engel Maschinenbedienung],MATCH($B195,tab_MinKomp[[Stanowisko / Position ]:[Stanowisko / Position ]],0)))</f>
        <v>0</v>
      </c>
      <c r="BO196" s="349">
        <f>IF(INDEX(tab_MinKomp[Obsługa maszyn Novapax / Novapax Maschinenbedienung],MATCH($B195,tab_MinKomp[[Stanowisko / Position ]:[Stanowisko / Position ]],0))="n/a","n/a",BO195-INDEX(tab_MinKomp[Obsługa maszyn Novapax / Novapax Maschinenbedienung],MATCH($B195,tab_MinKomp[[Stanowisko / Position ]:[Stanowisko / Position ]],0)))</f>
        <v>0</v>
      </c>
      <c r="BP196" s="349">
        <f>IF(INDEX(tab_MinKomp[Obsługa maszyn KVT / KVT Maschinenbedienung],MATCH($B195,tab_MinKomp[[Stanowisko / Position ]:[Stanowisko / Position ]],0))="n/a","n/a",BP195-INDEX(tab_MinKomp[Obsługa maszyn KVT / KVT Maschinenbedienung],MATCH($B195,tab_MinKomp[[Stanowisko / Position ]:[Stanowisko / Position ]],0)))</f>
        <v>0</v>
      </c>
      <c r="BQ196" s="349">
        <f>IF(INDEX(tab_MinKomp[Obsługa maszyn ASL / ASL Maschinenbedienung],MATCH($B195,tab_MinKomp[[Stanowisko / Position ]:[Stanowisko / Position ]],0))="n/a","n/a",BQ195-INDEX(tab_MinKomp[Obsługa maszyn ASL / ASL Maschinenbedienung],MATCH($B195,tab_MinKomp[[Stanowisko / Position ]:[Stanowisko / Position ]],0)))</f>
        <v>0</v>
      </c>
      <c r="BR196" s="349">
        <f>IF(INDEX(tab_MinKomp[Obsługa maszyn Branson / Branson Maschinenbedienung],MATCH($B195,tab_MinKomp[[Stanowisko / Position ]:[Stanowisko / Position ]],0))="n/a","n/a",BR195-INDEX(tab_MinKomp[Obsługa maszyn Branson / Branson Maschinenbedienung],MATCH($B195,tab_MinKomp[[Stanowisko / Position ]:[Stanowisko / Position ]],0)))</f>
        <v>0</v>
      </c>
      <c r="BS196" s="349">
        <f>IF(INDEX(tab_MinKomp[Obsługa maszyn Kamtec / Kamtec Maschinenbedienung],MATCH($B195,tab_MinKomp[[Stanowisko / Position ]:[Stanowisko / Position ]],0))="n/a","n/a",BS195-INDEX(tab_MinKomp[Obsługa maszyn Kamtec / Kamtec Maschinenbedienung],MATCH($B195,tab_MinKomp[[Stanowisko / Position ]:[Stanowisko / Position ]],0)))</f>
        <v>0</v>
      </c>
      <c r="BT196" s="349">
        <f>IF(INDEX(tab_MinKomp[Obsługa maszyn Piovan / Piovan Maschinenbedienung],MATCH($B195,tab_MinKomp[[Stanowisko / Position ]:[Stanowisko / Position ]],0))="n/a","n/a",BT195-INDEX(tab_MinKomp[Obsługa maszyn Piovan / Piovan Maschinenbedienung],MATCH($B195,tab_MinKomp[[Stanowisko / Position ]:[Stanowisko / Position ]],0)))</f>
        <v>0</v>
      </c>
      <c r="BU196" s="349">
        <f>IF(INDEX(tab_MinKomp[Obsługa maszyn REP / REP Maschinenbedienung],MATCH($B195,tab_MinKomp[[Stanowisko / Position ]:[Stanowisko / Position ]],0))="n/a","n/a",BU195-INDEX(tab_MinKomp[Obsługa maszyn REP / REP Maschinenbedienung],MATCH($B195,tab_MinKomp[[Stanowisko / Position ]:[Stanowisko / Position ]],0)))</f>
        <v>0</v>
      </c>
      <c r="BV196" s="349">
        <f>IF(INDEX(tab_MinKomp[Eliminacja awarii / Beseitigung von Ausfällen],MATCH($B195,tab_MinKomp[[Stanowisko / Position ]:[Stanowisko / Position ]],0))="n/a","n/a",BV195-INDEX(tab_MinKomp[Eliminacja awarii / Beseitigung von Ausfällen],MATCH($B195,tab_MinKomp[[Stanowisko / Position ]:[Stanowisko / Position ]],0)))</f>
        <v>-1</v>
      </c>
      <c r="BW196" s="349" t="str">
        <f>IF(INDEX(tab_MinKomp[Informatyka ogólna (techniczne i systemowe) / Allgemeine IT (Technik und System)],MATCH($B195,tab_MinKomp[[Stanowisko / Position ]:[Stanowisko / Position ]],0))="n/a","n/a",BW195-INDEX(tab_MinKomp[Informatyka ogólna (techniczne i systemowe) / Allgemeine IT (Technik und System)],MATCH($B195,tab_MinKomp[[Stanowisko / Position ]:[Stanowisko / Position ]],0)))</f>
        <v>n/a</v>
      </c>
      <c r="BX196" s="349" t="str">
        <f>IF(INDEX(tab_MinKomp[Sieci komputerowe / Computernetzwerke],MATCH($B195,tab_MinKomp[[Stanowisko / Position ]:[Stanowisko / Position ]],0))="n/a","n/a",BX195-INDEX(tab_MinKomp[Sieci komputerowe / Computernetzwerke],MATCH($B195,tab_MinKomp[[Stanowisko / Position ]:[Stanowisko / Position ]],0)))</f>
        <v>n/a</v>
      </c>
      <c r="BY196" s="349" t="str">
        <f>IF(INDEX(tab_MinKomp[Hardware (komputery PC, drukarki biurowe i etykietowe, telefonia stacjonarna i mobilna) (PC, Drucker, Telefpne, Handys)],MATCH($B195,tab_MinKomp[[Stanowisko / Position ]:[Stanowisko / Position ]],0))="n/a","n/a",BY195-INDEX(tab_MinKomp[Hardware (komputery PC, drukarki biurowe i etykietowe, telefonia stacjonarna i mobilna) (PC, Drucker, Telefpne, Handys)],MATCH($B195,tab_MinKomp[[Stanowisko / Position ]:[Stanowisko / Position ]],0)))</f>
        <v>n/a</v>
      </c>
      <c r="BZ196" s="349" t="str">
        <f>IF(INDEX(tab_MinKomp[Software &amp; Systems (MS Office, MS Remote Desktop)],MATCH($B195,tab_MinKomp[[Stanowisko / Position ]:[Stanowisko / Position ]],0))="n/a","n/a",BZ195-INDEX(tab_MinKomp[Software &amp; Systems (MS Office, MS Remote Desktop)],MATCH($B195,tab_MinKomp[[Stanowisko / Position ]:[Stanowisko / Position ]],0)))</f>
        <v>n/a</v>
      </c>
      <c r="CA196" s="349" t="str">
        <f>IF(INDEX(tab_MinKomp[Programowanie obiektowe (PHP) / Objektprogrammierung],MATCH($B195,tab_MinKomp[[Stanowisko / Position ]:[Stanowisko / Position ]],0))="n/a","n/a",CA195-INDEX(tab_MinKomp[Programowanie obiektowe (PHP) / Objektprogrammierung],MATCH($B195,tab_MinKomp[[Stanowisko / Position ]:[Stanowisko / Position ]],0)))</f>
        <v>n/a</v>
      </c>
      <c r="CB196" s="349" t="str">
        <f>IF(INDEX(tab_MinKomp[Scrum],MATCH($B195,tab_MinKomp[[Stanowisko / Position ]:[Stanowisko / Position ]],0))="n/a","n/a",CB195-INDEX(tab_MinKomp[Scrum],MATCH($B195,tab_MinKomp[[Stanowisko / Position ]:[Stanowisko / Position ]],0)))</f>
        <v>n/a</v>
      </c>
      <c r="CC196" s="349" t="str">
        <f>IF(INDEX(tab_MinKomp[SQL (MySQL)],MATCH($B195,tab_MinKomp[[Stanowisko / Position ]:[Stanowisko / Position ]],0))="n/a","n/a",CC195-INDEX(tab_MinKomp[SQL (MySQL)],MATCH($B195,tab_MinKomp[[Stanowisko / Position ]:[Stanowisko / Position ]],0)))</f>
        <v>n/a</v>
      </c>
      <c r="CD196" s="349" t="str">
        <f>IF(INDEX(tab_MinKomp[Javascript],MATCH($B195,tab_MinKomp[[Stanowisko / Position ]:[Stanowisko / Position ]],0))="n/a","n/a",CD195-INDEX(tab_MinKomp[Javascript],MATCH($B195,tab_MinKomp[[Stanowisko / Position ]:[Stanowisko / Position ]],0)))</f>
        <v>n/a</v>
      </c>
      <c r="CE196" s="349" t="str">
        <f>IF(INDEX(tab_MinKomp[Joomla],MATCH($B195,tab_MinKomp[[Stanowisko / Position ]:[Stanowisko / Position ]],0))="n/a","n/a",CE195-INDEX(tab_MinKomp[Joomla],MATCH($B195,tab_MinKomp[[Stanowisko / Position ]:[Stanowisko / Position ]],0)))</f>
        <v>n/a</v>
      </c>
      <c r="CF196" s="349" t="str">
        <f>IF(INDEX(tab_MinKomp[Bash],MATCH($B195,tab_MinKomp[[Stanowisko / Position ]:[Stanowisko / Position ]],0))="n/a","n/a",CF195-INDEX(tab_MinKomp[Bash],MATCH($B195,tab_MinKomp[[Stanowisko / Position ]:[Stanowisko / Position ]],0)))</f>
        <v>n/a</v>
      </c>
      <c r="CG196" s="349" t="str">
        <f>IF(INDEX(tab_MinKomp[Systemy MES (HYDRA / SFMS)],MATCH($B195,tab_MinKomp[[Stanowisko / Position ]:[Stanowisko / Position ]],0))="n/a","n/a",CG195-INDEX(tab_MinKomp[Systemy MES (HYDRA / SFMS)],MATCH($B195,tab_MinKomp[[Stanowisko / Position ]:[Stanowisko / Position ]],0)))</f>
        <v>n/a</v>
      </c>
      <c r="CH196" s="350" t="str">
        <f>IF(INDEX(tab_MinKomp[HTML / CSS],MATCH($B195,tab_MinKomp[[Stanowisko / Position ]:[Stanowisko / Position ]],0))="n/a","n/a",CH195-INDEX(tab_MinKomp[HTML / CSS],MATCH($B195,tab_MinKomp[[Stanowisko / Position ]:[Stanowisko / Position ]],0)))</f>
        <v>n/a</v>
      </c>
      <c r="CI196" s="468" t="str">
        <f>IF(INDEX(tab_MinKomp[SYSTEM PR],MATCH($B195,tab_MinKomp[[Stanowisko / Position ]:[Stanowisko / Position ]],0))="n/a","n/a",CI195-INDEX(tab_MinKomp[SYSTEM PR],MATCH($B195,tab_MinKomp[[Stanowisko / Position ]:[Stanowisko / Position ]],0)))</f>
        <v>n/a</v>
      </c>
      <c r="CJ196" s="467" t="str">
        <f>IF(INDEX(tab_MinKomp[System Einkauf XP / EBA],MATCH($B195,tab_MinKomp[[Stanowisko / Position ]:[Stanowisko / Position ]],0))="n/a","n/a",CJ195-INDEX(tab_MinKomp[System Einkauf XP / EBA],MATCH($B195,tab_MinKomp[[Stanowisko / Position ]:[Stanowisko / Position ]],0)))</f>
        <v>n/a</v>
      </c>
      <c r="CK196" s="349" t="str">
        <f>IF(INDEX(tab_MinKomp[Techniki negocjacyjne / Verhandlungstechniken],MATCH($B195,tab_MinKomp[[Stanowisko / Position ]:[Stanowisko / Position ]],0))="n/a","n/a",CK195-INDEX(tab_MinKomp[Techniki negocjacyjne / Verhandlungstechniken],MATCH($B195,tab_MinKomp[[Stanowisko / Position ]:[Stanowisko / Position ]],0)))</f>
        <v>n/a</v>
      </c>
      <c r="CL196" s="349" t="str">
        <f>IF(INDEX(tab_MinKomp[Znajomość rynku branżowego / Kenntnis des Industrie Marktes],MATCH($B195,tab_MinKomp[[Stanowisko / Position ]:[Stanowisko / Position ]],0))="n/a","n/a",CL195-INDEX(tab_MinKomp[Znajomość rynku branżowego / Kenntnis des Industrie Marktes],MATCH($B195,tab_MinKomp[[Stanowisko / Position ]:[Stanowisko / Position ]],0)))</f>
        <v>n/a</v>
      </c>
      <c r="CM196" s="349" t="str">
        <f>IF(INDEX(tab_MinKomp[RAPORTY 8D / 8D Berichten],MATCH($B195,tab_MinKomp[[Stanowisko / Position ]:[Stanowisko / Position ]],0))="n/a","n/a",CM195-INDEX(tab_MinKomp[RAPORTY 8D / 8D Berichten],MATCH($B195,tab_MinKomp[[Stanowisko / Position ]:[Stanowisko / Position ]],0)))</f>
        <v>n/a</v>
      </c>
      <c r="CN196" s="349">
        <f>IF(INDEX(tab_MinKomp[NARZĘDZIA JAKOŚCIOWE (5WHY, Ishikawa, etc) / QS-Werkzeuge],MATCH($B195,tab_MinKomp[[Stanowisko / Position ]:[Stanowisko / Position ]],0))="n/a","n/a",CN195-INDEX(tab_MinKomp[NARZĘDZIA JAKOŚCIOWE (5WHY, Ishikawa, etc) / QS-Werkzeuge],MATCH($B195,tab_MinKomp[[Stanowisko / Position ]:[Stanowisko / Position ]],0)))</f>
        <v>-2</v>
      </c>
      <c r="CO196" s="349">
        <f>IF(INDEX(tab_MinKomp[PDCA],MATCH($B195,tab_MinKomp[[Stanowisko / Position ]:[Stanowisko / Position ]],0))="n/a","n/a",CO195-INDEX(tab_MinKomp[PDCA],MATCH($B195,tab_MinKomp[[Stanowisko / Position ]:[Stanowisko / Position ]],0)))</f>
        <v>-2</v>
      </c>
      <c r="CP196" s="349">
        <f>IF(INDEX(tab_MinKomp[Pareto],MATCH($B195,tab_MinKomp[[Stanowisko / Position ]:[Stanowisko / Position ]],0))="n/a","n/a",CP195-INDEX(tab_MinKomp[Pareto],MATCH($B195,tab_MinKomp[[Stanowisko / Position ]:[Stanowisko / Position ]],0)))</f>
        <v>-2</v>
      </c>
      <c r="CQ196" s="349" t="str">
        <f>IF(INDEX(tab_MinKomp[PPAP/PSW],MATCH($B195,tab_MinKomp[[Stanowisko / Position ]:[Stanowisko / Position ]],0))="n/a","n/a",CQ195-INDEX(tab_MinKomp[PPAP/PSW],MATCH($B195,tab_MinKomp[[Stanowisko / Position ]:[Stanowisko / Position ]],0)))</f>
        <v>n/a</v>
      </c>
      <c r="CR196" s="349" t="str">
        <f>IF(INDEX(tab_MinKomp[SUPPLIER MANAGEMENT],MATCH($B195,tab_MinKomp[[Stanowisko / Position ]:[Stanowisko / Position ]],0))="n/a","n/a",CR195-INDEX(tab_MinKomp[SUPPLIER MANAGEMENT],MATCH($B195,tab_MinKomp[[Stanowisko / Position ]:[Stanowisko / Position ]],0)))</f>
        <v>n/a</v>
      </c>
      <c r="CS196" s="349" t="str">
        <f>IF(INDEX(tab_MinKomp[OBSŁUGA PORTALI KLIENTA / Kundenportale],MATCH($B195,tab_MinKomp[[Stanowisko / Position ]:[Stanowisko / Position ]],0))="n/a","n/a",CS195-INDEX(tab_MinKomp[OBSŁUGA PORTALI KLIENTA / Kundenportale],MATCH($B195,tab_MinKomp[[Stanowisko / Position ]:[Stanowisko / Position ]],0)))</f>
        <v>n/a</v>
      </c>
      <c r="CT196" s="349" t="str">
        <f>IF(INDEX(tab_MinKomp[Obsługa systemu BABTECQ / BABTECQ System],MATCH($B195,tab_MinKomp[[Stanowisko / Position ]:[Stanowisko / Position ]],0))="n/a","n/a",CT195-INDEX(tab_MinKomp[Obsługa systemu BABTECQ / BABTECQ System],MATCH($B195,tab_MinKomp[[Stanowisko / Position ]:[Stanowisko / Position ]],0)))</f>
        <v>n/a</v>
      </c>
      <c r="CU196" s="349">
        <f>IF(INDEX(tab_MinKomp[Rysunek techniczny / technische Zeichnung],MATCH($B195,tab_MinKomp[[Stanowisko / Position ]:[Stanowisko / Position ]],0))="n/a","n/a",CU195-INDEX(tab_MinKomp[Rysunek techniczny / technische Zeichnung],MATCH($B195,tab_MinKomp[[Stanowisko / Position ]:[Stanowisko / Position ]],0)))</f>
        <v>-2</v>
      </c>
      <c r="CV196" s="349" t="str">
        <f>IF(INDEX(tab_MinKomp[Kalibracja / Kalibrierung],MATCH($B195,tab_MinKomp[[Stanowisko / Position ]:[Stanowisko / Position ]],0))="n/a","n/a",CV195-INDEX(tab_MinKomp[Kalibracja / Kalibrierung],MATCH($B195,tab_MinKomp[[Stanowisko / Position ]:[Stanowisko / Position ]],0)))</f>
        <v>n/a</v>
      </c>
      <c r="CW196" s="349" t="str">
        <f>IF(INDEX(tab_MinKomp[Rekwalifikacja / Requalifizierung],MATCH($B195,tab_MinKomp[[Stanowisko / Position ]:[Stanowisko / Position ]],0))="n/a","n/a",CW195-INDEX(tab_MinKomp[Rekwalifikacja / Requalifizierung],MATCH($B195,tab_MinKomp[[Stanowisko / Position ]:[Stanowisko / Position ]],0)))</f>
        <v>n/a</v>
      </c>
      <c r="CX196" s="349" t="str">
        <f>IF(INDEX(tab_MinKomp[Obsługa mikroskopu optycznego / Bedienung eines optischen Mikroskops],MATCH($B195,tab_MinKomp[[Stanowisko / Position ]:[Stanowisko / Position ]],0))="n/a","n/a",CX195-INDEX(tab_MinKomp[Obsługa mikroskopu optycznego / Bedienung eines optischen Mikroskops],MATCH($B195,tab_MinKomp[[Stanowisko / Position ]:[Stanowisko / Position ]],0)))</f>
        <v>n/a</v>
      </c>
      <c r="CY196" s="349" t="str">
        <f>IF(INDEX(tab_MinKomp[Wykonywanie pomiarów optycznych - ocena wizualna / Optische Messungen durchführen – visuelle Beurteilung],MATCH($B195,tab_MinKomp[[Stanowisko / Position ]:[Stanowisko / Position ]],0))="n/a","n/a",CY195-INDEX(tab_MinKomp[Wykonywanie pomiarów optycznych - ocena wizualna / Optische Messungen durchführen – visuelle Beurteilung],MATCH($B195,tab_MinKomp[[Stanowisko / Position ]:[Stanowisko / Position ]],0)))</f>
        <v>n/a</v>
      </c>
      <c r="CZ196" s="349" t="str">
        <f>IF(INDEX(tab_MinKomp[Obsługa Rheometra / Rheometra-Unterstützung],MATCH($B195,tab_MinKomp[[Stanowisko / Position ]:[Stanowisko / Position ]],0))="n/a","n/a",CZ195-INDEX(tab_MinKomp[Obsługa Rheometra / Rheometra-Unterstützung],MATCH($B195,tab_MinKomp[[Stanowisko / Position ]:[Stanowisko / Position ]],0)))</f>
        <v>n/a</v>
      </c>
      <c r="DA196" s="349" t="str">
        <f>IF(INDEX(tab_MinKomp[Testy właściwości Rheometra mieszanki gumy],MATCH($B195,tab_MinKomp[[Stanowisko / Position ]:[Stanowisko / Position ]],0))="n/a","n/a",DA195-INDEX(tab_MinKomp[Testy właściwości Rheometra mieszanki gumy],MATCH($B195,tab_MinKomp[[Stanowisko / Position ]:[Stanowisko / Position ]],0)))</f>
        <v>n/a</v>
      </c>
      <c r="DB196" s="349" t="str">
        <f>IF(INDEX(tab_MinKomp[CMM - Contura Zeiss],MATCH($B195,tab_MinKomp[[Stanowisko / Position ]:[Stanowisko / Position ]],0))="n/a","n/a",DB195-INDEX(tab_MinKomp[CMM - Contura Zeiss],MATCH($B195,tab_MinKomp[[Stanowisko / Position ]:[Stanowisko / Position ]],0)))</f>
        <v>n/a</v>
      </c>
      <c r="DC196" s="349" t="str">
        <f>IF(INDEX(tab_MinKomp[Wykonywanie precyzyjnych pomiarów metrycznych, pomiary 3D],MATCH($B195,tab_MinKomp[[Stanowisko / Position ]:[Stanowisko / Position ]],0))="n/a","n/a",DC195-INDEX(tab_MinKomp[Wykonywanie precyzyjnych pomiarów metrycznych, pomiary 3D],MATCH($B195,tab_MinKomp[[Stanowisko / Position ]:[Stanowisko / Position ]],0)))</f>
        <v>n/a</v>
      </c>
      <c r="DD196" s="349" t="str">
        <f>IF(INDEX(tab_MinKomp[Pisanie programów / Programme schreiben],MATCH($B195,tab_MinKomp[[Stanowisko / Position ]:[Stanowisko / Position ]],0))="n/a","n/a",DD195-INDEX(tab_MinKomp[Pisanie programów / Programme schreiben],MATCH($B195,tab_MinKomp[[Stanowisko / Position ]:[Stanowisko / Position ]],0)))</f>
        <v>n/a</v>
      </c>
      <c r="DE196" s="349" t="str">
        <f>IF(INDEX(tab_MinKomp[Obsługa wyposażenia do testów czystości (myjka + analizator) / Betrieb von Sauberkeitsprüfgeräten (Waschmaschine + Analysegerät)],MATCH($B195,tab_MinKomp[[Stanowisko / Position ]:[Stanowisko / Position ]],0))="n/a","n/a",DE195-INDEX(tab_MinKomp[Obsługa wyposażenia do testów czystości (myjka + analizator) / Betrieb von Sauberkeitsprüfgeräten (Waschmaschine + Analysegerät)],MATCH($B195,tab_MinKomp[[Stanowisko / Position ]:[Stanowisko / Position ]],0)))</f>
        <v>n/a</v>
      </c>
      <c r="DF196" s="349" t="str">
        <f>IF(INDEX(tab_MinKomp[Testy czystości / Reinheitstests],MATCH($B195,tab_MinKomp[[Stanowisko / Position ]:[Stanowisko / Position ]],0))="n/a","n/a",DF195-INDEX(tab_MinKomp[Testy czystości / Reinheitstests],MATCH($B195,tab_MinKomp[[Stanowisko / Position ]:[Stanowisko / Position ]],0)))</f>
        <v>n/a</v>
      </c>
      <c r="DG196" s="349" t="str">
        <f>IF(INDEX(tab_MinKomp[Obsługa wysokościomierza / Unterstützung für Höhenmesser],MATCH($B195,tab_MinKomp[[Stanowisko / Position ]:[Stanowisko / Position ]],0))="n/a","n/a",DG195-INDEX(tab_MinKomp[Obsługa wysokościomierza / Unterstützung für Höhenmesser],MATCH($B195,tab_MinKomp[[Stanowisko / Position ]:[Stanowisko / Position ]],0)))</f>
        <v>n/a</v>
      </c>
      <c r="DH196" s="349" t="str">
        <f>IF(INDEX(tab_MinKomp[Pomiary wysokości materiału / Materialhöhenmessungen],MATCH($B195,tab_MinKomp[[Stanowisko / Position ]:[Stanowisko / Position ]],0))="n/a","n/a",DH195-INDEX(tab_MinKomp[Pomiary wysokości materiału / Materialhöhenmessungen],MATCH($B195,tab_MinKomp[[Stanowisko / Position ]:[Stanowisko / Position ]],0)))</f>
        <v>n/a</v>
      </c>
      <c r="DI196" s="349" t="str">
        <f>IF(INDEX(tab_MinKomp[Obsługa okrągłościomierza / Unterstützung für Rundheitsmessgeräte],MATCH($B195,tab_MinKomp[[Stanowisko / Position ]:[Stanowisko / Position ]],0))="n/a","n/a",DI195-INDEX(tab_MinKomp[Obsługa okrągłościomierza / Unterstützung für Rundheitsmessgeräte],MATCH($B195,tab_MinKomp[[Stanowisko / Position ]:[Stanowisko / Position ]],0)))</f>
        <v>n/a</v>
      </c>
      <c r="DJ196" s="349" t="str">
        <f>IF(INDEX(tab_MinKomp[Wykonywania pomiarów owalności, srednicy materiału / Messung der Ovalität und des Durchmessers des Materials],MATCH($B195,tab_MinKomp[[Stanowisko / Position ]:[Stanowisko / Position ]],0))="n/a","n/a",DJ195-INDEX(tab_MinKomp[Wykonywania pomiarów owalności, srednicy materiału / Messung der Ovalität und des Durchmessers des Materials],MATCH($B195,tab_MinKomp[[Stanowisko / Position ]:[Stanowisko / Position ]],0)))</f>
        <v>n/a</v>
      </c>
      <c r="DK196" s="349" t="str">
        <f>IF(INDEX(tab_MinKomp[Obsługa urządzenia do pomiarów chropowoatości powierzchni materiału],MATCH($B195,tab_MinKomp[[Stanowisko / Position ]:[Stanowisko / Position ]],0))="n/a","n/a",DK195-INDEX(tab_MinKomp[Obsługa urządzenia do pomiarów chropowoatości powierzchni materiału],MATCH($B195,tab_MinKomp[[Stanowisko / Position ]:[Stanowisko / Position ]],0)))</f>
        <v>n/a</v>
      </c>
      <c r="DL196" s="349" t="str">
        <f>IF(INDEX(tab_MinKomp[Wykonywanie pomiarów chropowatości powierzchni materiału / Durchführung von Messungen der Materialoberflächenrauheit],MATCH($B195,tab_MinKomp[[Stanowisko / Position ]:[Stanowisko / Position ]],0))="n/a","n/a",DL195-INDEX(tab_MinKomp[Wykonywanie pomiarów chropowatości powierzchni materiału / Durchführung von Messungen der Materialoberflächenrauheit],MATCH($B195,tab_MinKomp[[Stanowisko / Position ]:[Stanowisko / Position ]],0)))</f>
        <v>n/a</v>
      </c>
      <c r="DM196" s="349" t="str">
        <f>IF(INDEX(tab_MinKomp[Obsługa urządzenia do pomiaru siły radialnej części - postępowanie z trzpieniami. / Funktionsweise des Geräts zur Messung der Radialkraft von Teilen – Handhabungsstifte.],MATCH($B195,tab_MinKomp[[Stanowisko / Position ]:[Stanowisko / Position ]],0))="n/a","n/a",DM195-INDEX(tab_MinKomp[Obsługa urządzenia do pomiaru siły radialnej części - postępowanie z trzpieniami. / Funktionsweise des Geräts zur Messung der Radialkraft von Teilen – Handhabungsstifte.],MATCH($B195,tab_MinKomp[[Stanowisko / Position ]:[Stanowisko / Position ]],0)))</f>
        <v>n/a</v>
      </c>
      <c r="DN196" s="349" t="str">
        <f>IF(INDEX(tab_MinKomp[Wykonywanie pomiarów siły radialnej części / Führen Sie Radialkraftmessungen an Teilen durch],MATCH($B195,tab_MinKomp[[Stanowisko / Position ]:[Stanowisko / Position ]],0))="n/a","n/a",DN195-INDEX(tab_MinKomp[Wykonywanie pomiarów siły radialnej części / Führen Sie Radialkraftmessungen an Teilen durch],MATCH($B195,tab_MinKomp[[Stanowisko / Position ]:[Stanowisko / Position ]],0)))</f>
        <v>n/a</v>
      </c>
      <c r="DO196" s="349" t="str">
        <f>IF(INDEX(tab_MinKomp[Obsługa komory do testów wybuchwych / Betrieb einer Explosionsprüfkammer],MATCH($B195,tab_MinKomp[[Stanowisko / Position ]:[Stanowisko / Position ]],0))="n/a","n/a",DO195-INDEX(tab_MinKomp[Obsługa komory do testów wybuchwych / Betrieb einer Explosionsprüfkammer],MATCH($B195,tab_MinKomp[[Stanowisko / Position ]:[Stanowisko / Position ]],0)))</f>
        <v>n/a</v>
      </c>
      <c r="DP196" s="349" t="str">
        <f>IF(INDEX(tab_MinKomp[Wykonywanie testów wybuchowych części / Durchführung von Explosionstests an Teilen],MATCH($B195,tab_MinKomp[[Stanowisko / Position ]:[Stanowisko / Position ]],0))="n/a","n/a",DP195-INDEX(tab_MinKomp[Wykonywanie testów wybuchowych części / Durchführung von Explosionstests an Teilen],MATCH($B195,tab_MinKomp[[Stanowisko / Position ]:[Stanowisko / Position ]],0)))</f>
        <v>n/a</v>
      </c>
      <c r="DQ196" s="349" t="str">
        <f>IF(INDEX(tab_MinKomp[Obsługa urządzeń do mierzenia siły trzymania i/lub rozciągania / Betrieb von Geräten zur Messung der Halte- und/oder Dehnkraft],MATCH($B195,tab_MinKomp[[Stanowisko / Position ]:[Stanowisko / Position ]],0))="n/a","n/a",DQ195-INDEX(tab_MinKomp[Obsługa urządzeń do mierzenia siły trzymania i/lub rozciągania / Betrieb von Geräten zur Messung der Halte- und/oder Dehnkraft],MATCH($B195,tab_MinKomp[[Stanowisko / Position ]:[Stanowisko / Position ]],0)))</f>
        <v>n/a</v>
      </c>
      <c r="DR196" s="349" t="str">
        <f>IF(INDEX(tab_MinKomp[Wykonywanie testów mierzenia siły trzymania i/lub rozciągania / Durchführung von Tests zur Messung der Halte- und/oder Streckkraft],MATCH($B195,tab_MinKomp[[Stanowisko / Position ]:[Stanowisko / Position ]],0))="n/a","n/a",DR195-INDEX(tab_MinKomp[Wykonywanie testów mierzenia siły trzymania i/lub rozciągania / Durchführung von Tests zur Messung der Halte- und/oder Streckkraft],MATCH($B195,tab_MinKomp[[Stanowisko / Position ]:[Stanowisko / Position ]],0)))</f>
        <v>n/a</v>
      </c>
      <c r="DS196" s="349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Luftstrom)],MATCH($B195,tab_MinKomp[[Stanowisko / Position ]:[Stanowisko / Position ]],0))="n/a","n/a",DS195-INDEX(tab_MinKomp[Obsługa multimetru do pomiarów środowiskowych (temperatura, wilgotność, hałas, oświetlenie, przepływ powietrza) / Betrieb eines Multimeters für Umweltmessungen (Temperatur, Luftfeuchtigkeit, Lärm, Beleuchtung, Luftstrom)],MATCH($B195,tab_MinKomp[[Stanowisko / Position ]:[Stanowisko / Position ]],0)))</f>
        <v>n/a</v>
      </c>
      <c r="DT196" s="349" t="str">
        <f>IF(INDEX(tab_MinKomp[Kontrola warunków środowiskowych pracy (temperatura, wilgotność, hałas, oświetlenie, przepływ powietrza) / Kontrolle der Arbeitsumgebungsbedingungen (Temperatur, Luftfeuchtigkeit, Lärm, Beleuchtung, Luftstrom)],MATCH($B195,tab_MinKomp[[Stanowisko / Position ]:[Stanowisko / Position ]],0))="n/a","n/a",DT195-INDEX(tab_MinKomp[Kontrola warunków środowiskowych pracy (temperatura, wilgotność, hałas, oświetlenie, przepływ powietrza) / Kontrolle der Arbeitsumgebungsbedingungen (Temperatur, Luftfeuchtigkeit, Lärm, Beleuchtung, Luftstrom)],MATCH($B195,tab_MinKomp[[Stanowisko / Position ]:[Stanowisko / Position ]],0)))</f>
        <v>n/a</v>
      </c>
      <c r="DU196" s="349" t="str">
        <f>IF(INDEX(tab_MinKomp[MSA i SPC],MATCH($B195,tab_MinKomp[[Stanowisko / Position ]:[Stanowisko / Position ]],0))="n/a","n/a",DU195-INDEX(tab_MinKomp[MSA i SPC],MATCH($B195,tab_MinKomp[[Stanowisko / Position ]:[Stanowisko / Position ]],0)))</f>
        <v>n/a</v>
      </c>
      <c r="DV196" s="349" t="str">
        <f>IF(INDEX(tab_MinKomp[Kontrola wejściowa komponentów/ Eingangskontrolle],MATCH($B195,tab_MinKomp[[Stanowisko / Position ]:[Stanowisko / Position ]],0))="n/a","n/a",DV195-INDEX(tab_MinKomp[Kontrola wejściowa komponentów/ Eingangskontrolle],MATCH($B195,tab_MinKomp[[Stanowisko / Position ]:[Stanowisko / Position ]],0)))</f>
        <v>n/a</v>
      </c>
      <c r="DW196" s="349" t="str">
        <f>IF(INDEX(tab_MinKomp[Kontrola wyjściowa produktu / Ausgangskontrolle],MATCH($B195,tab_MinKomp[[Stanowisko / Position ]:[Stanowisko / Position ]],0))="n/a","n/a",DW195-INDEX(tab_MinKomp[Kontrola wyjściowa produktu / Ausgangskontrolle],MATCH($B195,tab_MinKomp[[Stanowisko / Position ]:[Stanowisko / Position ]],0)))</f>
        <v>n/a</v>
      </c>
      <c r="DX196" s="349" t="str">
        <f>IF(INDEX(tab_MinKomp[Kontrola codzienna produkcji / Tägliche Produktionskontrolle],MATCH($B195,tab_MinKomp[[Stanowisko / Position ]:[Stanowisko / Position ]],0))="n/a","n/a",DX195-INDEX(tab_MinKomp[Kontrola codzienna produkcji / Tägliche Produktionskontrolle],MATCH($B195,tab_MinKomp[[Stanowisko / Position ]:[Stanowisko / Position ]],0)))</f>
        <v>n/a</v>
      </c>
      <c r="DY196" s="349">
        <f>IF(INDEX(tab_MinKomp[Konserwacja Rep],MATCH($B195,tab_MinKomp[[Stanowisko / Position ]:[Stanowisko / Position ]],0))="n/a","n/a",DY195-INDEX(tab_MinKomp[Konserwacja Rep],MATCH($B195,tab_MinKomp[[Stanowisko / Position ]:[Stanowisko / Position ]],0)))</f>
        <v>-1</v>
      </c>
      <c r="DZ196" s="349">
        <f>IF(INDEX(tab_MinKomp[[Konserwacja Engel ]],MATCH($B195,tab_MinKomp[[Stanowisko / Position ]:[Stanowisko / Position ]],0))="n/a","n/a",DZ195-INDEX(tab_MinKomp[[Konserwacja Engel ]],MATCH($B195,tab_MinKomp[[Stanowisko / Position ]:[Stanowisko / Position ]],0)))</f>
        <v>-1</v>
      </c>
      <c r="EA196" s="349">
        <f>IF(INDEX(tab_MinKomp[Konserwacja B 50],MATCH($B195,tab_MinKomp[[Stanowisko / Position ]:[Stanowisko / Position ]],0))="n/a","n/a",EA195-INDEX(tab_MinKomp[Konserwacja B 50],MATCH($B195,tab_MinKomp[[Stanowisko / Position ]:[Stanowisko / Position ]],0)))</f>
        <v>-1</v>
      </c>
      <c r="EB196" s="349">
        <f>IF(INDEX(tab_MinKomp[[Konserwacja EOL ]],MATCH($B195,tab_MinKomp[[Stanowisko / Position ]:[Stanowisko / Position ]],0))="n/a","n/a",EB195-INDEX(tab_MinKomp[[Konserwacja EOL ]],MATCH($B195,tab_MinKomp[[Stanowisko / Position ]:[Stanowisko / Position ]],0)))</f>
        <v>-2</v>
      </c>
      <c r="EC196" s="349">
        <f>IF(INDEX(tab_MinKomp[Konserwacja Branson],MATCH($B195,tab_MinKomp[[Stanowisko / Position ]:[Stanowisko / Position ]],0))="n/a","n/a",EC195-INDEX(tab_MinKomp[Konserwacja Branson],MATCH($B195,tab_MinKomp[[Stanowisko / Position ]:[Stanowisko / Position ]],0)))</f>
        <v>-2</v>
      </c>
      <c r="ED196" s="349">
        <f>IF(INDEX(tab_MinKomp[Konserwacja coolery],MATCH($B195,tab_MinKomp[[Stanowisko / Position ]:[Stanowisko / Position ]],0))="n/a","n/a",ED195-INDEX(tab_MinKomp[Konserwacja coolery],MATCH($B195,tab_MinKomp[[Stanowisko / Position ]:[Stanowisko / Position ]],0)))</f>
        <v>0</v>
      </c>
      <c r="EE196" s="349">
        <f>IF(INDEX(tab_MinKomp[Konserwacja piecy],MATCH($B195,tab_MinKomp[[Stanowisko / Position ]:[Stanowisko / Position ]],0))="n/a","n/a",EE195-INDEX(tab_MinKomp[Konserwacja piecy],MATCH($B195,tab_MinKomp[[Stanowisko / Position ]:[Stanowisko / Position ]],0)))</f>
        <v>-1</v>
      </c>
      <c r="EF196" s="349">
        <f>IF(INDEX(tab_MinKomp[Rysunek techniczny- czytanie],MATCH($B195,tab_MinKomp[[Stanowisko / Position ]:[Stanowisko / Position ]],0))="n/a","n/a",EF195-INDEX(tab_MinKomp[Rysunek techniczny- czytanie],MATCH($B195,tab_MinKomp[[Stanowisko / Position ]:[Stanowisko / Position ]],0)))</f>
        <v>-2</v>
      </c>
      <c r="EG196" s="349">
        <f>IF(INDEX(tab_MinKomp[Elektryka],MATCH($B195,tab_MinKomp[[Stanowisko / Position ]:[Stanowisko / Position ]],0))="n/a","n/a",EG195-INDEX(tab_MinKomp[Elektryka],MATCH($B195,tab_MinKomp[[Stanowisko / Position ]:[Stanowisko / Position ]],0)))</f>
        <v>-1</v>
      </c>
      <c r="EH196" s="349">
        <f>IF(INDEX(tab_MinKomp[Pneumatyka],MATCH($B195,tab_MinKomp[[Stanowisko / Position ]:[Stanowisko / Position ]],0))="n/a","n/a",EH195-INDEX(tab_MinKomp[Pneumatyka],MATCH($B195,tab_MinKomp[[Stanowisko / Position ]:[Stanowisko / Position ]],0)))</f>
        <v>-1</v>
      </c>
      <c r="EI196" s="349">
        <f>IF(INDEX(tab_MinKomp[[Hydraulika ]],MATCH($B195,tab_MinKomp[[Stanowisko / Position ]:[Stanowisko / Position ]],0))="n/a","n/a",EI195-INDEX(tab_MinKomp[[Hydraulika ]],MATCH($B195,tab_MinKomp[[Stanowisko / Position ]:[Stanowisko / Position ]],0)))</f>
        <v>-2</v>
      </c>
      <c r="EJ196" s="349">
        <f>IF(INDEX(tab_MinKomp[Podciśnienie],MATCH($B195,tab_MinKomp[[Stanowisko / Position ]:[Stanowisko / Position ]],0))="n/a","n/a",EJ195-INDEX(tab_MinKomp[Podciśnienie],MATCH($B195,tab_MinKomp[[Stanowisko / Position ]:[Stanowisko / Position ]],0)))</f>
        <v>-1</v>
      </c>
      <c r="EK196" s="349">
        <f>IF(INDEX(tab_MinKomp[Usuwanie awarii],MATCH($B195,tab_MinKomp[[Stanowisko / Position ]:[Stanowisko / Position ]],0))="n/a","n/a",EK195-INDEX(tab_MinKomp[Usuwanie awarii],MATCH($B195,tab_MinKomp[[Stanowisko / Position ]:[Stanowisko / Position ]],0)))</f>
        <v>-2</v>
      </c>
      <c r="EL196" s="349">
        <f>IF(INDEX(tab_MinKomp[Obsługa robotów],MATCH($B195,tab_MinKomp[[Stanowisko / Position ]:[Stanowisko / Position ]],0))="n/a","n/a",EL195-INDEX(tab_MinKomp[Obsługa robotów],MATCH($B195,tab_MinKomp[[Stanowisko / Position ]:[Stanowisko / Position ]],0)))</f>
        <v>-1</v>
      </c>
      <c r="EM196" s="349">
        <f>IF(INDEX(tab_MinKomp[Obsługa sterowania maszyny],MATCH($B195,tab_MinKomp[[Stanowisko / Position ]:[Stanowisko / Position ]],0))="n/a","n/a",EM195-INDEX(tab_MinKomp[Obsługa sterowania maszyny],MATCH($B195,tab_MinKomp[[Stanowisko / Position ]:[Stanowisko / Position ]],0)))</f>
        <v>-2</v>
      </c>
      <c r="EN196" s="349">
        <f>IF(INDEX(tab_MinKomp[Usuwanie przyczyn żródłowych],MATCH($B195,tab_MinKomp[[Stanowisko / Position ]:[Stanowisko / Position ]],0))="n/a","n/a",EN195-INDEX(tab_MinKomp[Usuwanie przyczyn żródłowych],MATCH($B195,tab_MinKomp[[Stanowisko / Position ]:[Stanowisko / Position ]],0)))</f>
        <v>-2</v>
      </c>
      <c r="EO196" s="349">
        <f>IF(INDEX(tab_MinKomp[Cmms stosowanie],MATCH($B195,tab_MinKomp[[Stanowisko / Position ]:[Stanowisko / Position ]],0))="n/a","n/a",EO195-INDEX(tab_MinKomp[Cmms stosowanie],MATCH($B195,tab_MinKomp[[Stanowisko / Position ]:[Stanowisko / Position ]],0)))</f>
        <v>0</v>
      </c>
      <c r="EP196" s="343" t="str">
        <f>IF(INDEX(tab_MinKomp[[Czyszczenie form gumowych ]],MATCH($B195,tab_MinKomp[[Stanowisko / Position ]:[Stanowisko / Position ]],0))="n/a","n/a",EP195-INDEX(tab_MinKomp[[Czyszczenie form gumowych ]],MATCH($B195,tab_MinKomp[[Stanowisko / Position ]:[Stanowisko / Position ]],0)))</f>
        <v>n/a</v>
      </c>
      <c r="EQ196" s="343" t="str">
        <f>IF(INDEX(tab_MinKomp[Czyszczenie form plastikowych],MATCH($B195,tab_MinKomp[[Stanowisko / Position ]:[Stanowisko / Position ]],0))="n/a","n/a",EQ195-INDEX(tab_MinKomp[Czyszczenie form plastikowych],MATCH($B195,tab_MinKomp[[Stanowisko / Position ]:[Stanowisko / Position ]],0)))</f>
        <v>n/a</v>
      </c>
      <c r="ER196" s="343" t="str">
        <f>IF(INDEX(tab_MinKomp[Wymiana form plastik],MATCH($B195,tab_MinKomp[[Stanowisko / Position ]:[Stanowisko / Position ]],0))="n/a","n/a",ER195-INDEX(tab_MinKomp[Wymiana form plastik],MATCH($B195,tab_MinKomp[[Stanowisko / Position ]:[Stanowisko / Position ]],0)))</f>
        <v>n/a</v>
      </c>
      <c r="ES196" s="343" t="str">
        <f>IF(INDEX(tab_MinKomp[Wymiana form guma],MATCH($B195,tab_MinKomp[[Stanowisko / Position ]:[Stanowisko / Position ]],0))="n/a","n/a",ES195-INDEX(tab_MinKomp[Wymiana form guma],MATCH($B195,tab_MinKomp[[Stanowisko / Position ]:[Stanowisko / Position ]],0)))</f>
        <v>n/a</v>
      </c>
      <c r="ET196" s="343" t="str">
        <f>IF(INDEX(tab_MinKomp[Konserwacja KK],MATCH($B195,tab_MinKomp[[Stanowisko / Position ]:[Stanowisko / Position ]],0))="n/a","n/a",ET195-INDEX(tab_MinKomp[Konserwacja KK],MATCH($B195,tab_MinKomp[[Stanowisko / Position ]:[Stanowisko / Position ]],0)))</f>
        <v>n/a</v>
      </c>
      <c r="EU196" s="343" t="str">
        <f>IF(INDEX(tab_MinKomp[Konserwacja form guma],MATCH($B195,tab_MinKomp[[Stanowisko / Position ]:[Stanowisko / Position ]],0))="n/a","n/a",EU195-INDEX(tab_MinKomp[Konserwacja form guma],MATCH($B195,tab_MinKomp[[Stanowisko / Position ]:[Stanowisko / Position ]],0)))</f>
        <v>n/a</v>
      </c>
      <c r="EV196" s="343" t="str">
        <f>IF(INDEX(tab_MinKomp[Konserwacja form plastiki],MATCH($B195,tab_MinKomp[[Stanowisko / Position ]:[Stanowisko / Position ]],0))="n/a","n/a",EV195-INDEX(tab_MinKomp[Konserwacja form plastiki],MATCH($B195,tab_MinKomp[[Stanowisko / Position ]:[Stanowisko / Position ]],0)))</f>
        <v>n/a</v>
      </c>
      <c r="EW196" s="330" t="str">
        <f>IF(INDEX(tab_MinKomp[Konserwacja form plastiki],MATCH($B195,tab_MinKomp[[Stanowisko / Position ]:[Stanowisko / Position ]],0))="n/a","n/a",EW195-INDEX(tab_MinKomp[Konserwacja form plastiki],MATCH($B195,tab_MinKomp[[Stanowisko / Position ]:[Stanowisko / Position ]],0)))</f>
        <v>n/a</v>
      </c>
      <c r="EX196" s="343" t="str">
        <f>IF(INDEX(tab_MinKomp[Konserwacja Gorącego Kanału],MATCH($B195,tab_MinKomp[[Stanowisko / Position ]:[Stanowisko / Position ]],0))="n/a","n/a",EX195-INDEX(tab_MinKomp[Konserwacja Gorącego Kanału],MATCH($B195,tab_MinKomp[[Stanowisko / Position ]:[Stanowisko / Position ]],0)))</f>
        <v>n/a</v>
      </c>
      <c r="EY196" s="349" t="str">
        <f>IF(INDEX(tab_MinKomp[MS Office (Excel)],MATCH($B195,tab_MinKomp[[Stanowisko / Position ]:[Stanowisko / Position ]],0))="n/a","n/a",EY195-INDEX(tab_MinKomp[MS Office (Excel)],MATCH($B195,tab_MinKomp[[Stanowisko / Position ]:[Stanowisko / Position ]],0)))</f>
        <v>n/a</v>
      </c>
      <c r="EZ196" s="349" t="str">
        <f>IF(INDEX(tab_MinKomp[MS Office (Word)],MATCH($B195,tab_MinKomp[[Stanowisko / Position ]:[Stanowisko / Position ]],0))="n/a","n/a",EZ195-INDEX(tab_MinKomp[MS Office (Word)],MATCH($B195,tab_MinKomp[[Stanowisko / Position ]:[Stanowisko / Position ]],0)))</f>
        <v>n/a</v>
      </c>
      <c r="FA196" s="349" t="str">
        <f>IF(INDEX(tab_MinKomp[MS Office (Power Point)],MATCH($B195,tab_MinKomp[[Stanowisko / Position ]:[Stanowisko / Position ]],0))="n/a","n/a",FA195-INDEX(tab_MinKomp[MS Office (Power Point)],MATCH($B195,tab_MinKomp[[Stanowisko / Position ]:[Stanowisko / Position ]],0)))</f>
        <v>n/a</v>
      </c>
      <c r="FB196" s="349" t="str">
        <f>IF(INDEX(tab_MinKomp[Język angielski / Englisch],MATCH($B195,tab_MinKomp[[Stanowisko / Position ]:[Stanowisko / Position ]],0))="n/a","n/a",FB195-INDEX(tab_MinKomp[Język angielski / Englisch],MATCH($B195,tab_MinKomp[[Stanowisko / Position ]:[Stanowisko / Position ]],0)))</f>
        <v>n/a</v>
      </c>
      <c r="FC196" s="349" t="str">
        <f>IF(INDEX(tab_MinKomp[Język niemiecki / Deutsch],MATCH($B195,tab_MinKomp[[Stanowisko / Position ]:[Stanowisko / Position ]],0))="n/a","n/a",FC195-INDEX(tab_MinKomp[Język niemiecki / Deutsch],MATCH($B195,tab_MinKomp[[Stanowisko / Position ]:[Stanowisko / Position ]],0)))</f>
        <v>n/a</v>
      </c>
      <c r="FD196" s="349">
        <f>IF(INDEX(tab_MinKomp[Zarządzanie dokumentacją procesową / Process dokumentation management],MATCH($B195,tab_MinKomp[[Stanowisko / Position ]:[Stanowisko / Position ]],0))="n/a","n/a",FD195-INDEX(tab_MinKomp[Zarządzanie dokumentacją procesową / Process dokumentation management],MATCH($B195,tab_MinKomp[[Stanowisko / Position ]:[Stanowisko / Position ]],0)))</f>
        <v>0</v>
      </c>
      <c r="FE196" s="349">
        <f>IF(INDEX(tab_MinKomp[Znajomość procesów z obszaru / Kenntiss der prozesse in dem Bereich],MATCH($B195,tab_MinKomp[[Stanowisko / Position ]:[Stanowisko / Position ]],0))="n/a","n/a",FE195-INDEX(tab_MinKomp[Znajomość procesów z obszaru / Kenntiss der prozesse in dem Bereich],MATCH($B195,tab_MinKomp[[Stanowisko / Position ]:[Stanowisko / Position ]],0)))</f>
        <v>-1</v>
      </c>
      <c r="FF196" s="349">
        <f>IF(INDEX(tab_MinKomp[optymalizacja procesów / Prozessoptymalisierung],MATCH($B195,tab_MinKomp[[Stanowisko / Position ]:[Stanowisko / Position ]],0))="n/a","n/a",FF195-INDEX(tab_MinKomp[optymalizacja procesów / Prozessoptymalisierung],MATCH($B195,tab_MinKomp[[Stanowisko / Position ]:[Stanowisko / Position ]],0)))</f>
        <v>-1</v>
      </c>
      <c r="FG196" s="349">
        <f>IF(INDEX(tab_MinKomp[Umiejętności szkoleniowe / Trainingsfähigkeiten],MATCH($B195,tab_MinKomp[[Stanowisko / Position ]:[Stanowisko / Position ]],0))="n/a","n/a",FG195-INDEX(tab_MinKomp[Umiejętności szkoleniowe / Trainingsfähigkeiten],MATCH($B195,tab_MinKomp[[Stanowisko / Position ]:[Stanowisko / Position ]],0)))</f>
        <v>-1</v>
      </c>
      <c r="FH196" s="349">
        <f>IF(INDEX(tab_MinKomp[Analityczne myślenie, podejście / Analitysches Denken, Einstellung],MATCH($B195,tab_MinKomp[[Stanowisko / Position ]:[Stanowisko / Position ]],0))="n/a","n/a",FH195-INDEX(tab_MinKomp[Analityczne myślenie, podejście / Analitysches Denken, Einstellung],MATCH($B195,tab_MinKomp[[Stanowisko / Position ]:[Stanowisko / Position ]],0)))</f>
        <v>-1</v>
      </c>
      <c r="FI196" s="349">
        <f>IF(INDEX(tab_MinKomp[Dokładność, precyzja w dzialaniu / Genauigkeit, Präzision in die Arbeit],MATCH($B195,tab_MinKomp[[Stanowisko / Position ]:[Stanowisko / Position ]],0))="n/a","n/a",FI195-INDEX(tab_MinKomp[Dokładność, precyzja w dzialaniu / Genauigkeit, Präzision in die Arbeit],MATCH($B195,tab_MinKomp[[Stanowisko / Position ]:[Stanowisko / Position ]],0)))</f>
        <v>-1</v>
      </c>
      <c r="FJ196" s="349">
        <f>IF(INDEX(tab_MinKomp[Dyspozycyjność / Verfügbarkeit],MATCH($B195,tab_MinKomp[[Stanowisko / Position ]:[Stanowisko / Position ]],0))="n/a","n/a",FJ195-INDEX(tab_MinKomp[Dyspozycyjność / Verfügbarkeit],MATCH($B195,tab_MinKomp[[Stanowisko / Position ]:[Stanowisko / Position ]],0)))</f>
        <v>-1</v>
      </c>
      <c r="FK196" s="349">
        <f>IF(INDEX(tab_MinKomp[Zaangażowanie / 
Engagement],MATCH($B195,tab_MinKomp[[Stanowisko / Position ]:[Stanowisko / Position ]],0))="n/a","n/a",FK195-INDEX(tab_MinKomp[Zaangażowanie / 
Engagement],MATCH($B195,tab_MinKomp[[Stanowisko / Position ]:[Stanowisko / Position ]],0)))</f>
        <v>0</v>
      </c>
      <c r="FL196" s="349" t="str">
        <f>IF(INDEX(tab_MinKomp[Planowanie strategiczne / Strategische Planung],MATCH($B195,tab_MinKomp[[Stanowisko / Position ]:[Stanowisko / Position ]],0))="n/a","n/a",FL195-INDEX(tab_MinKomp[Planowanie strategiczne / Strategische Planung],MATCH($B195,tab_MinKomp[[Stanowisko / Position ]:[Stanowisko / Position ]],0)))</f>
        <v>n/a</v>
      </c>
      <c r="FM196" s="349">
        <f>IF(INDEX(tab_MinKomp[Konsekwentne i dynamiczne działanie],MATCH($B195,tab_MinKomp[[Stanowisko / Position ]:[Stanowisko / Position ]],0))="n/a","n/a",FM195-INDEX(tab_MinKomp[Konsekwentne i dynamiczne działanie],MATCH($B195,tab_MinKomp[[Stanowisko / Position ]:[Stanowisko / Position ]],0)))</f>
        <v>0</v>
      </c>
      <c r="FN196" s="349" t="str">
        <f>IF(INDEX(tab_MinKomp[Elastyczność w działaniu],MATCH($B195,tab_MinKomp[[Stanowisko / Position ]:[Stanowisko / Position ]],0))="n/a","n/a",FN195-INDEX(tab_MinKomp[Elastyczność w działaniu],MATCH($B195,tab_MinKomp[[Stanowisko / Position ]:[Stanowisko / Position ]],0)))</f>
        <v>n/a</v>
      </c>
      <c r="FO196" s="349" t="str">
        <f>IF(INDEX(tab_MinKomp[Komunikatywność],MATCH($B195,tab_MinKomp[[Stanowisko / Position ]:[Stanowisko / Position ]],0))="n/a","n/a",FO195-INDEX(tab_MinKomp[Komunikatywność],MATCH($B195,tab_MinKomp[[Stanowisko / Position ]:[Stanowisko / Position ]],0)))</f>
        <v>n/a</v>
      </c>
      <c r="FP196" s="349" t="str">
        <f>IF(INDEX(tab_MinKomp[Motywowanie i budowanie zaangażowania zespołu],MATCH($B195,tab_MinKomp[[Stanowisko / Position ]:[Stanowisko / Position ]],0))="n/a","n/a",FP195-INDEX(tab_MinKomp[Motywowanie i budowanie zaangażowania zespołu],MATCH($B195,tab_MinKomp[[Stanowisko / Position ]:[Stanowisko / Position ]],0)))</f>
        <v>n/a</v>
      </c>
      <c r="FQ196" s="388" t="str">
        <f>IFERROR(IF(INDEX(tab_MinKomp[BRAK / Keine],MATCH($B195,tab_MinKomp[[Stanowisko / Position ]:[Stanowisko / Position ]],0))="n/a","n/a",INDEX(tab_MinKomp[BRAK / Keine],MATCH($B195,tab_MinKomp[[Stanowisko / Position ]:[Stanowisko / Position ]],0))-FQ195),"")</f>
        <v>n/a</v>
      </c>
      <c r="FR196" s="349" t="str">
        <f>IF(INDEX(tab_MinKomp[MINIMUM 1 ROK / min. 1 Jahr],MATCH($B195,tab_MinKomp[[Stanowisko / Position ]:[Stanowisko / Position ]],0))="n/a","n/a",INDEX(tab_MinKomp[MINIMUM 1 ROK / min. 1 Jahr],MATCH($B195,tab_MinKomp[[Stanowisko / Position ]:[Stanowisko / Position ]],0)))</f>
        <v>n/a</v>
      </c>
      <c r="FS196" s="349" t="str">
        <f>IF(INDEX(tab_MinKomp[MINIMUM 2 LATA / min. 2 Jahre],MATCH($B195,tab_MinKomp[[Stanowisko / Position ]:[Stanowisko / Position ]],0))="n/a","n/a",INDEX(tab_MinKomp[MINIMUM 2 LATA / min. 2 Jahre],MATCH($B195,tab_MinKomp[[Stanowisko / Position ]:[Stanowisko / Position ]],0)))</f>
        <v>n/a</v>
      </c>
      <c r="FT196" s="349" t="str">
        <f>IF(INDEX(tab_MinKomp[MINIMUM 3 LATA / min. 3 Jahre],MATCH($B195,tab_MinKomp[[Stanowisko / Position ]:[Stanowisko / Position ]],0))="n/a","n/a",INDEX(tab_MinKomp[MINIMUM 3 LATA / min. 3 Jahre],MATCH($B195,tab_MinKomp[[Stanowisko / Position ]:[Stanowisko / Position ]],0)))</f>
        <v>n/a</v>
      </c>
      <c r="FU196" s="349" t="str">
        <f>IF(INDEX(tab_MinKomp[MINIMUM 4 LATA / min. 4 Jahre],MATCH($B195,tab_MinKomp[[Stanowisko / Position ]:[Stanowisko / Position ]],0))="n/a","n/a",INDEX(tab_MinKomp[MINIMUM 4 LATA / min. 4 Jahre],MATCH($B195,tab_MinKomp[[Stanowisko / Position ]:[Stanowisko / Position ]],0)))</f>
        <v>n/a</v>
      </c>
      <c r="FV196" s="389" t="str">
        <f>IF(INDEX(tab_MinKomp[MINIMUM 5 LAT / min. 5 Jahre],MATCH($B195,tab_MinKomp[[Stanowisko / Position ]:[Stanowisko / Position ]],0))="n/a","n/a",INDEX(tab_MinKomp[MINIMUM 5 LAT / min. 5 Jahre],MATCH($B195,tab_MinKomp[[Stanowisko / Position ]:[Stanowisko / Position ]],0)))</f>
        <v>n/a</v>
      </c>
      <c r="FW196" s="388" t="str">
        <f>IF(INDEX(tab_MinKomp[BRAK / Keine9],MATCH($B195,tab_MinKomp[[Stanowisko / Position ]:[Stanowisko / Position ]],0))="n/a","n/a",INDEX(tab_MinKomp[BRAK / Keine9],MATCH($B195,tab_MinKomp[[Stanowisko / Position ]:[Stanowisko / Position ]],0)))</f>
        <v>n/a</v>
      </c>
      <c r="FX196" s="349" t="str">
        <f>IF(INDEX(tab_MinKomp[ZAWODOWE / Berufsausbildung],MATCH($B195,tab_MinKomp[[Stanowisko / Position ]:[Stanowisko / Position ]],0))="n/a","n/a",INDEX(tab_MinKomp[ZAWODOWE / Berufsausbildung],MATCH($B195,tab_MinKomp[[Stanowisko / Position ]:[Stanowisko / Position ]],0)))</f>
        <v>n/a</v>
      </c>
      <c r="FY196" s="349" t="s">
        <v>387</v>
      </c>
      <c r="FZ196" s="349" t="str">
        <f>IF(INDEX(tab_MinKomp[ŚREDNIE KIERUNKOWE / berufliches Gymnasium],MATCH($B195,tab_MinKomp[[Stanowisko / Position ]:[Stanowisko / Position ]],0))="n/a","n/a",INDEX(tab_MinKomp[ŚREDNIE KIERUNKOWE / berufliches Gymnasium],MATCH($B195,tab_MinKomp[[Stanowisko / Position ]:[Stanowisko / Position ]],0)))</f>
        <v>n/a</v>
      </c>
      <c r="GA196" s="349" t="str">
        <f>IF(INDEX(tab_MinKomp[WYŻSZE OGÓLNE / Hochschule allgemeine],MATCH($B195,tab_MinKomp[[Stanowisko / Position ]:[Stanowisko / Position ]],0))="n/a","n/a",INDEX(tab_MinKomp[WYŻSZE OGÓLNE / Hochschule allgemeine],MATCH($B195,tab_MinKomp[[Stanowisko / Position ]:[Stanowisko / Position ]],0)))</f>
        <v>n/a</v>
      </c>
      <c r="GB196" s="389" t="str">
        <f>IF(INDEX(tab_MinKomp[WYŻSZE KIERUNKOWE / Hochschule berufliche],MATCH($B195,tab_MinKomp[[Stanowisko / Position ]:[Stanowisko / Position ]],0))="n/a","n/a",INDEX(tab_MinKomp[WYŻSZE KIERUNKOWE / Hochschule berufliche],MATCH($B195,tab_MinKomp[[Stanowisko / Position ]:[Stanowisko / Position ]],0)))</f>
        <v>n/a</v>
      </c>
      <c r="GC196" s="388" t="str">
        <f>IF(INDEX(tab_MinKomp[PIERWSZA POMOC / Erste Hilfe],MATCH($B195,tab_MinKomp[[Stanowisko / Position ]:[Stanowisko / Position ]],0))="n/a","n/a",INDEX(tab_MinKomp[PIERWSZA POMOC / Erste Hilfe],MATCH($B195,tab_MinKomp[[Stanowisko / Position ]:[Stanowisko / Position ]],0)))</f>
        <v>n/a</v>
      </c>
      <c r="GD196" s="349" t="str">
        <f>IF(INDEX(tab_MinKomp[Specjalista BHP / BHP Spezialist],MATCH($B195,tab_MinKomp[[Stanowisko / Position ]:[Stanowisko / Position ]],0))="n/a","n/a",INDEX(tab_MinKomp[Specjalista BHP / BHP Spezialist],MATCH($B195,tab_MinKomp[[Stanowisko / Position ]:[Stanowisko / Position ]],0)))</f>
        <v>n/a</v>
      </c>
      <c r="GE196" s="349" t="str">
        <f>IF(INDEX(tab_MinKomp[Specjalista BHP / BHP Spezialist],MATCH($B195,tab_MinKomp[[Stanowisko / Position ]:[Stanowisko / Position ]],0))="n/a","n/a",INDEX(tab_MinKomp[Specjalista BHP / BHP Spezialist],MATCH($B195,tab_MinKomp[[Stanowisko / Position ]:[Stanowisko / Position ]],0)))</f>
        <v>n/a</v>
      </c>
      <c r="GF196" s="349" t="str">
        <f>IF(INDEX(tab_MinKomp[WÓZKI JEZDNIOWE / Gebelstapler],MATCH($B195,tab_MinKomp[[Stanowisko / Position ]:[Stanowisko / Position ]],0))="n/a","n/a",INDEX(tab_MinKomp[WÓZKI JEZDNIOWE / Gebelstapler],MATCH($B195,tab_MinKomp[[Stanowisko / Position ]:[Stanowisko / Position ]],0)))</f>
        <v>x</v>
      </c>
      <c r="GG196" s="349" t="str">
        <f>IF(INDEX(tab_MinKomp[SEP],MATCH($B195,tab_MinKomp[[Stanowisko / Position ]:[Stanowisko / Position ]],0))="n/a","n/a",INDEX(tab_MinKomp[SEP],MATCH($B195,tab_MinKomp[[Stanowisko / Position ]:[Stanowisko / Position ]],0)))</f>
        <v>X</v>
      </c>
      <c r="GH196" s="349" t="str">
        <f>IF(INDEX(tab_MinKomp[SEP  DOZÓR / SEP Aufsicht],MATCH($B195,tab_MinKomp[[Stanowisko / Position ]:[Stanowisko / Position ]],0))="n/a","n/a",INDEX(tab_MinKomp[SEP  DOZÓR / SEP Aufsicht],MATCH($B195,tab_MinKomp[[Stanowisko / Position ]:[Stanowisko / Position ]],0)))</f>
        <v>x</v>
      </c>
      <c r="GI196" s="349" t="str">
        <f>IF(INDEX(tab_MinKomp[PODNOŚNIKI / Hebevorrichtung],MATCH($B195,tab_MinKomp[[Stanowisko / Position ]:[Stanowisko / Position ]],0))="n/a","n/a",INDEX(tab_MinKomp[PODNOŚNIKI / Hebevorrichtung],MATCH($B195,tab_MinKomp[[Stanowisko / Position ]:[Stanowisko / Position ]],0)))</f>
        <v>X</v>
      </c>
      <c r="GJ196" s="349" t="str">
        <f>IF(INDEX(tab_MinKomp[SUWNICE / Laufkran],MATCH($B195,tab_MinKomp[[Stanowisko / Position ]:[Stanowisko / Position ]],0))="n/a","n/a",INDEX(tab_MinKomp[SUWNICE / Laufkran],MATCH($B195,tab_MinKomp[[Stanowisko / Position ]:[Stanowisko / Position ]],0)))</f>
        <v>x</v>
      </c>
      <c r="GK196" s="389" t="str">
        <f>IF(INDEX(tab_MinKomp[WYSOKOŚCIOWE / Höhenberechtigungen],MATCH($B195,tab_MinKomp[[Stanowisko / Position ]:[Stanowisko / Position ]],0))="n/a","n/a",INDEX(tab_MinKomp[WYSOKOŚCIOWE / Höhenberechtigungen],MATCH($B195,tab_MinKomp[[Stanowisko / Position ]:[Stanowisko / Position ]],0)))</f>
        <v>x</v>
      </c>
      <c r="GL196" s="320">
        <f>SUM(G196:FP196)/(GL195-(SUM(G196:FP196)))</f>
        <v>-0.47058823529411764</v>
      </c>
      <c r="GM196" s="132"/>
    </row>
    <row r="197" spans="1:195" s="133" customFormat="1" ht="28.35" customHeight="1" x14ac:dyDescent="0.25">
      <c r="A197" s="135" t="s">
        <v>161</v>
      </c>
      <c r="B197" s="135" t="s">
        <v>212</v>
      </c>
      <c r="C197" s="135" t="s">
        <v>657</v>
      </c>
      <c r="D197" s="135">
        <v>1119</v>
      </c>
      <c r="E197" s="565" t="s">
        <v>649</v>
      </c>
      <c r="F197" s="307" t="s">
        <v>165</v>
      </c>
      <c r="G197" s="308">
        <v>2</v>
      </c>
      <c r="H197" s="308">
        <v>2</v>
      </c>
      <c r="I197" s="308">
        <v>2</v>
      </c>
      <c r="J197" s="308">
        <v>2</v>
      </c>
      <c r="K197" s="308">
        <v>2</v>
      </c>
      <c r="L197" s="308">
        <v>1</v>
      </c>
      <c r="M197" s="308" t="s">
        <v>176</v>
      </c>
      <c r="N197" s="308" t="s">
        <v>176</v>
      </c>
      <c r="O197" s="308">
        <v>1</v>
      </c>
      <c r="P197" s="308">
        <v>1</v>
      </c>
      <c r="Q197" s="308" t="s">
        <v>176</v>
      </c>
      <c r="R197" s="308" t="s">
        <v>176</v>
      </c>
      <c r="S197" s="308" t="s">
        <v>176</v>
      </c>
      <c r="T197" s="308" t="s">
        <v>176</v>
      </c>
      <c r="U197" s="308" t="s">
        <v>176</v>
      </c>
      <c r="V197" s="308" t="s">
        <v>176</v>
      </c>
      <c r="W197" s="308" t="s">
        <v>176</v>
      </c>
      <c r="X197" s="308" t="s">
        <v>176</v>
      </c>
      <c r="Y197" s="308" t="s">
        <v>176</v>
      </c>
      <c r="Z197" s="308" t="s">
        <v>176</v>
      </c>
      <c r="AA197" s="308" t="s">
        <v>176</v>
      </c>
      <c r="AB197" s="308">
        <v>1</v>
      </c>
      <c r="AC197" s="308"/>
      <c r="AD197" s="308"/>
      <c r="AE197" s="308" t="s">
        <v>176</v>
      </c>
      <c r="AF197" s="308" t="s">
        <v>176</v>
      </c>
      <c r="AG197" s="308"/>
      <c r="AH197" s="308"/>
      <c r="AI197" s="308" t="s">
        <v>176</v>
      </c>
      <c r="AJ197" s="308" t="s">
        <v>176</v>
      </c>
      <c r="AK197" s="308" t="s">
        <v>176</v>
      </c>
      <c r="AL197" s="308">
        <v>2</v>
      </c>
      <c r="AM197" s="308">
        <v>1</v>
      </c>
      <c r="AN197" s="308"/>
      <c r="AO197" s="308">
        <v>1</v>
      </c>
      <c r="AP197" s="308">
        <v>1</v>
      </c>
      <c r="AQ197" s="308">
        <v>1</v>
      </c>
      <c r="AR197" s="308">
        <v>1</v>
      </c>
      <c r="AS197" s="308">
        <v>2</v>
      </c>
      <c r="AT197" s="308">
        <v>1</v>
      </c>
      <c r="AU197" s="308">
        <v>2</v>
      </c>
      <c r="AV197" s="308">
        <v>2</v>
      </c>
      <c r="AW197" s="308">
        <v>1</v>
      </c>
      <c r="AX197" s="308"/>
      <c r="AY197" s="308"/>
      <c r="AZ197" s="308">
        <v>1</v>
      </c>
      <c r="BA197" s="308" t="s">
        <v>176</v>
      </c>
      <c r="BB197" s="308">
        <v>2</v>
      </c>
      <c r="BC197" s="308"/>
      <c r="BD197" s="308">
        <v>2</v>
      </c>
      <c r="BE197" s="308" t="s">
        <v>176</v>
      </c>
      <c r="BF197" s="308" t="s">
        <v>176</v>
      </c>
      <c r="BG197" s="308" t="s">
        <v>176</v>
      </c>
      <c r="BH197" s="308" t="s">
        <v>176</v>
      </c>
      <c r="BI197" s="308" t="s">
        <v>176</v>
      </c>
      <c r="BJ197" s="308" t="s">
        <v>176</v>
      </c>
      <c r="BK197" s="308" t="s">
        <v>176</v>
      </c>
      <c r="BL197" s="308" t="s">
        <v>176</v>
      </c>
      <c r="BM197" s="308">
        <v>1</v>
      </c>
      <c r="BN197" s="308" t="s">
        <v>176</v>
      </c>
      <c r="BO197" s="308">
        <v>1</v>
      </c>
      <c r="BP197" s="308">
        <v>3</v>
      </c>
      <c r="BQ197" s="308">
        <v>3</v>
      </c>
      <c r="BR197" s="308">
        <v>3</v>
      </c>
      <c r="BS197" s="308">
        <v>2</v>
      </c>
      <c r="BT197" s="308">
        <v>1</v>
      </c>
      <c r="BU197" s="308">
        <v>1</v>
      </c>
      <c r="BV197" s="308" t="s">
        <v>176</v>
      </c>
      <c r="BW197" s="308" t="s">
        <v>176</v>
      </c>
      <c r="BX197" s="308" t="s">
        <v>176</v>
      </c>
      <c r="BY197" s="308" t="s">
        <v>176</v>
      </c>
      <c r="BZ197" s="308" t="s">
        <v>176</v>
      </c>
      <c r="CA197" s="308" t="s">
        <v>176</v>
      </c>
      <c r="CB197" s="308" t="s">
        <v>176</v>
      </c>
      <c r="CC197" s="308" t="s">
        <v>176</v>
      </c>
      <c r="CD197" s="308" t="s">
        <v>176</v>
      </c>
      <c r="CE197" s="308" t="s">
        <v>176</v>
      </c>
      <c r="CF197" s="308" t="s">
        <v>176</v>
      </c>
      <c r="CG197" s="308">
        <v>1</v>
      </c>
      <c r="CH197" s="308" t="s">
        <v>176</v>
      </c>
      <c r="CI197" s="308">
        <v>2</v>
      </c>
      <c r="CJ197" s="308" t="s">
        <v>176</v>
      </c>
      <c r="CK197" s="308" t="s">
        <v>176</v>
      </c>
      <c r="CL197" s="308" t="s">
        <v>176</v>
      </c>
      <c r="CM197" s="308">
        <v>2</v>
      </c>
      <c r="CN197" s="308">
        <v>2</v>
      </c>
      <c r="CO197" s="308">
        <v>2</v>
      </c>
      <c r="CP197" s="308">
        <v>2</v>
      </c>
      <c r="CQ197" s="308">
        <v>1</v>
      </c>
      <c r="CR197" s="308" t="s">
        <v>176</v>
      </c>
      <c r="CS197" s="308" t="s">
        <v>176</v>
      </c>
      <c r="CT197" s="308" t="s">
        <v>176</v>
      </c>
      <c r="CU197" s="308">
        <v>1</v>
      </c>
      <c r="CV197" s="308">
        <v>1</v>
      </c>
      <c r="CW197" s="308">
        <v>1</v>
      </c>
      <c r="CX197" s="308">
        <v>1</v>
      </c>
      <c r="CY197" s="308" t="s">
        <v>176</v>
      </c>
      <c r="CZ197" s="308" t="s">
        <v>176</v>
      </c>
      <c r="DA197" s="308" t="s">
        <v>176</v>
      </c>
      <c r="DB197" s="308" t="s">
        <v>176</v>
      </c>
      <c r="DC197" s="308" t="s">
        <v>176</v>
      </c>
      <c r="DD197" s="308" t="s">
        <v>176</v>
      </c>
      <c r="DE197" s="308" t="s">
        <v>176</v>
      </c>
      <c r="DF197" s="308"/>
      <c r="DG197" s="308" t="s">
        <v>176</v>
      </c>
      <c r="DH197" s="308" t="s">
        <v>176</v>
      </c>
      <c r="DI197" s="308" t="s">
        <v>176</v>
      </c>
      <c r="DJ197" s="308" t="s">
        <v>176</v>
      </c>
      <c r="DK197" s="308" t="s">
        <v>176</v>
      </c>
      <c r="DL197" s="308" t="s">
        <v>176</v>
      </c>
      <c r="DM197" s="308" t="s">
        <v>176</v>
      </c>
      <c r="DN197" s="308" t="s">
        <v>176</v>
      </c>
      <c r="DO197" s="308" t="s">
        <v>176</v>
      </c>
      <c r="DP197" s="308" t="s">
        <v>176</v>
      </c>
      <c r="DQ197" s="308" t="s">
        <v>176</v>
      </c>
      <c r="DR197" s="308" t="s">
        <v>176</v>
      </c>
      <c r="DS197" s="308" t="s">
        <v>176</v>
      </c>
      <c r="DT197" s="308" t="s">
        <v>176</v>
      </c>
      <c r="DU197" s="308" t="s">
        <v>176</v>
      </c>
      <c r="DV197" s="308" t="s">
        <v>176</v>
      </c>
      <c r="DW197" s="308" t="s">
        <v>176</v>
      </c>
      <c r="DX197" s="308" t="s">
        <v>176</v>
      </c>
      <c r="DY197" s="308" t="s">
        <v>176</v>
      </c>
      <c r="DZ197" s="308" t="s">
        <v>176</v>
      </c>
      <c r="EA197" s="308" t="s">
        <v>176</v>
      </c>
      <c r="EB197" s="308" t="s">
        <v>176</v>
      </c>
      <c r="EC197" s="308" t="s">
        <v>176</v>
      </c>
      <c r="ED197" s="308" t="s">
        <v>176</v>
      </c>
      <c r="EE197" s="308" t="s">
        <v>176</v>
      </c>
      <c r="EF197" s="308">
        <v>1</v>
      </c>
      <c r="EG197" s="308" t="s">
        <v>176</v>
      </c>
      <c r="EH197" s="308" t="s">
        <v>176</v>
      </c>
      <c r="EI197" s="308" t="s">
        <v>176</v>
      </c>
      <c r="EJ197" s="308" t="s">
        <v>176</v>
      </c>
      <c r="EK197" s="308" t="s">
        <v>176</v>
      </c>
      <c r="EL197" s="308" t="s">
        <v>176</v>
      </c>
      <c r="EM197" s="308" t="s">
        <v>176</v>
      </c>
      <c r="EN197" s="308" t="s">
        <v>176</v>
      </c>
      <c r="EO197" s="308">
        <v>1</v>
      </c>
      <c r="EP197" s="308">
        <v>1</v>
      </c>
      <c r="EQ197" s="308" t="s">
        <v>176</v>
      </c>
      <c r="ER197" s="308" t="s">
        <v>176</v>
      </c>
      <c r="ES197" s="308" t="s">
        <v>176</v>
      </c>
      <c r="ET197" s="308" t="s">
        <v>176</v>
      </c>
      <c r="EU197" s="308" t="s">
        <v>176</v>
      </c>
      <c r="EV197" s="308" t="s">
        <v>176</v>
      </c>
      <c r="EW197" s="308" t="s">
        <v>176</v>
      </c>
      <c r="EX197" s="308" t="s">
        <v>176</v>
      </c>
      <c r="EY197" s="308">
        <v>1</v>
      </c>
      <c r="EZ197" s="308">
        <v>2</v>
      </c>
      <c r="FA197" s="308">
        <v>2</v>
      </c>
      <c r="FB197" s="309"/>
      <c r="FC197" s="309" t="s">
        <v>176</v>
      </c>
      <c r="FD197" s="308">
        <v>2</v>
      </c>
      <c r="FE197" s="308">
        <v>2</v>
      </c>
      <c r="FF197" s="308">
        <v>1</v>
      </c>
      <c r="FG197" s="308" t="s">
        <v>176</v>
      </c>
      <c r="FH197" s="308">
        <v>1</v>
      </c>
      <c r="FI197" s="308">
        <v>2</v>
      </c>
      <c r="FJ197" s="308">
        <v>2</v>
      </c>
      <c r="FK197" s="308">
        <v>2</v>
      </c>
      <c r="FL197" s="308" t="s">
        <v>176</v>
      </c>
      <c r="FM197" s="308">
        <v>2</v>
      </c>
      <c r="FN197" s="308">
        <v>3</v>
      </c>
      <c r="FO197" s="308">
        <v>3</v>
      </c>
      <c r="FP197" s="308">
        <v>2</v>
      </c>
      <c r="FQ197" s="308" t="s">
        <v>176</v>
      </c>
      <c r="FR197" s="308" t="s">
        <v>387</v>
      </c>
      <c r="FS197" s="308" t="s">
        <v>176</v>
      </c>
      <c r="FT197" s="308" t="s">
        <v>176</v>
      </c>
      <c r="FU197" s="308" t="s">
        <v>176</v>
      </c>
      <c r="FV197" s="308" t="s">
        <v>176</v>
      </c>
      <c r="FW197" s="308" t="s">
        <v>176</v>
      </c>
      <c r="FX197" s="308"/>
      <c r="FY197" s="308" t="s">
        <v>176</v>
      </c>
      <c r="FZ197" s="308" t="s">
        <v>176</v>
      </c>
      <c r="GA197" s="308" t="s">
        <v>176</v>
      </c>
      <c r="GB197" s="308" t="s">
        <v>176</v>
      </c>
      <c r="GC197" s="308" t="s">
        <v>176</v>
      </c>
      <c r="GD197" s="308" t="s">
        <v>176</v>
      </c>
      <c r="GE197" s="308" t="s">
        <v>176</v>
      </c>
      <c r="GF197" s="308" t="s">
        <v>176</v>
      </c>
      <c r="GG197" s="308" t="s">
        <v>176</v>
      </c>
      <c r="GH197" s="308" t="s">
        <v>176</v>
      </c>
      <c r="GI197" s="308" t="s">
        <v>176</v>
      </c>
      <c r="GJ197" s="308" t="s">
        <v>176</v>
      </c>
      <c r="GK197" s="321" t="s">
        <v>176</v>
      </c>
      <c r="GL197" s="311">
        <f>SUM(G197:GK197)</f>
        <v>95</v>
      </c>
      <c r="GM197" s="132"/>
    </row>
    <row r="198" spans="1:195" s="133" customFormat="1" ht="28.35" customHeight="1" thickBot="1" x14ac:dyDescent="0.3">
      <c r="A198" s="138" t="str">
        <f>A197</f>
        <v>Launch &amp; process</v>
      </c>
      <c r="B198" s="138" t="str">
        <f>B197</f>
        <v>Technik procesu</v>
      </c>
      <c r="C198" s="138" t="str">
        <f>C197</f>
        <v>DR</v>
      </c>
      <c r="D198" s="138">
        <f>D197</f>
        <v>1119</v>
      </c>
      <c r="E198" s="566" t="str">
        <f>E197</f>
        <v>Fenyk Weronika</v>
      </c>
      <c r="F198" s="312" t="s">
        <v>166</v>
      </c>
      <c r="G198" s="313">
        <f>IF(INDEX(tab_MinKomp[Przepisy BHP / BHP Vorschriften],MATCH($B197,tab_MinKomp[[Stanowisko / Position ]:[Stanowisko / Position ]],0))="n/a","n/a",G197-INDEX(tab_MinKomp[Przepisy BHP / BHP Vorschriften],MATCH($B197,tab_MinKomp[[Stanowisko / Position ]:[Stanowisko / Position ]],0)))</f>
        <v>0</v>
      </c>
      <c r="H198" s="314">
        <f>IF(INDEX(tab_MinKomp[Przepisy PPOŻ / Brandschutzbestimmungen],MATCH($B197,tab_MinKomp[[Stanowisko / Position ]:[Stanowisko / Position ]],0))="n/a","n/a",H197-INDEX(tab_MinKomp[Przepisy PPOŻ / Brandschutzbestimmungen],MATCH($B197,tab_MinKomp[[Stanowisko / Position ]:[Stanowisko / Position ]],0)))</f>
        <v>0</v>
      </c>
      <c r="I198" s="314">
        <f>IF(INDEX(tab_MinKomp[Ryzyko zawodowe na stanowiskach pracyv/ Berufliche Risiken an Arbeitsstellen],MATCH($B197,tab_MinKomp[[Stanowisko / Position ]:[Stanowisko / Position ]],0))="n/a","n/a",I197-INDEX(tab_MinKomp[Ryzyko zawodowe na stanowiskach pracyv/ Berufliche Risiken an Arbeitsstellen],MATCH($B197,tab_MinKomp[[Stanowisko / Position ]:[Stanowisko / Position ]],0)))</f>
        <v>0</v>
      </c>
      <c r="J198" s="314">
        <f>IF(INDEX(tab_MinKomp[Gospodarka substancjami niebezpiecznymi / Gefahrstoffmanagement],MATCH($B197,tab_MinKomp[[Stanowisko / Position ]:[Stanowisko / Position ]],0))="n/a","n/a",J197-INDEX(tab_MinKomp[Gospodarka substancjami niebezpiecznymi / Gefahrstoffmanagement],MATCH($B197,tab_MinKomp[[Stanowisko / Position ]:[Stanowisko / Position ]],0)))</f>
        <v>0</v>
      </c>
      <c r="K198" s="314">
        <f>IF(INDEX(tab_MinKomp[Gospodarka odpadami / Abfallwirtschaft],MATCH($B197,tab_MinKomp[[Stanowisko / Position ]:[Stanowisko / Position ]],0))="n/a","n/a",K197-INDEX(tab_MinKomp[Gospodarka odpadami / Abfallwirtschaft],MATCH($B197,tab_MinKomp[[Stanowisko / Position ]:[Stanowisko / Position ]],0)))</f>
        <v>0</v>
      </c>
      <c r="L198" s="315">
        <f>IF(INDEX(tab_MinKomp[Przepisy kodeksu pracy / Bestimmungen des Arbeitsgesetzes],MATCH($B197,tab_MinKomp[[Stanowisko / Position ]:[Stanowisko / Position ]],0))="n/a","n/a",L197-INDEX(tab_MinKomp[Przepisy kodeksu pracy / Bestimmungen des Arbeitsgesetzes],MATCH($B197,tab_MinKomp[[Stanowisko / Position ]:[Stanowisko / Position ]],0)))</f>
        <v>0</v>
      </c>
      <c r="M198" s="316" t="str">
        <f>IF(INDEX(tab_MinKomp[Przepisy o ub.społ. ZUS  / Sozialversicherungsvorschriften],MATCH($B197,tab_MinKomp[[Stanowisko / Position ]:[Stanowisko / Position ]],0))="n/a","n/a",M197-INDEX(tab_MinKomp[Przepisy o ub.społ. ZUS  / Sozialversicherungsvorschriften],MATCH($B197,tab_MinKomp[[Stanowisko / Position ]:[Stanowisko / Position ]],0)))</f>
        <v>n/a</v>
      </c>
      <c r="N198" s="315" t="str">
        <f>IF(INDEX(tab_MinKomp[PRZEPISY O PDOF /persönlich Einkommensteuergesetz ],MATCH($B197,tab_MinKomp[[Stanowisko / Position ]:[Stanowisko / Position ]],0))="n/a","n/a",N197-INDEX(tab_MinKomp[PRZEPISY O PDOF /persönlich Einkommensteuergesetz ],MATCH($B197,tab_MinKomp[[Stanowisko / Position ]:[Stanowisko / Position ]],0)))</f>
        <v>n/a</v>
      </c>
      <c r="O198" s="315">
        <f>IF(INDEX(tab_MinKomp[Regulamin pracy / Arbeitsordnung],MATCH($B197,tab_MinKomp[[Stanowisko / Position ]:[Stanowisko / Position ]],0))="n/a","n/a",O197-INDEX(tab_MinKomp[Regulamin pracy / Arbeitsordnung],MATCH($B197,tab_MinKomp[[Stanowisko / Position ]:[Stanowisko / Position ]],0)))</f>
        <v>0</v>
      </c>
      <c r="P198" s="315">
        <f>IF(INDEX(tab_MinKomp[Regulamin wynagradzania / Vergütungsordnung],MATCH($B197,tab_MinKomp[[Stanowisko / Position ]:[Stanowisko / Position ]],0))="n/a","n/a",P197-INDEX(tab_MinKomp[Regulamin wynagradzania / Vergütungsordnung],MATCH($B197,tab_MinKomp[[Stanowisko / Position ]:[Stanowisko / Position ]],0)))</f>
        <v>0</v>
      </c>
      <c r="Q198" s="315" t="str">
        <f>IF(INDEX(tab_MinKomp[System R2PŁATNIK PRO: Płace / Lohnabrechnung],MATCH($B197,tab_MinKomp[[Stanowisko / Position ]:[Stanowisko / Position ]],0))="n/a","n/a",Q197-INDEX(tab_MinKomp[System R2PŁATNIK PRO: Płace / Lohnabrechnung],MATCH($B197,tab_MinKomp[[Stanowisko / Position ]:[Stanowisko / Position ]],0)))</f>
        <v>n/a</v>
      </c>
      <c r="R198" s="315" t="str">
        <f>IF(INDEX(tab_MinKomp[SystemR2PŁATNIK PRO: KADRY / Personaldaten],MATCH($B197,tab_MinKomp[[Stanowisko / Position ]:[Stanowisko / Position ]],0))="n/a","n/a",R197-INDEX(tab_MinKomp[SystemR2PŁATNIK PRO: KADRY / Personaldaten],MATCH($B197,tab_MinKomp[[Stanowisko / Position ]:[Stanowisko / Position ]],0)))</f>
        <v>n/a</v>
      </c>
      <c r="S198" s="315" t="str">
        <f>IF(INDEX(tab_MinKomp[SYSTEM R2PŁATNIK PRO: zarządzanie pracownikami / Arbeitsverwaltung],MATCH($B197,tab_MinKomp[[Stanowisko / Position ]:[Stanowisko / Position ]],0))="n/a","n/a",S197-INDEX(tab_MinKomp[SYSTEM R2PŁATNIK PRO: zarządzanie pracownikami / Arbeitsverwaltung],MATCH($B197,tab_MinKomp[[Stanowisko / Position ]:[Stanowisko / Position ]],0)))</f>
        <v>n/a</v>
      </c>
      <c r="T198" s="315" t="str">
        <f>IF(INDEX(tab_MinKomp[Doradztwo, wsparcie personalne / Personalberatung und Unterstützung],MATCH($B197,tab_MinKomp[[Stanowisko / Position ]:[Stanowisko / Position ]],0))="n/a","n/a",T197-INDEX(tab_MinKomp[Doradztwo, wsparcie personalne / Personalberatung und Unterstützung],MATCH($B197,tab_MinKomp[[Stanowisko / Position ]:[Stanowisko / Position ]],0)))</f>
        <v>n/a</v>
      </c>
      <c r="U198" s="315" t="str">
        <f>IF(INDEX(tab_MinKomp[Przepisy o podatku VAT / MwSt.- Gesetz],MATCH($B197,tab_MinKomp[[Stanowisko / Position ]:[Stanowisko / Position ]],0))="n/a","n/a",U197-INDEX(tab_MinKomp[Przepisy o podatku VAT / MwSt.- Gesetz],MATCH($B197,tab_MinKomp[[Stanowisko / Position ]:[Stanowisko / Position ]],0)))</f>
        <v>n/a</v>
      </c>
      <c r="V198" s="315" t="str">
        <f>IF(INDEX(tab_MinKomp[PrzepisyPDOP / geschäftlich Einkommensteuergesetz],MATCH($B197,tab_MinKomp[[Stanowisko / Position ]:[Stanowisko / Position ]],0))="n/a","n/a",V197-INDEX(tab_MinKomp[PrzepisyPDOP / geschäftlich Einkommensteuergesetz],MATCH($B197,tab_MinKomp[[Stanowisko / Position ]:[Stanowisko / Position ]],0)))</f>
        <v>n/a</v>
      </c>
      <c r="W198" s="315" t="str">
        <f>IF(INDEX(tab_MinKomp[System BAAN / FINANSE (FIBU)],MATCH($B197,tab_MinKomp[[Stanowisko / Position ]:[Stanowisko / Position ]],0))="n/a","n/a",W197-INDEX(tab_MinKomp[System BAAN / FINANSE (FIBU)],MATCH($B197,tab_MinKomp[[Stanowisko / Position ]:[Stanowisko / Position ]],0)))</f>
        <v>n/a</v>
      </c>
      <c r="X198" s="315" t="str">
        <f>IF(INDEX(tab_MinKomp[Systemy pomocnicze / Hilfssysteme(STOCKPROGRAM, KALK2000 etc.)],MATCH($B197,tab_MinKomp[[Stanowisko / Position ]:[Stanowisko / Position ]],0))="n/a","n/a",X197-INDEX(tab_MinKomp[Systemy pomocnicze / Hilfssysteme(STOCKPROGRAM, KALK2000 etc.)],MATCH($B197,tab_MinKomp[[Stanowisko / Position ]:[Stanowisko / Position ]],0)))</f>
        <v>n/a</v>
      </c>
      <c r="Y198" s="315" t="str">
        <f>IF(INDEX(tab_MinKomp[Polityka rachunkowości / Buchführungspolitik],MATCH($B197,tab_MinKomp[[Stanowisko / Position ]:[Stanowisko / Position ]],0))="n/a","n/a",Y197-INDEX(tab_MinKomp[Polityka rachunkowości / Buchführungspolitik],MATCH($B197,tab_MinKomp[[Stanowisko / Position ]:[Stanowisko / Position ]],0)))</f>
        <v>n/a</v>
      </c>
      <c r="Z198" s="315" t="str">
        <f>IF(INDEX(tab_MinKomp[Ustawa o rachunkowości / Rechnungslegungsgesetz],MATCH($B197,tab_MinKomp[[Stanowisko / Position ]:[Stanowisko / Position ]],0))="n/a","n/a",Z197-INDEX(tab_MinKomp[Ustawa o rachunkowości / Rechnungslegungsgesetz],MATCH($B197,tab_MinKomp[[Stanowisko / Position ]:[Stanowisko / Position ]],0)))</f>
        <v>n/a</v>
      </c>
      <c r="AA198" s="315" t="str">
        <f>IF(INDEX(tab_MinKomp[WORKFLOW - TS-100],MATCH($B197,tab_MinKomp[[Stanowisko / Position ]:[Stanowisko / Position ]],0))="n/a","n/a",AA197-INDEX(tab_MinKomp[WORKFLOW - TS-100],MATCH($B197,tab_MinKomp[[Stanowisko / Position ]:[Stanowisko / Position ]],0)))</f>
        <v>n/a</v>
      </c>
      <c r="AB198" s="315">
        <f>IF(INDEX(tab_MinKomp[WORKFLOW - SFMS],MATCH($B197,tab_MinKomp[[Stanowisko / Position ]:[Stanowisko / Position ]],0))="n/a","n/a",AB197-INDEX(tab_MinKomp[WORKFLOW - SFMS],MATCH($B197,tab_MinKomp[[Stanowisko / Position ]:[Stanowisko / Position ]],0)))</f>
        <v>0</v>
      </c>
      <c r="AC198" s="315">
        <f>IF(INDEX(tab_MinKomp[System ISO 9001:2015],MATCH($B197,tab_MinKomp[[Stanowisko / Position ]:[Stanowisko / Position ]],0))="n/a","n/a",AC197-INDEX(tab_MinKomp[System ISO 9001:2015],MATCH($B197,tab_MinKomp[[Stanowisko / Position ]:[Stanowisko / Position ]],0)))</f>
        <v>-1</v>
      </c>
      <c r="AD198" s="315">
        <f>IF(INDEX(tab_MinKomp[System IATF 16949:2016],MATCH($B197,tab_MinKomp[[Stanowisko / Position ]:[Stanowisko / Position ]],0))="n/a","n/a",AD197-INDEX(tab_MinKomp[System IATF 16949:2016],MATCH($B197,tab_MinKomp[[Stanowisko / Position ]:[Stanowisko / Position ]],0)))</f>
        <v>-1</v>
      </c>
      <c r="AE198" s="315" t="str">
        <f>IF(INDEX(tab_MinKomp[PSCR (VW Product Safety &amp; Conformity Representative)],MATCH($B197,tab_MinKomp[[Stanowisko / Position ]:[Stanowisko / Position ]],0))="n/a","n/a",AE197-INDEX(tab_MinKomp[PSCR (VW Product Safety &amp; Conformity Representative)],MATCH($B197,tab_MinKomp[[Stanowisko / Position ]:[Stanowisko / Position ]],0)))</f>
        <v>n/a</v>
      </c>
      <c r="AF198" s="315" t="str">
        <f>IF(INDEX(tab_MinKomp[PSCR (VW Product Safety &amp; Conformity Representative)],MATCH($B197,tab_MinKomp[[Stanowisko / Position ]:[Stanowisko / Position ]],0))="n/a","n/a",AF197-INDEX(tab_MinKomp[PSCR (VW Product Safety &amp; Conformity Representative)],MATCH($B197,tab_MinKomp[[Stanowisko / Position ]:[Stanowisko / Position ]],0)))</f>
        <v>n/a</v>
      </c>
      <c r="AG198" s="315">
        <f>IF(INDEX(tab_MinKomp[Six Sigma],MATCH($B197,tab_MinKomp[[Stanowisko / Position ]:[Stanowisko / Position ]],0))="n/a","n/a",AG197-INDEX(tab_MinKomp[Six Sigma],MATCH($B197,tab_MinKomp[[Stanowisko / Position ]:[Stanowisko / Position ]],0)))</f>
        <v>-1</v>
      </c>
      <c r="AH198" s="315">
        <f>IF(INDEX(tab_MinKomp[Wymagania VDA 6.5 Product / Forderungen],MATCH($B197,tab_MinKomp[[Stanowisko / Position ]:[Stanowisko / Position ]],0))="n/a","n/a",AH197-INDEX(tab_MinKomp[Wymagania VDA 6.5 Product / Forderungen],MATCH($B197,tab_MinKomp[[Stanowisko / Position ]:[Stanowisko / Position ]],0)))</f>
        <v>-1</v>
      </c>
      <c r="AI198" s="315" t="str">
        <f>IF(INDEX(tab_MinKomp[PSCR (VW Product Safety &amp; Conformity Representative)],MATCH($B197,tab_MinKomp[[Stanowisko / Position ]:[Stanowisko / Position ]],0))="n/a","n/a",AI197-INDEX(tab_MinKomp[PSCR (VW Product Safety &amp; Conformity Representative)],MATCH($B197,tab_MinKomp[[Stanowisko / Position ]:[Stanowisko / Position ]],0)))</f>
        <v>n/a</v>
      </c>
      <c r="AJ198" s="315" t="str">
        <f>IF(INDEX(tab_MinKomp[Auditor systemu ISO 17025:2018],MATCH($B197,tab_MinKomp[[Stanowisko / Position ]:[Stanowisko / Position ]],0))="n/a","n/a",AJ197-INDEX(tab_MinKomp[Auditor systemu ISO 17025:2018],MATCH($B197,tab_MinKomp[[Stanowisko / Position ]:[Stanowisko / Position ]],0)))</f>
        <v>n/a</v>
      </c>
      <c r="AK198" s="315" t="str">
        <f>IF(INDEX(tab_MinKomp[Pełnomocnik systemu / Systemvertreter],MATCH($B197,tab_MinKomp[[Stanowisko / Position ]:[Stanowisko / Position ]],0))="n/a","n/a",AK197-INDEX(tab_MinKomp[Pełnomocnik systemu / Systemvertreter],MATCH($B197,tab_MinKomp[[Stanowisko / Position ]:[Stanowisko / Position ]],0)))</f>
        <v>n/a</v>
      </c>
      <c r="AL198" s="315">
        <f>IF(INDEX(tab_MinKomp[Polityka Etyczna - Compliance],MATCH($B197,tab_MinKomp[[Stanowisko / Position ]:[Stanowisko / Position ]],0))="n/a","n/a",AL197-INDEX(tab_MinKomp[Polityka Etyczna - Compliance],MATCH($B197,tab_MinKomp[[Stanowisko / Position ]:[Stanowisko / Position ]],0)))</f>
        <v>0</v>
      </c>
      <c r="AM198" s="315">
        <f>IF(INDEX(tab_MinKomp[WDRAŻANIE NOWYCH PROJEKTÓW/ PROCEDURA CTM],MATCH($B197,tab_MinKomp[[Stanowisko / Position ]:[Stanowisko / Position ]],0))="n/a","n/a",AM197-INDEX(tab_MinKomp[WDRAŻANIE NOWYCH PROJEKTÓW/ PROCEDURA CTM],MATCH($B197,tab_MinKomp[[Stanowisko / Position ]:[Stanowisko / Position ]],0)))</f>
        <v>0</v>
      </c>
      <c r="AN198" s="315">
        <f>IF(INDEX(tab_MinKomp[Six Sigma],MATCH($B197,tab_MinKomp[[Stanowisko / Position ]:[Stanowisko / Position ]],0))="n/a","n/a",AN197-INDEX(tab_MinKomp[Six Sigma],MATCH($B197,tab_MinKomp[[Stanowisko / Position ]:[Stanowisko / Position ]],0)))</f>
        <v>-1</v>
      </c>
      <c r="AO198" s="315">
        <f>IF(INDEX(tab_MinKomp[CP],MATCH($B197,tab_MinKomp[[Stanowisko / Position ]:[Stanowisko / Position ]],0))="n/a","n/a",AO197-INDEX(tab_MinKomp[CP],MATCH($B197,tab_MinKomp[[Stanowisko / Position ]:[Stanowisko / Position ]],0)))</f>
        <v>0</v>
      </c>
      <c r="AP198" s="315">
        <f>IF(INDEX(tab_MinKomp[FMEA],MATCH($B197,tab_MinKomp[[Stanowisko / Position ]:[Stanowisko / Position ]],0))="n/a","n/a",AP197-INDEX(tab_MinKomp[FMEA],MATCH($B197,tab_MinKomp[[Stanowisko / Position ]:[Stanowisko / Position ]],0)))</f>
        <v>0</v>
      </c>
      <c r="AQ198" s="315">
        <f>IF(INDEX(tab_MinKomp[FLOW CHART],MATCH($B197,tab_MinKomp[[Stanowisko / Position ]:[Stanowisko / Position ]],0))="n/a","n/a",AQ197-INDEX(tab_MinKomp[FLOW CHART],MATCH($B197,tab_MinKomp[[Stanowisko / Position ]:[Stanowisko / Position ]],0)))</f>
        <v>0</v>
      </c>
      <c r="AR198" s="315">
        <f>IF(INDEX(tab_MinKomp[APQP],MATCH($B197,tab_MinKomp[[Stanowisko / Position ]:[Stanowisko / Position ]],0))="n/a","n/a",AR197-INDEX(tab_MinKomp[APQP],MATCH($B197,tab_MinKomp[[Stanowisko / Position ]:[Stanowisko / Position ]],0)))</f>
        <v>0</v>
      </c>
      <c r="AS198" s="315">
        <f>IF(INDEX(tab_MinKomp[MSA],MATCH($B197,tab_MinKomp[[Stanowisko / Position ]:[Stanowisko / Position ]],0))="n/a","n/a",AS197-INDEX(tab_MinKomp[MSA],MATCH($B197,tab_MinKomp[[Stanowisko / Position ]:[Stanowisko / Position ]],0)))</f>
        <v>0</v>
      </c>
      <c r="AT198" s="315">
        <f>IF(INDEX(tab_MinKomp[SPC],MATCH($B197,tab_MinKomp[[Stanowisko / Position ]:[Stanowisko / Position ]],0))="n/a","n/a",AT197-INDEX(tab_MinKomp[SPC],MATCH($B197,tab_MinKomp[[Stanowisko / Position ]:[Stanowisko / Position ]],0)))</f>
        <v>0</v>
      </c>
      <c r="AU198" s="315">
        <f>IF(INDEX(tab_MinKomp[CSR (SPECYFICZNE WYMAGANIA KLIENTA)],MATCH($B197,tab_MinKomp[[Stanowisko / Position ]:[Stanowisko / Position ]],0))="n/a","n/a",AU197-INDEX(tab_MinKomp[CSR (SPECYFICZNE WYMAGANIA KLIENTA)],MATCH($B197,tab_MinKomp[[Stanowisko / Position ]:[Stanowisko / Position ]],0)))</f>
        <v>0</v>
      </c>
      <c r="AV198" s="315">
        <f>IF(INDEX(tab_MinKomp[5S],MATCH($B197,tab_MinKomp[[Stanowisko / Position ]:[Stanowisko / Position ]],0))="n/a","n/a",AV197-INDEX(tab_MinKomp[5S],MATCH($B197,tab_MinKomp[[Stanowisko / Position ]:[Stanowisko / Position ]],0)))</f>
        <v>0</v>
      </c>
      <c r="AW198" s="315">
        <f>IF(INDEX(tab_MinKomp[LEAN MANAGEMENT],MATCH($B197,tab_MinKomp[[Stanowisko / Position ]:[Stanowisko / Position ]],0))="n/a","n/a",AW197-INDEX(tab_MinKomp[LEAN MANAGEMENT],MATCH($B197,tab_MinKomp[[Stanowisko / Position ]:[Stanowisko / Position ]],0)))</f>
        <v>-1</v>
      </c>
      <c r="AX198" s="315">
        <f>IF(INDEX(tab_MinKomp[5R],MATCH($B197,tab_MinKomp[[Stanowisko / Position ]:[Stanowisko / Position ]],0))="n/a","n/a",AX197-INDEX(tab_MinKomp[5R],MATCH($B197,tab_MinKomp[[Stanowisko / Position ]:[Stanowisko / Position ]],0)))</f>
        <v>-1</v>
      </c>
      <c r="AY198" s="315">
        <f>IF(INDEX(tab_MinKomp[Six Sigma],MATCH($B197,tab_MinKomp[[Stanowisko / Position ]:[Stanowisko / Position ]],0))="n/a","n/a",AY197-INDEX(tab_MinKomp[Six Sigma],MATCH($B197,tab_MinKomp[[Stanowisko / Position ]:[Stanowisko / Position ]],0)))</f>
        <v>-1</v>
      </c>
      <c r="AZ198" s="315">
        <f>IF(INDEX(tab_MinKomp[System BAAN / Distribution &amp; Supply Chain],MATCH($B197,tab_MinKomp[[Stanowisko / Position ]:[Stanowisko / Position ]],0))="n/a","n/a",AZ197-INDEX(tab_MinKomp[System BAAN / Distribution &amp; Supply Chain],MATCH($B197,tab_MinKomp[[Stanowisko / Position ]:[Stanowisko / Position ]],0)))</f>
        <v>0</v>
      </c>
      <c r="BA198" s="315" t="str">
        <f>IF(INDEX(tab_MinKomp[Gospodarka magazynowa / Lagerverwaltung],MATCH($B197,tab_MinKomp[[Stanowisko / Position ]:[Stanowisko / Position ]],0))="n/a","n/a",BA197-INDEX(tab_MinKomp[Gospodarka magazynowa / Lagerverwaltung],MATCH($B197,tab_MinKomp[[Stanowisko / Position ]:[Stanowisko / Position ]],0)))</f>
        <v>n/a</v>
      </c>
      <c r="BB198" s="315">
        <f>IF(INDEX(tab_MinKomp[Inwentaryzacja - organizacja i przebieg / Inventurprozess],MATCH($B197,tab_MinKomp[[Stanowisko / Position ]:[Stanowisko / Position ]],0))="n/a","n/a",BB197-INDEX(tab_MinKomp[Inwentaryzacja - organizacja i przebieg / Inventurprozess],MATCH($B197,tab_MinKomp[[Stanowisko / Position ]:[Stanowisko / Position ]],0)))</f>
        <v>0</v>
      </c>
      <c r="BC198" s="315">
        <f>IF(INDEX(tab_MinKomp[Organizacja dostaw / Versorgungsorganisation],MATCH($B197,tab_MinKomp[[Stanowisko / Position ]:[Stanowisko / Position ]],0))="n/a","n/a",BC197-INDEX(tab_MinKomp[Organizacja dostaw / Versorgungsorganisation],MATCH($B197,tab_MinKomp[[Stanowisko / Position ]:[Stanowisko / Position ]],0)))</f>
        <v>-1</v>
      </c>
      <c r="BD198" s="315">
        <f>IF(INDEX(tab_MinKomp[Organizacja wysyłek / Organisation von Lieferungen],MATCH($B197,tab_MinKomp[[Stanowisko / Position ]:[Stanowisko / Position ]],0))="n/a","n/a",BD197-INDEX(tab_MinKomp[Organizacja wysyłek / Organisation von Lieferungen],MATCH($B197,tab_MinKomp[[Stanowisko / Position ]:[Stanowisko / Position ]],0)))</f>
        <v>1</v>
      </c>
      <c r="BE198" s="315" t="str">
        <f>IF(INDEX(tab_MinKomp[Analiza magazynowa - Program Polen.mdb / Inventuranalyse],MATCH($B197,tab_MinKomp[[Stanowisko / Position ]:[Stanowisko / Position ]],0))="n/a","n/a",BE197-INDEX(tab_MinKomp[Analiza magazynowa - Program Polen.mdb / Inventuranalyse],MATCH($B197,tab_MinKomp[[Stanowisko / Position ]:[Stanowisko / Position ]],0)))</f>
        <v>n/a</v>
      </c>
      <c r="BF198" s="315" t="str">
        <f>IF(INDEX(tab_MinKomp[MMOG (Materials Management Operations Guidelines)],MATCH($B197,tab_MinKomp[[Stanowisko / Position ]:[Stanowisko / Position ]],0))="n/a","n/a",BF197-INDEX(tab_MinKomp[MMOG (Materials Management Operations Guidelines)],MATCH($B197,tab_MinKomp[[Stanowisko / Position ]:[Stanowisko / Position ]],0)))</f>
        <v>n/a</v>
      </c>
      <c r="BG198" s="315" t="str">
        <f>IF(INDEX(tab_MinKomp[GPP],MATCH($B197,tab_MinKomp[[Stanowisko / Position ]:[Stanowisko / Position ]],0))="n/a","n/a",BG197-INDEX(tab_MinKomp[GPP],MATCH($B197,tab_MinKomp[[Stanowisko / Position ]:[Stanowisko / Position ]],0)))</f>
        <v>n/a</v>
      </c>
      <c r="BH198" s="315" t="str">
        <f>IF(INDEX(tab_MinKomp[AIAG (Automotive Industry Action Group)],MATCH($B197,tab_MinKomp[[Stanowisko / Position ]:[Stanowisko / Position ]],0))="n/a","n/a",BH197-INDEX(tab_MinKomp[AIAG (Automotive Industry Action Group)],MATCH($B197,tab_MinKomp[[Stanowisko / Position ]:[Stanowisko / Position ]],0)))</f>
        <v>n/a</v>
      </c>
      <c r="BI198" s="315" t="str">
        <f>IF(INDEX(tab_MinKomp[Super-G disputes],MATCH($B197,tab_MinKomp[[Stanowisko / Position ]:[Stanowisko / Position ]],0))="n/a","n/a",BI197-INDEX(tab_MinKomp[Super-G disputes],MATCH($B197,tab_MinKomp[[Stanowisko / Position ]:[Stanowisko / Position ]],0)))</f>
        <v>n/a</v>
      </c>
      <c r="BJ198" s="315" t="str">
        <f>IF(INDEX(tab_MinKomp[CMMS3/eDDL (Direct Data Link)],MATCH($B197,tab_MinKomp[[Stanowisko / Position ]:[Stanowisko / Position ]],0))="n/a","n/a",BJ197-INDEX(tab_MinKomp[CMMS3/eDDL (Direct Data Link)],MATCH($B197,tab_MinKomp[[Stanowisko / Position ]:[Stanowisko / Position ]],0)))</f>
        <v>n/a</v>
      </c>
      <c r="BK198" s="315" t="str">
        <f>IF(INDEX(tab_MinKomp[MP&amp;L (Material Planning and Logistics)],MATCH($B197,tab_MinKomp[[Stanowisko / Position ]:[Stanowisko / Position ]],0))="n/a","n/a",BK197-INDEX(tab_MinKomp[MP&amp;L (Material Planning and Logistics)],MATCH($B197,tab_MinKomp[[Stanowisko / Position ]:[Stanowisko / Position ]],0)))</f>
        <v>n/a</v>
      </c>
      <c r="BL198" s="315" t="str">
        <f>IF(INDEX(tab_MinKomp[Supplier delivery rating],MATCH($B197,tab_MinKomp[[Stanowisko / Position ]:[Stanowisko / Position ]],0))="n/a","n/a",BL197-INDEX(tab_MinKomp[Supplier delivery rating],MATCH($B197,tab_MinKomp[[Stanowisko / Position ]:[Stanowisko / Position ]],0)))</f>
        <v>n/a</v>
      </c>
      <c r="BM198" s="315">
        <f>IF(INDEX(tab_MinKomp[Planowanie produkcji / Produktionsplanung],MATCH($B197,tab_MinKomp[[Stanowisko / Position ]:[Stanowisko / Position ]],0))="n/a","n/a",BM197-INDEX(tab_MinKomp[Planowanie produkcji / Produktionsplanung],MATCH($B197,tab_MinKomp[[Stanowisko / Position ]:[Stanowisko / Position ]],0)))</f>
        <v>0</v>
      </c>
      <c r="BN198" s="315" t="str">
        <f>IF(INDEX(tab_MinKomp[Obsługa maszyn Engel / Engel Maschinenbedienung],MATCH($B197,tab_MinKomp[[Stanowisko / Position ]:[Stanowisko / Position ]],0))="n/a","n/a",BN197-INDEX(tab_MinKomp[Obsługa maszyn Engel / Engel Maschinenbedienung],MATCH($B197,tab_MinKomp[[Stanowisko / Position ]:[Stanowisko / Position ]],0)))</f>
        <v>n/a</v>
      </c>
      <c r="BO198" s="315">
        <f>IF(INDEX(tab_MinKomp[Obsługa maszyn Novapax / Novapax Maschinenbedienung],MATCH($B197,tab_MinKomp[[Stanowisko / Position ]:[Stanowisko / Position ]],0))="n/a","n/a",BO197-INDEX(tab_MinKomp[Obsługa maszyn Novapax / Novapax Maschinenbedienung],MATCH($B197,tab_MinKomp[[Stanowisko / Position ]:[Stanowisko / Position ]],0)))</f>
        <v>0</v>
      </c>
      <c r="BP198" s="315">
        <f>IF(INDEX(tab_MinKomp[Obsługa maszyn KVT / KVT Maschinenbedienung],MATCH($B197,tab_MinKomp[[Stanowisko / Position ]:[Stanowisko / Position ]],0))="n/a","n/a",BP197-INDEX(tab_MinKomp[Obsługa maszyn KVT / KVT Maschinenbedienung],MATCH($B197,tab_MinKomp[[Stanowisko / Position ]:[Stanowisko / Position ]],0)))</f>
        <v>2</v>
      </c>
      <c r="BQ198" s="315">
        <f>IF(INDEX(tab_MinKomp[Obsługa maszyn ASL / ASL Maschinenbedienung],MATCH($B197,tab_MinKomp[[Stanowisko / Position ]:[Stanowisko / Position ]],0))="n/a","n/a",BQ197-INDEX(tab_MinKomp[Obsługa maszyn ASL / ASL Maschinenbedienung],MATCH($B197,tab_MinKomp[[Stanowisko / Position ]:[Stanowisko / Position ]],0)))</f>
        <v>2</v>
      </c>
      <c r="BR198" s="315">
        <f>IF(INDEX(tab_MinKomp[Obsługa maszyn Branson / Branson Maschinenbedienung],MATCH($B197,tab_MinKomp[[Stanowisko / Position ]:[Stanowisko / Position ]],0))="n/a","n/a",BR197-INDEX(tab_MinKomp[Obsługa maszyn Branson / Branson Maschinenbedienung],MATCH($B197,tab_MinKomp[[Stanowisko / Position ]:[Stanowisko / Position ]],0)))</f>
        <v>2</v>
      </c>
      <c r="BS198" s="315">
        <f>IF(INDEX(tab_MinKomp[Obsługa maszyn Kamtec / Kamtec Maschinenbedienung],MATCH($B197,tab_MinKomp[[Stanowisko / Position ]:[Stanowisko / Position ]],0))="n/a","n/a",BS197-INDEX(tab_MinKomp[Obsługa maszyn Kamtec / Kamtec Maschinenbedienung],MATCH($B197,tab_MinKomp[[Stanowisko / Position ]:[Stanowisko / Position ]],0)))</f>
        <v>1</v>
      </c>
      <c r="BT198" s="315">
        <f>IF(INDEX(tab_MinKomp[Obsługa maszyn Piovan / Piovan Maschinenbedienung],MATCH($B197,tab_MinKomp[[Stanowisko / Position ]:[Stanowisko / Position ]],0))="n/a","n/a",BT197-INDEX(tab_MinKomp[Obsługa maszyn Piovan / Piovan Maschinenbedienung],MATCH($B197,tab_MinKomp[[Stanowisko / Position ]:[Stanowisko / Position ]],0)))</f>
        <v>0</v>
      </c>
      <c r="BU198" s="315">
        <f>IF(INDEX(tab_MinKomp[Obsługa maszyn REP / REP Maschinenbedienung],MATCH($B197,tab_MinKomp[[Stanowisko / Position ]:[Stanowisko / Position ]],0))="n/a","n/a",BU197-INDEX(tab_MinKomp[Obsługa maszyn REP / REP Maschinenbedienung],MATCH($B197,tab_MinKomp[[Stanowisko / Position ]:[Stanowisko / Position ]],0)))</f>
        <v>0</v>
      </c>
      <c r="BV198" s="315" t="str">
        <f>IF(INDEX(tab_MinKomp[Eliminacja awarii / Beseitigung von Ausfällen],MATCH($B197,tab_MinKomp[[Stanowisko / Position ]:[Stanowisko / Position ]],0))="n/a","n/a",BV197-INDEX(tab_MinKomp[Eliminacja awarii / Beseitigung von Ausfällen],MATCH($B197,tab_MinKomp[[Stanowisko / Position ]:[Stanowisko / Position ]],0)))</f>
        <v>n/a</v>
      </c>
      <c r="BW198" s="315" t="str">
        <f>IF(INDEX(tab_MinKomp[Informatyka ogólna (techniczne i systemowe) / Allgemeine IT (Technik und System)],MATCH($B197,tab_MinKomp[[Stanowisko / Position ]:[Stanowisko / Position ]],0))="n/a","n/a",BW197-INDEX(tab_MinKomp[Informatyka ogólna (techniczne i systemowe) / Allgemeine IT (Technik und System)],MATCH($B197,tab_MinKomp[[Stanowisko / Position ]:[Stanowisko / Position ]],0)))</f>
        <v>n/a</v>
      </c>
      <c r="BX198" s="315" t="str">
        <f>IF(INDEX(tab_MinKomp[Sieci komputerowe / Computernetzwerke],MATCH($B197,tab_MinKomp[[Stanowisko / Position ]:[Stanowisko / Position ]],0))="n/a","n/a",BX197-INDEX(tab_MinKomp[Sieci komputerowe / Computernetzwerke],MATCH($B197,tab_MinKomp[[Stanowisko / Position ]:[Stanowisko / Position ]],0)))</f>
        <v>n/a</v>
      </c>
      <c r="BY198" s="315" t="str">
        <f>IF(INDEX(tab_MinKomp[Hardware (komputery PC, drukarki biurowe i etykietowe, telefonia stacjonarna i mobilna) (PC, Drucker, Telefpne, Handys)],MATCH($B197,tab_MinKomp[[Stanowisko / Position ]:[Stanowisko / Position ]],0))="n/a","n/a",BY197-INDEX(tab_MinKomp[Hardware (komputery PC, drukarki biurowe i etykietowe, telefonia stacjonarna i mobilna) (PC, Drucker, Telefpne, Handys)],MATCH($B197,tab_MinKomp[[Stanowisko / Position ]:[Stanowisko / Position ]],0)))</f>
        <v>n/a</v>
      </c>
      <c r="BZ198" s="315" t="str">
        <f>IF(INDEX(tab_MinKomp[Software &amp; Systems (MS Office, MS Remote Desktop)],MATCH($B197,tab_MinKomp[[Stanowisko / Position ]:[Stanowisko / Position ]],0))="n/a","n/a",BZ197-INDEX(tab_MinKomp[Software &amp; Systems (MS Office, MS Remote Desktop)],MATCH($B197,tab_MinKomp[[Stanowisko / Position ]:[Stanowisko / Position ]],0)))</f>
        <v>n/a</v>
      </c>
      <c r="CA198" s="315" t="str">
        <f>IF(INDEX(tab_MinKomp[Programowanie obiektowe (PHP) / Objektprogrammierung],MATCH($B197,tab_MinKomp[[Stanowisko / Position ]:[Stanowisko / Position ]],0))="n/a","n/a",CA197-INDEX(tab_MinKomp[Programowanie obiektowe (PHP) / Objektprogrammierung],MATCH($B197,tab_MinKomp[[Stanowisko / Position ]:[Stanowisko / Position ]],0)))</f>
        <v>n/a</v>
      </c>
      <c r="CB198" s="315" t="str">
        <f>IF(INDEX(tab_MinKomp[Scrum],MATCH($B197,tab_MinKomp[[Stanowisko / Position ]:[Stanowisko / Position ]],0))="n/a","n/a",CB197-INDEX(tab_MinKomp[Scrum],MATCH($B197,tab_MinKomp[[Stanowisko / Position ]:[Stanowisko / Position ]],0)))</f>
        <v>n/a</v>
      </c>
      <c r="CC198" s="315" t="str">
        <f>IF(INDEX(tab_MinKomp[SQL (MySQL)],MATCH($B197,tab_MinKomp[[Stanowisko / Position ]:[Stanowisko / Position ]],0))="n/a","n/a",CC197-INDEX(tab_MinKomp[SQL (MySQL)],MATCH($B197,tab_MinKomp[[Stanowisko / Position ]:[Stanowisko / Position ]],0)))</f>
        <v>n/a</v>
      </c>
      <c r="CD198" s="315" t="str">
        <f>IF(INDEX(tab_MinKomp[Javascript],MATCH($B197,tab_MinKomp[[Stanowisko / Position ]:[Stanowisko / Position ]],0))="n/a","n/a",CD197-INDEX(tab_MinKomp[Javascript],MATCH($B197,tab_MinKomp[[Stanowisko / Position ]:[Stanowisko / Position ]],0)))</f>
        <v>n/a</v>
      </c>
      <c r="CE198" s="315" t="str">
        <f>IF(INDEX(tab_MinKomp[Joomla],MATCH($B197,tab_MinKomp[[Stanowisko / Position ]:[Stanowisko / Position ]],0))="n/a","n/a",CE197-INDEX(tab_MinKomp[Joomla],MATCH($B197,tab_MinKomp[[Stanowisko / Position ]:[Stanowisko / Position ]],0)))</f>
        <v>n/a</v>
      </c>
      <c r="CF198" s="315" t="str">
        <f>IF(INDEX(tab_MinKomp[Bash],MATCH($B197,tab_MinKomp[[Stanowisko / Position ]:[Stanowisko / Position ]],0))="n/a","n/a",CF197-INDEX(tab_MinKomp[Bash],MATCH($B197,tab_MinKomp[[Stanowisko / Position ]:[Stanowisko / Position ]],0)))</f>
        <v>n/a</v>
      </c>
      <c r="CG198" s="315">
        <f>IF(INDEX(tab_MinKomp[Systemy MES (HYDRA / SFMS)],MATCH($B197,tab_MinKomp[[Stanowisko / Position ]:[Stanowisko / Position ]],0))="n/a","n/a",CG197-INDEX(tab_MinKomp[Systemy MES (HYDRA / SFMS)],MATCH($B197,tab_MinKomp[[Stanowisko / Position ]:[Stanowisko / Position ]],0)))</f>
        <v>0</v>
      </c>
      <c r="CH198" s="315" t="str">
        <f>IF(INDEX(tab_MinKomp[HTML / CSS],MATCH($B197,tab_MinKomp[[Stanowisko / Position ]:[Stanowisko / Position ]],0))="n/a","n/a",CH197-INDEX(tab_MinKomp[HTML / CSS],MATCH($B197,tab_MinKomp[[Stanowisko / Position ]:[Stanowisko / Position ]],0)))</f>
        <v>n/a</v>
      </c>
      <c r="CI198" s="315">
        <f>IF(INDEX(tab_MinKomp[SYSTEM PR],MATCH($B197,tab_MinKomp[[Stanowisko / Position ]:[Stanowisko / Position ]],0))="n/a","n/a",CI197-INDEX(tab_MinKomp[SYSTEM PR],MATCH($B197,tab_MinKomp[[Stanowisko / Position ]:[Stanowisko / Position ]],0)))</f>
        <v>0</v>
      </c>
      <c r="CJ198" s="315" t="str">
        <f>IF(INDEX(tab_MinKomp[MSA i SPC],MATCH($B197,tab_MinKomp[[Stanowisko / Position ]:[Stanowisko / Position ]],0))="n/a","n/a",CJ197-INDEX(tab_MinKomp[MSA i SPC],MATCH($B197,tab_MinKomp[[Stanowisko / Position ]:[Stanowisko / Position ]],0)))</f>
        <v>n/a</v>
      </c>
      <c r="CK198" s="315" t="str">
        <f>IF(INDEX(tab_MinKomp[Techniki negocjacyjne / Verhandlungstechniken],MATCH($B197,tab_MinKomp[[Stanowisko / Position ]:[Stanowisko / Position ]],0))="n/a","n/a",CK197-INDEX(tab_MinKomp[Techniki negocjacyjne / Verhandlungstechniken],MATCH($B197,tab_MinKomp[[Stanowisko / Position ]:[Stanowisko / Position ]],0)))</f>
        <v>n/a</v>
      </c>
      <c r="CL198" s="315" t="str">
        <f>IF(INDEX(tab_MinKomp[Znajomość rynku branżowego / Kenntnis des Industrie Marktes],MATCH($B197,tab_MinKomp[[Stanowisko / Position ]:[Stanowisko / Position ]],0))="n/a","n/a",CL197-INDEX(tab_MinKomp[Znajomość rynku branżowego / Kenntnis des Industrie Marktes],MATCH($B197,tab_MinKomp[[Stanowisko / Position ]:[Stanowisko / Position ]],0)))</f>
        <v>n/a</v>
      </c>
      <c r="CM198" s="315">
        <f>IF(INDEX(tab_MinKomp[RAPORTY 8D / 8D Berichten],MATCH($B197,tab_MinKomp[[Stanowisko / Position ]:[Stanowisko / Position ]],0))="n/a","n/a",CM197-INDEX(tab_MinKomp[RAPORTY 8D / 8D Berichten],MATCH($B197,tab_MinKomp[[Stanowisko / Position ]:[Stanowisko / Position ]],0)))</f>
        <v>0</v>
      </c>
      <c r="CN198" s="315">
        <f>IF(INDEX(tab_MinKomp[NARZĘDZIA JAKOŚCIOWE (5WHY, Ishikawa, etc) / QS-Werkzeuge],MATCH($B197,tab_MinKomp[[Stanowisko / Position ]:[Stanowisko / Position ]],0))="n/a","n/a",CN197-INDEX(tab_MinKomp[NARZĘDZIA JAKOŚCIOWE (5WHY, Ishikawa, etc) / QS-Werkzeuge],MATCH($B197,tab_MinKomp[[Stanowisko / Position ]:[Stanowisko / Position ]],0)))</f>
        <v>0</v>
      </c>
      <c r="CO198" s="315">
        <f>IF(INDEX(tab_MinKomp[PDCA],MATCH($B197,tab_MinKomp[[Stanowisko / Position ]:[Stanowisko / Position ]],0))="n/a","n/a",CO197-INDEX(tab_MinKomp[PDCA],MATCH($B197,tab_MinKomp[[Stanowisko / Position ]:[Stanowisko / Position ]],0)))</f>
        <v>0</v>
      </c>
      <c r="CP198" s="315">
        <f>IF(INDEX(tab_MinKomp[Pareto],MATCH($B197,tab_MinKomp[[Stanowisko / Position ]:[Stanowisko / Position ]],0))="n/a","n/a",CP197-INDEX(tab_MinKomp[Pareto],MATCH($B197,tab_MinKomp[[Stanowisko / Position ]:[Stanowisko / Position ]],0)))</f>
        <v>0</v>
      </c>
      <c r="CQ198" s="315">
        <f>IF(INDEX(tab_MinKomp[PPAP/PSW],MATCH($B197,tab_MinKomp[[Stanowisko / Position ]:[Stanowisko / Position ]],0))="n/a","n/a",CQ197-INDEX(tab_MinKomp[PPAP/PSW],MATCH($B197,tab_MinKomp[[Stanowisko / Position ]:[Stanowisko / Position ]],0)))</f>
        <v>0</v>
      </c>
      <c r="CR198" s="315" t="str">
        <f>IF(INDEX(tab_MinKomp[SUPPLIER MANAGEMENT],MATCH($B197,tab_MinKomp[[Stanowisko / Position ]:[Stanowisko / Position ]],0))="n/a","n/a",CR197-INDEX(tab_MinKomp[SUPPLIER MANAGEMENT],MATCH($B197,tab_MinKomp[[Stanowisko / Position ]:[Stanowisko / Position ]],0)))</f>
        <v>n/a</v>
      </c>
      <c r="CS198" s="315" t="str">
        <f>IF(INDEX(tab_MinKomp[OBSŁUGA PORTALI KLIENTA / Kundenportale],MATCH($B197,tab_MinKomp[[Stanowisko / Position ]:[Stanowisko / Position ]],0))="n/a","n/a",CS197-INDEX(tab_MinKomp[OBSŁUGA PORTALI KLIENTA / Kundenportale],MATCH($B197,tab_MinKomp[[Stanowisko / Position ]:[Stanowisko / Position ]],0)))</f>
        <v>n/a</v>
      </c>
      <c r="CT198" s="315" t="str">
        <f>IF(INDEX(tab_MinKomp[Obsługa systemu BABTECQ / BABTECQ System],MATCH($B197,tab_MinKomp[[Stanowisko / Position ]:[Stanowisko / Position ]],0))="n/a","n/a",CT197-INDEX(tab_MinKomp[Obsługa systemu BABTECQ / BABTECQ System],MATCH($B197,tab_MinKomp[[Stanowisko / Position ]:[Stanowisko / Position ]],0)))</f>
        <v>n/a</v>
      </c>
      <c r="CU198" s="315">
        <f>IF(INDEX(tab_MinKomp[Rysunek techniczny / technische Zeichnung],MATCH($B197,tab_MinKomp[[Stanowisko / Position ]:[Stanowisko / Position ]],0))="n/a","n/a",CU197-INDEX(tab_MinKomp[Rysunek techniczny / technische Zeichnung],MATCH($B197,tab_MinKomp[[Stanowisko / Position ]:[Stanowisko / Position ]],0)))</f>
        <v>0</v>
      </c>
      <c r="CV198" s="315">
        <v>0</v>
      </c>
      <c r="CW198" s="315">
        <v>0</v>
      </c>
      <c r="CX198" s="315">
        <v>0</v>
      </c>
      <c r="CY198" s="315" t="s">
        <v>176</v>
      </c>
      <c r="CZ198" s="315" t="s">
        <v>176</v>
      </c>
      <c r="DA198" s="315" t="s">
        <v>176</v>
      </c>
      <c r="DB198" s="315" t="s">
        <v>176</v>
      </c>
      <c r="DC198" s="315" t="s">
        <v>176</v>
      </c>
      <c r="DD198" s="315" t="s">
        <v>176</v>
      </c>
      <c r="DE198" s="315" t="s">
        <v>176</v>
      </c>
      <c r="DF198" s="315">
        <v>-1</v>
      </c>
      <c r="DG198" s="315" t="s">
        <v>176</v>
      </c>
      <c r="DH198" s="315" t="s">
        <v>176</v>
      </c>
      <c r="DI198" s="315" t="s">
        <v>176</v>
      </c>
      <c r="DJ198" s="315" t="s">
        <v>176</v>
      </c>
      <c r="DK198" s="315" t="s">
        <v>176</v>
      </c>
      <c r="DL198" s="315" t="s">
        <v>176</v>
      </c>
      <c r="DM198" s="315" t="s">
        <v>176</v>
      </c>
      <c r="DN198" s="315" t="s">
        <v>176</v>
      </c>
      <c r="DO198" s="315" t="s">
        <v>176</v>
      </c>
      <c r="DP198" s="315" t="s">
        <v>176</v>
      </c>
      <c r="DQ198" s="315" t="s">
        <v>176</v>
      </c>
      <c r="DR198" s="315" t="s">
        <v>176</v>
      </c>
      <c r="DS198" s="315" t="s">
        <v>176</v>
      </c>
      <c r="DT198" s="315" t="s">
        <v>176</v>
      </c>
      <c r="DU198" s="315" t="str">
        <f>IF(INDEX(tab_MinKomp[MSA i SPC],MATCH($B197,tab_MinKomp[[Stanowisko / Position ]:[Stanowisko / Position ]],0))="n/a","n/a",DU197-INDEX(tab_MinKomp[MSA i SPC],MATCH($B197,tab_MinKomp[[Stanowisko / Position ]:[Stanowisko / Position ]],0)))</f>
        <v>n/a</v>
      </c>
      <c r="DV198" s="315" t="str">
        <f>IF(INDEX(tab_MinKomp[Kontrola wejściowa komponentów/ Eingangskontrolle],MATCH($B197,tab_MinKomp[[Stanowisko / Position ]:[Stanowisko / Position ]],0))="n/a","n/a",DV197-INDEX(tab_MinKomp[Kontrola wejściowa komponentów/ Eingangskontrolle],MATCH($B197,tab_MinKomp[[Stanowisko / Position ]:[Stanowisko / Position ]],0)))</f>
        <v>n/a</v>
      </c>
      <c r="DW198" s="315" t="str">
        <f>IF(INDEX(tab_MinKomp[Kontrola wyjściowa produktu / Ausgangskontrolle],MATCH($B197,tab_MinKomp[[Stanowisko / Position ]:[Stanowisko / Position ]],0))="n/a","n/a",DW197-INDEX(tab_MinKomp[Kontrola wyjściowa produktu / Ausgangskontrolle],MATCH($B197,tab_MinKomp[[Stanowisko / Position ]:[Stanowisko / Position ]],0)))</f>
        <v>n/a</v>
      </c>
      <c r="DX198" s="315" t="str">
        <f>IF(INDEX(tab_MinKomp[Kontrola codzienna produkcji / Tägliche Produktionskontrolle],MATCH($B197,tab_MinKomp[[Stanowisko / Position ]:[Stanowisko / Position ]],0))="n/a","n/a",DX197-INDEX(tab_MinKomp[Kontrola codzienna produkcji / Tägliche Produktionskontrolle],MATCH($B197,tab_MinKomp[[Stanowisko / Position ]:[Stanowisko / Position ]],0)))</f>
        <v>n/a</v>
      </c>
      <c r="DY198" s="315" t="str">
        <f>IF(INDEX(tab_MinKomp[PSCR (VW Product Safety &amp; Conformity Representative)],MATCH($B197,tab_MinKomp[[Stanowisko / Position ]:[Stanowisko / Position ]],0))="n/a","n/a",DY197-INDEX(tab_MinKomp[PSCR (VW Product Safety &amp; Conformity Representative)],MATCH($B197,tab_MinKomp[[Stanowisko / Position ]:[Stanowisko / Position ]],0)))</f>
        <v>n/a</v>
      </c>
      <c r="DZ198" s="315" t="str">
        <f>IF(INDEX(tab_MinKomp[PSCR (VW Product Safety &amp; Conformity Representative)],MATCH($B197,tab_MinKomp[[Stanowisko / Position ]:[Stanowisko / Position ]],0))="n/a","n/a",DZ197-INDEX(tab_MinKomp[PSCR (VW Product Safety &amp; Conformity Representative)],MATCH($B197,tab_MinKomp[[Stanowisko / Position ]:[Stanowisko / Position ]],0)))</f>
        <v>n/a</v>
      </c>
      <c r="EA198" s="315" t="str">
        <f>IF(INDEX(tab_MinKomp[MSA i SPC],MATCH($B197,tab_MinKomp[[Stanowisko / Position ]:[Stanowisko / Position ]],0))="n/a","n/a",EA197-INDEX(tab_MinKomp[MSA i SPC],MATCH($B197,tab_MinKomp[[Stanowisko / Position ]:[Stanowisko / Position ]],0)))</f>
        <v>n/a</v>
      </c>
      <c r="EB198" s="315" t="str">
        <f>IF(INDEX(tab_MinKomp[MSA i SPC],MATCH($B197,tab_MinKomp[[Stanowisko / Position ]:[Stanowisko / Position ]],0))="n/a","n/a",EB197-INDEX(tab_MinKomp[MSA i SPC],MATCH($B197,tab_MinKomp[[Stanowisko / Position ]:[Stanowisko / Position ]],0)))</f>
        <v>n/a</v>
      </c>
      <c r="EC198" s="315" t="str">
        <f>IF(INDEX(tab_MinKomp[MSA i SPC],MATCH($B197,tab_MinKomp[[Stanowisko / Position ]:[Stanowisko / Position ]],0))="n/a","n/a",EC197-INDEX(tab_MinKomp[MSA i SPC],MATCH($B197,tab_MinKomp[[Stanowisko / Position ]:[Stanowisko / Position ]],0)))</f>
        <v>n/a</v>
      </c>
      <c r="ED198" s="315" t="str">
        <f>IF(INDEX(tab_MinKomp[MSA i SPC],MATCH($B197,tab_MinKomp[[Stanowisko / Position ]:[Stanowisko / Position ]],0))="n/a","n/a",ED197-INDEX(tab_MinKomp[MSA i SPC],MATCH($B197,tab_MinKomp[[Stanowisko / Position ]:[Stanowisko / Position ]],0)))</f>
        <v>n/a</v>
      </c>
      <c r="EE198" s="315" t="str">
        <f>IF(INDEX(tab_MinKomp[MSA i SPC],MATCH($B197,tab_MinKomp[[Stanowisko / Position ]:[Stanowisko / Position ]],0))="n/a","n/a",EE197-INDEX(tab_MinKomp[MSA i SPC],MATCH($B197,tab_MinKomp[[Stanowisko / Position ]:[Stanowisko / Position ]],0)))</f>
        <v>n/a</v>
      </c>
      <c r="EF198" s="315">
        <v>-1</v>
      </c>
      <c r="EG198" s="315" t="str">
        <f>IF(INDEX(tab_MinKomp[MSA i SPC],MATCH($B197,tab_MinKomp[[Stanowisko / Position ]:[Stanowisko / Position ]],0))="n/a","n/a",EG197-INDEX(tab_MinKomp[MSA i SPC],MATCH($B197,tab_MinKomp[[Stanowisko / Position ]:[Stanowisko / Position ]],0)))</f>
        <v>n/a</v>
      </c>
      <c r="EH198" s="315" t="str">
        <f>IF(INDEX(tab_MinKomp[MSA i SPC],MATCH($B197,tab_MinKomp[[Stanowisko / Position ]:[Stanowisko / Position ]],0))="n/a","n/a",EH197-INDEX(tab_MinKomp[MSA i SPC],MATCH($B197,tab_MinKomp[[Stanowisko / Position ]:[Stanowisko / Position ]],0)))</f>
        <v>n/a</v>
      </c>
      <c r="EI198" s="315" t="str">
        <f>IF(INDEX(tab_MinKomp[MSA i SPC],MATCH($B197,tab_MinKomp[[Stanowisko / Position ]:[Stanowisko / Position ]],0))="n/a","n/a",EI197-INDEX(tab_MinKomp[MSA i SPC],MATCH($B197,tab_MinKomp[[Stanowisko / Position ]:[Stanowisko / Position ]],0)))</f>
        <v>n/a</v>
      </c>
      <c r="EJ198" s="315" t="str">
        <f>IF(INDEX(tab_MinKomp[MSA i SPC],MATCH($B197,tab_MinKomp[[Stanowisko / Position ]:[Stanowisko / Position ]],0))="n/a","n/a",EJ197-INDEX(tab_MinKomp[MSA i SPC],MATCH($B197,tab_MinKomp[[Stanowisko / Position ]:[Stanowisko / Position ]],0)))</f>
        <v>n/a</v>
      </c>
      <c r="EK198" s="315" t="str">
        <f>IF(INDEX(tab_MinKomp[MSA i SPC],MATCH($B197,tab_MinKomp[[Stanowisko / Position ]:[Stanowisko / Position ]],0))="n/a","n/a",EK197-INDEX(tab_MinKomp[MSA i SPC],MATCH($B197,tab_MinKomp[[Stanowisko / Position ]:[Stanowisko / Position ]],0)))</f>
        <v>n/a</v>
      </c>
      <c r="EL198" s="315" t="str">
        <f>IF(INDEX(tab_MinKomp[MSA i SPC],MATCH($B197,tab_MinKomp[[Stanowisko / Position ]:[Stanowisko / Position ]],0))="n/a","n/a",EL197-INDEX(tab_MinKomp[MSA i SPC],MATCH($B197,tab_MinKomp[[Stanowisko / Position ]:[Stanowisko / Position ]],0)))</f>
        <v>n/a</v>
      </c>
      <c r="EM198" s="315" t="str">
        <f>IF(INDEX(tab_MinKomp[MSA i SPC],MATCH($B197,tab_MinKomp[[Stanowisko / Position ]:[Stanowisko / Position ]],0))="n/a","n/a",EM197-INDEX(tab_MinKomp[MSA i SPC],MATCH($B197,tab_MinKomp[[Stanowisko / Position ]:[Stanowisko / Position ]],0)))</f>
        <v>n/a</v>
      </c>
      <c r="EN198" s="315" t="str">
        <f>IF(INDEX(tab_MinKomp[MSA i SPC],MATCH($B197,tab_MinKomp[[Stanowisko / Position ]:[Stanowisko / Position ]],0))="n/a","n/a",EN197-INDEX(tab_MinKomp[MSA i SPC],MATCH($B197,tab_MinKomp[[Stanowisko / Position ]:[Stanowisko / Position ]],0)))</f>
        <v>n/a</v>
      </c>
      <c r="EO198" s="315">
        <v>1</v>
      </c>
      <c r="EP198" s="315">
        <f>IF(INDEX(tab_MinKomp[[Czyszczenie form gumowych ]],MATCH($B197,tab_MinKomp[[Stanowisko / Position ]:[Stanowisko / Position ]],0))="n/a","n/a",EP197-INDEX(tab_MinKomp[[Czyszczenie form gumowych ]],MATCH($B197,tab_MinKomp[[Stanowisko / Position ]:[Stanowisko / Position ]],0)))</f>
        <v>0</v>
      </c>
      <c r="EQ198" s="315" t="str">
        <f>IF(INDEX(tab_MinKomp[Czyszczenie form plastikowych],MATCH($B197,tab_MinKomp[[Stanowisko / Position ]:[Stanowisko / Position ]],0))="n/a","n/a",EQ197-INDEX(tab_MinKomp[Czyszczenie form plastikowych],MATCH($B197,tab_MinKomp[[Stanowisko / Position ]:[Stanowisko / Position ]],0)))</f>
        <v>n/a</v>
      </c>
      <c r="ER198" s="315" t="str">
        <f>IF(INDEX(tab_MinKomp[Wymiana form plastik],MATCH($B197,tab_MinKomp[[Stanowisko / Position ]:[Stanowisko / Position ]],0))="n/a","n/a",ER197-INDEX(tab_MinKomp[Wymiana form plastik],MATCH($B197,tab_MinKomp[[Stanowisko / Position ]:[Stanowisko / Position ]],0)))</f>
        <v>n/a</v>
      </c>
      <c r="ES198" s="315" t="str">
        <f>IF(INDEX(tab_MinKomp[Wymiana form guma],MATCH($B197,tab_MinKomp[[Stanowisko / Position ]:[Stanowisko / Position ]],0))="n/a","n/a",ES197-INDEX(tab_MinKomp[Wymiana form guma],MATCH($B197,tab_MinKomp[[Stanowisko / Position ]:[Stanowisko / Position ]],0)))</f>
        <v>n/a</v>
      </c>
      <c r="ET198" s="315" t="str">
        <f>IF(INDEX(tab_MinKomp[Konserwacja KK],MATCH($B197,tab_MinKomp[[Stanowisko / Position ]:[Stanowisko / Position ]],0))="n/a","n/a",ET197-INDEX(tab_MinKomp[Konserwacja KK],MATCH($B197,tab_MinKomp[[Stanowisko / Position ]:[Stanowisko / Position ]],0)))</f>
        <v>n/a</v>
      </c>
      <c r="EU198" s="315" t="str">
        <f>IF(INDEX(tab_MinKomp[Konserwacja form guma],MATCH($B197,tab_MinKomp[[Stanowisko / Position ]:[Stanowisko / Position ]],0))="n/a","n/a",EU197-INDEX(tab_MinKomp[Konserwacja form guma],MATCH($B197,tab_MinKomp[[Stanowisko / Position ]:[Stanowisko / Position ]],0)))</f>
        <v>n/a</v>
      </c>
      <c r="EV198" s="315" t="str">
        <f>IF(INDEX(tab_MinKomp[Konserwacja form plastiki],MATCH($B197,tab_MinKomp[[Stanowisko / Position ]:[Stanowisko / Position ]],0))="n/a","n/a",EV197-INDEX(tab_MinKomp[Konserwacja form plastiki],MATCH($B197,tab_MinKomp[[Stanowisko / Position ]:[Stanowisko / Position ]],0)))</f>
        <v>n/a</v>
      </c>
      <c r="EW198" s="330" t="str">
        <f>IF(INDEX(tab_MinKomp[Konserwacja form plastiki],MATCH($B197,tab_MinKomp[[Stanowisko / Position ]:[Stanowisko / Position ]],0))="n/a","n/a",EW197-INDEX(tab_MinKomp[Konserwacja form plastiki],MATCH($B197,tab_MinKomp[[Stanowisko / Position ]:[Stanowisko / Position ]],0)))</f>
        <v>n/a</v>
      </c>
      <c r="EX198" s="315" t="str">
        <f>IF(INDEX(tab_MinKomp[Konserwacja Gorącego Kanału],MATCH($B197,tab_MinKomp[[Stanowisko / Position ]:[Stanowisko / Position ]],0))="n/a","n/a",EX197-INDEX(tab_MinKomp[Konserwacja Gorącego Kanału],MATCH($B197,tab_MinKomp[[Stanowisko / Position ]:[Stanowisko / Position ]],0)))</f>
        <v>n/a</v>
      </c>
      <c r="EY198" s="315">
        <f>IF(INDEX(tab_MinKomp[MS Office (Excel)],MATCH($B197,tab_MinKomp[[Stanowisko / Position ]:[Stanowisko / Position ]],0))="n/a","n/a",EY197-INDEX(tab_MinKomp[MS Office (Excel)],MATCH($B197,tab_MinKomp[[Stanowisko / Position ]:[Stanowisko / Position ]],0)))</f>
        <v>-1</v>
      </c>
      <c r="EZ198" s="315">
        <f>IF(INDEX(tab_MinKomp[MS Office (Word)],MATCH($B197,tab_MinKomp[[Stanowisko / Position ]:[Stanowisko / Position ]],0))="n/a","n/a",EZ197-INDEX(tab_MinKomp[MS Office (Word)],MATCH($B197,tab_MinKomp[[Stanowisko / Position ]:[Stanowisko / Position ]],0)))</f>
        <v>0</v>
      </c>
      <c r="FA198" s="315">
        <f>IF(INDEX(tab_MinKomp[MS Office (Power Point)],MATCH($B197,tab_MinKomp[[Stanowisko / Position ]:[Stanowisko / Position ]],0))="n/a","n/a",FA197-INDEX(tab_MinKomp[MS Office (Power Point)],MATCH($B197,tab_MinKomp[[Stanowisko / Position ]:[Stanowisko / Position ]],0)))</f>
        <v>0</v>
      </c>
      <c r="FB198" s="317">
        <f>IF(INDEX(tab_MinKomp[Język angielski / Englisch],MATCH($B197,tab_MinKomp[[Stanowisko / Position ]:[Stanowisko / Position ]],0))="n/a","n/a",FB197-INDEX(tab_MinKomp[Język angielski / Englisch],MATCH($B197,tab_MinKomp[[Stanowisko / Position ]:[Stanowisko / Position ]],0)))</f>
        <v>-1</v>
      </c>
      <c r="FC198" s="317" t="str">
        <f>IF(INDEX(tab_MinKomp[Język niemiecki / Deutsch],MATCH($B197,tab_MinKomp[[Stanowisko / Position ]:[Stanowisko / Position ]],0))="n/a","n/a",FC197-INDEX(tab_MinKomp[Język niemiecki / Deutsch],MATCH($B197,tab_MinKomp[[Stanowisko / Position ]:[Stanowisko / Position ]],0)))</f>
        <v>n/a</v>
      </c>
      <c r="FD198" s="315">
        <f>IF(INDEX(tab_MinKomp[Zarządzanie dokumentacją procesową / Process dokumentation management],MATCH($B197,tab_MinKomp[[Stanowisko / Position ]:[Stanowisko / Position ]],0))="n/a","n/a",FD197-INDEX(tab_MinKomp[Zarządzanie dokumentacją procesową / Process dokumentation management],MATCH($B197,tab_MinKomp[[Stanowisko / Position ]:[Stanowisko / Position ]],0)))</f>
        <v>0</v>
      </c>
      <c r="FE198" s="315">
        <f>IF(INDEX(tab_MinKomp[Znajomość procesów z obszaru / Kenntiss der prozesse in dem Bereich],MATCH($B197,tab_MinKomp[[Stanowisko / Position ]:[Stanowisko / Position ]],0))="n/a","n/a",FE197-INDEX(tab_MinKomp[Znajomość procesów z obszaru / Kenntiss der prozesse in dem Bereich],MATCH($B197,tab_MinKomp[[Stanowisko / Position ]:[Stanowisko / Position ]],0)))</f>
        <v>0</v>
      </c>
      <c r="FF198" s="315">
        <f>IF(INDEX(tab_MinKomp[optymalizacja procesów / Prozessoptymalisierung],MATCH($B197,tab_MinKomp[[Stanowisko / Position ]:[Stanowisko / Position ]],0))="n/a","n/a",FF197-INDEX(tab_MinKomp[optymalizacja procesów / Prozessoptymalisierung],MATCH($B197,tab_MinKomp[[Stanowisko / Position ]:[Stanowisko / Position ]],0)))</f>
        <v>0</v>
      </c>
      <c r="FG198" s="306" t="s">
        <v>176</v>
      </c>
      <c r="FH198" s="315">
        <f>IF(INDEX(tab_MinKomp[Analityczne myślenie, podejście / Analitysches Denken, Einstellung],MATCH($B197,tab_MinKomp[[Stanowisko / Position ]:[Stanowisko / Position ]],0))="n/a","n/a",FH197-INDEX(tab_MinKomp[Analityczne myślenie, podejście / Analitysches Denken, Einstellung],MATCH($B197,tab_MinKomp[[Stanowisko / Position ]:[Stanowisko / Position ]],0)))</f>
        <v>-1</v>
      </c>
      <c r="FI198" s="315">
        <f>IF(INDEX(tab_MinKomp[Dokładność, precyzja w dzialaniu / Genauigkeit, Präzision in die Arbeit],MATCH($B197,tab_MinKomp[[Stanowisko / Position ]:[Stanowisko / Position ]],0))="n/a","n/a",FI197-INDEX(tab_MinKomp[Dokładność, precyzja w dzialaniu / Genauigkeit, Präzision in die Arbeit],MATCH($B197,tab_MinKomp[[Stanowisko / Position ]:[Stanowisko / Position ]],0)))</f>
        <v>0</v>
      </c>
      <c r="FJ198" s="315">
        <f>IF(INDEX(tab_MinKomp[Dyspozycyjność / Verfügbarkeit],MATCH($B197,tab_MinKomp[[Stanowisko / Position ]:[Stanowisko / Position ]],0))="n/a","n/a",FJ197-INDEX(tab_MinKomp[Dyspozycyjność / Verfügbarkeit],MATCH($B197,tab_MinKomp[[Stanowisko / Position ]:[Stanowisko / Position ]],0)))</f>
        <v>1</v>
      </c>
      <c r="FK198" s="315">
        <f>IF(INDEX(tab_MinKomp[Zaangażowanie / 
Engagement],MATCH($B197,tab_MinKomp[[Stanowisko / Position ]:[Stanowisko / Position ]],0))="n/a","n/a",FK197-INDEX(tab_MinKomp[Zaangażowanie / 
Engagement],MATCH($B197,tab_MinKomp[[Stanowisko / Position ]:[Stanowisko / Position ]],0)))</f>
        <v>0</v>
      </c>
      <c r="FL198" s="306" t="s">
        <v>176</v>
      </c>
      <c r="FM198" s="315">
        <f>IF(INDEX(tab_MinKomp[Konsekwentne i dynamiczne działanie],MATCH($B197,tab_MinKomp[[Stanowisko / Position ]:[Stanowisko / Position ]],0))="n/a","n/a",FM197-INDEX(tab_MinKomp[Konsekwentne i dynamiczne działanie],MATCH($B197,tab_MinKomp[[Stanowisko / Position ]:[Stanowisko / Position ]],0)))</f>
        <v>1</v>
      </c>
      <c r="FN198" s="315">
        <f>IF(INDEX(tab_MinKomp[Elastyczność w działaniu],MATCH($B197,tab_MinKomp[[Stanowisko / Position ]:[Stanowisko / Position ]],0))="n/a","n/a",FN197-INDEX(tab_MinKomp[Elastyczność w działaniu],MATCH($B197,tab_MinKomp[[Stanowisko / Position ]:[Stanowisko / Position ]],0)))</f>
        <v>1</v>
      </c>
      <c r="FO198" s="315">
        <f>IF(INDEX(tab_MinKomp[Komunikatywność],MATCH($B197,tab_MinKomp[[Stanowisko / Position ]:[Stanowisko / Position ]],0))="n/a","n/a",FO197-INDEX(tab_MinKomp[Komunikatywność],MATCH($B197,tab_MinKomp[[Stanowisko / Position ]:[Stanowisko / Position ]],0)))</f>
        <v>1</v>
      </c>
      <c r="FP198" s="314">
        <f>IF(INDEX(tab_MinKomp[Motywowanie i budowanie zaangażowania zespołu],MATCH($B197,tab_MinKomp[[Stanowisko / Position ]:[Stanowisko / Position ]],0))="n/a","n/a",FP197-INDEX(tab_MinKomp[Motywowanie i budowanie zaangażowania zespołu],MATCH($B197,tab_MinKomp[[Stanowisko / Position ]:[Stanowisko / Position ]],0)))</f>
        <v>0</v>
      </c>
      <c r="FQ198" s="306" t="s">
        <v>176</v>
      </c>
      <c r="FR198" s="315" t="str">
        <f>IF(INDEX(tab_MinKomp[MINIMUM 1 ROK / min. 1 Jahr],MATCH($B197,tab_MinKomp[[Stanowisko / Position ]:[Stanowisko / Position ]],0))="n/a","n/a",INDEX(tab_MinKomp[MINIMUM 1 ROK / min. 1 Jahr],MATCH($B197,tab_MinKomp[[Stanowisko / Position ]:[Stanowisko / Position ]],0)))</f>
        <v>n/a</v>
      </c>
      <c r="FS198" s="315" t="str">
        <f>IF(INDEX(tab_MinKomp[MINIMUM 2 LATA / min. 2 Jahre],MATCH($B197,tab_MinKomp[[Stanowisko / Position ]:[Stanowisko / Position ]],0))="n/a","n/a",INDEX(tab_MinKomp[MINIMUM 2 LATA / min. 2 Jahre],MATCH($B197,tab_MinKomp[[Stanowisko / Position ]:[Stanowisko / Position ]],0)))</f>
        <v>n/a</v>
      </c>
      <c r="FT198" s="315" t="str">
        <f>IF(INDEX(tab_MinKomp[MINIMUM 3 LATA / min. 3 Jahre],MATCH($B197,tab_MinKomp[[Stanowisko / Position ]:[Stanowisko / Position ]],0))="n/a","n/a",INDEX(tab_MinKomp[MINIMUM 3 LATA / min. 3 Jahre],MATCH($B197,tab_MinKomp[[Stanowisko / Position ]:[Stanowisko / Position ]],0)))</f>
        <v>n/a</v>
      </c>
      <c r="FU198" s="315" t="str">
        <f>IF(INDEX(tab_MinKomp[MINIMUM 4 LATA / min. 4 Jahre],MATCH($B197,tab_MinKomp[[Stanowisko / Position ]:[Stanowisko / Position ]],0))="n/a","n/a",INDEX(tab_MinKomp[MINIMUM 4 LATA / min. 4 Jahre],MATCH($B197,tab_MinKomp[[Stanowisko / Position ]:[Stanowisko / Position ]],0)))</f>
        <v>n/a</v>
      </c>
      <c r="FV198" s="319" t="str">
        <f>IF(INDEX(tab_MinKomp[MINIMUM 5 LAT / min. 5 Jahre],MATCH($B197,tab_MinKomp[[Stanowisko / Position ]:[Stanowisko / Position ]],0))="n/a","n/a",INDEX(tab_MinKomp[MINIMUM 5 LAT / min. 5 Jahre],MATCH($B197,tab_MinKomp[[Stanowisko / Position ]:[Stanowisko / Position ]],0)))</f>
        <v>n/a</v>
      </c>
      <c r="FW198" s="318" t="str">
        <f>IF(INDEX(tab_MinKomp[BRAK / Keine9],MATCH($B197,tab_MinKomp[[Stanowisko / Position ]:[Stanowisko / Position ]],0))="n/a","n/a",INDEX(tab_MinKomp[BRAK / Keine9],MATCH($B197,tab_MinKomp[[Stanowisko / Position ]:[Stanowisko / Position ]],0)))</f>
        <v>n/a</v>
      </c>
      <c r="FX198" s="315" t="str">
        <f>IF(INDEX(tab_MinKomp[ZAWODOWE / Berufsausbildung],MATCH($B197,tab_MinKomp[[Stanowisko / Position ]:[Stanowisko / Position ]],0))="n/a","n/a",INDEX(tab_MinKomp[ZAWODOWE / Berufsausbildung],MATCH($B197,tab_MinKomp[[Stanowisko / Position ]:[Stanowisko / Position ]],0)))</f>
        <v>X</v>
      </c>
      <c r="FY198" s="315" t="str">
        <f>IF(INDEX(tab_MinKomp[ŚREDNIE OGÓLNE / Abitur allgemeine],MATCH($B197,tab_MinKomp[[Stanowisko / Position ]:[Stanowisko / Position ]],0))="n/a","n/a",INDEX(tab_MinKomp[ŚREDNIE OGÓLNE / Abitur allgemeine],MATCH($B197,tab_MinKomp[[Stanowisko / Position ]:[Stanowisko / Position ]],0)))</f>
        <v>n/a</v>
      </c>
      <c r="FZ198" s="315" t="str">
        <f>IF(INDEX(tab_MinKomp[ŚREDNIE KIERUNKOWE / berufliches Gymnasium],MATCH($B197,tab_MinKomp[[Stanowisko / Position ]:[Stanowisko / Position ]],0))="n/a","n/a",INDEX(tab_MinKomp[ŚREDNIE KIERUNKOWE / berufliches Gymnasium],MATCH($B197,tab_MinKomp[[Stanowisko / Position ]:[Stanowisko / Position ]],0)))</f>
        <v>n/a</v>
      </c>
      <c r="GA198" s="315" t="str">
        <f>IF(INDEX(tab_MinKomp[WYŻSZE OGÓLNE / Hochschule allgemeine],MATCH($B197,tab_MinKomp[[Stanowisko / Position ]:[Stanowisko / Position ]],0))="n/a","n/a",INDEX(tab_MinKomp[WYŻSZE OGÓLNE / Hochschule allgemeine],MATCH($B197,tab_MinKomp[[Stanowisko / Position ]:[Stanowisko / Position ]],0)))</f>
        <v>n/a</v>
      </c>
      <c r="GB198" s="319" t="str">
        <f>IF(INDEX(tab_MinKomp[WYŻSZE KIERUNKOWE / Hochschule berufliche],MATCH($B197,tab_MinKomp[[Stanowisko / Position ]:[Stanowisko / Position ]],0))="n/a","n/a",INDEX(tab_MinKomp[WYŻSZE KIERUNKOWE / Hochschule berufliche],MATCH($B197,tab_MinKomp[[Stanowisko / Position ]:[Stanowisko / Position ]],0)))</f>
        <v>n/a</v>
      </c>
      <c r="GC198" s="318" t="str">
        <f>IF(INDEX(tab_MinKomp[PIERWSZA POMOC / Erste Hilfe],MATCH($B197,tab_MinKomp[[Stanowisko / Position ]:[Stanowisko / Position ]],0))="n/a","n/a",INDEX(tab_MinKomp[PIERWSZA POMOC / Erste Hilfe],MATCH($B197,tab_MinKomp[[Stanowisko / Position ]:[Stanowisko / Position ]],0)))</f>
        <v>n/a</v>
      </c>
      <c r="GD198" s="315" t="str">
        <f>IF(INDEX(tab_MinKomp[Specjalista BHP / BHP Spezialist],MATCH($B197,tab_MinKomp[[Stanowisko / Position ]:[Stanowisko / Position ]],0))="n/a","n/a",INDEX(tab_MinKomp[Specjalista BHP / BHP Spezialist],MATCH($B197,tab_MinKomp[[Stanowisko / Position ]:[Stanowisko / Position ]],0)))</f>
        <v>n/a</v>
      </c>
      <c r="GE198" s="315" t="str">
        <f>IF(INDEX(tab_MinKomp[Inspektor ochrony PPOŻ / Brandschutzinspektor],MATCH($B197,tab_MinKomp[[Stanowisko / Position ]:[Stanowisko / Position ]],0))="n/a","n/a",INDEX(tab_MinKomp[Inspektor ochrony PPOŻ / Brandschutzinspektor],MATCH($B197,tab_MinKomp[[Stanowisko / Position ]:[Stanowisko / Position ]],0)))</f>
        <v>n/a</v>
      </c>
      <c r="GF198" s="315" t="str">
        <f>IF(INDEX(tab_MinKomp[WÓZKI JEZDNIOWE / Gebelstapler],MATCH($B197,tab_MinKomp[[Stanowisko / Position ]:[Stanowisko / Position ]],0))="n/a","n/a",INDEX(tab_MinKomp[WÓZKI JEZDNIOWE / Gebelstapler],MATCH($B197,tab_MinKomp[[Stanowisko / Position ]:[Stanowisko / Position ]],0)))</f>
        <v>n/a</v>
      </c>
      <c r="GG198" s="315" t="str">
        <f>IF(INDEX(tab_MinKomp[SEP],MATCH($B197,tab_MinKomp[[Stanowisko / Position ]:[Stanowisko / Position ]],0))="n/a","n/a",INDEX(tab_MinKomp[SEP],MATCH($B197,tab_MinKomp[[Stanowisko / Position ]:[Stanowisko / Position ]],0)))</f>
        <v>n/a</v>
      </c>
      <c r="GH198" s="315" t="str">
        <f>IF(INDEX(tab_MinKomp[SEP  DOZÓR / SEP Aufsicht],MATCH($B197,tab_MinKomp[[Stanowisko / Position ]:[Stanowisko / Position ]],0))="n/a","n/a",INDEX(tab_MinKomp[SEP  DOZÓR / SEP Aufsicht],MATCH($B197,tab_MinKomp[[Stanowisko / Position ]:[Stanowisko / Position ]],0)))</f>
        <v>n/a</v>
      </c>
      <c r="GI198" s="315" t="str">
        <f>IF(INDEX(tab_MinKomp[PODNOŚNIKI / Hebevorrichtung],MATCH($B197,tab_MinKomp[[Stanowisko / Position ]:[Stanowisko / Position ]],0))="n/a","n/a",INDEX(tab_MinKomp[PODNOŚNIKI / Hebevorrichtung],MATCH($B197,tab_MinKomp[[Stanowisko / Position ]:[Stanowisko / Position ]],0)))</f>
        <v>n/a</v>
      </c>
      <c r="GJ198" s="315" t="str">
        <f>IF(INDEX(tab_MinKomp[SUWNICE / Laufkran],MATCH($B197,tab_MinKomp[[Stanowisko / Position ]:[Stanowisko / Position ]],0))="n/a","n/a",INDEX(tab_MinKomp[SUWNICE / Laufkran],MATCH($B197,tab_MinKomp[[Stanowisko / Position ]:[Stanowisko / Position ]],0)))</f>
        <v>n/a</v>
      </c>
      <c r="GK198" s="319" t="str">
        <f>IF(INDEX(tab_MinKomp[WYSOKOŚCIOWE / Höhenberechtigungen],MATCH($B197,tab_MinKomp[[Stanowisko / Position ]:[Stanowisko / Position ]],0))="n/a","n/a",INDEX(tab_MinKomp[WYSOKOŚCIOWE / Höhenberechtigungen],MATCH($B197,tab_MinKomp[[Stanowisko / Position ]:[Stanowisko / Position ]],0)))</f>
        <v>n/a</v>
      </c>
      <c r="GL198" s="320">
        <f>SUM(G198:FP198)/(GL197-(SUM(G198:FP198)))</f>
        <v>-1.0416666666666666E-2</v>
      </c>
      <c r="GM198" s="132"/>
    </row>
    <row r="199" spans="1:195" s="197" customFormat="1" ht="28.35" customHeight="1" x14ac:dyDescent="0.25">
      <c r="A199" s="135" t="s">
        <v>181</v>
      </c>
      <c r="B199" s="135" t="s">
        <v>597</v>
      </c>
      <c r="C199" s="135" t="s">
        <v>613</v>
      </c>
      <c r="D199" s="135">
        <v>1655</v>
      </c>
      <c r="E199" s="570" t="s">
        <v>652</v>
      </c>
      <c r="F199" s="339" t="s">
        <v>165</v>
      </c>
      <c r="G199" s="323">
        <v>2</v>
      </c>
      <c r="H199" s="323">
        <v>2</v>
      </c>
      <c r="I199" s="323">
        <v>2</v>
      </c>
      <c r="J199" s="323">
        <v>2</v>
      </c>
      <c r="K199" s="323">
        <v>2</v>
      </c>
      <c r="L199" s="323">
        <v>1</v>
      </c>
      <c r="M199" s="308" t="s">
        <v>176</v>
      </c>
      <c r="N199" s="308" t="s">
        <v>176</v>
      </c>
      <c r="O199" s="323">
        <v>1</v>
      </c>
      <c r="P199" s="323">
        <v>1</v>
      </c>
      <c r="Q199" s="308" t="s">
        <v>176</v>
      </c>
      <c r="R199" s="308" t="s">
        <v>176</v>
      </c>
      <c r="S199" s="308" t="s">
        <v>176</v>
      </c>
      <c r="T199" s="308" t="s">
        <v>176</v>
      </c>
      <c r="U199" s="308" t="s">
        <v>176</v>
      </c>
      <c r="V199" s="308" t="s">
        <v>176</v>
      </c>
      <c r="W199" s="308" t="s">
        <v>176</v>
      </c>
      <c r="X199" s="308" t="s">
        <v>176</v>
      </c>
      <c r="Y199" s="308" t="s">
        <v>176</v>
      </c>
      <c r="Z199" s="308" t="s">
        <v>176</v>
      </c>
      <c r="AA199" s="308" t="s">
        <v>176</v>
      </c>
      <c r="AB199" s="308" t="s">
        <v>176</v>
      </c>
      <c r="AC199" s="308" t="s">
        <v>176</v>
      </c>
      <c r="AD199" s="308" t="s">
        <v>176</v>
      </c>
      <c r="AE199" s="308" t="s">
        <v>176</v>
      </c>
      <c r="AF199" s="308" t="s">
        <v>176</v>
      </c>
      <c r="AG199" s="308" t="s">
        <v>176</v>
      </c>
      <c r="AH199" s="308" t="s">
        <v>176</v>
      </c>
      <c r="AI199" s="308" t="s">
        <v>176</v>
      </c>
      <c r="AJ199" s="308" t="s">
        <v>176</v>
      </c>
      <c r="AK199" s="308" t="s">
        <v>176</v>
      </c>
      <c r="AL199" s="308">
        <v>1</v>
      </c>
      <c r="AM199" s="308" t="s">
        <v>176</v>
      </c>
      <c r="AN199" s="308" t="s">
        <v>176</v>
      </c>
      <c r="AO199" s="308" t="s">
        <v>176</v>
      </c>
      <c r="AP199" s="308" t="s">
        <v>176</v>
      </c>
      <c r="AQ199" s="308" t="s">
        <v>176</v>
      </c>
      <c r="AR199" s="308" t="s">
        <v>176</v>
      </c>
      <c r="AS199" s="308" t="s">
        <v>176</v>
      </c>
      <c r="AT199" s="308" t="s">
        <v>176</v>
      </c>
      <c r="AU199" s="308" t="s">
        <v>176</v>
      </c>
      <c r="AV199" s="323">
        <v>2</v>
      </c>
      <c r="AW199" s="308"/>
      <c r="AX199" s="308"/>
      <c r="AY199" s="308" t="s">
        <v>176</v>
      </c>
      <c r="AZ199" s="308" t="s">
        <v>176</v>
      </c>
      <c r="BA199" s="308" t="s">
        <v>176</v>
      </c>
      <c r="BB199" s="308" t="s">
        <v>176</v>
      </c>
      <c r="BC199" s="308" t="s">
        <v>176</v>
      </c>
      <c r="BD199" s="308" t="s">
        <v>176</v>
      </c>
      <c r="BE199" s="308" t="s">
        <v>176</v>
      </c>
      <c r="BF199" s="308" t="s">
        <v>176</v>
      </c>
      <c r="BG199" s="308" t="s">
        <v>176</v>
      </c>
      <c r="BH199" s="308" t="s">
        <v>176</v>
      </c>
      <c r="BI199" s="308" t="s">
        <v>176</v>
      </c>
      <c r="BJ199" s="308" t="s">
        <v>176</v>
      </c>
      <c r="BK199" s="308" t="s">
        <v>176</v>
      </c>
      <c r="BL199" s="308" t="s">
        <v>176</v>
      </c>
      <c r="BM199" s="308" t="s">
        <v>176</v>
      </c>
      <c r="BN199" s="308"/>
      <c r="BO199" s="308">
        <v>1</v>
      </c>
      <c r="BP199" s="308">
        <v>1</v>
      </c>
      <c r="BQ199" s="308">
        <v>1</v>
      </c>
      <c r="BR199" s="308">
        <v>1</v>
      </c>
      <c r="BS199" s="308">
        <v>1</v>
      </c>
      <c r="BT199" s="308">
        <v>1</v>
      </c>
      <c r="BU199" s="308">
        <v>1</v>
      </c>
      <c r="BV199" s="308">
        <v>1</v>
      </c>
      <c r="BW199" s="308" t="s">
        <v>176</v>
      </c>
      <c r="BX199" s="308" t="s">
        <v>176</v>
      </c>
      <c r="BY199" s="308" t="s">
        <v>176</v>
      </c>
      <c r="BZ199" s="308" t="s">
        <v>176</v>
      </c>
      <c r="CA199" s="308" t="s">
        <v>176</v>
      </c>
      <c r="CB199" s="308" t="s">
        <v>176</v>
      </c>
      <c r="CC199" s="308" t="s">
        <v>176</v>
      </c>
      <c r="CD199" s="308" t="s">
        <v>176</v>
      </c>
      <c r="CE199" s="308" t="s">
        <v>176</v>
      </c>
      <c r="CF199" s="308" t="s">
        <v>176</v>
      </c>
      <c r="CG199" s="308" t="s">
        <v>176</v>
      </c>
      <c r="CH199" s="308" t="s">
        <v>176</v>
      </c>
      <c r="CI199" s="323">
        <v>1</v>
      </c>
      <c r="CJ199" s="308" t="s">
        <v>176</v>
      </c>
      <c r="CK199" s="308" t="s">
        <v>176</v>
      </c>
      <c r="CL199" s="308" t="s">
        <v>176</v>
      </c>
      <c r="CM199" s="308" t="s">
        <v>176</v>
      </c>
      <c r="CN199" s="323"/>
      <c r="CO199" s="323"/>
      <c r="CP199" s="323"/>
      <c r="CQ199" s="323" t="s">
        <v>176</v>
      </c>
      <c r="CR199" s="308" t="s">
        <v>176</v>
      </c>
      <c r="CS199" s="308" t="s">
        <v>176</v>
      </c>
      <c r="CT199" s="308" t="s">
        <v>176</v>
      </c>
      <c r="CU199" s="323">
        <v>1</v>
      </c>
      <c r="CV199" s="323" t="s">
        <v>176</v>
      </c>
      <c r="CW199" s="323" t="s">
        <v>176</v>
      </c>
      <c r="CX199" s="308" t="s">
        <v>176</v>
      </c>
      <c r="CY199" s="308" t="s">
        <v>176</v>
      </c>
      <c r="CZ199" s="308" t="s">
        <v>176</v>
      </c>
      <c r="DA199" s="308" t="s">
        <v>176</v>
      </c>
      <c r="DB199" s="308" t="s">
        <v>176</v>
      </c>
      <c r="DC199" s="308" t="s">
        <v>176</v>
      </c>
      <c r="DD199" s="308" t="s">
        <v>176</v>
      </c>
      <c r="DE199" s="308" t="s">
        <v>176</v>
      </c>
      <c r="DF199" s="308" t="s">
        <v>176</v>
      </c>
      <c r="DG199" s="308" t="s">
        <v>176</v>
      </c>
      <c r="DH199" s="308" t="s">
        <v>176</v>
      </c>
      <c r="DI199" s="308" t="s">
        <v>176</v>
      </c>
      <c r="DJ199" s="308" t="s">
        <v>176</v>
      </c>
      <c r="DK199" s="308" t="s">
        <v>176</v>
      </c>
      <c r="DL199" s="308" t="s">
        <v>176</v>
      </c>
      <c r="DM199" s="308" t="s">
        <v>176</v>
      </c>
      <c r="DN199" s="308" t="s">
        <v>176</v>
      </c>
      <c r="DO199" s="308" t="s">
        <v>176</v>
      </c>
      <c r="DP199" s="308" t="s">
        <v>176</v>
      </c>
      <c r="DQ199" s="308" t="s">
        <v>176</v>
      </c>
      <c r="DR199" s="308" t="s">
        <v>176</v>
      </c>
      <c r="DS199" s="308" t="s">
        <v>176</v>
      </c>
      <c r="DT199" s="308" t="s">
        <v>176</v>
      </c>
      <c r="DU199" s="308" t="s">
        <v>176</v>
      </c>
      <c r="DV199" s="308" t="s">
        <v>176</v>
      </c>
      <c r="DW199" s="308" t="s">
        <v>176</v>
      </c>
      <c r="DX199" s="308" t="s">
        <v>176</v>
      </c>
      <c r="DY199" s="323">
        <v>2</v>
      </c>
      <c r="DZ199" s="323">
        <v>1</v>
      </c>
      <c r="EA199" s="323">
        <v>1</v>
      </c>
      <c r="EB199" s="323">
        <v>2</v>
      </c>
      <c r="EC199" s="323">
        <v>1</v>
      </c>
      <c r="ED199" s="323">
        <v>3</v>
      </c>
      <c r="EE199" s="323">
        <v>3</v>
      </c>
      <c r="EF199" s="323">
        <v>1</v>
      </c>
      <c r="EG199" s="323">
        <v>2</v>
      </c>
      <c r="EH199" s="323">
        <v>2</v>
      </c>
      <c r="EI199" s="323">
        <v>1</v>
      </c>
      <c r="EJ199" s="323">
        <v>2</v>
      </c>
      <c r="EK199" s="323">
        <v>2</v>
      </c>
      <c r="EL199" s="323"/>
      <c r="EM199" s="323">
        <v>1</v>
      </c>
      <c r="EN199" s="323">
        <v>1</v>
      </c>
      <c r="EO199" s="323">
        <v>2</v>
      </c>
      <c r="EP199" s="308" t="s">
        <v>176</v>
      </c>
      <c r="EQ199" s="308" t="s">
        <v>176</v>
      </c>
      <c r="ER199" s="308" t="s">
        <v>176</v>
      </c>
      <c r="ES199" s="308" t="s">
        <v>176</v>
      </c>
      <c r="ET199" s="308" t="s">
        <v>176</v>
      </c>
      <c r="EU199" s="308" t="s">
        <v>176</v>
      </c>
      <c r="EV199" s="308" t="s">
        <v>176</v>
      </c>
      <c r="EW199" s="308" t="s">
        <v>176</v>
      </c>
      <c r="EX199" s="308" t="s">
        <v>176</v>
      </c>
      <c r="EY199" s="323">
        <v>1</v>
      </c>
      <c r="EZ199" s="323">
        <v>1</v>
      </c>
      <c r="FA199" s="308" t="s">
        <v>176</v>
      </c>
      <c r="FB199" s="309" t="s">
        <v>176</v>
      </c>
      <c r="FC199" s="309" t="s">
        <v>176</v>
      </c>
      <c r="FD199" s="323">
        <v>1</v>
      </c>
      <c r="FE199" s="323">
        <v>1</v>
      </c>
      <c r="FF199" s="323">
        <v>1</v>
      </c>
      <c r="FG199" s="309">
        <v>1</v>
      </c>
      <c r="FH199" s="323">
        <v>2</v>
      </c>
      <c r="FI199" s="323">
        <v>2</v>
      </c>
      <c r="FJ199" s="323">
        <v>2</v>
      </c>
      <c r="FK199" s="323">
        <v>2</v>
      </c>
      <c r="FL199" s="308" t="s">
        <v>176</v>
      </c>
      <c r="FM199" s="308">
        <v>2</v>
      </c>
      <c r="FN199" s="308" t="s">
        <v>176</v>
      </c>
      <c r="FO199" s="308" t="s">
        <v>176</v>
      </c>
      <c r="FP199" s="308" t="s">
        <v>176</v>
      </c>
      <c r="FQ199" s="323" t="s">
        <v>176</v>
      </c>
      <c r="FR199" s="323" t="s">
        <v>176</v>
      </c>
      <c r="FS199" s="323" t="s">
        <v>176</v>
      </c>
      <c r="FT199" s="323" t="s">
        <v>176</v>
      </c>
      <c r="FU199" s="323" t="s">
        <v>176</v>
      </c>
      <c r="FV199" s="323" t="s">
        <v>176</v>
      </c>
      <c r="FW199" s="323" t="s">
        <v>176</v>
      </c>
      <c r="FX199" s="323" t="s">
        <v>176</v>
      </c>
      <c r="FY199" s="323"/>
      <c r="FZ199" s="323" t="s">
        <v>176</v>
      </c>
      <c r="GA199" s="323" t="s">
        <v>176</v>
      </c>
      <c r="GB199" s="323" t="s">
        <v>176</v>
      </c>
      <c r="GC199" s="323" t="s">
        <v>176</v>
      </c>
      <c r="GD199" s="308" t="s">
        <v>176</v>
      </c>
      <c r="GE199" s="308" t="s">
        <v>176</v>
      </c>
      <c r="GF199" s="308" t="s">
        <v>387</v>
      </c>
      <c r="GG199" s="308" t="s">
        <v>387</v>
      </c>
      <c r="GH199" s="308" t="s">
        <v>387</v>
      </c>
      <c r="GI199" s="308" t="s">
        <v>387</v>
      </c>
      <c r="GJ199" s="308" t="s">
        <v>387</v>
      </c>
      <c r="GK199" s="308" t="s">
        <v>387</v>
      </c>
      <c r="GL199" s="329">
        <f>SUM(G199:FP199)</f>
        <v>69</v>
      </c>
      <c r="GM199" s="132"/>
    </row>
    <row r="200" spans="1:195" s="197" customFormat="1" ht="15.75" customHeight="1" thickBot="1" x14ac:dyDescent="0.3">
      <c r="A200" s="138" t="str">
        <f>A199</f>
        <v>Utrzymanie ruchu-Maintenance</v>
      </c>
      <c r="B200" s="138" t="str">
        <f>B199</f>
        <v>Mechanik-konserwator</v>
      </c>
      <c r="C200" s="138" t="str">
        <f>C199</f>
        <v>KS</v>
      </c>
      <c r="D200" s="138">
        <f>D199</f>
        <v>1655</v>
      </c>
      <c r="E200" s="566" t="str">
        <f>E199</f>
        <v>Shtyforuk Oleksandr</v>
      </c>
      <c r="F200" s="312" t="s">
        <v>166</v>
      </c>
      <c r="G200" s="387">
        <f>IF(INDEX(tab_MinKomp[Przepisy BHP / BHP Vorschriften],MATCH($B199,tab_MinKomp[[Stanowisko / Position ]:[Stanowisko / Position ]],0))="n/a","n/a",G199-INDEX(tab_MinKomp[Przepisy BHP / BHP Vorschriften],MATCH($B199,tab_MinKomp[[Stanowisko / Position ]:[Stanowisko / Position ]],0)))</f>
        <v>0</v>
      </c>
      <c r="H200" s="387">
        <f>IF(INDEX(tab_MinKomp[Przepisy PPOŻ / Brandschutzbestimmungen],MATCH($B199,tab_MinKomp[[Stanowisko / Position ]:[Stanowisko / Position ]],0))="n/a","n/a",H199-INDEX(tab_MinKomp[Przepisy PPOŻ / Brandschutzbestimmungen],MATCH($B199,tab_MinKomp[[Stanowisko / Position ]:[Stanowisko / Position ]],0)))</f>
        <v>0</v>
      </c>
      <c r="I200" s="387">
        <f>IF(INDEX(tab_MinKomp[Ryzyko zawodowe na stanowiskach pracyv/ Berufliche Risiken an Arbeitsstellen],MATCH($B199,tab_MinKomp[[Stanowisko / Position ]:[Stanowisko / Position ]],0))="n/a","n/a",I199-INDEX(tab_MinKomp[Ryzyko zawodowe na stanowiskach pracyv/ Berufliche Risiken an Arbeitsstellen],MATCH($B199,tab_MinKomp[[Stanowisko / Position ]:[Stanowisko / Position ]],0)))</f>
        <v>0</v>
      </c>
      <c r="J200" s="387">
        <f>IF(INDEX(tab_MinKomp[Gospodarka substancjami niebezpiecznymi / Gefahrstoffmanagement],MATCH($B199,tab_MinKomp[[Stanowisko / Position ]:[Stanowisko / Position ]],0))="n/a","n/a",J199-INDEX(tab_MinKomp[Gospodarka substancjami niebezpiecznymi / Gefahrstoffmanagement],MATCH($B199,tab_MinKomp[[Stanowisko / Position ]:[Stanowisko / Position ]],0)))</f>
        <v>0</v>
      </c>
      <c r="K200" s="387">
        <f>IF(INDEX(tab_MinKomp[Gospodarka odpadami / Abfallwirtschaft],MATCH($B199,tab_MinKomp[[Stanowisko / Position ]:[Stanowisko / Position ]],0))="n/a","n/a",K199-INDEX(tab_MinKomp[Gospodarka odpadami / Abfallwirtschaft],MATCH($B199,tab_MinKomp[[Stanowisko / Position ]:[Stanowisko / Position ]],0)))</f>
        <v>0</v>
      </c>
      <c r="L200" s="349">
        <f>IF(INDEX(tab_MinKomp[Przepisy kodeksu pracy / Bestimmungen des Arbeitsgesetzes],MATCH($B199,tab_MinKomp[[Stanowisko / Position ]:[Stanowisko / Position ]],0))="n/a","n/a",L199-INDEX(tab_MinKomp[Przepisy kodeksu pracy / Bestimmungen des Arbeitsgesetzes],MATCH($B199,tab_MinKomp[[Stanowisko / Position ]:[Stanowisko / Position ]],0)))</f>
        <v>0</v>
      </c>
      <c r="M200" s="349" t="str">
        <f>IF(INDEX(tab_MinKomp[Przepisy o ub.społ. ZUS  / Sozialversicherungsvorschriften],MATCH($B199,tab_MinKomp[[Stanowisko / Position ]:[Stanowisko / Position ]],0))="n/a","n/a",M199-INDEX(tab_MinKomp[Przepisy o ub.społ. ZUS  / Sozialversicherungsvorschriften],MATCH($B199,tab_MinKomp[[Stanowisko / Position ]:[Stanowisko / Position ]],0)))</f>
        <v>n/a</v>
      </c>
      <c r="N200" s="349" t="str">
        <f>IF(INDEX(tab_MinKomp[PRZEPISY O PDOF /persönlich Einkommensteuergesetz ],MATCH($B199,tab_MinKomp[[Stanowisko / Position ]:[Stanowisko / Position ]],0))="n/a","n/a",N199-INDEX(tab_MinKomp[PRZEPISY O PDOF /persönlich Einkommensteuergesetz ],MATCH($B199,tab_MinKomp[[Stanowisko / Position ]:[Stanowisko / Position ]],0)))</f>
        <v>n/a</v>
      </c>
      <c r="O200" s="349">
        <f>IF(INDEX(tab_MinKomp[Regulamin pracy / Arbeitsordnung],MATCH($B199,tab_MinKomp[[Stanowisko / Position ]:[Stanowisko / Position ]],0))="n/a","n/a",O199-INDEX(tab_MinKomp[Regulamin pracy / Arbeitsordnung],MATCH($B199,tab_MinKomp[[Stanowisko / Position ]:[Stanowisko / Position ]],0)))</f>
        <v>0</v>
      </c>
      <c r="P200" s="349">
        <f>IF(INDEX(tab_MinKomp[Regulamin wynagradzania / Vergütungsordnung],MATCH($B199,tab_MinKomp[[Stanowisko / Position ]:[Stanowisko / Position ]],0))="n/a","n/a",P199-INDEX(tab_MinKomp[Regulamin wynagradzania / Vergütungsordnung],MATCH($B199,tab_MinKomp[[Stanowisko / Position ]:[Stanowisko / Position ]],0)))</f>
        <v>0</v>
      </c>
      <c r="Q200" s="349" t="str">
        <f>IF(INDEX(tab_MinKomp[System R2PŁATNIK PRO: Płace / Lohnabrechnung],MATCH($B199,tab_MinKomp[[Stanowisko / Position ]:[Stanowisko / Position ]],0))="n/a","n/a",Q199-INDEX(tab_MinKomp[System R2PŁATNIK PRO: Płace / Lohnabrechnung],MATCH($B199,tab_MinKomp[[Stanowisko / Position ]:[Stanowisko / Position ]],0)))</f>
        <v>n/a</v>
      </c>
      <c r="R200" s="349" t="str">
        <f>IF(INDEX(tab_MinKomp[SystemR2PŁATNIK PRO: KADRY / Personaldaten],MATCH($B199,tab_MinKomp[[Stanowisko / Position ]:[Stanowisko / Position ]],0))="n/a","n/a",R199-INDEX(tab_MinKomp[SystemR2PŁATNIK PRO: KADRY / Personaldaten],MATCH($B199,tab_MinKomp[[Stanowisko / Position ]:[Stanowisko / Position ]],0)))</f>
        <v>n/a</v>
      </c>
      <c r="S200" s="349" t="str">
        <f>IF(INDEX(tab_MinKomp[SYSTEM R2PŁATNIK PRO: zarządzanie pracownikami / Arbeitsverwaltung],MATCH($B199,tab_MinKomp[[Stanowisko / Position ]:[Stanowisko / Position ]],0))="n/a","n/a",S199-INDEX(tab_MinKomp[SYSTEM R2PŁATNIK PRO: zarządzanie pracownikami / Arbeitsverwaltung],MATCH($B199,tab_MinKomp[[Stanowisko / Position ]:[Stanowisko / Position ]],0)))</f>
        <v>n/a</v>
      </c>
      <c r="T200" s="349" t="str">
        <f>IF(INDEX(tab_MinKomp[Doradztwo, wsparcie personalne / Personalberatung und Unterstützung],MATCH($B199,tab_MinKomp[[Stanowisko / Position ]:[Stanowisko / Position ]],0))="n/a","n/a",T199-INDEX(tab_MinKomp[Doradztwo, wsparcie personalne / Personalberatung und Unterstützung],MATCH($B199,tab_MinKomp[[Stanowisko / Position ]:[Stanowisko / Position ]],0)))</f>
        <v>n/a</v>
      </c>
      <c r="U200" s="349" t="str">
        <f>IF(INDEX(tab_MinKomp[Przepisy o podatku VAT / MwSt.- Gesetz],MATCH($B199,tab_MinKomp[[Stanowisko / Position ]:[Stanowisko / Position ]],0))="n/a","n/a",U199-INDEX(tab_MinKomp[Przepisy o podatku VAT / MwSt.- Gesetz],MATCH($B199,tab_MinKomp[[Stanowisko / Position ]:[Stanowisko / Position ]],0)))</f>
        <v>n/a</v>
      </c>
      <c r="V200" s="349" t="str">
        <f>IF(INDEX(tab_MinKomp[PrzepisyPDOP / geschäftlich Einkommensteuergesetz],MATCH($B199,tab_MinKomp[[Stanowisko / Position ]:[Stanowisko / Position ]],0))="n/a","n/a",V199-INDEX(tab_MinKomp[PrzepisyPDOP / geschäftlich Einkommensteuergesetz],MATCH($B199,tab_MinKomp[[Stanowisko / Position ]:[Stanowisko / Position ]],0)))</f>
        <v>n/a</v>
      </c>
      <c r="W200" s="349" t="str">
        <f>IF(INDEX(tab_MinKomp[System BAAN / FINANSE (FIBU)],MATCH($B199,tab_MinKomp[[Stanowisko / Position ]:[Stanowisko / Position ]],0))="n/a","n/a",W199-INDEX(tab_MinKomp[System BAAN / FINANSE (FIBU)],MATCH($B199,tab_MinKomp[[Stanowisko / Position ]:[Stanowisko / Position ]],0)))</f>
        <v>n/a</v>
      </c>
      <c r="X200" s="349" t="str">
        <f>IF(INDEX(tab_MinKomp[Systemy pomocnicze / Hilfssysteme(STOCKPROGRAM, KALK2000 etc.)],MATCH($B199,tab_MinKomp[[Stanowisko / Position ]:[Stanowisko / Position ]],0))="n/a","n/a",X199-INDEX(tab_MinKomp[Systemy pomocnicze / Hilfssysteme(STOCKPROGRAM, KALK2000 etc.)],MATCH($B199,tab_MinKomp[[Stanowisko / Position ]:[Stanowisko / Position ]],0)))</f>
        <v>n/a</v>
      </c>
      <c r="Y200" s="349" t="str">
        <f>IF(INDEX(tab_MinKomp[Polityka rachunkowości / Buchführungspolitik],MATCH($B199,tab_MinKomp[[Stanowisko / Position ]:[Stanowisko / Position ]],0))="n/a","n/a",Y199-INDEX(tab_MinKomp[Polityka rachunkowości / Buchführungspolitik],MATCH($B199,tab_MinKomp[[Stanowisko / Position ]:[Stanowisko / Position ]],0)))</f>
        <v>n/a</v>
      </c>
      <c r="Z200" s="349" t="str">
        <f>IF(INDEX(tab_MinKomp[Ustawa o rachunkowości / Rechnungslegungsgesetz],MATCH($B199,tab_MinKomp[[Stanowisko / Position ]:[Stanowisko / Position ]],0))="n/a","n/a",Z199-INDEX(tab_MinKomp[Ustawa o rachunkowości / Rechnungslegungsgesetz],MATCH($B199,tab_MinKomp[[Stanowisko / Position ]:[Stanowisko / Position ]],0)))</f>
        <v>n/a</v>
      </c>
      <c r="AA200" s="349" t="str">
        <f>IF(INDEX(tab_MinKomp[WORKFLOW - TS-100],MATCH($B199,tab_MinKomp[[Stanowisko / Position ]:[Stanowisko / Position ]],0))="n/a","n/a",AA199-INDEX(tab_MinKomp[WORKFLOW - TS-100],MATCH($B199,tab_MinKomp[[Stanowisko / Position ]:[Stanowisko / Position ]],0)))</f>
        <v>n/a</v>
      </c>
      <c r="AB200" s="349" t="str">
        <f>IF(INDEX(tab_MinKomp[WORKFLOW - SFMS],MATCH($B199,tab_MinKomp[[Stanowisko / Position ]:[Stanowisko / Position ]],0))="n/a","n/a",AB199-INDEX(tab_MinKomp[WORKFLOW - SFMS],MATCH($B199,tab_MinKomp[[Stanowisko / Position ]:[Stanowisko / Position ]],0)))</f>
        <v>n/a</v>
      </c>
      <c r="AC200" s="349" t="str">
        <f>IF(INDEX(tab_MinKomp[System ISO 9001:2015],MATCH($B199,tab_MinKomp[[Stanowisko / Position ]:[Stanowisko / Position ]],0))="n/a","n/a",AC199-INDEX(tab_MinKomp[System ISO 9001:2015],MATCH($B199,tab_MinKomp[[Stanowisko / Position ]:[Stanowisko / Position ]],0)))</f>
        <v>n/a</v>
      </c>
      <c r="AD200" s="349" t="str">
        <f>IF(INDEX(tab_MinKomp[System IATF 16949:2016],MATCH($B199,tab_MinKomp[[Stanowisko / Position ]:[Stanowisko / Position ]],0))="n/a","n/a",AD199-INDEX(tab_MinKomp[System IATF 16949:2016],MATCH($B199,tab_MinKomp[[Stanowisko / Position ]:[Stanowisko / Position ]],0)))</f>
        <v>n/a</v>
      </c>
      <c r="AE200" s="349" t="str">
        <f>IF(INDEX(tab_MinKomp[System ISO 14001:2015],MATCH($B199,tab_MinKomp[[Stanowisko / Position ]:[Stanowisko / Position ]],0))="n/a","n/a",AE199-INDEX(tab_MinKomp[System ISO 14001:2015],MATCH($B199,tab_MinKomp[[Stanowisko / Position ]:[Stanowisko / Position ]],0)))</f>
        <v>n/a</v>
      </c>
      <c r="AF200" s="349" t="str">
        <f>IF(INDEX(tab_MinKomp[System PN-N 18001:2004 / ISO 45001:2018],MATCH($B199,tab_MinKomp[[Stanowisko / Position ]:[Stanowisko / Position ]],0))="n/a","n/a",AF199-INDEX(tab_MinKomp[System PN-N 18001:2004 / ISO 45001:2018],MATCH($B199,tab_MinKomp[[Stanowisko / Position ]:[Stanowisko / Position ]],0)))</f>
        <v>n/a</v>
      </c>
      <c r="AG200" s="349" t="str">
        <f>IF(INDEX(tab_MinKomp[Wymagania VDA 6.3 Process / Forderungen],MATCH($B199,tab_MinKomp[[Stanowisko / Position ]:[Stanowisko / Position ]],0))="n/a","n/a",AG199-INDEX(tab_MinKomp[Wymagania VDA 6.3 Process / Forderungen],MATCH($B199,tab_MinKomp[[Stanowisko / Position ]:[Stanowisko / Position ]],0)))</f>
        <v>n/a</v>
      </c>
      <c r="AH200" s="349" t="str">
        <f>IF(INDEX(tab_MinKomp[Wymagania VDA 6.5 Product / Forderungen],MATCH($B199,tab_MinKomp[[Stanowisko / Position ]:[Stanowisko / Position ]],0))="n/a","n/a",AH199-INDEX(tab_MinKomp[Wymagania VDA 6.5 Product / Forderungen],MATCH($B199,tab_MinKomp[[Stanowisko / Position ]:[Stanowisko / Position ]],0)))</f>
        <v>n/a</v>
      </c>
      <c r="AI200" s="349" t="str">
        <f>IF(INDEX(tab_MinKomp[PSCR (VW Product Safety &amp; Conformity Representative)],MATCH($B199,tab_MinKomp[[Stanowisko / Position ]:[Stanowisko / Position ]],0))="n/a","n/a",AI199-INDEX(tab_MinKomp[PSCR (VW Product Safety &amp; Conformity Representative)],MATCH($B199,tab_MinKomp[[Stanowisko / Position ]:[Stanowisko / Position ]],0)))</f>
        <v>n/a</v>
      </c>
      <c r="AJ200" s="349" t="str">
        <f>IF(INDEX(tab_MinKomp[Auditor systemu ISO 17025:2018],MATCH($B199,tab_MinKomp[[Stanowisko / Position ]:[Stanowisko / Position ]],0))="n/a","n/a",AJ199-INDEX(tab_MinKomp[Auditor systemu ISO 17025:2018],MATCH($B199,tab_MinKomp[[Stanowisko / Position ]:[Stanowisko / Position ]],0)))</f>
        <v>n/a</v>
      </c>
      <c r="AK200" s="349" t="str">
        <f>IF(INDEX(tab_MinKomp[Pełnomocnik systemu / Systemvertreter],MATCH($B199,tab_MinKomp[[Stanowisko / Position ]:[Stanowisko / Position ]],0))="n/a","n/a",AK199-INDEX(tab_MinKomp[Pełnomocnik systemu / Systemvertreter],MATCH($B199,tab_MinKomp[[Stanowisko / Position ]:[Stanowisko / Position ]],0)))</f>
        <v>n/a</v>
      </c>
      <c r="AL200" s="349">
        <f>IF(INDEX(tab_MinKomp[Polityka Etyczna - Compliance],MATCH($B199,tab_MinKomp[[Stanowisko / Position ]:[Stanowisko / Position ]],0))="n/a","n/a",AL199-INDEX(tab_MinKomp[Polityka Etyczna - Compliance],MATCH($B199,tab_MinKomp[[Stanowisko / Position ]:[Stanowisko / Position ]],0)))</f>
        <v>0</v>
      </c>
      <c r="AM200" s="349" t="str">
        <f>IF(INDEX(tab_MinKomp[WDRAŻANIE NOWYCH PROJEKTÓW/ PROCEDURA CTM],MATCH($B199,tab_MinKomp[[Stanowisko / Position ]:[Stanowisko / Position ]],0))="n/a","n/a",AM199-INDEX(tab_MinKomp[WDRAŻANIE NOWYCH PROJEKTÓW/ PROCEDURA CTM],MATCH($B199,tab_MinKomp[[Stanowisko / Position ]:[Stanowisko / Position ]],0)))</f>
        <v>n/a</v>
      </c>
      <c r="AN200" s="349" t="str">
        <f>IF(INDEX(tab_MinKomp[KAMIENIE MILOWE MSL/PIFF],MATCH($B199,tab_MinKomp[[Stanowisko / Position ]:[Stanowisko / Position ]],0))="n/a","n/a",AN199-INDEX(tab_MinKomp[KAMIENIE MILOWE MSL/PIFF],MATCH($B199,tab_MinKomp[[Stanowisko / Position ]:[Stanowisko / Position ]],0)))</f>
        <v>n/a</v>
      </c>
      <c r="AO200" s="349" t="str">
        <f>IF(INDEX(tab_MinKomp[CP],MATCH($B199,tab_MinKomp[[Stanowisko / Position ]:[Stanowisko / Position ]],0))="n/a","n/a",AO199-INDEX(tab_MinKomp[CP],MATCH($B199,tab_MinKomp[[Stanowisko / Position ]:[Stanowisko / Position ]],0)))</f>
        <v>n/a</v>
      </c>
      <c r="AP200" s="349" t="str">
        <f>IF(INDEX(tab_MinKomp[FMEA],MATCH($B199,tab_MinKomp[[Stanowisko / Position ]:[Stanowisko / Position ]],0))="n/a","n/a",AP199-INDEX(tab_MinKomp[FMEA],MATCH($B199,tab_MinKomp[[Stanowisko / Position ]:[Stanowisko / Position ]],0)))</f>
        <v>n/a</v>
      </c>
      <c r="AQ200" s="349" t="str">
        <f>IF(INDEX(tab_MinKomp[FLOW CHART],MATCH($B199,tab_MinKomp[[Stanowisko / Position ]:[Stanowisko / Position ]],0))="n/a","n/a",AQ199-INDEX(tab_MinKomp[FLOW CHART],MATCH($B199,tab_MinKomp[[Stanowisko / Position ]:[Stanowisko / Position ]],0)))</f>
        <v>n/a</v>
      </c>
      <c r="AR200" s="349" t="str">
        <f>IF(INDEX(tab_MinKomp[APQP],MATCH($B199,tab_MinKomp[[Stanowisko / Position ]:[Stanowisko / Position ]],0))="n/a","n/a",AR199-INDEX(tab_MinKomp[APQP],MATCH($B199,tab_MinKomp[[Stanowisko / Position ]:[Stanowisko / Position ]],0)))</f>
        <v>n/a</v>
      </c>
      <c r="AS200" s="349" t="str">
        <f>IF(INDEX(tab_MinKomp[MSA],MATCH($B199,tab_MinKomp[[Stanowisko / Position ]:[Stanowisko / Position ]],0))="n/a","n/a",AS199-INDEX(tab_MinKomp[MSA],MATCH($B199,tab_MinKomp[[Stanowisko / Position ]:[Stanowisko / Position ]],0)))</f>
        <v>n/a</v>
      </c>
      <c r="AT200" s="349" t="str">
        <f>IF(INDEX(tab_MinKomp[SPC],MATCH($B199,tab_MinKomp[[Stanowisko / Position ]:[Stanowisko / Position ]],0))="n/a","n/a",AT199-INDEX(tab_MinKomp[SPC],MATCH($B199,tab_MinKomp[[Stanowisko / Position ]:[Stanowisko / Position ]],0)))</f>
        <v>n/a</v>
      </c>
      <c r="AU200" s="349" t="str">
        <f>IF(INDEX(tab_MinKomp[CSR (SPECYFICZNE WYMAGANIA KLIENTA)],MATCH($B199,tab_MinKomp[[Stanowisko / Position ]:[Stanowisko / Position ]],0))="n/a","n/a",AU199-INDEX(tab_MinKomp[CSR (SPECYFICZNE WYMAGANIA KLIENTA)],MATCH($B199,tab_MinKomp[[Stanowisko / Position ]:[Stanowisko / Position ]],0)))</f>
        <v>n/a</v>
      </c>
      <c r="AV200" s="349">
        <f>IF(INDEX(tab_MinKomp[5S],MATCH($B199,tab_MinKomp[[Stanowisko / Position ]:[Stanowisko / Position ]],0))="n/a","n/a",AV199-INDEX(tab_MinKomp[5S],MATCH($B199,tab_MinKomp[[Stanowisko / Position ]:[Stanowisko / Position ]],0)))</f>
        <v>0</v>
      </c>
      <c r="AW200" s="349">
        <f>IF(INDEX(tab_MinKomp[LEAN MANAGEMENT],MATCH($B199,tab_MinKomp[[Stanowisko / Position ]:[Stanowisko / Position ]],0))="n/a","n/a",AW199-INDEX(tab_MinKomp[LEAN MANAGEMENT],MATCH($B199,tab_MinKomp[[Stanowisko / Position ]:[Stanowisko / Position ]],0)))</f>
        <v>-1</v>
      </c>
      <c r="AX200" s="349">
        <f>IF(INDEX(tab_MinKomp[5R],MATCH($B199,tab_MinKomp[[Stanowisko / Position ]:[Stanowisko / Position ]],0))="n/a","n/a",AX199-INDEX(tab_MinKomp[5R],MATCH($B199,tab_MinKomp[[Stanowisko / Position ]:[Stanowisko / Position ]],0)))</f>
        <v>-1</v>
      </c>
      <c r="AY200" s="349" t="str">
        <f>IF(INDEX(tab_MinKomp[Six Sigma],MATCH($B199,tab_MinKomp[[Stanowisko / Position ]:[Stanowisko / Position ]],0))="n/a","n/a",AY199-INDEX(tab_MinKomp[Six Sigma],MATCH($B199,tab_MinKomp[[Stanowisko / Position ]:[Stanowisko / Position ]],0)))</f>
        <v>n/a</v>
      </c>
      <c r="AZ200" s="349" t="str">
        <f>IF(INDEX(tab_MinKomp[System BAAN / Distribution &amp; Supply Chain],MATCH($B199,tab_MinKomp[[Stanowisko / Position ]:[Stanowisko / Position ]],0))="n/a","n/a",AZ199-INDEX(tab_MinKomp[System BAAN / Distribution &amp; Supply Chain],MATCH($B199,tab_MinKomp[[Stanowisko / Position ]:[Stanowisko / Position ]],0)))</f>
        <v>n/a</v>
      </c>
      <c r="BA200" s="349" t="str">
        <f>IF(INDEX(tab_MinKomp[Gospodarka magazynowa / Lagerverwaltung],MATCH($B199,tab_MinKomp[[Stanowisko / Position ]:[Stanowisko / Position ]],0))="n/a","n/a",BA199-INDEX(tab_MinKomp[Gospodarka magazynowa / Lagerverwaltung],MATCH($B199,tab_MinKomp[[Stanowisko / Position ]:[Stanowisko / Position ]],0)))</f>
        <v>n/a</v>
      </c>
      <c r="BB200" s="349" t="str">
        <f>IF(INDEX(tab_MinKomp[Inwentaryzacja - organizacja i przebieg / Inventurprozess],MATCH($B199,tab_MinKomp[[Stanowisko / Position ]:[Stanowisko / Position ]],0))="n/a","n/a",BB199-INDEX(tab_MinKomp[Inwentaryzacja - organizacja i przebieg / Inventurprozess],MATCH($B199,tab_MinKomp[[Stanowisko / Position ]:[Stanowisko / Position ]],0)))</f>
        <v>n/a</v>
      </c>
      <c r="BC200" s="349" t="str">
        <f>IF(INDEX(tab_MinKomp[Organizacja dostaw / Versorgungsorganisation],MATCH($B199,tab_MinKomp[[Stanowisko / Position ]:[Stanowisko / Position ]],0))="n/a","n/a",BC199-INDEX(tab_MinKomp[Organizacja dostaw / Versorgungsorganisation],MATCH($B199,tab_MinKomp[[Stanowisko / Position ]:[Stanowisko / Position ]],0)))</f>
        <v>n/a</v>
      </c>
      <c r="BD200" s="349" t="str">
        <f>IF(INDEX(tab_MinKomp[Organizacja wysyłek / Organisation von Lieferungen],MATCH($B199,tab_MinKomp[[Stanowisko / Position ]:[Stanowisko / Position ]],0))="n/a","n/a",BD199-INDEX(tab_MinKomp[Organizacja wysyłek / Organisation von Lieferungen],MATCH($B199,tab_MinKomp[[Stanowisko / Position ]:[Stanowisko / Position ]],0)))</f>
        <v>n/a</v>
      </c>
      <c r="BE200" s="349" t="str">
        <f>IF(INDEX(tab_MinKomp[Analiza magazynowa - Program Polen.mdb / Inventuranalyse],MATCH($B199,tab_MinKomp[[Stanowisko / Position ]:[Stanowisko / Position ]],0))="n/a","n/a",BE199-INDEX(tab_MinKomp[Analiza magazynowa - Program Polen.mdb / Inventuranalyse],MATCH($B199,tab_MinKomp[[Stanowisko / Position ]:[Stanowisko / Position ]],0)))</f>
        <v>n/a</v>
      </c>
      <c r="BF200" s="349" t="str">
        <f>IF(INDEX(tab_MinKomp[MMOG (Materials Management Operations Guidelines)],MATCH($B199,tab_MinKomp[[Stanowisko / Position ]:[Stanowisko / Position ]],0))="n/a","n/a",BF199-INDEX(tab_MinKomp[MMOG (Materials Management Operations Guidelines)],MATCH($B199,tab_MinKomp[[Stanowisko / Position ]:[Stanowisko / Position ]],0)))</f>
        <v>n/a</v>
      </c>
      <c r="BG200" s="349" t="str">
        <f>IF(INDEX(tab_MinKomp[DETC],MATCH($B199,tab_MinKomp[[Stanowisko / Position ]:[Stanowisko / Position ]],0))="n/a","n/a",BG199-INDEX(tab_MinKomp[DETC],MATCH($B199,tab_MinKomp[[Stanowisko / Position ]:[Stanowisko / Position ]],0)))</f>
        <v>n/a</v>
      </c>
      <c r="BH200" s="349" t="str">
        <f>IF(INDEX(tab_MinKomp[GPP],MATCH($B199,tab_MinKomp[[Stanowisko / Position ]:[Stanowisko / Position ]],0))="n/a","n/a",BH199-INDEX(tab_MinKomp[GPP],MATCH($B199,tab_MinKomp[[Stanowisko / Position ]:[Stanowisko / Position ]],0)))</f>
        <v>n/a</v>
      </c>
      <c r="BI200" s="349" t="str">
        <f>IF(INDEX(tab_MinKomp[AIAG (Automotive Industry Action Group)],MATCH($B199,tab_MinKomp[[Stanowisko / Position ]:[Stanowisko / Position ]],0))="n/a","n/a",BI199-INDEX(tab_MinKomp[AIAG (Automotive Industry Action Group)],MATCH($B199,tab_MinKomp[[Stanowisko / Position ]:[Stanowisko / Position ]],0)))</f>
        <v>n/a</v>
      </c>
      <c r="BJ200" s="349" t="str">
        <f>IF(INDEX(tab_MinKomp[Super-G disputes],MATCH($B199,tab_MinKomp[[Stanowisko / Position ]:[Stanowisko / Position ]],0))="n/a","n/a",BJ199-INDEX(tab_MinKomp[Super-G disputes],MATCH($B199,tab_MinKomp[[Stanowisko / Position ]:[Stanowisko / Position ]],0)))</f>
        <v>n/a</v>
      </c>
      <c r="BK200" s="349" t="str">
        <f>IF(INDEX(tab_MinKomp[CMMS3/eDDL (Direct Data Link)],MATCH($B199,tab_MinKomp[[Stanowisko / Position ]:[Stanowisko / Position ]],0))="n/a","n/a",BK199-INDEX(tab_MinKomp[CMMS3/eDDL (Direct Data Link)],MATCH($B199,tab_MinKomp[[Stanowisko / Position ]:[Stanowisko / Position ]],0)))</f>
        <v>n/a</v>
      </c>
      <c r="BL200" s="349" t="str">
        <f>IF(INDEX(tab_MinKomp[MP&amp;L (Material Planning and Logistics)],MATCH($B199,tab_MinKomp[[Stanowisko / Position ]:[Stanowisko / Position ]],0))="n/a","n/a",BL199-INDEX(tab_MinKomp[MP&amp;L (Material Planning and Logistics)],MATCH($B199,tab_MinKomp[[Stanowisko / Position ]:[Stanowisko / Position ]],0)))</f>
        <v>n/a</v>
      </c>
      <c r="BM200" s="349" t="str">
        <f>IF(INDEX(tab_MinKomp[Planowanie produkcji / Produktionsplanung],MATCH($B199,tab_MinKomp[[Stanowisko / Position ]:[Stanowisko / Position ]],0))="n/a","n/a",BM199-INDEX(tab_MinKomp[Planowanie produkcji / Produktionsplanung],MATCH($B199,tab_MinKomp[[Stanowisko / Position ]:[Stanowisko / Position ]],0)))</f>
        <v>n/a</v>
      </c>
      <c r="BN200" s="349">
        <f>IF(INDEX(tab_MinKomp[Obsługa maszyn Engel / Engel Maschinenbedienung],MATCH($B199,tab_MinKomp[[Stanowisko / Position ]:[Stanowisko / Position ]],0))="n/a","n/a",BN199-INDEX(tab_MinKomp[Obsługa maszyn Engel / Engel Maschinenbedienung],MATCH($B199,tab_MinKomp[[Stanowisko / Position ]:[Stanowisko / Position ]],0)))</f>
        <v>-1</v>
      </c>
      <c r="BO200" s="349">
        <f>IF(INDEX(tab_MinKomp[Obsługa maszyn Novapax / Novapax Maschinenbedienung],MATCH($B199,tab_MinKomp[[Stanowisko / Position ]:[Stanowisko / Position ]],0))="n/a","n/a",BO199-INDEX(tab_MinKomp[Obsługa maszyn Novapax / Novapax Maschinenbedienung],MATCH($B199,tab_MinKomp[[Stanowisko / Position ]:[Stanowisko / Position ]],0)))</f>
        <v>0</v>
      </c>
      <c r="BP200" s="349">
        <f>IF(INDEX(tab_MinKomp[Obsługa maszyn KVT / KVT Maschinenbedienung],MATCH($B199,tab_MinKomp[[Stanowisko / Position ]:[Stanowisko / Position ]],0))="n/a","n/a",BP199-INDEX(tab_MinKomp[Obsługa maszyn KVT / KVT Maschinenbedienung],MATCH($B199,tab_MinKomp[[Stanowisko / Position ]:[Stanowisko / Position ]],0)))</f>
        <v>0</v>
      </c>
      <c r="BQ200" s="349">
        <f>IF(INDEX(tab_MinKomp[Obsługa maszyn ASL / ASL Maschinenbedienung],MATCH($B199,tab_MinKomp[[Stanowisko / Position ]:[Stanowisko / Position ]],0))="n/a","n/a",BQ199-INDEX(tab_MinKomp[Obsługa maszyn ASL / ASL Maschinenbedienung],MATCH($B199,tab_MinKomp[[Stanowisko / Position ]:[Stanowisko / Position ]],0)))</f>
        <v>0</v>
      </c>
      <c r="BR200" s="349">
        <f>IF(INDEX(tab_MinKomp[Obsługa maszyn Branson / Branson Maschinenbedienung],MATCH($B199,tab_MinKomp[[Stanowisko / Position ]:[Stanowisko / Position ]],0))="n/a","n/a",BR199-INDEX(tab_MinKomp[Obsługa maszyn Branson / Branson Maschinenbedienung],MATCH($B199,tab_MinKomp[[Stanowisko / Position ]:[Stanowisko / Position ]],0)))</f>
        <v>0</v>
      </c>
      <c r="BS200" s="349">
        <f>IF(INDEX(tab_MinKomp[Obsługa maszyn Kamtec / Kamtec Maschinenbedienung],MATCH($B199,tab_MinKomp[[Stanowisko / Position ]:[Stanowisko / Position ]],0))="n/a","n/a",BS199-INDEX(tab_MinKomp[Obsługa maszyn Kamtec / Kamtec Maschinenbedienung],MATCH($B199,tab_MinKomp[[Stanowisko / Position ]:[Stanowisko / Position ]],0)))</f>
        <v>0</v>
      </c>
      <c r="BT200" s="349">
        <f>IF(INDEX(tab_MinKomp[Obsługa maszyn Piovan / Piovan Maschinenbedienung],MATCH($B199,tab_MinKomp[[Stanowisko / Position ]:[Stanowisko / Position ]],0))="n/a","n/a",BT199-INDEX(tab_MinKomp[Obsługa maszyn Piovan / Piovan Maschinenbedienung],MATCH($B199,tab_MinKomp[[Stanowisko / Position ]:[Stanowisko / Position ]],0)))</f>
        <v>0</v>
      </c>
      <c r="BU200" s="349">
        <f>IF(INDEX(tab_MinKomp[Obsługa maszyn REP / REP Maschinenbedienung],MATCH($B199,tab_MinKomp[[Stanowisko / Position ]:[Stanowisko / Position ]],0))="n/a","n/a",BU199-INDEX(tab_MinKomp[Obsługa maszyn REP / REP Maschinenbedienung],MATCH($B199,tab_MinKomp[[Stanowisko / Position ]:[Stanowisko / Position ]],0)))</f>
        <v>0</v>
      </c>
      <c r="BV200" s="349">
        <f>IF(INDEX(tab_MinKomp[Eliminacja awarii / Beseitigung von Ausfällen],MATCH($B199,tab_MinKomp[[Stanowisko / Position ]:[Stanowisko / Position ]],0))="n/a","n/a",BV199-INDEX(tab_MinKomp[Eliminacja awarii / Beseitigung von Ausfällen],MATCH($B199,tab_MinKomp[[Stanowisko / Position ]:[Stanowisko / Position ]],0)))</f>
        <v>-1</v>
      </c>
      <c r="BW200" s="349" t="str">
        <f>IF(INDEX(tab_MinKomp[Informatyka ogólna (techniczne i systemowe) / Allgemeine IT (Technik und System)],MATCH($B199,tab_MinKomp[[Stanowisko / Position ]:[Stanowisko / Position ]],0))="n/a","n/a",BW199-INDEX(tab_MinKomp[Informatyka ogólna (techniczne i systemowe) / Allgemeine IT (Technik und System)],MATCH($B199,tab_MinKomp[[Stanowisko / Position ]:[Stanowisko / Position ]],0)))</f>
        <v>n/a</v>
      </c>
      <c r="BX200" s="349" t="str">
        <f>IF(INDEX(tab_MinKomp[Sieci komputerowe / Computernetzwerke],MATCH($B199,tab_MinKomp[[Stanowisko / Position ]:[Stanowisko / Position ]],0))="n/a","n/a",BX199-INDEX(tab_MinKomp[Sieci komputerowe / Computernetzwerke],MATCH($B199,tab_MinKomp[[Stanowisko / Position ]:[Stanowisko / Position ]],0)))</f>
        <v>n/a</v>
      </c>
      <c r="BY200" s="349" t="str">
        <f>IF(INDEX(tab_MinKomp[Hardware (komputery PC, drukarki biurowe i etykietowe, telefonia stacjonarna i mobilna) (PC, Drucker, Telefpne, Handys)],MATCH($B199,tab_MinKomp[[Stanowisko / Position ]:[Stanowisko / Position ]],0))="n/a","n/a",BY199-INDEX(tab_MinKomp[Hardware (komputery PC, drukarki biurowe i etykietowe, telefonia stacjonarna i mobilna) (PC, Drucker, Telefpne, Handys)],MATCH($B199,tab_MinKomp[[Stanowisko / Position ]:[Stanowisko / Position ]],0)))</f>
        <v>n/a</v>
      </c>
      <c r="BZ200" s="349" t="str">
        <f>IF(INDEX(tab_MinKomp[Software &amp; Systems (MS Office, MS Remote Desktop)],MATCH($B199,tab_MinKomp[[Stanowisko / Position ]:[Stanowisko / Position ]],0))="n/a","n/a",BZ199-INDEX(tab_MinKomp[Software &amp; Systems (MS Office, MS Remote Desktop)],MATCH($B199,tab_MinKomp[[Stanowisko / Position ]:[Stanowisko / Position ]],0)))</f>
        <v>n/a</v>
      </c>
      <c r="CA200" s="349" t="str">
        <f>IF(INDEX(tab_MinKomp[Programowanie obiektowe (PHP) / Objektprogrammierung],MATCH($B199,tab_MinKomp[[Stanowisko / Position ]:[Stanowisko / Position ]],0))="n/a","n/a",CA199-INDEX(tab_MinKomp[Programowanie obiektowe (PHP) / Objektprogrammierung],MATCH($B199,tab_MinKomp[[Stanowisko / Position ]:[Stanowisko / Position ]],0)))</f>
        <v>n/a</v>
      </c>
      <c r="CB200" s="349" t="str">
        <f>IF(INDEX(tab_MinKomp[Scrum],MATCH($B199,tab_MinKomp[[Stanowisko / Position ]:[Stanowisko / Position ]],0))="n/a","n/a",CB199-INDEX(tab_MinKomp[Scrum],MATCH($B199,tab_MinKomp[[Stanowisko / Position ]:[Stanowisko / Position ]],0)))</f>
        <v>n/a</v>
      </c>
      <c r="CC200" s="349" t="str">
        <f>IF(INDEX(tab_MinKomp[SQL (MySQL)],MATCH($B199,tab_MinKomp[[Stanowisko / Position ]:[Stanowisko / Position ]],0))="n/a","n/a",CC199-INDEX(tab_MinKomp[SQL (MySQL)],MATCH($B199,tab_MinKomp[[Stanowisko / Position ]:[Stanowisko / Position ]],0)))</f>
        <v>n/a</v>
      </c>
      <c r="CD200" s="349" t="str">
        <f>IF(INDEX(tab_MinKomp[Javascript],MATCH($B199,tab_MinKomp[[Stanowisko / Position ]:[Stanowisko / Position ]],0))="n/a","n/a",CD199-INDEX(tab_MinKomp[Javascript],MATCH($B199,tab_MinKomp[[Stanowisko / Position ]:[Stanowisko / Position ]],0)))</f>
        <v>n/a</v>
      </c>
      <c r="CE200" s="349" t="str">
        <f>IF(INDEX(tab_MinKomp[Joomla],MATCH($B199,tab_MinKomp[[Stanowisko / Position ]:[Stanowisko / Position ]],0))="n/a","n/a",CE199-INDEX(tab_MinKomp[Joomla],MATCH($B199,tab_MinKomp[[Stanowisko / Position ]:[Stanowisko / Position ]],0)))</f>
        <v>n/a</v>
      </c>
      <c r="CF200" s="349" t="str">
        <f>IF(INDEX(tab_MinKomp[Bash],MATCH($B199,tab_MinKomp[[Stanowisko / Position ]:[Stanowisko / Position ]],0))="n/a","n/a",CF199-INDEX(tab_MinKomp[Bash],MATCH($B199,tab_MinKomp[[Stanowisko / Position ]:[Stanowisko / Position ]],0)))</f>
        <v>n/a</v>
      </c>
      <c r="CG200" s="349" t="str">
        <f>IF(INDEX(tab_MinKomp[Systemy MES (HYDRA / SFMS)],MATCH($B199,tab_MinKomp[[Stanowisko / Position ]:[Stanowisko / Position ]],0))="n/a","n/a",CG199-INDEX(tab_MinKomp[Systemy MES (HYDRA / SFMS)],MATCH($B199,tab_MinKomp[[Stanowisko / Position ]:[Stanowisko / Position ]],0)))</f>
        <v>n/a</v>
      </c>
      <c r="CH200" s="349" t="str">
        <f>IF(INDEX(tab_MinKomp[HTML / CSS],MATCH($B199,tab_MinKomp[[Stanowisko / Position ]:[Stanowisko / Position ]],0))="n/a","n/a",CH199-INDEX(tab_MinKomp[HTML / CSS],MATCH($B199,tab_MinKomp[[Stanowisko / Position ]:[Stanowisko / Position ]],0)))</f>
        <v>n/a</v>
      </c>
      <c r="CI200" s="349" t="str">
        <f>IF(INDEX(tab_MinKomp[SYSTEM PR],MATCH($B199,tab_MinKomp[[Stanowisko / Position ]:[Stanowisko / Position ]],0))="n/a","n/a",CI199-INDEX(tab_MinKomp[SYSTEM PR],MATCH($B199,tab_MinKomp[[Stanowisko / Position ]:[Stanowisko / Position ]],0)))</f>
        <v>n/a</v>
      </c>
      <c r="CJ200" s="349" t="str">
        <f>IF(INDEX(tab_MinKomp[System Einkauf XP / EBA],MATCH($B199,tab_MinKomp[[Stanowisko / Position ]:[Stanowisko / Position ]],0))="n/a","n/a",CJ199-INDEX(tab_MinKomp[System Einkauf XP / EBA],MATCH($B199,tab_MinKomp[[Stanowisko / Position ]:[Stanowisko / Position ]],0)))</f>
        <v>n/a</v>
      </c>
      <c r="CK200" s="349" t="str">
        <f>IF(INDEX(tab_MinKomp[Techniki negocjacyjne / Verhandlungstechniken],MATCH($B199,tab_MinKomp[[Stanowisko / Position ]:[Stanowisko / Position ]],0))="n/a","n/a",CK199-INDEX(tab_MinKomp[Techniki negocjacyjne / Verhandlungstechniken],MATCH($B199,tab_MinKomp[[Stanowisko / Position ]:[Stanowisko / Position ]],0)))</f>
        <v>n/a</v>
      </c>
      <c r="CL200" s="349" t="str">
        <f>IF(INDEX(tab_MinKomp[Znajomość rynku branżowego / Kenntnis des Industrie Marktes],MATCH($B199,tab_MinKomp[[Stanowisko / Position ]:[Stanowisko / Position ]],0))="n/a","n/a",CL199-INDEX(tab_MinKomp[Znajomość rynku branżowego / Kenntnis des Industrie Marktes],MATCH($B199,tab_MinKomp[[Stanowisko / Position ]:[Stanowisko / Position ]],0)))</f>
        <v>n/a</v>
      </c>
      <c r="CM200" s="349" t="str">
        <f>IF(INDEX(tab_MinKomp[RAPORTY 8D / 8D Berichten],MATCH($B199,tab_MinKomp[[Stanowisko / Position ]:[Stanowisko / Position ]],0))="n/a","n/a",CM199-INDEX(tab_MinKomp[RAPORTY 8D / 8D Berichten],MATCH($B199,tab_MinKomp[[Stanowisko / Position ]:[Stanowisko / Position ]],0)))</f>
        <v>n/a</v>
      </c>
      <c r="CN200" s="349">
        <f>IF(INDEX(tab_MinKomp[NARZĘDZIA JAKOŚCIOWE (5WHY, Ishikawa, etc) / QS-Werkzeuge],MATCH($B199,tab_MinKomp[[Stanowisko / Position ]:[Stanowisko / Position ]],0))="n/a","n/a",CN199-INDEX(tab_MinKomp[NARZĘDZIA JAKOŚCIOWE (5WHY, Ishikawa, etc) / QS-Werkzeuge],MATCH($B199,tab_MinKomp[[Stanowisko / Position ]:[Stanowisko / Position ]],0)))</f>
        <v>-2</v>
      </c>
      <c r="CO200" s="349">
        <f>IF(INDEX(tab_MinKomp[PDCA],MATCH($B199,tab_MinKomp[[Stanowisko / Position ]:[Stanowisko / Position ]],0))="n/a","n/a",CO199-INDEX(tab_MinKomp[PDCA],MATCH($B199,tab_MinKomp[[Stanowisko / Position ]:[Stanowisko / Position ]],0)))</f>
        <v>-2</v>
      </c>
      <c r="CP200" s="349">
        <f>IF(INDEX(tab_MinKomp[Pareto],MATCH($B199,tab_MinKomp[[Stanowisko / Position ]:[Stanowisko / Position ]],0))="n/a","n/a",CP199-INDEX(tab_MinKomp[Pareto],MATCH($B199,tab_MinKomp[[Stanowisko / Position ]:[Stanowisko / Position ]],0)))</f>
        <v>-2</v>
      </c>
      <c r="CQ200" s="349" t="str">
        <f>IF(INDEX(tab_MinKomp[PPAP/PSW],MATCH($B199,tab_MinKomp[[Stanowisko / Position ]:[Stanowisko / Position ]],0))="n/a","n/a",CQ199-INDEX(tab_MinKomp[PPAP/PSW],MATCH($B199,tab_MinKomp[[Stanowisko / Position ]:[Stanowisko / Position ]],0)))</f>
        <v>n/a</v>
      </c>
      <c r="CR200" s="349" t="str">
        <f>IF(INDEX(tab_MinKomp[SUPPLIER MANAGEMENT],MATCH($B199,tab_MinKomp[[Stanowisko / Position ]:[Stanowisko / Position ]],0))="n/a","n/a",CR199-INDEX(tab_MinKomp[SUPPLIER MANAGEMENT],MATCH($B199,tab_MinKomp[[Stanowisko / Position ]:[Stanowisko / Position ]],0)))</f>
        <v>n/a</v>
      </c>
      <c r="CS200" s="349" t="str">
        <f>IF(INDEX(tab_MinKomp[OBSŁUGA PORTALI KLIENTA / Kundenportale],MATCH($B199,tab_MinKomp[[Stanowisko / Position ]:[Stanowisko / Position ]],0))="n/a","n/a",CS199-INDEX(tab_MinKomp[OBSŁUGA PORTALI KLIENTA / Kundenportale],MATCH($B199,tab_MinKomp[[Stanowisko / Position ]:[Stanowisko / Position ]],0)))</f>
        <v>n/a</v>
      </c>
      <c r="CT200" s="349" t="str">
        <f>IF(INDEX(tab_MinKomp[Obsługa systemu BABTECQ / BABTECQ System],MATCH($B199,tab_MinKomp[[Stanowisko / Position ]:[Stanowisko / Position ]],0))="n/a","n/a",CT199-INDEX(tab_MinKomp[Obsługa systemu BABTECQ / BABTECQ System],MATCH($B199,tab_MinKomp[[Stanowisko / Position ]:[Stanowisko / Position ]],0)))</f>
        <v>n/a</v>
      </c>
      <c r="CU200" s="349">
        <f>IF(INDEX(tab_MinKomp[Rysunek techniczny / technische Zeichnung],MATCH($B199,tab_MinKomp[[Stanowisko / Position ]:[Stanowisko / Position ]],0))="n/a","n/a",CU199-INDEX(tab_MinKomp[Rysunek techniczny / technische Zeichnung],MATCH($B199,tab_MinKomp[[Stanowisko / Position ]:[Stanowisko / Position ]],0)))</f>
        <v>-1</v>
      </c>
      <c r="CV200" s="349" t="str">
        <f>IF(INDEX(tab_MinKomp[Kalibracja / Kalibrierung],MATCH($B199,tab_MinKomp[[Stanowisko / Position ]:[Stanowisko / Position ]],0))="n/a","n/a",CV199-INDEX(tab_MinKomp[Kalibracja / Kalibrierung],MATCH($B199,tab_MinKomp[[Stanowisko / Position ]:[Stanowisko / Position ]],0)))</f>
        <v>n/a</v>
      </c>
      <c r="CW200" s="349" t="str">
        <f>IF(INDEX(tab_MinKomp[Rekwalifikacja / Requalifizierung],MATCH($B199,tab_MinKomp[[Stanowisko / Position ]:[Stanowisko / Position ]],0))="n/a","n/a",CW199-INDEX(tab_MinKomp[Rekwalifikacja / Requalifizierung],MATCH($B199,tab_MinKomp[[Stanowisko / Position ]:[Stanowisko / Position ]],0)))</f>
        <v>n/a</v>
      </c>
      <c r="CX200" s="349" t="str">
        <f>IF(INDEX(tab_MinKomp[Obsługa mikroskopu optycznego / Bedienung eines optischen Mikroskops],MATCH($B199,tab_MinKomp[[Stanowisko / Position ]:[Stanowisko / Position ]],0))="n/a","n/a",CX199-INDEX(tab_MinKomp[Obsługa mikroskopu optycznego / Bedienung eines optischen Mikroskops],MATCH($B199,tab_MinKomp[[Stanowisko / Position ]:[Stanowisko / Position ]],0)))</f>
        <v>n/a</v>
      </c>
      <c r="CY200" s="349" t="str">
        <f>IF(INDEX(tab_MinKomp[Wykonywanie pomiarów optycznych - ocena wizualna / Optische Messungen durchführen – visuelle Beurteilung],MATCH($B199,tab_MinKomp[[Stanowisko / Position ]:[Stanowisko / Position ]],0))="n/a","n/a",CY199-INDEX(tab_MinKomp[Wykonywanie pomiarów optycznych - ocena wizualna / Optische Messungen durchführen – visuelle Beurteilung],MATCH($B199,tab_MinKomp[[Stanowisko / Position ]:[Stanowisko / Position ]],0)))</f>
        <v>n/a</v>
      </c>
      <c r="CZ200" s="349" t="str">
        <f>IF(INDEX(tab_MinKomp[Obsługa Rheometra / Rheometra-Unterstützung],MATCH($B199,tab_MinKomp[[Stanowisko / Position ]:[Stanowisko / Position ]],0))="n/a","n/a",CZ199-INDEX(tab_MinKomp[Obsługa Rheometra / Rheometra-Unterstützung],MATCH($B199,tab_MinKomp[[Stanowisko / Position ]:[Stanowisko / Position ]],0)))</f>
        <v>n/a</v>
      </c>
      <c r="DA200" s="349" t="str">
        <f>IF(INDEX(tab_MinKomp[Testy właściwości Rheometra mieszanki gumy],MATCH($B199,tab_MinKomp[[Stanowisko / Position ]:[Stanowisko / Position ]],0))="n/a","n/a",DA199-INDEX(tab_MinKomp[Testy właściwości Rheometra mieszanki gumy],MATCH($B199,tab_MinKomp[[Stanowisko / Position ]:[Stanowisko / Position ]],0)))</f>
        <v>n/a</v>
      </c>
      <c r="DB200" s="349" t="str">
        <f>IF(INDEX(tab_MinKomp[CMM - Contura Zeiss],MATCH($B199,tab_MinKomp[[Stanowisko / Position ]:[Stanowisko / Position ]],0))="n/a","n/a",DB199-INDEX(tab_MinKomp[CMM - Contura Zeiss],MATCH($B199,tab_MinKomp[[Stanowisko / Position ]:[Stanowisko / Position ]],0)))</f>
        <v>n/a</v>
      </c>
      <c r="DC200" s="349" t="str">
        <f>IF(INDEX(tab_MinKomp[Wykonywanie precyzyjnych pomiarów metrycznych, pomiary 3D],MATCH($B199,tab_MinKomp[[Stanowisko / Position ]:[Stanowisko / Position ]],0))="n/a","n/a",DC199-INDEX(tab_MinKomp[Wykonywanie precyzyjnych pomiarów metrycznych, pomiary 3D],MATCH($B199,tab_MinKomp[[Stanowisko / Position ]:[Stanowisko / Position ]],0)))</f>
        <v>n/a</v>
      </c>
      <c r="DD200" s="349" t="str">
        <f>IF(INDEX(tab_MinKomp[Pisanie programów / Programme schreiben],MATCH($B199,tab_MinKomp[[Stanowisko / Position ]:[Stanowisko / Position ]],0))="n/a","n/a",DD199-INDEX(tab_MinKomp[Pisanie programów / Programme schreiben],MATCH($B199,tab_MinKomp[[Stanowisko / Position ]:[Stanowisko / Position ]],0)))</f>
        <v>n/a</v>
      </c>
      <c r="DE200" s="349" t="str">
        <f>IF(INDEX(tab_MinKomp[Obsługa wyposażenia do testów czystości (myjka + analizator) / Betrieb von Sauberkeitsprüfgeräten (Waschmaschine + Analysegerät)],MATCH($B199,tab_MinKomp[[Stanowisko / Position ]:[Stanowisko / Position ]],0))="n/a","n/a",DE199-INDEX(tab_MinKomp[Obsługa wyposażenia do testów czystości (myjka + analizator) / Betrieb von Sauberkeitsprüfgeräten (Waschmaschine + Analysegerät)],MATCH($B199,tab_MinKomp[[Stanowisko / Position ]:[Stanowisko / Position ]],0)))</f>
        <v>n/a</v>
      </c>
      <c r="DF200" s="349" t="str">
        <f>IF(INDEX(tab_MinKomp[Testy czystości / Reinheitstests],MATCH($B199,tab_MinKomp[[Stanowisko / Position ]:[Stanowisko / Position ]],0))="n/a","n/a",DF199-INDEX(tab_MinKomp[Testy czystości / Reinheitstests],MATCH($B199,tab_MinKomp[[Stanowisko / Position ]:[Stanowisko / Position ]],0)))</f>
        <v>n/a</v>
      </c>
      <c r="DG200" s="349" t="str">
        <f>IF(INDEX(tab_MinKomp[Obsługa wysokościomierza / Unterstützung für Höhenmesser],MATCH($B199,tab_MinKomp[[Stanowisko / Position ]:[Stanowisko / Position ]],0))="n/a","n/a",DG199-INDEX(tab_MinKomp[Obsługa wysokościomierza / Unterstützung für Höhenmesser],MATCH($B199,tab_MinKomp[[Stanowisko / Position ]:[Stanowisko / Position ]],0)))</f>
        <v>n/a</v>
      </c>
      <c r="DH200" s="349" t="str">
        <f>IF(INDEX(tab_MinKomp[Pomiary wysokości materiału / Materialhöhenmessungen],MATCH($B199,tab_MinKomp[[Stanowisko / Position ]:[Stanowisko / Position ]],0))="n/a","n/a",DH199-INDEX(tab_MinKomp[Pomiary wysokości materiału / Materialhöhenmessungen],MATCH($B199,tab_MinKomp[[Stanowisko / Position ]:[Stanowisko / Position ]],0)))</f>
        <v>n/a</v>
      </c>
      <c r="DI200" s="349" t="str">
        <f>IF(INDEX(tab_MinKomp[Obsługa okrągłościomierza / Unterstützung für Rundheitsmessgeräte],MATCH($B199,tab_MinKomp[[Stanowisko / Position ]:[Stanowisko / Position ]],0))="n/a","n/a",DI199-INDEX(tab_MinKomp[Obsługa okrągłościomierza / Unterstützung für Rundheitsmessgeräte],MATCH($B199,tab_MinKomp[[Stanowisko / Position ]:[Stanowisko / Position ]],0)))</f>
        <v>n/a</v>
      </c>
      <c r="DJ200" s="349" t="str">
        <f>IF(INDEX(tab_MinKomp[Wykonywania pomiarów owalności, srednicy materiału / Messung der Ovalität und des Durchmessers des Materials],MATCH($B199,tab_MinKomp[[Stanowisko / Position ]:[Stanowisko / Position ]],0))="n/a","n/a",DJ199-INDEX(tab_MinKomp[Wykonywania pomiarów owalności, srednicy materiału / Messung der Ovalität und des Durchmessers des Materials],MATCH($B199,tab_MinKomp[[Stanowisko / Position ]:[Stanowisko / Position ]],0)))</f>
        <v>n/a</v>
      </c>
      <c r="DK200" s="349" t="str">
        <f>IF(INDEX(tab_MinKomp[Obsługa urządzenia do pomiarów chropowoatości powierzchni materiału],MATCH($B199,tab_MinKomp[[Stanowisko / Position ]:[Stanowisko / Position ]],0))="n/a","n/a",DK199-INDEX(tab_MinKomp[Obsługa urządzenia do pomiarów chropowoatości powierzchni materiału],MATCH($B199,tab_MinKomp[[Stanowisko / Position ]:[Stanowisko / Position ]],0)))</f>
        <v>n/a</v>
      </c>
      <c r="DL200" s="349" t="str">
        <f>IF(INDEX(tab_MinKomp[Wykonywanie pomiarów chropowatości powierzchni materiału / Durchführung von Messungen der Materialoberflächenrauheit],MATCH($B199,tab_MinKomp[[Stanowisko / Position ]:[Stanowisko / Position ]],0))="n/a","n/a",DL199-INDEX(tab_MinKomp[Wykonywanie pomiarów chropowatości powierzchni materiału / Durchführung von Messungen der Materialoberflächenrauheit],MATCH($B199,tab_MinKomp[[Stanowisko / Position ]:[Stanowisko / Position ]],0)))</f>
        <v>n/a</v>
      </c>
      <c r="DM200" s="349" t="str">
        <f>IF(INDEX(tab_MinKomp[Obsługa urządzenia do pomiaru siły radialnej części - postępowanie z trzpieniami. / Funktionsweise des Geräts zur Messung der Radialkraft von Teilen – Handhabungsstifte.],MATCH($B199,tab_MinKomp[[Stanowisko / Position ]:[Stanowisko / Position ]],0))="n/a","n/a",DM199-INDEX(tab_MinKomp[Obsługa urządzenia do pomiaru siły radialnej części - postępowanie z trzpieniami. / Funktionsweise des Geräts zur Messung der Radialkraft von Teilen – Handhabungsstifte.],MATCH($B199,tab_MinKomp[[Stanowisko / Position ]:[Stanowisko / Position ]],0)))</f>
        <v>n/a</v>
      </c>
      <c r="DN200" s="349" t="str">
        <f>IF(INDEX(tab_MinKomp[Wykonywanie pomiarów siły radialnej części / Führen Sie Radialkraftmessungen an Teilen durch],MATCH($B199,tab_MinKomp[[Stanowisko / Position ]:[Stanowisko / Position ]],0))="n/a","n/a",DN199-INDEX(tab_MinKomp[Wykonywanie pomiarów siły radialnej części / Führen Sie Radialkraftmessungen an Teilen durch],MATCH($B199,tab_MinKomp[[Stanowisko / Position ]:[Stanowisko / Position ]],0)))</f>
        <v>n/a</v>
      </c>
      <c r="DO200" s="349" t="str">
        <f>IF(INDEX(tab_MinKomp[Obsługa komory do testów wybuchwych / Betrieb einer Explosionsprüfkammer],MATCH($B199,tab_MinKomp[[Stanowisko / Position ]:[Stanowisko / Position ]],0))="n/a","n/a",DO199-INDEX(tab_MinKomp[Obsługa komory do testów wybuchwych / Betrieb einer Explosionsprüfkammer],MATCH($B199,tab_MinKomp[[Stanowisko / Position ]:[Stanowisko / Position ]],0)))</f>
        <v>n/a</v>
      </c>
      <c r="DP200" s="349" t="str">
        <f>IF(INDEX(tab_MinKomp[Wykonywanie testów wybuchowych części / Durchführung von Explosionstests an Teilen],MATCH($B199,tab_MinKomp[[Stanowisko / Position ]:[Stanowisko / Position ]],0))="n/a","n/a",DP199-INDEX(tab_MinKomp[Wykonywanie testów wybuchowych części / Durchführung von Explosionstests an Teilen],MATCH($B199,tab_MinKomp[[Stanowisko / Position ]:[Stanowisko / Position ]],0)))</f>
        <v>n/a</v>
      </c>
      <c r="DQ200" s="349" t="str">
        <f>IF(INDEX(tab_MinKomp[Obsługa urządzeń do mierzenia siły trzymania i/lub rozciągania / Betrieb von Geräten zur Messung der Halte- und/oder Dehnkraft],MATCH($B199,tab_MinKomp[[Stanowisko / Position ]:[Stanowisko / Position ]],0))="n/a","n/a",DQ199-INDEX(tab_MinKomp[Obsługa urządzeń do mierzenia siły trzymania i/lub rozciągania / Betrieb von Geräten zur Messung der Halte- und/oder Dehnkraft],MATCH($B199,tab_MinKomp[[Stanowisko / Position ]:[Stanowisko / Position ]],0)))</f>
        <v>n/a</v>
      </c>
      <c r="DR200" s="349" t="str">
        <f>IF(INDEX(tab_MinKomp[Wykonywanie testów mierzenia siły trzymania i/lub rozciągania / Durchführung von Tests zur Messung der Halte- und/oder Streckkraft],MATCH($B199,tab_MinKomp[[Stanowisko / Position ]:[Stanowisko / Position ]],0))="n/a","n/a",DR199-INDEX(tab_MinKomp[Wykonywanie testów mierzenia siły trzymania i/lub rozciągania / Durchführung von Tests zur Messung der Halte- und/oder Streckkraft],MATCH($B199,tab_MinKomp[[Stanowisko / Position ]:[Stanowisko / Position ]],0)))</f>
        <v>n/a</v>
      </c>
      <c r="DS200" s="349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Luftstrom)],MATCH($B199,tab_MinKomp[[Stanowisko / Position ]:[Stanowisko / Position ]],0))="n/a","n/a",DS199-INDEX(tab_MinKomp[Obsługa multimetru do pomiarów środowiskowych (temperatura, wilgotność, hałas, oświetlenie, przepływ powietrza) / Betrieb eines Multimeters für Umweltmessungen (Temperatur, Luftfeuchtigkeit, Lärm, Beleuchtung, Luftstrom)],MATCH($B199,tab_MinKomp[[Stanowisko / Position ]:[Stanowisko / Position ]],0)))</f>
        <v>n/a</v>
      </c>
      <c r="DT200" s="349" t="str">
        <f>IF(INDEX(tab_MinKomp[Kontrola warunków środowiskowych pracy (temperatura, wilgotność, hałas, oświetlenie, przepływ powietrza) / Kontrolle der Arbeitsumgebungsbedingungen (Temperatur, Luftfeuchtigkeit, Lärm, Beleuchtung, Luftstrom)],MATCH($B199,tab_MinKomp[[Stanowisko / Position ]:[Stanowisko / Position ]],0))="n/a","n/a",DT199-INDEX(tab_MinKomp[Kontrola warunków środowiskowych pracy (temperatura, wilgotność, hałas, oświetlenie, przepływ powietrza) / Kontrolle der Arbeitsumgebungsbedingungen (Temperatur, Luftfeuchtigkeit, Lärm, Beleuchtung, Luftstrom)],MATCH($B199,tab_MinKomp[[Stanowisko / Position ]:[Stanowisko / Position ]],0)))</f>
        <v>n/a</v>
      </c>
      <c r="DU200" s="349" t="str">
        <f>IF(INDEX(tab_MinKomp[MSA i SPC],MATCH($B199,tab_MinKomp[[Stanowisko / Position ]:[Stanowisko / Position ]],0))="n/a","n/a",DU199-INDEX(tab_MinKomp[MSA i SPC],MATCH($B199,tab_MinKomp[[Stanowisko / Position ]:[Stanowisko / Position ]],0)))</f>
        <v>n/a</v>
      </c>
      <c r="DV200" s="349" t="str">
        <f>IF(INDEX(tab_MinKomp[Kontrola wejściowa komponentów/ Eingangskontrolle],MATCH($B199,tab_MinKomp[[Stanowisko / Position ]:[Stanowisko / Position ]],0))="n/a","n/a",DV199-INDEX(tab_MinKomp[Kontrola wejściowa komponentów/ Eingangskontrolle],MATCH($B199,tab_MinKomp[[Stanowisko / Position ]:[Stanowisko / Position ]],0)))</f>
        <v>n/a</v>
      </c>
      <c r="DW200" s="349" t="str">
        <f>IF(INDEX(tab_MinKomp[Kontrola wyjściowa produktu / Ausgangskontrolle],MATCH($B199,tab_MinKomp[[Stanowisko / Position ]:[Stanowisko / Position ]],0))="n/a","n/a",DW199-INDEX(tab_MinKomp[Kontrola wyjściowa produktu / Ausgangskontrolle],MATCH($B199,tab_MinKomp[[Stanowisko / Position ]:[Stanowisko / Position ]],0)))</f>
        <v>n/a</v>
      </c>
      <c r="DX200" s="349" t="str">
        <f>IF(INDEX(tab_MinKomp[Kontrola codzienna produkcji / Tägliche Produktionskontrolle],MATCH($B199,tab_MinKomp[[Stanowisko / Position ]:[Stanowisko / Position ]],0))="n/a","n/a",DX199-INDEX(tab_MinKomp[Kontrola codzienna produkcji / Tägliche Produktionskontrolle],MATCH($B199,tab_MinKomp[[Stanowisko / Position ]:[Stanowisko / Position ]],0)))</f>
        <v>n/a</v>
      </c>
      <c r="DY200" s="349">
        <f>IF(INDEX(tab_MinKomp[Konserwacja Rep],MATCH($B199,tab_MinKomp[[Stanowisko / Position ]:[Stanowisko / Position ]],0))="n/a","n/a",DY199-INDEX(tab_MinKomp[Konserwacja Rep],MATCH($B199,tab_MinKomp[[Stanowisko / Position ]:[Stanowisko / Position ]],0)))</f>
        <v>0</v>
      </c>
      <c r="DZ200" s="349">
        <f>IF(INDEX(tab_MinKomp[[Konserwacja Engel ]],MATCH($B199,tab_MinKomp[[Stanowisko / Position ]:[Stanowisko / Position ]],0))="n/a","n/a",DZ199-INDEX(tab_MinKomp[[Konserwacja Engel ]],MATCH($B199,tab_MinKomp[[Stanowisko / Position ]:[Stanowisko / Position ]],0)))</f>
        <v>-1</v>
      </c>
      <c r="EA200" s="349">
        <f>IF(INDEX(tab_MinKomp[Konserwacja B 50],MATCH($B199,tab_MinKomp[[Stanowisko / Position ]:[Stanowisko / Position ]],0))="n/a","n/a",EA199-INDEX(tab_MinKomp[Konserwacja B 50],MATCH($B199,tab_MinKomp[[Stanowisko / Position ]:[Stanowisko / Position ]],0)))</f>
        <v>-1</v>
      </c>
      <c r="EB200" s="349">
        <f>IF(INDEX(tab_MinKomp[[Konserwacja EOL ]],MATCH($B199,tab_MinKomp[[Stanowisko / Position ]:[Stanowisko / Position ]],0))="n/a","n/a",EB199-INDEX(tab_MinKomp[[Konserwacja EOL ]],MATCH($B199,tab_MinKomp[[Stanowisko / Position ]:[Stanowisko / Position ]],0)))</f>
        <v>0</v>
      </c>
      <c r="EC200" s="349">
        <f>IF(INDEX(tab_MinKomp[Konserwacja Branson],MATCH($B199,tab_MinKomp[[Stanowisko / Position ]:[Stanowisko / Position ]],0))="n/a","n/a",EC199-INDEX(tab_MinKomp[Konserwacja Branson],MATCH($B199,tab_MinKomp[[Stanowisko / Position ]:[Stanowisko / Position ]],0)))</f>
        <v>-1</v>
      </c>
      <c r="ED200" s="349">
        <f>IF(INDEX(tab_MinKomp[Konserwacja coolery],MATCH($B199,tab_MinKomp[[Stanowisko / Position ]:[Stanowisko / Position ]],0))="n/a","n/a",ED199-INDEX(tab_MinKomp[Konserwacja coolery],MATCH($B199,tab_MinKomp[[Stanowisko / Position ]:[Stanowisko / Position ]],0)))</f>
        <v>1</v>
      </c>
      <c r="EE200" s="349">
        <f>IF(INDEX(tab_MinKomp[Konserwacja piecy],MATCH($B199,tab_MinKomp[[Stanowisko / Position ]:[Stanowisko / Position ]],0))="n/a","n/a",EE199-INDEX(tab_MinKomp[Konserwacja piecy],MATCH($B199,tab_MinKomp[[Stanowisko / Position ]:[Stanowisko / Position ]],0)))</f>
        <v>1</v>
      </c>
      <c r="EF200" s="349">
        <f>IF(INDEX(tab_MinKomp[Rysunek techniczny- czytanie],MATCH($B199,tab_MinKomp[[Stanowisko / Position ]:[Stanowisko / Position ]],0))="n/a","n/a",EF199-INDEX(tab_MinKomp[Rysunek techniczny- czytanie],MATCH($B199,tab_MinKomp[[Stanowisko / Position ]:[Stanowisko / Position ]],0)))</f>
        <v>-1</v>
      </c>
      <c r="EG200" s="349">
        <f>IF(INDEX(tab_MinKomp[Elektryka],MATCH($B199,tab_MinKomp[[Stanowisko / Position ]:[Stanowisko / Position ]],0))="n/a","n/a",EG199-INDEX(tab_MinKomp[Elektryka],MATCH($B199,tab_MinKomp[[Stanowisko / Position ]:[Stanowisko / Position ]],0)))</f>
        <v>0</v>
      </c>
      <c r="EH200" s="349">
        <f>IF(INDEX(tab_MinKomp[Pneumatyka],MATCH($B199,tab_MinKomp[[Stanowisko / Position ]:[Stanowisko / Position ]],0))="n/a","n/a",EH199-INDEX(tab_MinKomp[Pneumatyka],MATCH($B199,tab_MinKomp[[Stanowisko / Position ]:[Stanowisko / Position ]],0)))</f>
        <v>0</v>
      </c>
      <c r="EI200" s="349">
        <f>IF(INDEX(tab_MinKomp[[Hydraulika ]],MATCH($B199,tab_MinKomp[[Stanowisko / Position ]:[Stanowisko / Position ]],0))="n/a","n/a",EI199-INDEX(tab_MinKomp[[Hydraulika ]],MATCH($B199,tab_MinKomp[[Stanowisko / Position ]:[Stanowisko / Position ]],0)))</f>
        <v>-1</v>
      </c>
      <c r="EJ200" s="349">
        <f>IF(INDEX(tab_MinKomp[Podciśnienie],MATCH($B199,tab_MinKomp[[Stanowisko / Position ]:[Stanowisko / Position ]],0))="n/a","n/a",EJ199-INDEX(tab_MinKomp[Podciśnienie],MATCH($B199,tab_MinKomp[[Stanowisko / Position ]:[Stanowisko / Position ]],0)))</f>
        <v>0</v>
      </c>
      <c r="EK200" s="349">
        <f>IF(INDEX(tab_MinKomp[Usuwanie awarii],MATCH($B199,tab_MinKomp[[Stanowisko / Position ]:[Stanowisko / Position ]],0))="n/a","n/a",EK199-INDEX(tab_MinKomp[Usuwanie awarii],MATCH($B199,tab_MinKomp[[Stanowisko / Position ]:[Stanowisko / Position ]],0)))</f>
        <v>0</v>
      </c>
      <c r="EL200" s="349">
        <f>IF(INDEX(tab_MinKomp[Obsługa robotów],MATCH($B199,tab_MinKomp[[Stanowisko / Position ]:[Stanowisko / Position ]],0))="n/a","n/a",EL199-INDEX(tab_MinKomp[Obsługa robotów],MATCH($B199,tab_MinKomp[[Stanowisko / Position ]:[Stanowisko / Position ]],0)))</f>
        <v>-1</v>
      </c>
      <c r="EM200" s="349">
        <f>IF(INDEX(tab_MinKomp[Obsługa sterowania maszyny],MATCH($B199,tab_MinKomp[[Stanowisko / Position ]:[Stanowisko / Position ]],0))="n/a","n/a",EM199-INDEX(tab_MinKomp[Obsługa sterowania maszyny],MATCH($B199,tab_MinKomp[[Stanowisko / Position ]:[Stanowisko / Position ]],0)))</f>
        <v>-1</v>
      </c>
      <c r="EN200" s="349">
        <f>IF(INDEX(tab_MinKomp[Usuwanie przyczyn żródłowych],MATCH($B199,tab_MinKomp[[Stanowisko / Position ]:[Stanowisko / Position ]],0))="n/a","n/a",EN199-INDEX(tab_MinKomp[Usuwanie przyczyn żródłowych],MATCH($B199,tab_MinKomp[[Stanowisko / Position ]:[Stanowisko / Position ]],0)))</f>
        <v>-1</v>
      </c>
      <c r="EO200" s="349">
        <f>IF(INDEX(tab_MinKomp[Cmms stosowanie],MATCH($B199,tab_MinKomp[[Stanowisko / Position ]:[Stanowisko / Position ]],0))="n/a","n/a",EO199-INDEX(tab_MinKomp[Cmms stosowanie],MATCH($B199,tab_MinKomp[[Stanowisko / Position ]:[Stanowisko / Position ]],0)))</f>
        <v>0</v>
      </c>
      <c r="EP200" s="343" t="str">
        <f>IF(INDEX(tab_MinKomp[[Czyszczenie form gumowych ]],MATCH($B199,tab_MinKomp[[Stanowisko / Position ]:[Stanowisko / Position ]],0))="n/a","n/a",EP199-INDEX(tab_MinKomp[[Czyszczenie form gumowych ]],MATCH($B199,tab_MinKomp[[Stanowisko / Position ]:[Stanowisko / Position ]],0)))</f>
        <v>n/a</v>
      </c>
      <c r="EQ200" s="343" t="str">
        <f>IF(INDEX(tab_MinKomp[Czyszczenie form plastikowych],MATCH($B199,tab_MinKomp[[Stanowisko / Position ]:[Stanowisko / Position ]],0))="n/a","n/a",EQ199-INDEX(tab_MinKomp[Czyszczenie form plastikowych],MATCH($B199,tab_MinKomp[[Stanowisko / Position ]:[Stanowisko / Position ]],0)))</f>
        <v>n/a</v>
      </c>
      <c r="ER200" s="343" t="str">
        <f>IF(INDEX(tab_MinKomp[Wymiana form plastik],MATCH($B199,tab_MinKomp[[Stanowisko / Position ]:[Stanowisko / Position ]],0))="n/a","n/a",ER199-INDEX(tab_MinKomp[Wymiana form plastik],MATCH($B199,tab_MinKomp[[Stanowisko / Position ]:[Stanowisko / Position ]],0)))</f>
        <v>n/a</v>
      </c>
      <c r="ES200" s="343" t="str">
        <f>IF(INDEX(tab_MinKomp[Wymiana form guma],MATCH($B199,tab_MinKomp[[Stanowisko / Position ]:[Stanowisko / Position ]],0))="n/a","n/a",ES199-INDEX(tab_MinKomp[Wymiana form guma],MATCH($B199,tab_MinKomp[[Stanowisko / Position ]:[Stanowisko / Position ]],0)))</f>
        <v>n/a</v>
      </c>
      <c r="ET200" s="343" t="str">
        <f>IF(INDEX(tab_MinKomp[Konserwacja KK],MATCH($B199,tab_MinKomp[[Stanowisko / Position ]:[Stanowisko / Position ]],0))="n/a","n/a",ET199-INDEX(tab_MinKomp[Konserwacja KK],MATCH($B199,tab_MinKomp[[Stanowisko / Position ]:[Stanowisko / Position ]],0)))</f>
        <v>n/a</v>
      </c>
      <c r="EU200" s="343" t="str">
        <f>IF(INDEX(tab_MinKomp[Konserwacja form guma],MATCH($B199,tab_MinKomp[[Stanowisko / Position ]:[Stanowisko / Position ]],0))="n/a","n/a",EU199-INDEX(tab_MinKomp[Konserwacja form guma],MATCH($B199,tab_MinKomp[[Stanowisko / Position ]:[Stanowisko / Position ]],0)))</f>
        <v>n/a</v>
      </c>
      <c r="EV200" s="343" t="str">
        <f>IF(INDEX(tab_MinKomp[Konserwacja form plastiki],MATCH($B199,tab_MinKomp[[Stanowisko / Position ]:[Stanowisko / Position ]],0))="n/a","n/a",EV199-INDEX(tab_MinKomp[Konserwacja form plastiki],MATCH($B199,tab_MinKomp[[Stanowisko / Position ]:[Stanowisko / Position ]],0)))</f>
        <v>n/a</v>
      </c>
      <c r="EW200" s="330" t="str">
        <f>IF(INDEX(tab_MinKomp[Konserwacja form plastiki],MATCH($B199,tab_MinKomp[[Stanowisko / Position ]:[Stanowisko / Position ]],0))="n/a","n/a",EW199-INDEX(tab_MinKomp[Konserwacja form plastiki],MATCH($B199,tab_MinKomp[[Stanowisko / Position ]:[Stanowisko / Position ]],0)))</f>
        <v>n/a</v>
      </c>
      <c r="EX200" s="343" t="str">
        <f>IF(INDEX(tab_MinKomp[Konserwacja Gorącego Kanału],MATCH($B199,tab_MinKomp[[Stanowisko / Position ]:[Stanowisko / Position ]],0))="n/a","n/a",EX199-INDEX(tab_MinKomp[Konserwacja Gorącego Kanału],MATCH($B199,tab_MinKomp[[Stanowisko / Position ]:[Stanowisko / Position ]],0)))</f>
        <v>n/a</v>
      </c>
      <c r="EY200" s="349" t="str">
        <f>IF(INDEX(tab_MinKomp[MS Office (Excel)],MATCH($B199,tab_MinKomp[[Stanowisko / Position ]:[Stanowisko / Position ]],0))="n/a","n/a",EY199-INDEX(tab_MinKomp[MS Office (Excel)],MATCH($B199,tab_MinKomp[[Stanowisko / Position ]:[Stanowisko / Position ]],0)))</f>
        <v>n/a</v>
      </c>
      <c r="EZ200" s="349" t="str">
        <f>IF(INDEX(tab_MinKomp[MS Office (Word)],MATCH($B199,tab_MinKomp[[Stanowisko / Position ]:[Stanowisko / Position ]],0))="n/a","n/a",EZ199-INDEX(tab_MinKomp[MS Office (Word)],MATCH($B199,tab_MinKomp[[Stanowisko / Position ]:[Stanowisko / Position ]],0)))</f>
        <v>n/a</v>
      </c>
      <c r="FA200" s="349" t="str">
        <f>IF(INDEX(tab_MinKomp[MS Office (Power Point)],MATCH($B199,tab_MinKomp[[Stanowisko / Position ]:[Stanowisko / Position ]],0))="n/a","n/a",FA199-INDEX(tab_MinKomp[MS Office (Power Point)],MATCH($B199,tab_MinKomp[[Stanowisko / Position ]:[Stanowisko / Position ]],0)))</f>
        <v>n/a</v>
      </c>
      <c r="FB200" s="349" t="str">
        <f>IF(INDEX(tab_MinKomp[Język angielski / Englisch],MATCH($B199,tab_MinKomp[[Stanowisko / Position ]:[Stanowisko / Position ]],0))="n/a","n/a",FB199-INDEX(tab_MinKomp[Język angielski / Englisch],MATCH($B199,tab_MinKomp[[Stanowisko / Position ]:[Stanowisko / Position ]],0)))</f>
        <v>n/a</v>
      </c>
      <c r="FC200" s="349" t="str">
        <f>IF(INDEX(tab_MinKomp[Język niemiecki / Deutsch],MATCH($B199,tab_MinKomp[[Stanowisko / Position ]:[Stanowisko / Position ]],0))="n/a","n/a",FC199-INDEX(tab_MinKomp[Język niemiecki / Deutsch],MATCH($B199,tab_MinKomp[[Stanowisko / Position ]:[Stanowisko / Position ]],0)))</f>
        <v>n/a</v>
      </c>
      <c r="FD200" s="349">
        <f>IF(INDEX(tab_MinKomp[Zarządzanie dokumentacją procesową / Process dokumentation management],MATCH($B199,tab_MinKomp[[Stanowisko / Position ]:[Stanowisko / Position ]],0))="n/a","n/a",FD199-INDEX(tab_MinKomp[Zarządzanie dokumentacją procesową / Process dokumentation management],MATCH($B199,tab_MinKomp[[Stanowisko / Position ]:[Stanowisko / Position ]],0)))</f>
        <v>0</v>
      </c>
      <c r="FE200" s="349">
        <f>IF(INDEX(tab_MinKomp[Znajomość procesów z obszaru / Kenntiss der prozesse in dem Bereich],MATCH($B199,tab_MinKomp[[Stanowisko / Position ]:[Stanowisko / Position ]],0))="n/a","n/a",FE199-INDEX(tab_MinKomp[Znajomość procesów z obszaru / Kenntiss der prozesse in dem Bereich],MATCH($B199,tab_MinKomp[[Stanowisko / Position ]:[Stanowisko / Position ]],0)))</f>
        <v>-1</v>
      </c>
      <c r="FF200" s="349">
        <f>IF(INDEX(tab_MinKomp[optymalizacja procesów / Prozessoptymalisierung],MATCH($B199,tab_MinKomp[[Stanowisko / Position ]:[Stanowisko / Position ]],0))="n/a","n/a",FF199-INDEX(tab_MinKomp[optymalizacja procesów / Prozessoptymalisierung],MATCH($B199,tab_MinKomp[[Stanowisko / Position ]:[Stanowisko / Position ]],0)))</f>
        <v>0</v>
      </c>
      <c r="FG200" s="349">
        <f>IF(INDEX(tab_MinKomp[Umiejętności szkoleniowe / Trainingsfähigkeiten],MATCH($B199,tab_MinKomp[[Stanowisko / Position ]:[Stanowisko / Position ]],0))="n/a","n/a",FG199-INDEX(tab_MinKomp[Umiejętności szkoleniowe / Trainingsfähigkeiten],MATCH($B199,tab_MinKomp[[Stanowisko / Position ]:[Stanowisko / Position ]],0)))</f>
        <v>0</v>
      </c>
      <c r="FH200" s="349">
        <f>IF(INDEX(tab_MinKomp[Analityczne myślenie, podejście / Analitysches Denken, Einstellung],MATCH($B199,tab_MinKomp[[Stanowisko / Position ]:[Stanowisko / Position ]],0))="n/a","n/a",FH199-INDEX(tab_MinKomp[Analityczne myślenie, podejście / Analitysches Denken, Einstellung],MATCH($B199,tab_MinKomp[[Stanowisko / Position ]:[Stanowisko / Position ]],0)))</f>
        <v>0</v>
      </c>
      <c r="FI200" s="349">
        <f>IF(INDEX(tab_MinKomp[Dokładność, precyzja w dzialaniu / Genauigkeit, Präzision in die Arbeit],MATCH($B199,tab_MinKomp[[Stanowisko / Position ]:[Stanowisko / Position ]],0))="n/a","n/a",FI199-INDEX(tab_MinKomp[Dokładność, precyzja w dzialaniu / Genauigkeit, Präzision in die Arbeit],MATCH($B199,tab_MinKomp[[Stanowisko / Position ]:[Stanowisko / Position ]],0)))</f>
        <v>0</v>
      </c>
      <c r="FJ200" s="349">
        <f>IF(INDEX(tab_MinKomp[Dyspozycyjność / Verfügbarkeit],MATCH($B199,tab_MinKomp[[Stanowisko / Position ]:[Stanowisko / Position ]],0))="n/a","n/a",FJ199-INDEX(tab_MinKomp[Dyspozycyjność / Verfügbarkeit],MATCH($B199,tab_MinKomp[[Stanowisko / Position ]:[Stanowisko / Position ]],0)))</f>
        <v>0</v>
      </c>
      <c r="FK200" s="349">
        <f>IF(INDEX(tab_MinKomp[Zaangażowanie / 
Engagement],MATCH($B199,tab_MinKomp[[Stanowisko / Position ]:[Stanowisko / Position ]],0))="n/a","n/a",FK199-INDEX(tab_MinKomp[Zaangażowanie / 
Engagement],MATCH($B199,tab_MinKomp[[Stanowisko / Position ]:[Stanowisko / Position ]],0)))</f>
        <v>0</v>
      </c>
      <c r="FL200" s="349" t="str">
        <f>IF(INDEX(tab_MinKomp[Planowanie strategiczne / Strategische Planung],MATCH($B199,tab_MinKomp[[Stanowisko / Position ]:[Stanowisko / Position ]],0))="n/a","n/a",FL199-INDEX(tab_MinKomp[Planowanie strategiczne / Strategische Planung],MATCH($B199,tab_MinKomp[[Stanowisko / Position ]:[Stanowisko / Position ]],0)))</f>
        <v>n/a</v>
      </c>
      <c r="FM200" s="349">
        <f>IF(INDEX(tab_MinKomp[Konsekwentne i dynamiczne działanie],MATCH($B199,tab_MinKomp[[Stanowisko / Position ]:[Stanowisko / Position ]],0))="n/a","n/a",FM199-INDEX(tab_MinKomp[Konsekwentne i dynamiczne działanie],MATCH($B199,tab_MinKomp[[Stanowisko / Position ]:[Stanowisko / Position ]],0)))</f>
        <v>1</v>
      </c>
      <c r="FN200" s="349" t="str">
        <f>IF(INDEX(tab_MinKomp[Elastyczność w działaniu],MATCH($B199,tab_MinKomp[[Stanowisko / Position ]:[Stanowisko / Position ]],0))="n/a","n/a",FN199-INDEX(tab_MinKomp[Elastyczność w działaniu],MATCH($B199,tab_MinKomp[[Stanowisko / Position ]:[Stanowisko / Position ]],0)))</f>
        <v>n/a</v>
      </c>
      <c r="FO200" s="349" t="str">
        <f>IF(INDEX(tab_MinKomp[Komunikatywność],MATCH($B199,tab_MinKomp[[Stanowisko / Position ]:[Stanowisko / Position ]],0))="n/a","n/a",FO199-INDEX(tab_MinKomp[Komunikatywność],MATCH($B199,tab_MinKomp[[Stanowisko / Position ]:[Stanowisko / Position ]],0)))</f>
        <v>n/a</v>
      </c>
      <c r="FP200" s="349" t="str">
        <f>IF(INDEX(tab_MinKomp[Motywowanie i budowanie zaangażowania zespołu],MATCH($B199,tab_MinKomp[[Stanowisko / Position ]:[Stanowisko / Position ]],0))="n/a","n/a",FP199-INDEX(tab_MinKomp[Motywowanie i budowanie zaangażowania zespołu],MATCH($B199,tab_MinKomp[[Stanowisko / Position ]:[Stanowisko / Position ]],0)))</f>
        <v>n/a</v>
      </c>
      <c r="FQ200" s="388" t="str">
        <f>IFERROR(IF(INDEX(tab_MinKomp[BRAK / Keine],MATCH($B199,tab_MinKomp[[Stanowisko / Position ]:[Stanowisko / Position ]],0))="n/a","n/a",INDEX(tab_MinKomp[BRAK / Keine],MATCH($B199,tab_MinKomp[[Stanowisko / Position ]:[Stanowisko / Position ]],0))-FQ199),"")</f>
        <v>n/a</v>
      </c>
      <c r="FR200" s="349" t="str">
        <f>IF(INDEX(tab_MinKomp[MINIMUM 1 ROK / min. 1 Jahr],MATCH($B199,tab_MinKomp[[Stanowisko / Position ]:[Stanowisko / Position ]],0))="n/a","n/a",INDEX(tab_MinKomp[MINIMUM 1 ROK / min. 1 Jahr],MATCH($B199,tab_MinKomp[[Stanowisko / Position ]:[Stanowisko / Position ]],0)))</f>
        <v>n/a</v>
      </c>
      <c r="FS200" s="349" t="str">
        <f>IF(INDEX(tab_MinKomp[MINIMUM 2 LATA / min. 2 Jahre],MATCH($B199,tab_MinKomp[[Stanowisko / Position ]:[Stanowisko / Position ]],0))="n/a","n/a",INDEX(tab_MinKomp[MINIMUM 2 LATA / min. 2 Jahre],MATCH($B199,tab_MinKomp[[Stanowisko / Position ]:[Stanowisko / Position ]],0)))</f>
        <v>n/a</v>
      </c>
      <c r="FT200" s="349" t="str">
        <f>IF(INDEX(tab_MinKomp[MINIMUM 3 LATA / min. 3 Jahre],MATCH($B199,tab_MinKomp[[Stanowisko / Position ]:[Stanowisko / Position ]],0))="n/a","n/a",INDEX(tab_MinKomp[MINIMUM 3 LATA / min. 3 Jahre],MATCH($B199,tab_MinKomp[[Stanowisko / Position ]:[Stanowisko / Position ]],0)))</f>
        <v>n/a</v>
      </c>
      <c r="FU200" s="349" t="str">
        <f>IF(INDEX(tab_MinKomp[MINIMUM 4 LATA / min. 4 Jahre],MATCH($B199,tab_MinKomp[[Stanowisko / Position ]:[Stanowisko / Position ]],0))="n/a","n/a",INDEX(tab_MinKomp[MINIMUM 4 LATA / min. 4 Jahre],MATCH($B199,tab_MinKomp[[Stanowisko / Position ]:[Stanowisko / Position ]],0)))</f>
        <v>n/a</v>
      </c>
      <c r="FV200" s="389" t="str">
        <f>IF(INDEX(tab_MinKomp[MINIMUM 5 LAT / min. 5 Jahre],MATCH($B199,tab_MinKomp[[Stanowisko / Position ]:[Stanowisko / Position ]],0))="n/a","n/a",INDEX(tab_MinKomp[MINIMUM 5 LAT / min. 5 Jahre],MATCH($B199,tab_MinKomp[[Stanowisko / Position ]:[Stanowisko / Position ]],0)))</f>
        <v>n/a</v>
      </c>
      <c r="FW200" s="388" t="str">
        <f>IF(INDEX(tab_MinKomp[BRAK / Keine9],MATCH($B199,tab_MinKomp[[Stanowisko / Position ]:[Stanowisko / Position ]],0))="n/a","n/a",INDEX(tab_MinKomp[BRAK / Keine9],MATCH($B199,tab_MinKomp[[Stanowisko / Position ]:[Stanowisko / Position ]],0)))</f>
        <v>n/a</v>
      </c>
      <c r="FX200" s="349" t="str">
        <f>IF(INDEX(tab_MinKomp[ZAWODOWE / Berufsausbildung],MATCH($B199,tab_MinKomp[[Stanowisko / Position ]:[Stanowisko / Position ]],0))="n/a","n/a",INDEX(tab_MinKomp[ZAWODOWE / Berufsausbildung],MATCH($B199,tab_MinKomp[[Stanowisko / Position ]:[Stanowisko / Position ]],0)))</f>
        <v>n/a</v>
      </c>
      <c r="FY200" s="349" t="s">
        <v>387</v>
      </c>
      <c r="FZ200" s="349" t="str">
        <f>IF(INDEX(tab_MinKomp[ŚREDNIE KIERUNKOWE / berufliches Gymnasium],MATCH($B199,tab_MinKomp[[Stanowisko / Position ]:[Stanowisko / Position ]],0))="n/a","n/a",INDEX(tab_MinKomp[ŚREDNIE KIERUNKOWE / berufliches Gymnasium],MATCH($B199,tab_MinKomp[[Stanowisko / Position ]:[Stanowisko / Position ]],0)))</f>
        <v>n/a</v>
      </c>
      <c r="GA200" s="349" t="str">
        <f>IF(INDEX(tab_MinKomp[WYŻSZE OGÓLNE / Hochschule allgemeine],MATCH($B199,tab_MinKomp[[Stanowisko / Position ]:[Stanowisko / Position ]],0))="n/a","n/a",INDEX(tab_MinKomp[WYŻSZE OGÓLNE / Hochschule allgemeine],MATCH($B199,tab_MinKomp[[Stanowisko / Position ]:[Stanowisko / Position ]],0)))</f>
        <v>n/a</v>
      </c>
      <c r="GB200" s="389" t="str">
        <f>IF(INDEX(tab_MinKomp[WYŻSZE KIERUNKOWE / Hochschule berufliche],MATCH($B199,tab_MinKomp[[Stanowisko / Position ]:[Stanowisko / Position ]],0))="n/a","n/a",INDEX(tab_MinKomp[WYŻSZE KIERUNKOWE / Hochschule berufliche],MATCH($B199,tab_MinKomp[[Stanowisko / Position ]:[Stanowisko / Position ]],0)))</f>
        <v>n/a</v>
      </c>
      <c r="GC200" s="388" t="str">
        <f>IF(INDEX(tab_MinKomp[PIERWSZA POMOC / Erste Hilfe],MATCH($B199,tab_MinKomp[[Stanowisko / Position ]:[Stanowisko / Position ]],0))="n/a","n/a",INDEX(tab_MinKomp[PIERWSZA POMOC / Erste Hilfe],MATCH($B199,tab_MinKomp[[Stanowisko / Position ]:[Stanowisko / Position ]],0)))</f>
        <v>n/a</v>
      </c>
      <c r="GD200" s="349" t="str">
        <f>IF(INDEX(tab_MinKomp[Specjalista BHP / BHP Spezialist],MATCH($B199,tab_MinKomp[[Stanowisko / Position ]:[Stanowisko / Position ]],0))="n/a","n/a",INDEX(tab_MinKomp[Specjalista BHP / BHP Spezialist],MATCH($B199,tab_MinKomp[[Stanowisko / Position ]:[Stanowisko / Position ]],0)))</f>
        <v>n/a</v>
      </c>
      <c r="GE200" s="349" t="str">
        <f>IF(INDEX(tab_MinKomp[Specjalista BHP / BHP Spezialist],MATCH($B199,tab_MinKomp[[Stanowisko / Position ]:[Stanowisko / Position ]],0))="n/a","n/a",INDEX(tab_MinKomp[Specjalista BHP / BHP Spezialist],MATCH($B199,tab_MinKomp[[Stanowisko / Position ]:[Stanowisko / Position ]],0)))</f>
        <v>n/a</v>
      </c>
      <c r="GF200" s="349" t="str">
        <f>IF(INDEX(tab_MinKomp[WÓZKI JEZDNIOWE / Gebelstapler],MATCH($B199,tab_MinKomp[[Stanowisko / Position ]:[Stanowisko / Position ]],0))="n/a","n/a",INDEX(tab_MinKomp[WÓZKI JEZDNIOWE / Gebelstapler],MATCH($B199,tab_MinKomp[[Stanowisko / Position ]:[Stanowisko / Position ]],0)))</f>
        <v>x</v>
      </c>
      <c r="GG200" s="349" t="str">
        <f>IF(INDEX(tab_MinKomp[SEP],MATCH($B199,tab_MinKomp[[Stanowisko / Position ]:[Stanowisko / Position ]],0))="n/a","n/a",INDEX(tab_MinKomp[SEP],MATCH($B199,tab_MinKomp[[Stanowisko / Position ]:[Stanowisko / Position ]],0)))</f>
        <v>X</v>
      </c>
      <c r="GH200" s="349" t="str">
        <f>IF(INDEX(tab_MinKomp[SEP  DOZÓR / SEP Aufsicht],MATCH($B199,tab_MinKomp[[Stanowisko / Position ]:[Stanowisko / Position ]],0))="n/a","n/a",INDEX(tab_MinKomp[SEP  DOZÓR / SEP Aufsicht],MATCH($B199,tab_MinKomp[[Stanowisko / Position ]:[Stanowisko / Position ]],0)))</f>
        <v>x</v>
      </c>
      <c r="GI200" s="349" t="str">
        <f>IF(INDEX(tab_MinKomp[PODNOŚNIKI / Hebevorrichtung],MATCH($B199,tab_MinKomp[[Stanowisko / Position ]:[Stanowisko / Position ]],0))="n/a","n/a",INDEX(tab_MinKomp[PODNOŚNIKI / Hebevorrichtung],MATCH($B199,tab_MinKomp[[Stanowisko / Position ]:[Stanowisko / Position ]],0)))</f>
        <v>X</v>
      </c>
      <c r="GJ200" s="349" t="str">
        <f>IF(INDEX(tab_MinKomp[SUWNICE / Laufkran],MATCH($B199,tab_MinKomp[[Stanowisko / Position ]:[Stanowisko / Position ]],0))="n/a","n/a",INDEX(tab_MinKomp[SUWNICE / Laufkran],MATCH($B199,tab_MinKomp[[Stanowisko / Position ]:[Stanowisko / Position ]],0)))</f>
        <v>x</v>
      </c>
      <c r="GK200" s="389" t="str">
        <f>IF(INDEX(tab_MinKomp[WYSOKOŚCIOWE / Höhenberechtigungen],MATCH($B199,tab_MinKomp[[Stanowisko / Position ]:[Stanowisko / Position ]],0))="n/a","n/a",INDEX(tab_MinKomp[WYSOKOŚCIOWE / Höhenberechtigungen],MATCH($B199,tab_MinKomp[[Stanowisko / Position ]:[Stanowisko / Position ]],0)))</f>
        <v>x</v>
      </c>
      <c r="GL200" s="320">
        <f>SUM(G200:FP200)/(GL199-(SUM(G200:FP200)))</f>
        <v>-0.19767441860465115</v>
      </c>
      <c r="GM200" s="132"/>
    </row>
    <row r="201" spans="1:195" ht="28.35" customHeight="1" x14ac:dyDescent="0.25">
      <c r="A201" s="138" t="s">
        <v>259</v>
      </c>
      <c r="B201" s="135" t="s">
        <v>210</v>
      </c>
      <c r="C201" s="135" t="s">
        <v>750</v>
      </c>
      <c r="D201" s="138">
        <v>1407</v>
      </c>
      <c r="E201" s="563" t="s">
        <v>678</v>
      </c>
      <c r="F201" s="307" t="s">
        <v>165</v>
      </c>
      <c r="G201" s="308">
        <v>2</v>
      </c>
      <c r="H201" s="308">
        <v>2</v>
      </c>
      <c r="I201" s="308">
        <v>2</v>
      </c>
      <c r="J201" s="308">
        <v>1</v>
      </c>
      <c r="K201" s="308">
        <v>2</v>
      </c>
      <c r="L201" s="308">
        <v>1</v>
      </c>
      <c r="M201" s="308" t="s">
        <v>176</v>
      </c>
      <c r="N201" s="308" t="s">
        <v>176</v>
      </c>
      <c r="O201" s="308">
        <v>1</v>
      </c>
      <c r="P201" s="308">
        <v>1</v>
      </c>
      <c r="Q201" s="308" t="s">
        <v>176</v>
      </c>
      <c r="R201" s="308" t="s">
        <v>176</v>
      </c>
      <c r="S201" s="308" t="s">
        <v>176</v>
      </c>
      <c r="T201" s="308" t="s">
        <v>176</v>
      </c>
      <c r="U201" s="308" t="s">
        <v>176</v>
      </c>
      <c r="V201" s="308" t="s">
        <v>176</v>
      </c>
      <c r="W201" s="308" t="s">
        <v>176</v>
      </c>
      <c r="X201" s="308" t="s">
        <v>176</v>
      </c>
      <c r="Y201" s="308" t="s">
        <v>176</v>
      </c>
      <c r="Z201" s="308" t="s">
        <v>176</v>
      </c>
      <c r="AA201" s="308" t="s">
        <v>176</v>
      </c>
      <c r="AB201" s="349">
        <v>2</v>
      </c>
      <c r="AC201" s="349">
        <v>2</v>
      </c>
      <c r="AD201" s="349">
        <v>2</v>
      </c>
      <c r="AE201" s="349">
        <v>1</v>
      </c>
      <c r="AF201" s="349">
        <v>1</v>
      </c>
      <c r="AG201" s="349">
        <v>1</v>
      </c>
      <c r="AH201" s="349">
        <v>2</v>
      </c>
      <c r="AI201" s="308" t="s">
        <v>176</v>
      </c>
      <c r="AJ201" s="349">
        <v>1</v>
      </c>
      <c r="AK201" s="349">
        <v>1</v>
      </c>
      <c r="AL201" s="349">
        <v>2</v>
      </c>
      <c r="AM201" s="349">
        <v>2</v>
      </c>
      <c r="AN201" s="349">
        <v>2</v>
      </c>
      <c r="AO201" s="349">
        <v>2</v>
      </c>
      <c r="AP201" s="349">
        <v>2</v>
      </c>
      <c r="AQ201" s="349">
        <v>2</v>
      </c>
      <c r="AR201" s="349">
        <v>2</v>
      </c>
      <c r="AS201" s="349">
        <v>2</v>
      </c>
      <c r="AT201" s="349">
        <v>2</v>
      </c>
      <c r="AU201" s="349">
        <v>3</v>
      </c>
      <c r="AV201" s="349">
        <v>2</v>
      </c>
      <c r="AW201" s="349">
        <v>1</v>
      </c>
      <c r="AX201" s="349">
        <v>1</v>
      </c>
      <c r="AY201" s="308" t="s">
        <v>176</v>
      </c>
      <c r="AZ201" s="308">
        <v>2</v>
      </c>
      <c r="BA201" s="308" t="s">
        <v>176</v>
      </c>
      <c r="BB201" s="308" t="s">
        <v>176</v>
      </c>
      <c r="BC201" s="308" t="s">
        <v>176</v>
      </c>
      <c r="BD201" s="308" t="s">
        <v>176</v>
      </c>
      <c r="BE201" s="308" t="s">
        <v>176</v>
      </c>
      <c r="BF201" s="308" t="s">
        <v>176</v>
      </c>
      <c r="BG201" s="308" t="s">
        <v>176</v>
      </c>
      <c r="BH201" s="308" t="s">
        <v>176</v>
      </c>
      <c r="BI201" s="308" t="s">
        <v>176</v>
      </c>
      <c r="BJ201" s="308" t="s">
        <v>176</v>
      </c>
      <c r="BK201" s="308" t="s">
        <v>176</v>
      </c>
      <c r="BL201" s="308" t="s">
        <v>176</v>
      </c>
      <c r="BM201" s="308" t="s">
        <v>176</v>
      </c>
      <c r="BN201" s="308" t="s">
        <v>176</v>
      </c>
      <c r="BO201" s="308" t="s">
        <v>176</v>
      </c>
      <c r="BP201" s="308" t="s">
        <v>176</v>
      </c>
      <c r="BQ201" s="308" t="s">
        <v>176</v>
      </c>
      <c r="BR201" s="308" t="s">
        <v>176</v>
      </c>
      <c r="BS201" s="308" t="s">
        <v>176</v>
      </c>
      <c r="BT201" s="308" t="s">
        <v>176</v>
      </c>
      <c r="BU201" s="308" t="s">
        <v>176</v>
      </c>
      <c r="BV201" s="308" t="s">
        <v>176</v>
      </c>
      <c r="BW201" s="308" t="s">
        <v>176</v>
      </c>
      <c r="BX201" s="308" t="s">
        <v>176</v>
      </c>
      <c r="BY201" s="308" t="s">
        <v>176</v>
      </c>
      <c r="BZ201" s="308" t="s">
        <v>176</v>
      </c>
      <c r="CA201" s="308" t="s">
        <v>176</v>
      </c>
      <c r="CB201" s="308" t="s">
        <v>176</v>
      </c>
      <c r="CC201" s="308" t="s">
        <v>176</v>
      </c>
      <c r="CD201" s="308" t="s">
        <v>176</v>
      </c>
      <c r="CE201" s="308" t="s">
        <v>176</v>
      </c>
      <c r="CF201" s="308" t="s">
        <v>176</v>
      </c>
      <c r="CG201" s="308" t="s">
        <v>176</v>
      </c>
      <c r="CH201" s="308" t="s">
        <v>176</v>
      </c>
      <c r="CI201" s="308">
        <v>2</v>
      </c>
      <c r="CJ201" s="308">
        <v>1</v>
      </c>
      <c r="CK201" s="308" t="s">
        <v>176</v>
      </c>
      <c r="CL201" s="308" t="s">
        <v>176</v>
      </c>
      <c r="CM201" s="308">
        <v>3</v>
      </c>
      <c r="CN201" s="308">
        <v>3</v>
      </c>
      <c r="CO201" s="308">
        <v>3</v>
      </c>
      <c r="CP201" s="308">
        <v>3</v>
      </c>
      <c r="CQ201" s="308">
        <v>2</v>
      </c>
      <c r="CR201" s="308">
        <v>1</v>
      </c>
      <c r="CS201" s="308">
        <v>3</v>
      </c>
      <c r="CT201" s="308">
        <v>2</v>
      </c>
      <c r="CU201" s="308">
        <v>2</v>
      </c>
      <c r="CV201" s="308" t="s">
        <v>176</v>
      </c>
      <c r="CW201" s="308">
        <v>2</v>
      </c>
      <c r="CX201" s="308" t="s">
        <v>176</v>
      </c>
      <c r="CY201" s="308" t="s">
        <v>176</v>
      </c>
      <c r="CZ201" s="308" t="s">
        <v>176</v>
      </c>
      <c r="DA201" s="308" t="s">
        <v>176</v>
      </c>
      <c r="DB201" s="308" t="s">
        <v>176</v>
      </c>
      <c r="DC201" s="308" t="s">
        <v>176</v>
      </c>
      <c r="DD201" s="308" t="s">
        <v>176</v>
      </c>
      <c r="DE201" s="308" t="s">
        <v>176</v>
      </c>
      <c r="DF201" s="308" t="s">
        <v>176</v>
      </c>
      <c r="DG201" s="308" t="s">
        <v>176</v>
      </c>
      <c r="DH201" s="308" t="s">
        <v>176</v>
      </c>
      <c r="DI201" s="308" t="s">
        <v>176</v>
      </c>
      <c r="DJ201" s="308" t="s">
        <v>176</v>
      </c>
      <c r="DK201" s="308" t="s">
        <v>176</v>
      </c>
      <c r="DL201" s="308" t="s">
        <v>176</v>
      </c>
      <c r="DM201" s="308" t="s">
        <v>176</v>
      </c>
      <c r="DN201" s="308" t="s">
        <v>176</v>
      </c>
      <c r="DO201" s="308" t="s">
        <v>176</v>
      </c>
      <c r="DP201" s="308" t="s">
        <v>176</v>
      </c>
      <c r="DQ201" s="308" t="s">
        <v>176</v>
      </c>
      <c r="DR201" s="308" t="s">
        <v>176</v>
      </c>
      <c r="DS201" s="308" t="s">
        <v>176</v>
      </c>
      <c r="DT201" s="308" t="s">
        <v>176</v>
      </c>
      <c r="DU201" s="308" t="s">
        <v>176</v>
      </c>
      <c r="DV201" s="308" t="s">
        <v>176</v>
      </c>
      <c r="DW201" s="308" t="s">
        <v>176</v>
      </c>
      <c r="DX201" s="308" t="s">
        <v>176</v>
      </c>
      <c r="DY201" s="308" t="s">
        <v>176</v>
      </c>
      <c r="DZ201" s="308" t="s">
        <v>176</v>
      </c>
      <c r="EA201" s="308" t="s">
        <v>176</v>
      </c>
      <c r="EB201" s="308" t="s">
        <v>176</v>
      </c>
      <c r="EC201" s="308" t="s">
        <v>176</v>
      </c>
      <c r="ED201" s="308" t="s">
        <v>176</v>
      </c>
      <c r="EE201" s="308" t="s">
        <v>176</v>
      </c>
      <c r="EF201" s="308" t="s">
        <v>176</v>
      </c>
      <c r="EG201" s="308" t="s">
        <v>176</v>
      </c>
      <c r="EH201" s="308" t="s">
        <v>176</v>
      </c>
      <c r="EI201" s="308" t="s">
        <v>176</v>
      </c>
      <c r="EJ201" s="308" t="s">
        <v>176</v>
      </c>
      <c r="EK201" s="308" t="s">
        <v>176</v>
      </c>
      <c r="EL201" s="308" t="s">
        <v>176</v>
      </c>
      <c r="EM201" s="308" t="s">
        <v>176</v>
      </c>
      <c r="EN201" s="308" t="s">
        <v>176</v>
      </c>
      <c r="EO201" s="308" t="s">
        <v>176</v>
      </c>
      <c r="EP201" s="308" t="s">
        <v>176</v>
      </c>
      <c r="EQ201" s="308" t="s">
        <v>176</v>
      </c>
      <c r="ER201" s="308" t="s">
        <v>176</v>
      </c>
      <c r="ES201" s="308" t="s">
        <v>176</v>
      </c>
      <c r="ET201" s="308" t="s">
        <v>176</v>
      </c>
      <c r="EU201" s="308" t="s">
        <v>176</v>
      </c>
      <c r="EV201" s="308" t="s">
        <v>176</v>
      </c>
      <c r="EW201" s="308" t="s">
        <v>176</v>
      </c>
      <c r="EX201" s="308" t="s">
        <v>176</v>
      </c>
      <c r="EY201" s="308">
        <v>2</v>
      </c>
      <c r="EZ201" s="308">
        <v>2</v>
      </c>
      <c r="FA201" s="308">
        <v>2</v>
      </c>
      <c r="FB201" s="308">
        <v>2</v>
      </c>
      <c r="FC201" s="308" t="s">
        <v>176</v>
      </c>
      <c r="FD201" s="308">
        <v>2</v>
      </c>
      <c r="FE201" s="308">
        <v>2</v>
      </c>
      <c r="FF201" s="308"/>
      <c r="FG201" s="308">
        <v>2</v>
      </c>
      <c r="FH201" s="308">
        <v>2</v>
      </c>
      <c r="FI201" s="308">
        <v>2</v>
      </c>
      <c r="FJ201" s="308">
        <v>2</v>
      </c>
      <c r="FK201" s="308">
        <v>2</v>
      </c>
      <c r="FL201" s="308">
        <v>1</v>
      </c>
      <c r="FM201" s="308">
        <v>2</v>
      </c>
      <c r="FN201" s="308">
        <v>2</v>
      </c>
      <c r="FO201" s="308">
        <v>2</v>
      </c>
      <c r="FP201" s="308">
        <v>1</v>
      </c>
      <c r="FQ201" s="308" t="s">
        <v>176</v>
      </c>
      <c r="FR201" s="308" t="s">
        <v>176</v>
      </c>
      <c r="FS201" s="308" t="s">
        <v>160</v>
      </c>
      <c r="FT201" s="308" t="s">
        <v>176</v>
      </c>
      <c r="FU201" s="308" t="s">
        <v>176</v>
      </c>
      <c r="FV201" s="308" t="s">
        <v>176</v>
      </c>
      <c r="FW201" s="308" t="s">
        <v>176</v>
      </c>
      <c r="FX201" s="308" t="s">
        <v>176</v>
      </c>
      <c r="FY201" s="308" t="s">
        <v>176</v>
      </c>
      <c r="FZ201" s="308" t="s">
        <v>176</v>
      </c>
      <c r="GA201" s="308" t="s">
        <v>176</v>
      </c>
      <c r="GB201" s="308" t="s">
        <v>160</v>
      </c>
      <c r="GC201" s="308" t="s">
        <v>176</v>
      </c>
      <c r="GD201" s="308" t="s">
        <v>176</v>
      </c>
      <c r="GE201" s="308" t="s">
        <v>176</v>
      </c>
      <c r="GF201" s="308" t="s">
        <v>176</v>
      </c>
      <c r="GG201" s="308" t="s">
        <v>176</v>
      </c>
      <c r="GH201" s="308" t="s">
        <v>176</v>
      </c>
      <c r="GI201" s="308" t="s">
        <v>176</v>
      </c>
      <c r="GJ201" s="308" t="s">
        <v>176</v>
      </c>
      <c r="GK201" s="321" t="s">
        <v>176</v>
      </c>
      <c r="GL201" s="329">
        <f>SUM(G201:FP201)</f>
        <v>109</v>
      </c>
    </row>
    <row r="202" spans="1:195" ht="28.35" customHeight="1" thickBot="1" x14ac:dyDescent="0.3">
      <c r="A202" s="138" t="s">
        <v>259</v>
      </c>
      <c r="B202" s="135" t="s">
        <v>210</v>
      </c>
      <c r="C202" s="135" t="s">
        <v>750</v>
      </c>
      <c r="D202" s="138">
        <v>1407</v>
      </c>
      <c r="E202" s="564"/>
      <c r="F202" s="312" t="s">
        <v>166</v>
      </c>
      <c r="G202" s="313">
        <f>IF(INDEX(tab_MinKomp[Przepisy BHP / BHP Vorschriften],MATCH($B201,tab_MinKomp[[Stanowisko / Position ]:[Stanowisko / Position ]],0))="n/a","n/a",G201-INDEX(tab_MinKomp[Przepisy BHP / BHP Vorschriften],MATCH($B201,tab_MinKomp[[Stanowisko / Position ]:[Stanowisko / Position ]],0)))</f>
        <v>0</v>
      </c>
      <c r="H202" s="313">
        <f>IF(INDEX(tab_MinKomp[Przepisy PPOŻ / Brandschutzbestimmungen],MATCH($B201,tab_MinKomp[[Stanowisko / Position ]:[Stanowisko / Position ]],0))="n/a","n/a",H201-INDEX(tab_MinKomp[Przepisy PPOŻ / Brandschutzbestimmungen],MATCH($B201,tab_MinKomp[[Stanowisko / Position ]:[Stanowisko / Position ]],0)))</f>
        <v>0</v>
      </c>
      <c r="I202" s="313">
        <f>IF(INDEX(tab_MinKomp[Ryzyko zawodowe na stanowiskach pracyv/ Berufliche Risiken an Arbeitsstellen],MATCH($B201,tab_MinKomp[[Stanowisko / Position ]:[Stanowisko / Position ]],0))="n/a","n/a",I201-INDEX(tab_MinKomp[Ryzyko zawodowe na stanowiskach pracyv/ Berufliche Risiken an Arbeitsstellen],MATCH($B201,tab_MinKomp[[Stanowisko / Position ]:[Stanowisko / Position ]],0)))</f>
        <v>1</v>
      </c>
      <c r="J202" s="313">
        <f>IF(INDEX(tab_MinKomp[Gospodarka substancjami niebezpiecznymi / Gefahrstoffmanagement],MATCH($B201,tab_MinKomp[[Stanowisko / Position ]:[Stanowisko / Position ]],0))="n/a","n/a",J201-INDEX(tab_MinKomp[Gospodarka substancjami niebezpiecznymi / Gefahrstoffmanagement],MATCH($B201,tab_MinKomp[[Stanowisko / Position ]:[Stanowisko / Position ]],0)))</f>
        <v>0</v>
      </c>
      <c r="K202" s="313">
        <f>IF(INDEX(tab_MinKomp[Gospodarka odpadami / Abfallwirtschaft],MATCH($B201,tab_MinKomp[[Stanowisko / Position ]:[Stanowisko / Position ]],0))="n/a","n/a",K201-INDEX(tab_MinKomp[Gospodarka odpadami / Abfallwirtschaft],MATCH($B201,tab_MinKomp[[Stanowisko / Position ]:[Stanowisko / Position ]],0)))</f>
        <v>0</v>
      </c>
      <c r="L202" s="313">
        <f>IF(INDEX(tab_MinKomp[Przepisy kodeksu pracy / Bestimmungen des Arbeitsgesetzes],MATCH($B201,tab_MinKomp[[Stanowisko / Position ]:[Stanowisko / Position ]],0))="n/a","n/a",L201-INDEX(tab_MinKomp[Przepisy kodeksu pracy / Bestimmungen des Arbeitsgesetzes],MATCH($B201,tab_MinKomp[[Stanowisko / Position ]:[Stanowisko / Position ]],0)))</f>
        <v>0</v>
      </c>
      <c r="M202" s="313" t="str">
        <f>IF(INDEX(tab_MinKomp[Przepisy o ub.społ. ZUS  / Sozialversicherungsvorschriften],MATCH($B201,tab_MinKomp[[Stanowisko / Position ]:[Stanowisko / Position ]],0))="n/a","n/a",M201-INDEX(tab_MinKomp[Przepisy o ub.społ. ZUS  / Sozialversicherungsvorschriften],MATCH($B201,tab_MinKomp[[Stanowisko / Position ]:[Stanowisko / Position ]],0)))</f>
        <v>n/a</v>
      </c>
      <c r="N202" s="313" t="str">
        <f>IF(INDEX(tab_MinKomp[PRZEPISY O PDOF /persönlich Einkommensteuergesetz ],MATCH($B201,tab_MinKomp[[Stanowisko / Position ]:[Stanowisko / Position ]],0))="n/a","n/a",N201-INDEX(tab_MinKomp[PRZEPISY O PDOF /persönlich Einkommensteuergesetz ],MATCH($B201,tab_MinKomp[[Stanowisko / Position ]:[Stanowisko / Position ]],0)))</f>
        <v>n/a</v>
      </c>
      <c r="O202" s="313">
        <f>IF(INDEX(tab_MinKomp[Regulamin pracy / Arbeitsordnung],MATCH($B201,tab_MinKomp[[Stanowisko / Position ]:[Stanowisko / Position ]],0))="n/a","n/a",O201-INDEX(tab_MinKomp[Regulamin pracy / Arbeitsordnung],MATCH($B201,tab_MinKomp[[Stanowisko / Position ]:[Stanowisko / Position ]],0)))</f>
        <v>0</v>
      </c>
      <c r="P202" s="313">
        <f>IF(INDEX(tab_MinKomp[Regulamin wynagradzania / Vergütungsordnung],MATCH($B201,tab_MinKomp[[Stanowisko / Position ]:[Stanowisko / Position ]],0))="n/a","n/a",P201-INDEX(tab_MinKomp[Regulamin wynagradzania / Vergütungsordnung],MATCH($B201,tab_MinKomp[[Stanowisko / Position ]:[Stanowisko / Position ]],0)))</f>
        <v>0</v>
      </c>
      <c r="Q202" s="313" t="str">
        <f>IF(INDEX(tab_MinKomp[System R2PŁATNIK PRO: Płace / Lohnabrechnung],MATCH($B201,tab_MinKomp[[Stanowisko / Position ]:[Stanowisko / Position ]],0))="n/a","n/a",Q201-INDEX(tab_MinKomp[System R2PŁATNIK PRO: Płace / Lohnabrechnung],MATCH($B201,tab_MinKomp[[Stanowisko / Position ]:[Stanowisko / Position ]],0)))</f>
        <v>n/a</v>
      </c>
      <c r="R202" s="313" t="str">
        <f>IF(INDEX(tab_MinKomp[SystemR2PŁATNIK PRO: KADRY / Personaldaten],MATCH($B201,tab_MinKomp[[Stanowisko / Position ]:[Stanowisko / Position ]],0))="n/a","n/a",R201-INDEX(tab_MinKomp[SystemR2PŁATNIK PRO: KADRY / Personaldaten],MATCH($B201,tab_MinKomp[[Stanowisko / Position ]:[Stanowisko / Position ]],0)))</f>
        <v>n/a</v>
      </c>
      <c r="S202" s="313" t="str">
        <f>IF(INDEX(tab_MinKomp[SYSTEM R2PŁATNIK PRO: zarządzanie pracownikami / Arbeitsverwaltung],MATCH($B201,tab_MinKomp[[Stanowisko / Position ]:[Stanowisko / Position ]],0))="n/a","n/a",S201-INDEX(tab_MinKomp[SYSTEM R2PŁATNIK PRO: zarządzanie pracownikami / Arbeitsverwaltung],MATCH($B201,tab_MinKomp[[Stanowisko / Position ]:[Stanowisko / Position ]],0)))</f>
        <v>n/a</v>
      </c>
      <c r="T202" s="313" t="str">
        <f>IF(INDEX(tab_MinKomp[Doradztwo, wsparcie personalne / Personalberatung und Unterstützung],MATCH($B201,tab_MinKomp[[Stanowisko / Position ]:[Stanowisko / Position ]],0))="n/a","n/a",T201-INDEX(tab_MinKomp[Doradztwo, wsparcie personalne / Personalberatung und Unterstützung],MATCH($B201,tab_MinKomp[[Stanowisko / Position ]:[Stanowisko / Position ]],0)))</f>
        <v>n/a</v>
      </c>
      <c r="U202" s="315" t="str">
        <f>IF(INDEX(tab_MinKomp[Przepisy o podatku VAT / MwSt.- Gesetz],MATCH($B201,tab_MinKomp[[Stanowisko / Position ]:[Stanowisko / Position ]],0))="n/a","n/a",U201-INDEX(tab_MinKomp[Przepisy o podatku VAT / MwSt.- Gesetz],MATCH($B201,tab_MinKomp[[Stanowisko / Position ]:[Stanowisko / Position ]],0)))</f>
        <v>n/a</v>
      </c>
      <c r="V202" s="315" t="str">
        <f>IF(INDEX(tab_MinKomp[PrzepisyPDOP / geschäftlich Einkommensteuergesetz],MATCH($B201,tab_MinKomp[[Stanowisko / Position ]:[Stanowisko / Position ]],0))="n/a","n/a",V201-INDEX(tab_MinKomp[PrzepisyPDOP / geschäftlich Einkommensteuergesetz],MATCH($B201,tab_MinKomp[[Stanowisko / Position ]:[Stanowisko / Position ]],0)))</f>
        <v>n/a</v>
      </c>
      <c r="W202" s="315" t="str">
        <f>IF(INDEX(tab_MinKomp[System BAAN / FINANSE (FIBU)],MATCH($B201,tab_MinKomp[[Stanowisko / Position ]:[Stanowisko / Position ]],0))="n/a","n/a",W201-INDEX(tab_MinKomp[System BAAN / FINANSE (FIBU)],MATCH($B201,tab_MinKomp[[Stanowisko / Position ]:[Stanowisko / Position ]],0)))</f>
        <v>n/a</v>
      </c>
      <c r="X202" s="315" t="str">
        <f>IF(INDEX(tab_MinKomp[Systemy pomocnicze / Hilfssysteme(STOCKPROGRAM, KALK2000 etc.)],MATCH($B201,tab_MinKomp[[Stanowisko / Position ]:[Stanowisko / Position ]],0))="n/a","n/a",X201-INDEX(tab_MinKomp[Systemy pomocnicze / Hilfssysteme(STOCKPROGRAM, KALK2000 etc.)],MATCH($B201,tab_MinKomp[[Stanowisko / Position ]:[Stanowisko / Position ]],0)))</f>
        <v>n/a</v>
      </c>
      <c r="Y202" s="315" t="str">
        <f>IF(INDEX(tab_MinKomp[Polityka rachunkowości / Buchführungspolitik],MATCH($B201,tab_MinKomp[[Stanowisko / Position ]:[Stanowisko / Position ]],0))="n/a","n/a",Y201-INDEX(tab_MinKomp[Polityka rachunkowości / Buchführungspolitik],MATCH($B201,tab_MinKomp[[Stanowisko / Position ]:[Stanowisko / Position ]],0)))</f>
        <v>n/a</v>
      </c>
      <c r="Z202" s="315" t="str">
        <f>IF(INDEX(tab_MinKomp[Ustawa o rachunkowości / Rechnungslegungsgesetz],MATCH($B201,tab_MinKomp[[Stanowisko / Position ]:[Stanowisko / Position ]],0))="n/a","n/a",Z201-INDEX(tab_MinKomp[Ustawa o rachunkowości / Rechnungslegungsgesetz],MATCH($B201,tab_MinKomp[[Stanowisko / Position ]:[Stanowisko / Position ]],0)))</f>
        <v>n/a</v>
      </c>
      <c r="AA202" s="315" t="str">
        <f>IF(INDEX(tab_MinKomp[WORKFLOW - TS-100],MATCH($B201,tab_MinKomp[[Stanowisko / Position ]:[Stanowisko / Position ]],0))="n/a","n/a",AA201-INDEX(tab_MinKomp[WORKFLOW - TS-100],MATCH($B201,tab_MinKomp[[Stanowisko / Position ]:[Stanowisko / Position ]],0)))</f>
        <v>n/a</v>
      </c>
      <c r="AB202" s="315">
        <f>IF(INDEX(tab_MinKomp[WORKFLOW - SFMS],MATCH($B201,tab_MinKomp[[Stanowisko / Position ]:[Stanowisko / Position ]],0))="n/a","n/a",AB201-INDEX(tab_MinKomp[WORKFLOW - SFMS],MATCH($B201,tab_MinKomp[[Stanowisko / Position ]:[Stanowisko / Position ]],0)))</f>
        <v>0</v>
      </c>
      <c r="AC202" s="315">
        <f>IF(INDEX(tab_MinKomp[System ISO 9001:2015],MATCH($B201,tab_MinKomp[[Stanowisko / Position ]:[Stanowisko / Position ]],0))="n/a","n/a",AC201-INDEX(tab_MinKomp[System ISO 9001:2015],MATCH($B201,tab_MinKomp[[Stanowisko / Position ]:[Stanowisko / Position ]],0)))</f>
        <v>0</v>
      </c>
      <c r="AD202" s="315">
        <f>IF(INDEX(tab_MinKomp[System IATF 16949:2016],MATCH($B201,tab_MinKomp[[Stanowisko / Position ]:[Stanowisko / Position ]],0))="n/a","n/a",AD201-INDEX(tab_MinKomp[System IATF 16949:2016],MATCH($B201,tab_MinKomp[[Stanowisko / Position ]:[Stanowisko / Position ]],0)))</f>
        <v>0</v>
      </c>
      <c r="AE202" s="315">
        <f>IF(INDEX(tab_MinKomp[System ISO 14001:2015],MATCH($B201,tab_MinKomp[[Stanowisko / Position ]:[Stanowisko / Position ]],0))="n/a","n/a",AE201-INDEX(tab_MinKomp[System ISO 14001:2015],MATCH($B201,tab_MinKomp[[Stanowisko / Position ]:[Stanowisko / Position ]],0)))</f>
        <v>0</v>
      </c>
      <c r="AF202" s="315">
        <f>IF(INDEX(tab_MinKomp[System PN-N 18001:2004 / ISO 45001:2018],MATCH($B201,tab_MinKomp[[Stanowisko / Position ]:[Stanowisko / Position ]],0))="n/a","n/a",AF201-INDEX(tab_MinKomp[System PN-N 18001:2004 / ISO 45001:2018],MATCH($B201,tab_MinKomp[[Stanowisko / Position ]:[Stanowisko / Position ]],0)))</f>
        <v>0</v>
      </c>
      <c r="AG202" s="315">
        <f>IF(INDEX(tab_MinKomp[Wymagania VDA 6.3 Process / Forderungen],MATCH($B201,tab_MinKomp[[Stanowisko / Position ]:[Stanowisko / Position ]],0))="n/a","n/a",AG201-INDEX(tab_MinKomp[Wymagania VDA 6.3 Process / Forderungen],MATCH($B201,tab_MinKomp[[Stanowisko / Position ]:[Stanowisko / Position ]],0)))</f>
        <v>0</v>
      </c>
      <c r="AH202" s="315">
        <f>IF(INDEX(tab_MinKomp[Wymagania VDA 6.5 Product / Forderungen],MATCH($B201,tab_MinKomp[[Stanowisko / Position ]:[Stanowisko / Position ]],0))="n/a","n/a",AH201-INDEX(tab_MinKomp[Wymagania VDA 6.5 Product / Forderungen],MATCH($B201,tab_MinKomp[[Stanowisko / Position ]:[Stanowisko / Position ]],0)))</f>
        <v>1</v>
      </c>
      <c r="AI202" s="315" t="str">
        <f>IF(INDEX(tab_MinKomp[PSCR (VW Product Safety &amp; Conformity Representative)],MATCH($B201,tab_MinKomp[[Stanowisko / Position ]:[Stanowisko / Position ]],0))="n/a","n/a",AI201-INDEX(tab_MinKomp[PSCR (VW Product Safety &amp; Conformity Representative)],MATCH($B201,tab_MinKomp[[Stanowisko / Position ]:[Stanowisko / Position ]],0)))</f>
        <v>n/a</v>
      </c>
      <c r="AJ202" s="315" t="str">
        <f>IF(INDEX(tab_MinKomp[Auditor systemu ISO 17025:2018],MATCH($B201,tab_MinKomp[[Stanowisko / Position ]:[Stanowisko / Position ]],0))="n/a","n/a",AJ201-INDEX(tab_MinKomp[Auditor systemu ISO 17025:2018],MATCH($B201,tab_MinKomp[[Stanowisko / Position ]:[Stanowisko / Position ]],0)))</f>
        <v>n/a</v>
      </c>
      <c r="AK202" s="315" t="str">
        <f>IF(INDEX(tab_MinKomp[Pełnomocnik systemu / Systemvertreter],MATCH($B201,tab_MinKomp[[Stanowisko / Position ]:[Stanowisko / Position ]],0))="n/a","n/a",AK201-INDEX(tab_MinKomp[Pełnomocnik systemu / Systemvertreter],MATCH($B201,tab_MinKomp[[Stanowisko / Position ]:[Stanowisko / Position ]],0)))</f>
        <v>n/a</v>
      </c>
      <c r="AL202" s="315">
        <f>IF(INDEX(tab_MinKomp[Polityka Etyczna - Compliance],MATCH($B201,tab_MinKomp[[Stanowisko / Position ]:[Stanowisko / Position ]],0))="n/a","n/a",AL201-INDEX(tab_MinKomp[Polityka Etyczna - Compliance],MATCH($B201,tab_MinKomp[[Stanowisko / Position ]:[Stanowisko / Position ]],0)))</f>
        <v>0</v>
      </c>
      <c r="AM202" s="315">
        <f>IF(INDEX(tab_MinKomp[WDRAŻANIE NOWYCH PROJEKTÓW/ PROCEDURA CTM],MATCH($B201,tab_MinKomp[[Stanowisko / Position ]:[Stanowisko / Position ]],0))="n/a","n/a",AM201-INDEX(tab_MinKomp[WDRAŻANIE NOWYCH PROJEKTÓW/ PROCEDURA CTM],MATCH($B201,tab_MinKomp[[Stanowisko / Position ]:[Stanowisko / Position ]],0)))</f>
        <v>0</v>
      </c>
      <c r="AN202" s="315">
        <f>IF(INDEX(tab_MinKomp[KAMIENIE MILOWE MSL/PIFF],MATCH($B201,tab_MinKomp[[Stanowisko / Position ]:[Stanowisko / Position ]],0))="n/a","n/a",AN201-INDEX(tab_MinKomp[KAMIENIE MILOWE MSL/PIFF],MATCH($B201,tab_MinKomp[[Stanowisko / Position ]:[Stanowisko / Position ]],0)))</f>
        <v>0</v>
      </c>
      <c r="AO202" s="315">
        <f>IF(INDEX(tab_MinKomp[CP],MATCH($B201,tab_MinKomp[[Stanowisko / Position ]:[Stanowisko / Position ]],0))="n/a","n/a",AO201-INDEX(tab_MinKomp[CP],MATCH($B201,tab_MinKomp[[Stanowisko / Position ]:[Stanowisko / Position ]],0)))</f>
        <v>0</v>
      </c>
      <c r="AP202" s="315">
        <f>IF(INDEX(tab_MinKomp[FMEA],MATCH($B201,tab_MinKomp[[Stanowisko / Position ]:[Stanowisko / Position ]],0))="n/a","n/a",AP201-INDEX(tab_MinKomp[FMEA],MATCH($B201,tab_MinKomp[[Stanowisko / Position ]:[Stanowisko / Position ]],0)))</f>
        <v>0</v>
      </c>
      <c r="AQ202" s="315">
        <f>IF(INDEX(tab_MinKomp[FLOW CHART],MATCH($B201,tab_MinKomp[[Stanowisko / Position ]:[Stanowisko / Position ]],0))="n/a","n/a",AQ201-INDEX(tab_MinKomp[FLOW CHART],MATCH($B201,tab_MinKomp[[Stanowisko / Position ]:[Stanowisko / Position ]],0)))</f>
        <v>0</v>
      </c>
      <c r="AR202" s="315">
        <f>IF(INDEX(tab_MinKomp[APQP],MATCH($B201,tab_MinKomp[[Stanowisko / Position ]:[Stanowisko / Position ]],0))="n/a","n/a",AR201-INDEX(tab_MinKomp[APQP],MATCH($B201,tab_MinKomp[[Stanowisko / Position ]:[Stanowisko / Position ]],0)))</f>
        <v>0</v>
      </c>
      <c r="AS202" s="315">
        <f>IF(INDEX(tab_MinKomp[MSA],MATCH($B201,tab_MinKomp[[Stanowisko / Position ]:[Stanowisko / Position ]],0))="n/a","n/a",AS201-INDEX(tab_MinKomp[MSA],MATCH($B201,tab_MinKomp[[Stanowisko / Position ]:[Stanowisko / Position ]],0)))</f>
        <v>0</v>
      </c>
      <c r="AT202" s="315">
        <f>IF(INDEX(tab_MinKomp[SPC],MATCH($B201,tab_MinKomp[[Stanowisko / Position ]:[Stanowisko / Position ]],0))="n/a","n/a",AT201-INDEX(tab_MinKomp[SPC],MATCH($B201,tab_MinKomp[[Stanowisko / Position ]:[Stanowisko / Position ]],0)))</f>
        <v>0</v>
      </c>
      <c r="AU202" s="315">
        <f>IF(INDEX(tab_MinKomp[CSR (SPECYFICZNE WYMAGANIA KLIENTA)],MATCH($B201,tab_MinKomp[[Stanowisko / Position ]:[Stanowisko / Position ]],0))="n/a","n/a",AU201-INDEX(tab_MinKomp[CSR (SPECYFICZNE WYMAGANIA KLIENTA)],MATCH($B201,tab_MinKomp[[Stanowisko / Position ]:[Stanowisko / Position ]],0)))</f>
        <v>0</v>
      </c>
      <c r="AV202" s="315">
        <f>IF(INDEX(tab_MinKomp[5S],MATCH($B201,tab_MinKomp[[Stanowisko / Position ]:[Stanowisko / Position ]],0))="n/a","n/a",AV201-INDEX(tab_MinKomp[5S],MATCH($B201,tab_MinKomp[[Stanowisko / Position ]:[Stanowisko / Position ]],0)))</f>
        <v>0</v>
      </c>
      <c r="AW202" s="315">
        <f>IF(INDEX(tab_MinKomp[LEAN MANAGEMENT],MATCH($B201,tab_MinKomp[[Stanowisko / Position ]:[Stanowisko / Position ]],0))="n/a","n/a",AW201-INDEX(tab_MinKomp[LEAN MANAGEMENT],MATCH($B201,tab_MinKomp[[Stanowisko / Position ]:[Stanowisko / Position ]],0)))</f>
        <v>0</v>
      </c>
      <c r="AX202" s="315">
        <f>IF(INDEX(tab_MinKomp[5R],MATCH($B201,tab_MinKomp[[Stanowisko / Position ]:[Stanowisko / Position ]],0))="n/a","n/a",AX201-INDEX(tab_MinKomp[5R],MATCH($B201,tab_MinKomp[[Stanowisko / Position ]:[Stanowisko / Position ]],0)))</f>
        <v>-1</v>
      </c>
      <c r="AY202" s="315" t="str">
        <f>IF(INDEX(tab_MinKomp[Six Sigma],MATCH($B201,tab_MinKomp[[Stanowisko / Position ]:[Stanowisko / Position ]],0))="n/a","n/a",AY201-INDEX(tab_MinKomp[Six Sigma],MATCH($B201,tab_MinKomp[[Stanowisko / Position ]:[Stanowisko / Position ]],0)))</f>
        <v>n/a</v>
      </c>
      <c r="AZ202" s="315">
        <f>IF(INDEX(tab_MinKomp[System BAAN / Distribution &amp; Supply Chain],MATCH($B201,tab_MinKomp[[Stanowisko / Position ]:[Stanowisko / Position ]],0))="n/a","n/a",AZ201-INDEX(tab_MinKomp[System BAAN / Distribution &amp; Supply Chain],MATCH($B201,tab_MinKomp[[Stanowisko / Position ]:[Stanowisko / Position ]],0)))</f>
        <v>0</v>
      </c>
      <c r="BA202" s="315" t="str">
        <f>IF(INDEX(tab_MinKomp[Gospodarka magazynowa / Lagerverwaltung],MATCH($B201,tab_MinKomp[[Stanowisko / Position ]:[Stanowisko / Position ]],0))="n/a","n/a",BA201-INDEX(tab_MinKomp[Gospodarka magazynowa / Lagerverwaltung],MATCH($B201,tab_MinKomp[[Stanowisko / Position ]:[Stanowisko / Position ]],0)))</f>
        <v>n/a</v>
      </c>
      <c r="BB202" s="315" t="str">
        <f>IF(INDEX(tab_MinKomp[Inwentaryzacja - organizacja i przebieg / Inventurprozess],MATCH($B201,tab_MinKomp[[Stanowisko / Position ]:[Stanowisko / Position ]],0))="n/a","n/a",BB201-INDEX(tab_MinKomp[Inwentaryzacja - organizacja i przebieg / Inventurprozess],MATCH($B201,tab_MinKomp[[Stanowisko / Position ]:[Stanowisko / Position ]],0)))</f>
        <v>n/a</v>
      </c>
      <c r="BC202" s="315" t="str">
        <f>IF(INDEX(tab_MinKomp[Organizacja dostaw / Versorgungsorganisation],MATCH($B201,tab_MinKomp[[Stanowisko / Position ]:[Stanowisko / Position ]],0))="n/a","n/a",BC201-INDEX(tab_MinKomp[Organizacja dostaw / Versorgungsorganisation],MATCH($B201,tab_MinKomp[[Stanowisko / Position ]:[Stanowisko / Position ]],0)))</f>
        <v>n/a</v>
      </c>
      <c r="BD202" s="315" t="str">
        <f>IF(INDEX(tab_MinKomp[Organizacja wysyłek / Organisation von Lieferungen],MATCH($B201,tab_MinKomp[[Stanowisko / Position ]:[Stanowisko / Position ]],0))="n/a","n/a",BD201-INDEX(tab_MinKomp[Organizacja wysyłek / Organisation von Lieferungen],MATCH($B201,tab_MinKomp[[Stanowisko / Position ]:[Stanowisko / Position ]],0)))</f>
        <v>n/a</v>
      </c>
      <c r="BE202" s="315" t="str">
        <f>IF(INDEX(tab_MinKomp[Analiza magazynowa - Program Polen.mdb / Inventuranalyse],MATCH($B201,tab_MinKomp[[Stanowisko / Position ]:[Stanowisko / Position ]],0))="n/a","n/a",BE201-INDEX(tab_MinKomp[Analiza magazynowa - Program Polen.mdb / Inventuranalyse],MATCH($B201,tab_MinKomp[[Stanowisko / Position ]:[Stanowisko / Position ]],0)))</f>
        <v>n/a</v>
      </c>
      <c r="BF202" s="315" t="str">
        <f>IF(INDEX(tab_MinKomp[MMOG (Materials Management Operations Guidelines)],MATCH($B201,tab_MinKomp[[Stanowisko / Position ]:[Stanowisko / Position ]],0))="n/a","n/a",BF201-INDEX(tab_MinKomp[MMOG (Materials Management Operations Guidelines)],MATCH($B201,tab_MinKomp[[Stanowisko / Position ]:[Stanowisko / Position ]],0)))</f>
        <v>n/a</v>
      </c>
      <c r="BG202" s="315" t="str">
        <f>IF(INDEX(tab_MinKomp[DETC],MATCH($B201,tab_MinKomp[[Stanowisko / Position ]:[Stanowisko / Position ]],0))="n/a","n/a",BG201-INDEX(tab_MinKomp[DETC],MATCH($B201,tab_MinKomp[[Stanowisko / Position ]:[Stanowisko / Position ]],0)))</f>
        <v>n/a</v>
      </c>
      <c r="BH202" s="315" t="str">
        <f>IF(INDEX(tab_MinKomp[GPP],MATCH($B201,tab_MinKomp[[Stanowisko / Position ]:[Stanowisko / Position ]],0))="n/a","n/a",BH201-INDEX(tab_MinKomp[GPP],MATCH($B201,tab_MinKomp[[Stanowisko / Position ]:[Stanowisko / Position ]],0)))</f>
        <v>n/a</v>
      </c>
      <c r="BI202" s="315" t="str">
        <f>IF(INDEX(tab_MinKomp[AIAG (Automotive Industry Action Group)],MATCH($B201,tab_MinKomp[[Stanowisko / Position ]:[Stanowisko / Position ]],0))="n/a","n/a",BI201-INDEX(tab_MinKomp[AIAG (Automotive Industry Action Group)],MATCH($B201,tab_MinKomp[[Stanowisko / Position ]:[Stanowisko / Position ]],0)))</f>
        <v>n/a</v>
      </c>
      <c r="BJ202" s="315" t="str">
        <f>IF(INDEX(tab_MinKomp[Super-G disputes],MATCH($B201,tab_MinKomp[[Stanowisko / Position ]:[Stanowisko / Position ]],0))="n/a","n/a",BJ201-INDEX(tab_MinKomp[Super-G disputes],MATCH($B201,tab_MinKomp[[Stanowisko / Position ]:[Stanowisko / Position ]],0)))</f>
        <v>n/a</v>
      </c>
      <c r="BK202" s="315" t="str">
        <f>IF(INDEX(tab_MinKomp[CMMS3/eDDL (Direct Data Link)],MATCH($B201,tab_MinKomp[[Stanowisko / Position ]:[Stanowisko / Position ]],0))="n/a","n/a",BK201-INDEX(tab_MinKomp[CMMS3/eDDL (Direct Data Link)],MATCH($B201,tab_MinKomp[[Stanowisko / Position ]:[Stanowisko / Position ]],0)))</f>
        <v>n/a</v>
      </c>
      <c r="BL202" s="315" t="str">
        <f>IF(INDEX(tab_MinKomp[MP&amp;L (Material Planning and Logistics)],MATCH($B201,tab_MinKomp[[Stanowisko / Position ]:[Stanowisko / Position ]],0))="n/a","n/a",BL201-INDEX(tab_MinKomp[MP&amp;L (Material Planning and Logistics)],MATCH($B201,tab_MinKomp[[Stanowisko / Position ]:[Stanowisko / Position ]],0)))</f>
        <v>n/a</v>
      </c>
      <c r="BM202" s="315" t="str">
        <f>IF(INDEX(tab_MinKomp[Planowanie produkcji / Produktionsplanung],MATCH($B201,tab_MinKomp[[Stanowisko / Position ]:[Stanowisko / Position ]],0))="n/a","n/a",BM201-INDEX(tab_MinKomp[Planowanie produkcji / Produktionsplanung],MATCH($B201,tab_MinKomp[[Stanowisko / Position ]:[Stanowisko / Position ]],0)))</f>
        <v>n/a</v>
      </c>
      <c r="BN202" s="315" t="str">
        <f>IF(INDEX(tab_MinKomp[Obsługa maszyn Engel / Engel Maschinenbedienung],MATCH($B201,tab_MinKomp[[Stanowisko / Position ]:[Stanowisko / Position ]],0))="n/a","n/a",BN201-INDEX(tab_MinKomp[Obsługa maszyn Engel / Engel Maschinenbedienung],MATCH($B201,tab_MinKomp[[Stanowisko / Position ]:[Stanowisko / Position ]],0)))</f>
        <v>n/a</v>
      </c>
      <c r="BO202" s="315" t="str">
        <f>IF(INDEX(tab_MinKomp[Obsługa maszyn Novapax / Novapax Maschinenbedienung],MATCH($B201,tab_MinKomp[[Stanowisko / Position ]:[Stanowisko / Position ]],0))="n/a","n/a",BO201-INDEX(tab_MinKomp[Obsługa maszyn Novapax / Novapax Maschinenbedienung],MATCH($B201,tab_MinKomp[[Stanowisko / Position ]:[Stanowisko / Position ]],0)))</f>
        <v>n/a</v>
      </c>
      <c r="BP202" s="315" t="str">
        <f>IF(INDEX(tab_MinKomp[Obsługa maszyn KVT / KVT Maschinenbedienung],MATCH($B201,tab_MinKomp[[Stanowisko / Position ]:[Stanowisko / Position ]],0))="n/a","n/a",BP201-INDEX(tab_MinKomp[Obsługa maszyn KVT / KVT Maschinenbedienung],MATCH($B201,tab_MinKomp[[Stanowisko / Position ]:[Stanowisko / Position ]],0)))</f>
        <v>n/a</v>
      </c>
      <c r="BQ202" s="315" t="str">
        <f>IF(INDEX(tab_MinKomp[Obsługa maszyn ASL / ASL Maschinenbedienung],MATCH($B201,tab_MinKomp[[Stanowisko / Position ]:[Stanowisko / Position ]],0))="n/a","n/a",BQ201-INDEX(tab_MinKomp[Obsługa maszyn ASL / ASL Maschinenbedienung],MATCH($B201,tab_MinKomp[[Stanowisko / Position ]:[Stanowisko / Position ]],0)))</f>
        <v>n/a</v>
      </c>
      <c r="BR202" s="315" t="str">
        <f>IF(INDEX(tab_MinKomp[Obsługa maszyn Branson / Branson Maschinenbedienung],MATCH($B201,tab_MinKomp[[Stanowisko / Position ]:[Stanowisko / Position ]],0))="n/a","n/a",BR201-INDEX(tab_MinKomp[Obsługa maszyn Branson / Branson Maschinenbedienung],MATCH($B201,tab_MinKomp[[Stanowisko / Position ]:[Stanowisko / Position ]],0)))</f>
        <v>n/a</v>
      </c>
      <c r="BS202" s="315" t="str">
        <f>IF(INDEX(tab_MinKomp[Obsługa maszyn Kamtec / Kamtec Maschinenbedienung],MATCH($B201,tab_MinKomp[[Stanowisko / Position ]:[Stanowisko / Position ]],0))="n/a","n/a",BS201-INDEX(tab_MinKomp[Obsługa maszyn Kamtec / Kamtec Maschinenbedienung],MATCH($B201,tab_MinKomp[[Stanowisko / Position ]:[Stanowisko / Position ]],0)))</f>
        <v>n/a</v>
      </c>
      <c r="BT202" s="315" t="str">
        <f>IF(INDEX(tab_MinKomp[Obsługa maszyn Piovan / Piovan Maschinenbedienung],MATCH($B201,tab_MinKomp[[Stanowisko / Position ]:[Stanowisko / Position ]],0))="n/a","n/a",BT201-INDEX(tab_MinKomp[Obsługa maszyn Piovan / Piovan Maschinenbedienung],MATCH($B201,tab_MinKomp[[Stanowisko / Position ]:[Stanowisko / Position ]],0)))</f>
        <v>n/a</v>
      </c>
      <c r="BU202" s="315" t="str">
        <f>IF(INDEX(tab_MinKomp[Obsługa maszyn REP / REP Maschinenbedienung],MATCH($B201,tab_MinKomp[[Stanowisko / Position ]:[Stanowisko / Position ]],0))="n/a","n/a",BU201-INDEX(tab_MinKomp[Obsługa maszyn REP / REP Maschinenbedienung],MATCH($B201,tab_MinKomp[[Stanowisko / Position ]:[Stanowisko / Position ]],0)))</f>
        <v>n/a</v>
      </c>
      <c r="BV202" s="315" t="str">
        <f>IF(INDEX(tab_MinKomp[Eliminacja awarii / Beseitigung von Ausfällen],MATCH($B201,tab_MinKomp[[Stanowisko / Position ]:[Stanowisko / Position ]],0))="n/a","n/a",BV201-INDEX(tab_MinKomp[Eliminacja awarii / Beseitigung von Ausfällen],MATCH($B201,tab_MinKomp[[Stanowisko / Position ]:[Stanowisko / Position ]],0)))</f>
        <v>n/a</v>
      </c>
      <c r="BW202" s="315" t="str">
        <f>IF(INDEX(tab_MinKomp[Informatyka ogólna (techniczne i systemowe) / Allgemeine IT (Technik und System)],MATCH($B201,tab_MinKomp[[Stanowisko / Position ]:[Stanowisko / Position ]],0))="n/a","n/a",BW201-INDEX(tab_MinKomp[Informatyka ogólna (techniczne i systemowe) / Allgemeine IT (Technik und System)],MATCH($B201,tab_MinKomp[[Stanowisko / Position ]:[Stanowisko / Position ]],0)))</f>
        <v>n/a</v>
      </c>
      <c r="BX202" s="315" t="str">
        <f>IF(INDEX(tab_MinKomp[Sieci komputerowe / Computernetzwerke],MATCH($B201,tab_MinKomp[[Stanowisko / Position ]:[Stanowisko / Position ]],0))="n/a","n/a",BX201-INDEX(tab_MinKomp[Sieci komputerowe / Computernetzwerke],MATCH($B201,tab_MinKomp[[Stanowisko / Position ]:[Stanowisko / Position ]],0)))</f>
        <v>n/a</v>
      </c>
      <c r="BY202" s="315" t="str">
        <f>IF(INDEX(tab_MinKomp[Hardware (komputery PC, drukarki biurowe i etykietowe, telefonia stacjonarna i mobilna) (PC, Drucker, Telefpne, Handys)],MATCH($B201,tab_MinKomp[[Stanowisko / Position ]:[Stanowisko / Position ]],0))="n/a","n/a",BY201-INDEX(tab_MinKomp[Hardware (komputery PC, drukarki biurowe i etykietowe, telefonia stacjonarna i mobilna) (PC, Drucker, Telefpne, Handys)],MATCH($B201,tab_MinKomp[[Stanowisko / Position ]:[Stanowisko / Position ]],0)))</f>
        <v>n/a</v>
      </c>
      <c r="BZ202" s="315" t="str">
        <f>IF(INDEX(tab_MinKomp[Software &amp; Systems (MS Office, MS Remote Desktop)],MATCH($B201,tab_MinKomp[[Stanowisko / Position ]:[Stanowisko / Position ]],0))="n/a","n/a",BZ201-INDEX(tab_MinKomp[Software &amp; Systems (MS Office, MS Remote Desktop)],MATCH($B201,tab_MinKomp[[Stanowisko / Position ]:[Stanowisko / Position ]],0)))</f>
        <v>n/a</v>
      </c>
      <c r="CA202" s="315" t="str">
        <f>IF(INDEX(tab_MinKomp[Programowanie obiektowe (PHP) / Objektprogrammierung],MATCH($B201,tab_MinKomp[[Stanowisko / Position ]:[Stanowisko / Position ]],0))="n/a","n/a",CA201-INDEX(tab_MinKomp[Programowanie obiektowe (PHP) / Objektprogrammierung],MATCH($B201,tab_MinKomp[[Stanowisko / Position ]:[Stanowisko / Position ]],0)))</f>
        <v>n/a</v>
      </c>
      <c r="CB202" s="315" t="str">
        <f>IF(INDEX(tab_MinKomp[Scrum],MATCH($B201,tab_MinKomp[[Stanowisko / Position ]:[Stanowisko / Position ]],0))="n/a","n/a",CB201-INDEX(tab_MinKomp[Scrum],MATCH($B201,tab_MinKomp[[Stanowisko / Position ]:[Stanowisko / Position ]],0)))</f>
        <v>n/a</v>
      </c>
      <c r="CC202" s="315" t="str">
        <f>IF(INDEX(tab_MinKomp[SQL (MySQL)],MATCH($B201,tab_MinKomp[[Stanowisko / Position ]:[Stanowisko / Position ]],0))="n/a","n/a",CC201-INDEX(tab_MinKomp[SQL (MySQL)],MATCH($B201,tab_MinKomp[[Stanowisko / Position ]:[Stanowisko / Position ]],0)))</f>
        <v>n/a</v>
      </c>
      <c r="CD202" s="315" t="str">
        <f>IF(INDEX(tab_MinKomp[Javascript],MATCH($B201,tab_MinKomp[[Stanowisko / Position ]:[Stanowisko / Position ]],0))="n/a","n/a",CD201-INDEX(tab_MinKomp[Javascript],MATCH($B201,tab_MinKomp[[Stanowisko / Position ]:[Stanowisko / Position ]],0)))</f>
        <v>n/a</v>
      </c>
      <c r="CE202" s="315" t="str">
        <f>IF(INDEX(tab_MinKomp[Joomla],MATCH($B201,tab_MinKomp[[Stanowisko / Position ]:[Stanowisko / Position ]],0))="n/a","n/a",CE201-INDEX(tab_MinKomp[Joomla],MATCH($B201,tab_MinKomp[[Stanowisko / Position ]:[Stanowisko / Position ]],0)))</f>
        <v>n/a</v>
      </c>
      <c r="CF202" s="315" t="str">
        <f>IF(INDEX(tab_MinKomp[Bash],MATCH($B201,tab_MinKomp[[Stanowisko / Position ]:[Stanowisko / Position ]],0))="n/a","n/a",CF201-INDEX(tab_MinKomp[Bash],MATCH($B201,tab_MinKomp[[Stanowisko / Position ]:[Stanowisko / Position ]],0)))</f>
        <v>n/a</v>
      </c>
      <c r="CG202" s="315" t="str">
        <f>IF(INDEX(tab_MinKomp[Systemy MES (HYDRA / SFMS)],MATCH($B201,tab_MinKomp[[Stanowisko / Position ]:[Stanowisko / Position ]],0))="n/a","n/a",CG201-INDEX(tab_MinKomp[Systemy MES (HYDRA / SFMS)],MATCH($B201,tab_MinKomp[[Stanowisko / Position ]:[Stanowisko / Position ]],0)))</f>
        <v>n/a</v>
      </c>
      <c r="CH202" s="315" t="str">
        <f>IF(INDEX(tab_MinKomp[HTML / CSS],MATCH($B201,tab_MinKomp[[Stanowisko / Position ]:[Stanowisko / Position ]],0))="n/a","n/a",CH201-INDEX(tab_MinKomp[HTML / CSS],MATCH($B201,tab_MinKomp[[Stanowisko / Position ]:[Stanowisko / Position ]],0)))</f>
        <v>n/a</v>
      </c>
      <c r="CI202" s="315">
        <f>IF(INDEX(tab_MinKomp[SYSTEM PR],MATCH($B201,tab_MinKomp[[Stanowisko / Position ]:[Stanowisko / Position ]],0))="n/a","n/a",CI201-INDEX(tab_MinKomp[SYSTEM PR],MATCH($B201,tab_MinKomp[[Stanowisko / Position ]:[Stanowisko / Position ]],0)))</f>
        <v>0</v>
      </c>
      <c r="CJ202" s="315">
        <f>IF(INDEX(tab_MinKomp[System Einkauf XP / EBA],MATCH($B201,tab_MinKomp[[Stanowisko / Position ]:[Stanowisko / Position ]],0))="n/a","n/a",CJ201-INDEX(tab_MinKomp[System Einkauf XP / EBA],MATCH($B201,tab_MinKomp[[Stanowisko / Position ]:[Stanowisko / Position ]],0)))</f>
        <v>-1</v>
      </c>
      <c r="CK202" s="315" t="str">
        <f>IF(INDEX(tab_MinKomp[Techniki negocjacyjne / Verhandlungstechniken],MATCH($B201,tab_MinKomp[[Stanowisko / Position ]:[Stanowisko / Position ]],0))="n/a","n/a",CK201-INDEX(tab_MinKomp[Techniki negocjacyjne / Verhandlungstechniken],MATCH($B201,tab_MinKomp[[Stanowisko / Position ]:[Stanowisko / Position ]],0)))</f>
        <v>n/a</v>
      </c>
      <c r="CL202" s="315" t="str">
        <f>IF(INDEX(tab_MinKomp[Znajomość rynku branżowego / Kenntnis des Industrie Marktes],MATCH($B201,tab_MinKomp[[Stanowisko / Position ]:[Stanowisko / Position ]],0))="n/a","n/a",CL201-INDEX(tab_MinKomp[Znajomość rynku branżowego / Kenntnis des Industrie Marktes],MATCH($B201,tab_MinKomp[[Stanowisko / Position ]:[Stanowisko / Position ]],0)))</f>
        <v>n/a</v>
      </c>
      <c r="CM202" s="315">
        <f>IF(INDEX(tab_MinKomp[RAPORTY 8D / 8D Berichten],MATCH($B201,tab_MinKomp[[Stanowisko / Position ]:[Stanowisko / Position ]],0))="n/a","n/a",CM201-INDEX(tab_MinKomp[RAPORTY 8D / 8D Berichten],MATCH($B201,tab_MinKomp[[Stanowisko / Position ]:[Stanowisko / Position ]],0)))</f>
        <v>0</v>
      </c>
      <c r="CN202" s="315">
        <f>IF(INDEX(tab_MinKomp[NARZĘDZIA JAKOŚCIOWE (5WHY, Ishikawa, etc) / QS-Werkzeuge],MATCH($B201,tab_MinKomp[[Stanowisko / Position ]:[Stanowisko / Position ]],0))="n/a","n/a",CN201-INDEX(tab_MinKomp[NARZĘDZIA JAKOŚCIOWE (5WHY, Ishikawa, etc) / QS-Werkzeuge],MATCH($B201,tab_MinKomp[[Stanowisko / Position ]:[Stanowisko / Position ]],0)))</f>
        <v>0</v>
      </c>
      <c r="CO202" s="315">
        <f>IF(INDEX(tab_MinKomp[PDCA],MATCH($B201,tab_MinKomp[[Stanowisko / Position ]:[Stanowisko / Position ]],0))="n/a","n/a",CO201-INDEX(tab_MinKomp[PDCA],MATCH($B201,tab_MinKomp[[Stanowisko / Position ]:[Stanowisko / Position ]],0)))</f>
        <v>0</v>
      </c>
      <c r="CP202" s="315">
        <f>IF(INDEX(tab_MinKomp[Pareto],MATCH($B201,tab_MinKomp[[Stanowisko / Position ]:[Stanowisko / Position ]],0))="n/a","n/a",CP201-INDEX(tab_MinKomp[Pareto],MATCH($B201,tab_MinKomp[[Stanowisko / Position ]:[Stanowisko / Position ]],0)))</f>
        <v>0</v>
      </c>
      <c r="CQ202" s="315">
        <f>IF(INDEX(tab_MinKomp[PPAP/PSW],MATCH($B201,tab_MinKomp[[Stanowisko / Position ]:[Stanowisko / Position ]],0))="n/a","n/a",CQ201-INDEX(tab_MinKomp[PPAP/PSW],MATCH($B201,tab_MinKomp[[Stanowisko / Position ]:[Stanowisko / Position ]],0)))</f>
        <v>-1</v>
      </c>
      <c r="CR202" s="315">
        <f>IF(INDEX(tab_MinKomp[SUPPLIER MANAGEMENT],MATCH($B201,tab_MinKomp[[Stanowisko / Position ]:[Stanowisko / Position ]],0))="n/a","n/a",CR201-INDEX(tab_MinKomp[SUPPLIER MANAGEMENT],MATCH($B201,tab_MinKomp[[Stanowisko / Position ]:[Stanowisko / Position ]],0)))</f>
        <v>0</v>
      </c>
      <c r="CS202" s="315">
        <f>IF(INDEX(tab_MinKomp[OBSŁUGA PORTALI KLIENTA / Kundenportale],MATCH($B201,tab_MinKomp[[Stanowisko / Position ]:[Stanowisko / Position ]],0))="n/a","n/a",CS201-INDEX(tab_MinKomp[OBSŁUGA PORTALI KLIENTA / Kundenportale],MATCH($B201,tab_MinKomp[[Stanowisko / Position ]:[Stanowisko / Position ]],0)))</f>
        <v>0</v>
      </c>
      <c r="CT202" s="315">
        <f>IF(INDEX(tab_MinKomp[Obsługa systemu BABTECQ / BABTECQ System],MATCH($B201,tab_MinKomp[[Stanowisko / Position ]:[Stanowisko / Position ]],0))="n/a","n/a",CT201-INDEX(tab_MinKomp[Obsługa systemu BABTECQ / BABTECQ System],MATCH($B201,tab_MinKomp[[Stanowisko / Position ]:[Stanowisko / Position ]],0)))</f>
        <v>-1</v>
      </c>
      <c r="CU202" s="315">
        <f>IF(INDEX(tab_MinKomp[Rysunek techniczny / technische Zeichnung],MATCH($B201,tab_MinKomp[[Stanowisko / Position ]:[Stanowisko / Position ]],0))="n/a","n/a",CU201-INDEX(tab_MinKomp[Rysunek techniczny / technische Zeichnung],MATCH($B201,tab_MinKomp[[Stanowisko / Position ]:[Stanowisko / Position ]],0)))</f>
        <v>0</v>
      </c>
      <c r="CV202" s="315" t="str">
        <f>IF(INDEX(tab_MinKomp[Kalibracja / Kalibrierung],MATCH($B201,tab_MinKomp[[Stanowisko / Position ]:[Stanowisko / Position ]],0))="n/a","n/a",CV201-INDEX(tab_MinKomp[Kalibracja / Kalibrierung],MATCH($B201,tab_MinKomp[[Stanowisko / Position ]:[Stanowisko / Position ]],0)))</f>
        <v>n/a</v>
      </c>
      <c r="CW202" s="315">
        <f>IF(INDEX(tab_MinKomp[Rekwalifikacja / Requalifizierung],MATCH($B201,tab_MinKomp[[Stanowisko / Position ]:[Stanowisko / Position ]],0))="n/a","n/a",CW201-INDEX(tab_MinKomp[Rekwalifikacja / Requalifizierung],MATCH($B201,tab_MinKomp[[Stanowisko / Position ]:[Stanowisko / Position ]],0)))</f>
        <v>0</v>
      </c>
      <c r="CX202" s="315" t="str">
        <f>IF(INDEX(tab_MinKomp[Obsługa mikroskopu optycznego / Bedienung eines optischen Mikroskops],MATCH($B201,tab_MinKomp[[Stanowisko / Position ]:[Stanowisko / Position ]],0))="n/a","n/a",CX201-INDEX(tab_MinKomp[Obsługa mikroskopu optycznego / Bedienung eines optischen Mikroskops],MATCH($B201,tab_MinKomp[[Stanowisko / Position ]:[Stanowisko / Position ]],0)))</f>
        <v>n/a</v>
      </c>
      <c r="CY202" s="315" t="str">
        <f>IF(INDEX(tab_MinKomp[Wykonywanie pomiarów optycznych - ocena wizualna / Optische Messungen durchführen – visuelle Beurteilung],MATCH($B201,tab_MinKomp[[Stanowisko / Position ]:[Stanowisko / Position ]],0))="n/a","n/a",CY201-INDEX(tab_MinKomp[Wykonywanie pomiarów optycznych - ocena wizualna / Optische Messungen durchführen – visuelle Beurteilung],MATCH($B201,tab_MinKomp[[Stanowisko / Position ]:[Stanowisko / Position ]],0)))</f>
        <v>n/a</v>
      </c>
      <c r="CZ202" s="315" t="str">
        <f>IF(INDEX(tab_MinKomp[Obsługa Rheometra / Rheometra-Unterstützung],MATCH($B201,tab_MinKomp[[Stanowisko / Position ]:[Stanowisko / Position ]],0))="n/a","n/a",CZ201-INDEX(tab_MinKomp[Obsługa Rheometra / Rheometra-Unterstützung],MATCH($B201,tab_MinKomp[[Stanowisko / Position ]:[Stanowisko / Position ]],0)))</f>
        <v>n/a</v>
      </c>
      <c r="DA202" s="315" t="str">
        <f>IF(INDEX(tab_MinKomp[Testy właściwości Rheometra mieszanki gumy],MATCH($B201,tab_MinKomp[[Stanowisko / Position ]:[Stanowisko / Position ]],0))="n/a","n/a",DA201-INDEX(tab_MinKomp[Testy właściwości Rheometra mieszanki gumy],MATCH($B201,tab_MinKomp[[Stanowisko / Position ]:[Stanowisko / Position ]],0)))</f>
        <v>n/a</v>
      </c>
      <c r="DB202" s="315" t="str">
        <f>IF(INDEX(tab_MinKomp[CMM - Contura Zeiss],MATCH($B201,tab_MinKomp[[Stanowisko / Position ]:[Stanowisko / Position ]],0))="n/a","n/a",DB201-INDEX(tab_MinKomp[CMM - Contura Zeiss],MATCH($B201,tab_MinKomp[[Stanowisko / Position ]:[Stanowisko / Position ]],0)))</f>
        <v>n/a</v>
      </c>
      <c r="DC202" s="315" t="str">
        <f>IF(INDEX(tab_MinKomp[Wykonywanie precyzyjnych pomiarów metrycznych, pomiary 3D],MATCH($B201,tab_MinKomp[[Stanowisko / Position ]:[Stanowisko / Position ]],0))="n/a","n/a",DC201-INDEX(tab_MinKomp[Wykonywanie precyzyjnych pomiarów metrycznych, pomiary 3D],MATCH($B201,tab_MinKomp[[Stanowisko / Position ]:[Stanowisko / Position ]],0)))</f>
        <v>n/a</v>
      </c>
      <c r="DD202" s="315" t="str">
        <f>IF(INDEX(tab_MinKomp[Pisanie programów / Programme schreiben],MATCH($B201,tab_MinKomp[[Stanowisko / Position ]:[Stanowisko / Position ]],0))="n/a","n/a",DD201-INDEX(tab_MinKomp[Pisanie programów / Programme schreiben],MATCH($B201,tab_MinKomp[[Stanowisko / Position ]:[Stanowisko / Position ]],0)))</f>
        <v>n/a</v>
      </c>
      <c r="DE202" s="315" t="str">
        <f>IF(INDEX(tab_MinKomp[Obsługa wyposażenia do testów czystości (myjka + analizator) / Betrieb von Sauberkeitsprüfgeräten (Waschmaschine + Analysegerät)],MATCH($B201,tab_MinKomp[[Stanowisko / Position ]:[Stanowisko / Position ]],0))="n/a","n/a",DE201-INDEX(tab_MinKomp[Obsługa wyposażenia do testów czystości (myjka + analizator) / Betrieb von Sauberkeitsprüfgeräten (Waschmaschine + Analysegerät)],MATCH($B201,tab_MinKomp[[Stanowisko / Position ]:[Stanowisko / Position ]],0)))</f>
        <v>n/a</v>
      </c>
      <c r="DF202" s="315" t="str">
        <f>IF(INDEX(tab_MinKomp[Testy czystości / Reinheitstests],MATCH($B201,tab_MinKomp[[Stanowisko / Position ]:[Stanowisko / Position ]],0))="n/a","n/a",DF201-INDEX(tab_MinKomp[Testy czystości / Reinheitstests],MATCH($B201,tab_MinKomp[[Stanowisko / Position ]:[Stanowisko / Position ]],0)))</f>
        <v>n/a</v>
      </c>
      <c r="DG202" s="315" t="str">
        <f>IF(INDEX(tab_MinKomp[Obsługa wysokościomierza / Unterstützung für Höhenmesser],MATCH($B201,tab_MinKomp[[Stanowisko / Position ]:[Stanowisko / Position ]],0))="n/a","n/a",DG201-INDEX(tab_MinKomp[Obsługa wysokościomierza / Unterstützung für Höhenmesser],MATCH($B201,tab_MinKomp[[Stanowisko / Position ]:[Stanowisko / Position ]],0)))</f>
        <v>n/a</v>
      </c>
      <c r="DH202" s="315" t="str">
        <f>IF(INDEX(tab_MinKomp[Pomiary wysokości materiału / Materialhöhenmessungen],MATCH($B201,tab_MinKomp[[Stanowisko / Position ]:[Stanowisko / Position ]],0))="n/a","n/a",DH201-INDEX(tab_MinKomp[Pomiary wysokości materiału / Materialhöhenmessungen],MATCH($B201,tab_MinKomp[[Stanowisko / Position ]:[Stanowisko / Position ]],0)))</f>
        <v>n/a</v>
      </c>
      <c r="DI202" s="315" t="str">
        <f>IF(INDEX(tab_MinKomp[Obsługa okrągłościomierza / Unterstützung für Rundheitsmessgeräte],MATCH($B201,tab_MinKomp[[Stanowisko / Position ]:[Stanowisko / Position ]],0))="n/a","n/a",DI201-INDEX(tab_MinKomp[Obsługa okrągłościomierza / Unterstützung für Rundheitsmessgeräte],MATCH($B201,tab_MinKomp[[Stanowisko / Position ]:[Stanowisko / Position ]],0)))</f>
        <v>n/a</v>
      </c>
      <c r="DJ202" s="315" t="str">
        <f>IF(INDEX(tab_MinKomp[Wykonywania pomiarów owalności, srednicy materiału / Messung der Ovalität und des Durchmessers des Materials],MATCH($B201,tab_MinKomp[[Stanowisko / Position ]:[Stanowisko / Position ]],0))="n/a","n/a",DJ201-INDEX(tab_MinKomp[Wykonywania pomiarów owalności, srednicy materiału / Messung der Ovalität und des Durchmessers des Materials],MATCH($B201,tab_MinKomp[[Stanowisko / Position ]:[Stanowisko / Position ]],0)))</f>
        <v>n/a</v>
      </c>
      <c r="DK202" s="315" t="str">
        <f>IF(INDEX(tab_MinKomp[Obsługa urządzenia do pomiarów chropowoatości powierzchni materiału],MATCH($B201,tab_MinKomp[[Stanowisko / Position ]:[Stanowisko / Position ]],0))="n/a","n/a",DK201-INDEX(tab_MinKomp[Obsługa urządzenia do pomiarów chropowoatości powierzchni materiału],MATCH($B201,tab_MinKomp[[Stanowisko / Position ]:[Stanowisko / Position ]],0)))</f>
        <v>n/a</v>
      </c>
      <c r="DL202" s="315" t="str">
        <f>IF(INDEX(tab_MinKomp[Wykonywanie pomiarów chropowatości powierzchni materiału / Durchführung von Messungen der Materialoberflächenrauheit],MATCH($B201,tab_MinKomp[[Stanowisko / Position ]:[Stanowisko / Position ]],0))="n/a","n/a",DL201-INDEX(tab_MinKomp[Wykonywanie pomiarów chropowatości powierzchni materiału / Durchführung von Messungen der Materialoberflächenrauheit],MATCH($B201,tab_MinKomp[[Stanowisko / Position ]:[Stanowisko / Position ]],0)))</f>
        <v>n/a</v>
      </c>
      <c r="DM202" s="315" t="str">
        <f>IF(INDEX(tab_MinKomp[Obsługa urządzenia do pomiaru siły radialnej części - postępowanie z trzpieniami. / Funktionsweise des Geräts zur Messung der Radialkraft von Teilen – Handhabungsstifte.],MATCH($B201,tab_MinKomp[[Stanowisko / Position ]:[Stanowisko / Position ]],0))="n/a","n/a",DM201-INDEX(tab_MinKomp[Obsługa urządzenia do pomiaru siły radialnej części - postępowanie z trzpieniami. / Funktionsweise des Geräts zur Messung der Radialkraft von Teilen – Handhabungsstifte.],MATCH($B201,tab_MinKomp[[Stanowisko / Position ]:[Stanowisko / Position ]],0)))</f>
        <v>n/a</v>
      </c>
      <c r="DN202" s="315" t="str">
        <f>IF(INDEX(tab_MinKomp[Wykonywanie pomiarów siły radialnej części / Führen Sie Radialkraftmessungen an Teilen durch],MATCH($B201,tab_MinKomp[[Stanowisko / Position ]:[Stanowisko / Position ]],0))="n/a","n/a",DN201-INDEX(tab_MinKomp[Wykonywanie pomiarów siły radialnej części / Führen Sie Radialkraftmessungen an Teilen durch],MATCH($B201,tab_MinKomp[[Stanowisko / Position ]:[Stanowisko / Position ]],0)))</f>
        <v>n/a</v>
      </c>
      <c r="DO202" s="315" t="str">
        <f>IF(INDEX(tab_MinKomp[Obsługa komory do testów wybuchwych / Betrieb einer Explosionsprüfkammer],MATCH($B201,tab_MinKomp[[Stanowisko / Position ]:[Stanowisko / Position ]],0))="n/a","n/a",DO201-INDEX(tab_MinKomp[Obsługa komory do testów wybuchwych / Betrieb einer Explosionsprüfkammer],MATCH($B201,tab_MinKomp[[Stanowisko / Position ]:[Stanowisko / Position ]],0)))</f>
        <v>n/a</v>
      </c>
      <c r="DP202" s="315" t="str">
        <f>IF(INDEX(tab_MinKomp[Wykonywanie testów wybuchowych części / Durchführung von Explosionstests an Teilen],MATCH($B201,tab_MinKomp[[Stanowisko / Position ]:[Stanowisko / Position ]],0))="n/a","n/a",DP201-INDEX(tab_MinKomp[Wykonywanie testów wybuchowych części / Durchführung von Explosionstests an Teilen],MATCH($B201,tab_MinKomp[[Stanowisko / Position ]:[Stanowisko / Position ]],0)))</f>
        <v>n/a</v>
      </c>
      <c r="DQ202" s="315" t="str">
        <f>IF(INDEX(tab_MinKomp[Obsługa urządzeń do mierzenia siły trzymania i/lub rozciągania / Betrieb von Geräten zur Messung der Halte- und/oder Dehnkraft],MATCH($B201,tab_MinKomp[[Stanowisko / Position ]:[Stanowisko / Position ]],0))="n/a","n/a",DQ201-INDEX(tab_MinKomp[Obsługa urządzeń do mierzenia siły trzymania i/lub rozciągania / Betrieb von Geräten zur Messung der Halte- und/oder Dehnkraft],MATCH($B201,tab_MinKomp[[Stanowisko / Position ]:[Stanowisko / Position ]],0)))</f>
        <v>n/a</v>
      </c>
      <c r="DR202" s="315" t="str">
        <f>IF(INDEX(tab_MinKomp[Wykonywanie testów mierzenia siły trzymania i/lub rozciągania / Durchführung von Tests zur Messung der Halte- und/oder Streckkraft],MATCH($B201,tab_MinKomp[[Stanowisko / Position ]:[Stanowisko / Position ]],0))="n/a","n/a",DR201-INDEX(tab_MinKomp[Wykonywanie testów mierzenia siły trzymania i/lub rozciągania / Durchführung von Tests zur Messung der Halte- und/oder Streckkraft],MATCH($B201,tab_MinKomp[[Stanowisko / Position ]:[Stanowisko / Position ]],0)))</f>
        <v>n/a</v>
      </c>
      <c r="DS202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Luftstrom)],MATCH($B201,tab_MinKomp[[Stanowisko / Position ]:[Stanowisko / Position ]],0))="n/a","n/a",DS201-INDEX(tab_MinKomp[Obsługa multimetru do pomiarów środowiskowych (temperatura, wilgotność, hałas, oświetlenie, przepływ powietrza) / Betrieb eines Multimeters für Umweltmessungen (Temperatur, Luftfeuchtigkeit, Lärm, Beleuchtung, Luftstrom)],MATCH($B201,tab_MinKomp[[Stanowisko / Position ]:[Stanowisko / Position ]],0)))</f>
        <v>n/a</v>
      </c>
      <c r="DT202" s="315" t="str">
        <f>IF(INDEX(tab_MinKomp[Kontrola warunków środowiskowych pracy (temperatura, wilgotność, hałas, oświetlenie, przepływ powietrza) / Kontrolle der Arbeitsumgebungsbedingungen (Temperatur, Luftfeuchtigkeit, Lärm, Beleuchtung, Luftstrom)],MATCH($B201,tab_MinKomp[[Stanowisko / Position ]:[Stanowisko / Position ]],0))="n/a","n/a",DT201-INDEX(tab_MinKomp[Kontrola warunków środowiskowych pracy (temperatura, wilgotność, hałas, oświetlenie, przepływ powietrza) / Kontrolle der Arbeitsumgebungsbedingungen (Temperatur, Luftfeuchtigkeit, Lärm, Beleuchtung, Luftstrom)],MATCH($B201,tab_MinKomp[[Stanowisko / Position ]:[Stanowisko / Position ]],0)))</f>
        <v>n/a</v>
      </c>
      <c r="DU202" s="315" t="str">
        <f>IF(INDEX(tab_MinKomp[MSA i SPC],MATCH($B201,tab_MinKomp[[Stanowisko / Position ]:[Stanowisko / Position ]],0))="n/a","n/a",DU201-INDEX(tab_MinKomp[MSA i SPC],MATCH($B201,tab_MinKomp[[Stanowisko / Position ]:[Stanowisko / Position ]],0)))</f>
        <v>n/a</v>
      </c>
      <c r="DV202" s="315" t="str">
        <f>IF(INDEX(tab_MinKomp[Kontrola wejściowa komponentów/ Eingangskontrolle],MATCH($B201,tab_MinKomp[[Stanowisko / Position ]:[Stanowisko / Position ]],0))="n/a","n/a",DV201-INDEX(tab_MinKomp[Kontrola wejściowa komponentów/ Eingangskontrolle],MATCH($B201,tab_MinKomp[[Stanowisko / Position ]:[Stanowisko / Position ]],0)))</f>
        <v>n/a</v>
      </c>
      <c r="DW202" s="315" t="str">
        <f>IF(INDEX(tab_MinKomp[Kontrola wyjściowa produktu / Ausgangskontrolle],MATCH($B201,tab_MinKomp[[Stanowisko / Position ]:[Stanowisko / Position ]],0))="n/a","n/a",DW201-INDEX(tab_MinKomp[Kontrola wyjściowa produktu / Ausgangskontrolle],MATCH($B201,tab_MinKomp[[Stanowisko / Position ]:[Stanowisko / Position ]],0)))</f>
        <v>n/a</v>
      </c>
      <c r="DX202" s="315" t="str">
        <f>IF(INDEX(tab_MinKomp[Kontrola codzienna produkcji / Tägliche Produktionskontrolle],MATCH($B201,tab_MinKomp[[Stanowisko / Position ]:[Stanowisko / Position ]],0))="n/a","n/a",DX201-INDEX(tab_MinKomp[Kontrola codzienna produkcji / Tägliche Produktionskontrolle],MATCH($B201,tab_MinKomp[[Stanowisko / Position ]:[Stanowisko / Position ]],0)))</f>
        <v>n/a</v>
      </c>
      <c r="DY202" s="315" t="str">
        <f>IF(INDEX(tab_MinKomp[Konserwacja Rep],MATCH($B201,tab_MinKomp[[Stanowisko / Position ]:[Stanowisko / Position ]],0))="n/a","n/a",DY201-INDEX(tab_MinKomp[Konserwacja Rep],MATCH($B201,tab_MinKomp[[Stanowisko / Position ]:[Stanowisko / Position ]],0)))</f>
        <v>n/a</v>
      </c>
      <c r="DZ202" s="315" t="str">
        <f>IF(INDEX(tab_MinKomp[[Konserwacja Engel ]],MATCH($B201,tab_MinKomp[[Stanowisko / Position ]:[Stanowisko / Position ]],0))="n/a","n/a",DZ201-INDEX(tab_MinKomp[[Konserwacja Engel ]],MATCH($B201,tab_MinKomp[[Stanowisko / Position ]:[Stanowisko / Position ]],0)))</f>
        <v>n/a</v>
      </c>
      <c r="EA202" s="315" t="str">
        <f>IF(INDEX(tab_MinKomp[Konserwacja B 50],MATCH($B201,tab_MinKomp[[Stanowisko / Position ]:[Stanowisko / Position ]],0))="n/a","n/a",EA201-INDEX(tab_MinKomp[Konserwacja B 50],MATCH($B201,tab_MinKomp[[Stanowisko / Position ]:[Stanowisko / Position ]],0)))</f>
        <v>n/a</v>
      </c>
      <c r="EB202" s="315" t="str">
        <f>IF(INDEX(tab_MinKomp[[Konserwacja EOL ]],MATCH($B201,tab_MinKomp[[Stanowisko / Position ]:[Stanowisko / Position ]],0))="n/a","n/a",EB201-INDEX(tab_MinKomp[[Konserwacja EOL ]],MATCH($B201,tab_MinKomp[[Stanowisko / Position ]:[Stanowisko / Position ]],0)))</f>
        <v>n/a</v>
      </c>
      <c r="EC202" s="315" t="str">
        <f>IF(INDEX(tab_MinKomp[Konserwacja Branson],MATCH($B201,tab_MinKomp[[Stanowisko / Position ]:[Stanowisko / Position ]],0))="n/a","n/a",EC201-INDEX(tab_MinKomp[Konserwacja Branson],MATCH($B201,tab_MinKomp[[Stanowisko / Position ]:[Stanowisko / Position ]],0)))</f>
        <v>n/a</v>
      </c>
      <c r="ED202" s="315" t="str">
        <f>IF(INDEX(tab_MinKomp[Konserwacja coolery],MATCH($B201,tab_MinKomp[[Stanowisko / Position ]:[Stanowisko / Position ]],0))="n/a","n/a",ED201-INDEX(tab_MinKomp[Konserwacja coolery],MATCH($B201,tab_MinKomp[[Stanowisko / Position ]:[Stanowisko / Position ]],0)))</f>
        <v>n/a</v>
      </c>
      <c r="EE202" s="315" t="str">
        <f>IF(INDEX(tab_MinKomp[Konserwacja piecy],MATCH($B201,tab_MinKomp[[Stanowisko / Position ]:[Stanowisko / Position ]],0))="n/a","n/a",EE201-INDEX(tab_MinKomp[Konserwacja piecy],MATCH($B201,tab_MinKomp[[Stanowisko / Position ]:[Stanowisko / Position ]],0)))</f>
        <v>n/a</v>
      </c>
      <c r="EF202" s="315" t="str">
        <f>IF(INDEX(tab_MinKomp[Rysunek techniczny- czytanie],MATCH($B201,tab_MinKomp[[Stanowisko / Position ]:[Stanowisko / Position ]],0))="n/a","n/a",EF201-INDEX(tab_MinKomp[Rysunek techniczny- czytanie],MATCH($B201,tab_MinKomp[[Stanowisko / Position ]:[Stanowisko / Position ]],0)))</f>
        <v>n/a</v>
      </c>
      <c r="EG202" s="315" t="str">
        <f>IF(INDEX(tab_MinKomp[Elektryka],MATCH($B201,tab_MinKomp[[Stanowisko / Position ]:[Stanowisko / Position ]],0))="n/a","n/a",EG201-INDEX(tab_MinKomp[Elektryka],MATCH($B201,tab_MinKomp[[Stanowisko / Position ]:[Stanowisko / Position ]],0)))</f>
        <v>n/a</v>
      </c>
      <c r="EH202" s="315" t="str">
        <f>IF(INDEX(tab_MinKomp[Pneumatyka],MATCH($B201,tab_MinKomp[[Stanowisko / Position ]:[Stanowisko / Position ]],0))="n/a","n/a",EH201-INDEX(tab_MinKomp[Pneumatyka],MATCH($B201,tab_MinKomp[[Stanowisko / Position ]:[Stanowisko / Position ]],0)))</f>
        <v>n/a</v>
      </c>
      <c r="EI202" s="315" t="str">
        <f>IF(INDEX(tab_MinKomp[[Hydraulika ]],MATCH($B201,tab_MinKomp[[Stanowisko / Position ]:[Stanowisko / Position ]],0))="n/a","n/a",EI201-INDEX(tab_MinKomp[[Hydraulika ]],MATCH($B201,tab_MinKomp[[Stanowisko / Position ]:[Stanowisko / Position ]],0)))</f>
        <v>n/a</v>
      </c>
      <c r="EJ202" s="315" t="str">
        <f>IF(INDEX(tab_MinKomp[Podciśnienie],MATCH($B201,tab_MinKomp[[Stanowisko / Position ]:[Stanowisko / Position ]],0))="n/a","n/a",EJ201-INDEX(tab_MinKomp[Podciśnienie],MATCH($B201,tab_MinKomp[[Stanowisko / Position ]:[Stanowisko / Position ]],0)))</f>
        <v>n/a</v>
      </c>
      <c r="EK202" s="315" t="str">
        <f>IF(INDEX(tab_MinKomp[Usuwanie awarii],MATCH($B201,tab_MinKomp[[Stanowisko / Position ]:[Stanowisko / Position ]],0))="n/a","n/a",EK201-INDEX(tab_MinKomp[Usuwanie awarii],MATCH($B201,tab_MinKomp[[Stanowisko / Position ]:[Stanowisko / Position ]],0)))</f>
        <v>n/a</v>
      </c>
      <c r="EL202" s="315" t="str">
        <f>IF(INDEX(tab_MinKomp[Obsługa robotów],MATCH($B201,tab_MinKomp[[Stanowisko / Position ]:[Stanowisko / Position ]],0))="n/a","n/a",EL201-INDEX(tab_MinKomp[Obsługa robotów],MATCH($B201,tab_MinKomp[[Stanowisko / Position ]:[Stanowisko / Position ]],0)))</f>
        <v>n/a</v>
      </c>
      <c r="EM202" s="315" t="str">
        <f>IF(INDEX(tab_MinKomp[Obsługa sterowania maszyny],MATCH($B201,tab_MinKomp[[Stanowisko / Position ]:[Stanowisko / Position ]],0))="n/a","n/a",EM201-INDEX(tab_MinKomp[Obsługa sterowania maszyny],MATCH($B201,tab_MinKomp[[Stanowisko / Position ]:[Stanowisko / Position ]],0)))</f>
        <v>n/a</v>
      </c>
      <c r="EN202" s="315" t="str">
        <f>IF(INDEX(tab_MinKomp[Usuwanie przyczyn żródłowych],MATCH($B201,tab_MinKomp[[Stanowisko / Position ]:[Stanowisko / Position ]],0))="n/a","n/a",EN201-INDEX(tab_MinKomp[Usuwanie przyczyn żródłowych],MATCH($B201,tab_MinKomp[[Stanowisko / Position ]:[Stanowisko / Position ]],0)))</f>
        <v>n/a</v>
      </c>
      <c r="EO202" s="315" t="str">
        <f>IF(INDEX(tab_MinKomp[Cmms stosowanie],MATCH($B201,tab_MinKomp[[Stanowisko / Position ]:[Stanowisko / Position ]],0))="n/a","n/a",EO201-INDEX(tab_MinKomp[Cmms stosowanie],MATCH($B201,tab_MinKomp[[Stanowisko / Position ]:[Stanowisko / Position ]],0)))</f>
        <v>n/a</v>
      </c>
      <c r="EP202" s="315" t="str">
        <f>IF(INDEX(tab_MinKomp[[Czyszczenie form gumowych ]],MATCH($B201,tab_MinKomp[[Stanowisko / Position ]:[Stanowisko / Position ]],0))="n/a","n/a",EP201-INDEX(tab_MinKomp[[Czyszczenie form gumowych ]],MATCH($B201,tab_MinKomp[[Stanowisko / Position ]:[Stanowisko / Position ]],0)))</f>
        <v>n/a</v>
      </c>
      <c r="EQ202" s="315" t="str">
        <f>IF(INDEX(tab_MinKomp[Czyszczenie form plastikowych],MATCH($B201,tab_MinKomp[[Stanowisko / Position ]:[Stanowisko / Position ]],0))="n/a","n/a",EQ201-INDEX(tab_MinKomp[Czyszczenie form plastikowych],MATCH($B201,tab_MinKomp[[Stanowisko / Position ]:[Stanowisko / Position ]],0)))</f>
        <v>n/a</v>
      </c>
      <c r="ER202" s="315" t="str">
        <f>IF(INDEX(tab_MinKomp[Wymiana form plastik],MATCH($B201,tab_MinKomp[[Stanowisko / Position ]:[Stanowisko / Position ]],0))="n/a","n/a",ER201-INDEX(tab_MinKomp[Wymiana form plastik],MATCH($B201,tab_MinKomp[[Stanowisko / Position ]:[Stanowisko / Position ]],0)))</f>
        <v>n/a</v>
      </c>
      <c r="ES202" s="315" t="str">
        <f>IF(INDEX(tab_MinKomp[Wymiana form guma],MATCH($B201,tab_MinKomp[[Stanowisko / Position ]:[Stanowisko / Position ]],0))="n/a","n/a",ES201-INDEX(tab_MinKomp[Wymiana form guma],MATCH($B201,tab_MinKomp[[Stanowisko / Position ]:[Stanowisko / Position ]],0)))</f>
        <v>n/a</v>
      </c>
      <c r="ET202" s="315" t="str">
        <f>IF(INDEX(tab_MinKomp[Konserwacja KK],MATCH($B201,tab_MinKomp[[Stanowisko / Position ]:[Stanowisko / Position ]],0))="n/a","n/a",ET201-INDEX(tab_MinKomp[Konserwacja KK],MATCH($B201,tab_MinKomp[[Stanowisko / Position ]:[Stanowisko / Position ]],0)))</f>
        <v>n/a</v>
      </c>
      <c r="EU202" s="315" t="str">
        <f>IF(INDEX(tab_MinKomp[Konserwacja form guma],MATCH($B201,tab_MinKomp[[Stanowisko / Position ]:[Stanowisko / Position ]],0))="n/a","n/a",EU201-INDEX(tab_MinKomp[Konserwacja form guma],MATCH($B201,tab_MinKomp[[Stanowisko / Position ]:[Stanowisko / Position ]],0)))</f>
        <v>n/a</v>
      </c>
      <c r="EV202" s="315" t="str">
        <f>IF(INDEX(tab_MinKomp[Konserwacja form plastiki],MATCH($B201,tab_MinKomp[[Stanowisko / Position ]:[Stanowisko / Position ]],0))="n/a","n/a",EV201-INDEX(tab_MinKomp[Konserwacja form plastiki],MATCH($B201,tab_MinKomp[[Stanowisko / Position ]:[Stanowisko / Position ]],0)))</f>
        <v>n/a</v>
      </c>
      <c r="EW202" s="330" t="str">
        <f>IF(INDEX(tab_MinKomp[Konserwacja form plastiki],MATCH($B201,tab_MinKomp[[Stanowisko / Position ]:[Stanowisko / Position ]],0))="n/a","n/a",EW201-INDEX(tab_MinKomp[Konserwacja form plastiki],MATCH($B201,tab_MinKomp[[Stanowisko / Position ]:[Stanowisko / Position ]],0)))</f>
        <v>n/a</v>
      </c>
      <c r="EX202" s="315" t="str">
        <f>IF(INDEX(tab_MinKomp[Konserwacja Gorącego Kanału],MATCH($B201,tab_MinKomp[[Stanowisko / Position ]:[Stanowisko / Position ]],0))="n/a","n/a",EX201-INDEX(tab_MinKomp[Konserwacja Gorącego Kanału],MATCH($B201,tab_MinKomp[[Stanowisko / Position ]:[Stanowisko / Position ]],0)))</f>
        <v>n/a</v>
      </c>
      <c r="EY202" s="315">
        <f>IF(INDEX(tab_MinKomp[MS Office (Excel)],MATCH($B201,tab_MinKomp[[Stanowisko / Position ]:[Stanowisko / Position ]],0))="n/a","n/a",EY201-INDEX(tab_MinKomp[MS Office (Excel)],MATCH($B201,tab_MinKomp[[Stanowisko / Position ]:[Stanowisko / Position ]],0)))</f>
        <v>0</v>
      </c>
      <c r="EZ202" s="315">
        <f>IF(INDEX(tab_MinKomp[MS Office (Word)],MATCH($B201,tab_MinKomp[[Stanowisko / Position ]:[Stanowisko / Position ]],0))="n/a","n/a",EZ201-INDEX(tab_MinKomp[MS Office (Word)],MATCH($B201,tab_MinKomp[[Stanowisko / Position ]:[Stanowisko / Position ]],0)))</f>
        <v>0</v>
      </c>
      <c r="FA202" s="315">
        <f>IF(INDEX(tab_MinKomp[MS Office (Power Point)],MATCH($B201,tab_MinKomp[[Stanowisko / Position ]:[Stanowisko / Position ]],0))="n/a","n/a",FA201-INDEX(tab_MinKomp[MS Office (Power Point)],MATCH($B201,tab_MinKomp[[Stanowisko / Position ]:[Stanowisko / Position ]],0)))</f>
        <v>0</v>
      </c>
      <c r="FB202" s="315">
        <f>IF(INDEX(tab_MinKomp[Język angielski / Englisch],MATCH($B201,tab_MinKomp[[Stanowisko / Position ]:[Stanowisko / Position ]],0))="n/a","n/a",FB201-INDEX(tab_MinKomp[Język angielski / Englisch],MATCH($B201,tab_MinKomp[[Stanowisko / Position ]:[Stanowisko / Position ]],0)))</f>
        <v>0</v>
      </c>
      <c r="FC202" s="315" t="str">
        <f>IF(INDEX(tab_MinKomp[Język niemiecki / Deutsch],MATCH($B201,tab_MinKomp[[Stanowisko / Position ]:[Stanowisko / Position ]],0))="n/a","n/a",FC201-INDEX(tab_MinKomp[Język niemiecki / Deutsch],MATCH($B201,tab_MinKomp[[Stanowisko / Position ]:[Stanowisko / Position ]],0)))</f>
        <v>n/a</v>
      </c>
      <c r="FD202" s="315">
        <f>IF(INDEX(tab_MinKomp[Zarządzanie dokumentacją procesową / Process dokumentation management],MATCH($B201,tab_MinKomp[[Stanowisko / Position ]:[Stanowisko / Position ]],0))="n/a","n/a",FD201-INDEX(tab_MinKomp[Zarządzanie dokumentacją procesową / Process dokumentation management],MATCH($B201,tab_MinKomp[[Stanowisko / Position ]:[Stanowisko / Position ]],0)))</f>
        <v>0</v>
      </c>
      <c r="FE202" s="315">
        <f>IF(INDEX(tab_MinKomp[Znajomość procesów z obszaru / Kenntiss der prozesse in dem Bereich],MATCH($B201,tab_MinKomp[[Stanowisko / Position ]:[Stanowisko / Position ]],0))="n/a","n/a",FE201-INDEX(tab_MinKomp[Znajomość procesów z obszaru / Kenntiss der prozesse in dem Bereich],MATCH($B201,tab_MinKomp[[Stanowisko / Position ]:[Stanowisko / Position ]],0)))</f>
        <v>0</v>
      </c>
      <c r="FF202" s="315">
        <f>IF(INDEX(tab_MinKomp[optymalizacja procesów / Prozessoptymalisierung],MATCH($B201,tab_MinKomp[[Stanowisko / Position ]:[Stanowisko / Position ]],0))="n/a","n/a",FF201-INDEX(tab_MinKomp[optymalizacja procesów / Prozessoptymalisierung],MATCH($B201,tab_MinKomp[[Stanowisko / Position ]:[Stanowisko / Position ]],0)))</f>
        <v>-2</v>
      </c>
      <c r="FG202" s="315">
        <f>IF(INDEX(tab_MinKomp[Umiejętności szkoleniowe / Trainingsfähigkeiten],MATCH($B201,tab_MinKomp[[Stanowisko / Position ]:[Stanowisko / Position ]],0))="n/a","n/a",FG201-INDEX(tab_MinKomp[Umiejętności szkoleniowe / Trainingsfähigkeiten],MATCH($B201,tab_MinKomp[[Stanowisko / Position ]:[Stanowisko / Position ]],0)))</f>
        <v>0</v>
      </c>
      <c r="FH202" s="315">
        <f>IF(INDEX(tab_MinKomp[Analityczne myślenie, podejście / Analitysches Denken, Einstellung],MATCH($B201,tab_MinKomp[[Stanowisko / Position ]:[Stanowisko / Position ]],0))="n/a","n/a",FH201-INDEX(tab_MinKomp[Analityczne myślenie, podejście / Analitysches Denken, Einstellung],MATCH($B201,tab_MinKomp[[Stanowisko / Position ]:[Stanowisko / Position ]],0)))</f>
        <v>0</v>
      </c>
      <c r="FI202" s="315">
        <f>IF(INDEX(tab_MinKomp[Dokładność, precyzja w dzialaniu / Genauigkeit, Präzision in die Arbeit],MATCH($B201,tab_MinKomp[[Stanowisko / Position ]:[Stanowisko / Position ]],0))="n/a","n/a",FI201-INDEX(tab_MinKomp[Dokładność, precyzja w dzialaniu / Genauigkeit, Präzision in die Arbeit],MATCH($B201,tab_MinKomp[[Stanowisko / Position ]:[Stanowisko / Position ]],0)))</f>
        <v>0</v>
      </c>
      <c r="FJ202" s="315">
        <f>IF(INDEX(tab_MinKomp[Dyspozycyjność / Verfügbarkeit],MATCH($B201,tab_MinKomp[[Stanowisko / Position ]:[Stanowisko / Position ]],0))="n/a","n/a",FJ201-INDEX(tab_MinKomp[Dyspozycyjność / Verfügbarkeit],MATCH($B201,tab_MinKomp[[Stanowisko / Position ]:[Stanowisko / Position ]],0)))</f>
        <v>0</v>
      </c>
      <c r="FK202" s="315">
        <f>IF(INDEX(tab_MinKomp[Zaangażowanie / 
Engagement],MATCH($B201,tab_MinKomp[[Stanowisko / Position ]:[Stanowisko / Position ]],0))="n/a","n/a",FK201-INDEX(tab_MinKomp[Zaangażowanie / 
Engagement],MATCH($B201,tab_MinKomp[[Stanowisko / Position ]:[Stanowisko / Position ]],0)))</f>
        <v>0</v>
      </c>
      <c r="FL202" s="315">
        <f>IF(INDEX(tab_MinKomp[Planowanie strategiczne / Strategische Planung],MATCH($B201,tab_MinKomp[[Stanowisko / Position ]:[Stanowisko / Position ]],0))="n/a","n/a",FL201-INDEX(tab_MinKomp[Planowanie strategiczne / Strategische Planung],MATCH($B201,tab_MinKomp[[Stanowisko / Position ]:[Stanowisko / Position ]],0)))</f>
        <v>-1</v>
      </c>
      <c r="FM202" s="315">
        <f>IF(INDEX(tab_MinKomp[Konsekwentne i dynamiczne działanie],MATCH($B201,tab_MinKomp[[Stanowisko / Position ]:[Stanowisko / Position ]],0))="n/a","n/a",FM201-INDEX(tab_MinKomp[Konsekwentne i dynamiczne działanie],MATCH($B201,tab_MinKomp[[Stanowisko / Position ]:[Stanowisko / Position ]],0)))</f>
        <v>0</v>
      </c>
      <c r="FN202" s="315">
        <f>IF(INDEX(tab_MinKomp[Elastyczność w działaniu],MATCH($B201,tab_MinKomp[[Stanowisko / Position ]:[Stanowisko / Position ]],0))="n/a","n/a",FN201-INDEX(tab_MinKomp[Elastyczność w działaniu],MATCH($B201,tab_MinKomp[[Stanowisko / Position ]:[Stanowisko / Position ]],0)))</f>
        <v>0</v>
      </c>
      <c r="FO202" s="315">
        <f>IF(INDEX(tab_MinKomp[Komunikatywność],MATCH($B201,tab_MinKomp[[Stanowisko / Position ]:[Stanowisko / Position ]],0))="n/a","n/a",FO201-INDEX(tab_MinKomp[Komunikatywność],MATCH($B201,tab_MinKomp[[Stanowisko / Position ]:[Stanowisko / Position ]],0)))</f>
        <v>0</v>
      </c>
      <c r="FP202" s="315">
        <f>IF(INDEX(tab_MinKomp[Motywowanie i budowanie zaangażowania zespołu],MATCH($B201,tab_MinKomp[[Stanowisko / Position ]:[Stanowisko / Position ]],0))="n/a","n/a",FP201-INDEX(tab_MinKomp[Motywowanie i budowanie zaangażowania zespołu],MATCH($B201,tab_MinKomp[[Stanowisko / Position ]:[Stanowisko / Position ]],0)))</f>
        <v>-1</v>
      </c>
      <c r="FQ202" s="318" t="str">
        <f>IFERROR(IF(INDEX(tab_MinKomp[BRAK / Keine],MATCH($B201,tab_MinKomp[[Stanowisko / Position ]:[Stanowisko / Position ]],0))="n/a","n/a",INDEX(tab_MinKomp[BRAK / Keine],MATCH($B201,tab_MinKomp[[Stanowisko / Position ]:[Stanowisko / Position ]],0))-FQ201),"")</f>
        <v>n/a</v>
      </c>
      <c r="FR202" s="315" t="str">
        <f>IF(INDEX(tab_MinKomp[MINIMUM 1 ROK / min. 1 Jahr],MATCH($B201,tab_MinKomp[[Stanowisko / Position ]:[Stanowisko / Position ]],0))="n/a","n/a",INDEX(tab_MinKomp[MINIMUM 1 ROK / min. 1 Jahr],MATCH($B201,tab_MinKomp[[Stanowisko / Position ]:[Stanowisko / Position ]],0)))</f>
        <v>n/a</v>
      </c>
      <c r="FS202" s="315" t="str">
        <f>IF(INDEX(tab_MinKomp[MINIMUM 2 LATA / min. 2 Jahre],MATCH($B201,tab_MinKomp[[Stanowisko / Position ]:[Stanowisko / Position ]],0))="n/a","n/a",INDEX(tab_MinKomp[MINIMUM 2 LATA / min. 2 Jahre],MATCH($B201,tab_MinKomp[[Stanowisko / Position ]:[Stanowisko / Position ]],0)))</f>
        <v>X</v>
      </c>
      <c r="FT202" s="315" t="str">
        <f>IF(INDEX(tab_MinKomp[MINIMUM 3 LATA / min. 3 Jahre],MATCH($B201,tab_MinKomp[[Stanowisko / Position ]:[Stanowisko / Position ]],0))="n/a","n/a",INDEX(tab_MinKomp[MINIMUM 3 LATA / min. 3 Jahre],MATCH($B201,tab_MinKomp[[Stanowisko / Position ]:[Stanowisko / Position ]],0)))</f>
        <v>n/a</v>
      </c>
      <c r="FU202" s="315" t="str">
        <f>IF(INDEX(tab_MinKomp[MINIMUM 4 LATA / min. 4 Jahre],MATCH($B201,tab_MinKomp[[Stanowisko / Position ]:[Stanowisko / Position ]],0))="n/a","n/a",INDEX(tab_MinKomp[MINIMUM 4 LATA / min. 4 Jahre],MATCH($B201,tab_MinKomp[[Stanowisko / Position ]:[Stanowisko / Position ]],0)))</f>
        <v>n/a</v>
      </c>
      <c r="FV202" s="319" t="str">
        <f>IF(INDEX(tab_MinKomp[MINIMUM 5 LAT / min. 5 Jahre],MATCH($B201,tab_MinKomp[[Stanowisko / Position ]:[Stanowisko / Position ]],0))="n/a","n/a",INDEX(tab_MinKomp[MINIMUM 5 LAT / min. 5 Jahre],MATCH($B201,tab_MinKomp[[Stanowisko / Position ]:[Stanowisko / Position ]],0)))</f>
        <v>n/a</v>
      </c>
      <c r="FW202" s="318" t="str">
        <f>IF(INDEX(tab_MinKomp[BRAK / Keine9],MATCH($B201,tab_MinKomp[[Stanowisko / Position ]:[Stanowisko / Position ]],0))="n/a","n/a",INDEX(tab_MinKomp[BRAK / Keine9],MATCH($B201,tab_MinKomp[[Stanowisko / Position ]:[Stanowisko / Position ]],0)))</f>
        <v>n/a</v>
      </c>
      <c r="FX202" s="315" t="str">
        <f>IF(INDEX(tab_MinKomp[ZAWODOWE / Berufsausbildung],MATCH($B201,tab_MinKomp[[Stanowisko / Position ]:[Stanowisko / Position ]],0))="n/a","n/a",INDEX(tab_MinKomp[ZAWODOWE / Berufsausbildung],MATCH($B201,tab_MinKomp[[Stanowisko / Position ]:[Stanowisko / Position ]],0)))</f>
        <v>n/a</v>
      </c>
      <c r="FY202" s="315" t="str">
        <f>IF(INDEX(tab_MinKomp[ŚREDNIE OGÓLNE / Abitur allgemeine],MATCH($B201,tab_MinKomp[[Stanowisko / Position ]:[Stanowisko / Position ]],0))="n/a","n/a",INDEX(tab_MinKomp[ŚREDNIE OGÓLNE / Abitur allgemeine],MATCH($B201,tab_MinKomp[[Stanowisko / Position ]:[Stanowisko / Position ]],0)))</f>
        <v>n/a</v>
      </c>
      <c r="FZ202" s="315" t="str">
        <f>IF(INDEX(tab_MinKomp[ŚREDNIE KIERUNKOWE / berufliches Gymnasium],MATCH($B201,tab_MinKomp[[Stanowisko / Position ]:[Stanowisko / Position ]],0))="n/a","n/a",INDEX(tab_MinKomp[ŚREDNIE KIERUNKOWE / berufliches Gymnasium],MATCH($B201,tab_MinKomp[[Stanowisko / Position ]:[Stanowisko / Position ]],0)))</f>
        <v>n/a</v>
      </c>
      <c r="GA202" s="315" t="str">
        <f>IF(INDEX(tab_MinKomp[WYŻSZE OGÓLNE / Hochschule allgemeine],MATCH($B201,tab_MinKomp[[Stanowisko / Position ]:[Stanowisko / Position ]],0))="n/a","n/a",INDEX(tab_MinKomp[WYŻSZE OGÓLNE / Hochschule allgemeine],MATCH($B201,tab_MinKomp[[Stanowisko / Position ]:[Stanowisko / Position ]],0)))</f>
        <v>n/a</v>
      </c>
      <c r="GB202" s="319" t="str">
        <f>IF(INDEX(tab_MinKomp[WYŻSZE KIERUNKOWE / Hochschule berufliche],MATCH($B201,tab_MinKomp[[Stanowisko / Position ]:[Stanowisko / Position ]],0))="n/a","n/a",INDEX(tab_MinKomp[WYŻSZE KIERUNKOWE / Hochschule berufliche],MATCH($B201,tab_MinKomp[[Stanowisko / Position ]:[Stanowisko / Position ]],0)))</f>
        <v>X</v>
      </c>
      <c r="GC202" s="318" t="str">
        <f>IF(INDEX(tab_MinKomp[PIERWSZA POMOC / Erste Hilfe],MATCH($B201,tab_MinKomp[[Stanowisko / Position ]:[Stanowisko / Position ]],0))="n/a","n/a",INDEX(tab_MinKomp[PIERWSZA POMOC / Erste Hilfe],MATCH($B201,tab_MinKomp[[Stanowisko / Position ]:[Stanowisko / Position ]],0)))</f>
        <v>n/a</v>
      </c>
      <c r="GD202" s="315" t="str">
        <f>IF(INDEX(tab_MinKomp[Specjalista BHP / BHP Spezialist],MATCH($B201,tab_MinKomp[[Stanowisko / Position ]:[Stanowisko / Position ]],0))="n/a","n/a",INDEX(tab_MinKomp[Specjalista BHP / BHP Spezialist],MATCH($B201,tab_MinKomp[[Stanowisko / Position ]:[Stanowisko / Position ]],0)))</f>
        <v>n/a</v>
      </c>
      <c r="GE202" s="315" t="str">
        <f>IF(INDEX(tab_MinKomp[Inspektor ochrony PPOŻ / Brandschutzinspektor],MATCH($B201,tab_MinKomp[[Stanowisko / Position ]:[Stanowisko / Position ]],0))="n/a","n/a",INDEX(tab_MinKomp[Inspektor ochrony PPOŻ / Brandschutzinspektor],MATCH($B201,tab_MinKomp[[Stanowisko / Position ]:[Stanowisko / Position ]],0)))</f>
        <v>n/a</v>
      </c>
      <c r="GF202" s="315" t="str">
        <f>IF(INDEX(tab_MinKomp[WÓZKI JEZDNIOWE / Gebelstapler],MATCH($B201,tab_MinKomp[[Stanowisko / Position ]:[Stanowisko / Position ]],0))="n/a","n/a",INDEX(tab_MinKomp[WÓZKI JEZDNIOWE / Gebelstapler],MATCH($B201,tab_MinKomp[[Stanowisko / Position ]:[Stanowisko / Position ]],0)))</f>
        <v>n/a</v>
      </c>
      <c r="GG202" s="315" t="str">
        <f>IF(INDEX(tab_MinKomp[SEP],MATCH($B201,tab_MinKomp[[Stanowisko / Position ]:[Stanowisko / Position ]],0))="n/a","n/a",INDEX(tab_MinKomp[SEP],MATCH($B201,tab_MinKomp[[Stanowisko / Position ]:[Stanowisko / Position ]],0)))</f>
        <v>n/a</v>
      </c>
      <c r="GH202" s="315" t="str">
        <f>IF(INDEX(tab_MinKomp[SEP  DOZÓR / SEP Aufsicht],MATCH($B201,tab_MinKomp[[Stanowisko / Position ]:[Stanowisko / Position ]],0))="n/a","n/a",INDEX(tab_MinKomp[SEP  DOZÓR / SEP Aufsicht],MATCH($B201,tab_MinKomp[[Stanowisko / Position ]:[Stanowisko / Position ]],0)))</f>
        <v>n/a</v>
      </c>
      <c r="GI202" s="315" t="str">
        <f>IF(INDEX(tab_MinKomp[PODNOŚNIKI / Hebevorrichtung],MATCH($B201,tab_MinKomp[[Stanowisko / Position ]:[Stanowisko / Position ]],0))="n/a","n/a",INDEX(tab_MinKomp[PODNOŚNIKI / Hebevorrichtung],MATCH($B201,tab_MinKomp[[Stanowisko / Position ]:[Stanowisko / Position ]],0)))</f>
        <v>n/a</v>
      </c>
      <c r="GJ202" s="315" t="str">
        <f>IF(INDEX(tab_MinKomp[SUWNICE / Laufkran],MATCH($B201,tab_MinKomp[[Stanowisko / Position ]:[Stanowisko / Position ]],0))="n/a","n/a",INDEX(tab_MinKomp[SUWNICE / Laufkran],MATCH($B201,tab_MinKomp[[Stanowisko / Position ]:[Stanowisko / Position ]],0)))</f>
        <v>n/a</v>
      </c>
      <c r="GK202" s="319" t="str">
        <f>IF(INDEX(tab_MinKomp[WYSOKOŚCIOWE / Höhenberechtigungen],MATCH($B201,tab_MinKomp[[Stanowisko / Position ]:[Stanowisko / Position ]],0))="n/a","n/a",INDEX(tab_MinKomp[WYSOKOŚCIOWE / Höhenberechtigungen],MATCH($B201,tab_MinKomp[[Stanowisko / Position ]:[Stanowisko / Position ]],0)))</f>
        <v>n/a</v>
      </c>
      <c r="GL202" s="320">
        <f>SUM(G202:FP202)/(GL201-(SUM(G202:FP202)))</f>
        <v>-5.2173913043478258E-2</v>
      </c>
    </row>
    <row r="203" spans="1:195" ht="34.5" customHeight="1" x14ac:dyDescent="0.25">
      <c r="A203" s="135" t="s">
        <v>267</v>
      </c>
      <c r="B203" s="135" t="s">
        <v>653</v>
      </c>
      <c r="C203" s="135" t="s">
        <v>750</v>
      </c>
      <c r="D203" s="135">
        <v>1023</v>
      </c>
      <c r="E203" s="572" t="s">
        <v>268</v>
      </c>
      <c r="F203" s="307" t="s">
        <v>165</v>
      </c>
      <c r="G203" s="308">
        <v>2</v>
      </c>
      <c r="H203" s="308">
        <v>2</v>
      </c>
      <c r="I203" s="308">
        <v>2</v>
      </c>
      <c r="J203" s="308">
        <v>1</v>
      </c>
      <c r="K203" s="308">
        <v>2</v>
      </c>
      <c r="L203" s="308">
        <v>1</v>
      </c>
      <c r="M203" s="308" t="s">
        <v>176</v>
      </c>
      <c r="N203" s="308" t="s">
        <v>176</v>
      </c>
      <c r="O203" s="308">
        <v>1</v>
      </c>
      <c r="P203" s="308">
        <v>1</v>
      </c>
      <c r="Q203" s="308" t="s">
        <v>176</v>
      </c>
      <c r="R203" s="308" t="s">
        <v>176</v>
      </c>
      <c r="S203" s="308" t="s">
        <v>176</v>
      </c>
      <c r="T203" s="308" t="s">
        <v>176</v>
      </c>
      <c r="U203" s="308" t="s">
        <v>176</v>
      </c>
      <c r="V203" s="308" t="s">
        <v>176</v>
      </c>
      <c r="W203" s="308" t="s">
        <v>176</v>
      </c>
      <c r="X203" s="308" t="s">
        <v>176</v>
      </c>
      <c r="Y203" s="308" t="s">
        <v>176</v>
      </c>
      <c r="Z203" s="308" t="s">
        <v>176</v>
      </c>
      <c r="AA203" s="308" t="s">
        <v>176</v>
      </c>
      <c r="AB203" s="308">
        <v>2</v>
      </c>
      <c r="AC203" s="308">
        <v>2</v>
      </c>
      <c r="AD203" s="308">
        <v>2</v>
      </c>
      <c r="AE203" s="308">
        <v>1</v>
      </c>
      <c r="AF203" s="308">
        <v>1</v>
      </c>
      <c r="AG203" s="308">
        <v>1</v>
      </c>
      <c r="AH203" s="308">
        <v>2</v>
      </c>
      <c r="AI203" s="308" t="s">
        <v>176</v>
      </c>
      <c r="AJ203" s="308" t="s">
        <v>176</v>
      </c>
      <c r="AK203" s="308" t="s">
        <v>176</v>
      </c>
      <c r="AL203" s="308">
        <v>2</v>
      </c>
      <c r="AM203" s="308">
        <v>1</v>
      </c>
      <c r="AN203" s="308">
        <v>1</v>
      </c>
      <c r="AO203" s="308">
        <v>3</v>
      </c>
      <c r="AP203" s="308">
        <v>3</v>
      </c>
      <c r="AQ203" s="308">
        <v>3</v>
      </c>
      <c r="AR203" s="308">
        <v>3</v>
      </c>
      <c r="AS203" s="308">
        <v>3</v>
      </c>
      <c r="AT203" s="308">
        <v>3</v>
      </c>
      <c r="AU203" s="308">
        <v>3</v>
      </c>
      <c r="AV203" s="308">
        <v>2</v>
      </c>
      <c r="AW203" s="308">
        <v>1</v>
      </c>
      <c r="AX203" s="308">
        <v>1</v>
      </c>
      <c r="AY203" s="308" t="s">
        <v>176</v>
      </c>
      <c r="AZ203" s="308">
        <v>2</v>
      </c>
      <c r="BA203" s="308" t="s">
        <v>176</v>
      </c>
      <c r="BB203" s="308" t="s">
        <v>176</v>
      </c>
      <c r="BC203" s="308" t="s">
        <v>176</v>
      </c>
      <c r="BD203" s="308" t="s">
        <v>176</v>
      </c>
      <c r="BE203" s="308" t="s">
        <v>176</v>
      </c>
      <c r="BF203" s="308" t="s">
        <v>176</v>
      </c>
      <c r="BG203" s="308" t="s">
        <v>176</v>
      </c>
      <c r="BH203" s="308" t="s">
        <v>176</v>
      </c>
      <c r="BI203" s="308" t="s">
        <v>176</v>
      </c>
      <c r="BJ203" s="308" t="s">
        <v>176</v>
      </c>
      <c r="BK203" s="308" t="s">
        <v>176</v>
      </c>
      <c r="BL203" s="308" t="s">
        <v>176</v>
      </c>
      <c r="BM203" s="308">
        <v>1</v>
      </c>
      <c r="BN203" s="308" t="s">
        <v>176</v>
      </c>
      <c r="BO203" s="308" t="s">
        <v>176</v>
      </c>
      <c r="BP203" s="308" t="s">
        <v>176</v>
      </c>
      <c r="BQ203" s="308" t="s">
        <v>176</v>
      </c>
      <c r="BR203" s="308" t="s">
        <v>176</v>
      </c>
      <c r="BS203" s="308" t="s">
        <v>176</v>
      </c>
      <c r="BT203" s="308" t="s">
        <v>176</v>
      </c>
      <c r="BU203" s="308" t="s">
        <v>176</v>
      </c>
      <c r="BV203" s="308" t="s">
        <v>176</v>
      </c>
      <c r="BW203" s="308" t="s">
        <v>176</v>
      </c>
      <c r="BX203" s="308" t="s">
        <v>176</v>
      </c>
      <c r="BY203" s="308" t="s">
        <v>176</v>
      </c>
      <c r="BZ203" s="308" t="s">
        <v>176</v>
      </c>
      <c r="CA203" s="308" t="s">
        <v>176</v>
      </c>
      <c r="CB203" s="308" t="s">
        <v>176</v>
      </c>
      <c r="CC203" s="308" t="s">
        <v>176</v>
      </c>
      <c r="CD203" s="308" t="s">
        <v>176</v>
      </c>
      <c r="CE203" s="308" t="s">
        <v>176</v>
      </c>
      <c r="CF203" s="308" t="s">
        <v>176</v>
      </c>
      <c r="CG203" s="308" t="s">
        <v>176</v>
      </c>
      <c r="CH203" s="308" t="s">
        <v>176</v>
      </c>
      <c r="CI203" s="308">
        <v>2</v>
      </c>
      <c r="CJ203" s="308">
        <v>2</v>
      </c>
      <c r="CK203" s="308" t="s">
        <v>176</v>
      </c>
      <c r="CL203" s="308" t="s">
        <v>176</v>
      </c>
      <c r="CM203" s="308">
        <v>3</v>
      </c>
      <c r="CN203" s="308">
        <v>3</v>
      </c>
      <c r="CO203" s="308">
        <v>3</v>
      </c>
      <c r="CP203" s="308">
        <v>3</v>
      </c>
      <c r="CQ203" s="308">
        <v>2</v>
      </c>
      <c r="CR203" s="308">
        <v>2</v>
      </c>
      <c r="CS203" s="308" t="s">
        <v>176</v>
      </c>
      <c r="CT203" s="308">
        <v>2</v>
      </c>
      <c r="CU203" s="308">
        <v>2</v>
      </c>
      <c r="CV203" s="308" t="s">
        <v>176</v>
      </c>
      <c r="CW203" s="308">
        <v>2</v>
      </c>
      <c r="CX203" s="308" t="s">
        <v>176</v>
      </c>
      <c r="CY203" s="308" t="s">
        <v>176</v>
      </c>
      <c r="CZ203" s="308" t="s">
        <v>176</v>
      </c>
      <c r="DA203" s="308" t="s">
        <v>176</v>
      </c>
      <c r="DB203" s="308" t="s">
        <v>176</v>
      </c>
      <c r="DC203" s="308" t="s">
        <v>176</v>
      </c>
      <c r="DD203" s="308" t="s">
        <v>176</v>
      </c>
      <c r="DE203" s="308" t="s">
        <v>176</v>
      </c>
      <c r="DF203" s="308" t="s">
        <v>176</v>
      </c>
      <c r="DG203" s="308" t="s">
        <v>176</v>
      </c>
      <c r="DH203" s="308" t="s">
        <v>176</v>
      </c>
      <c r="DI203" s="308" t="s">
        <v>176</v>
      </c>
      <c r="DJ203" s="308" t="s">
        <v>176</v>
      </c>
      <c r="DK203" s="308" t="s">
        <v>176</v>
      </c>
      <c r="DL203" s="308" t="s">
        <v>176</v>
      </c>
      <c r="DM203" s="308" t="s">
        <v>176</v>
      </c>
      <c r="DN203" s="308" t="s">
        <v>176</v>
      </c>
      <c r="DO203" s="308" t="s">
        <v>176</v>
      </c>
      <c r="DP203" s="308" t="s">
        <v>176</v>
      </c>
      <c r="DQ203" s="308" t="s">
        <v>176</v>
      </c>
      <c r="DR203" s="308" t="s">
        <v>176</v>
      </c>
      <c r="DS203" s="308" t="s">
        <v>176</v>
      </c>
      <c r="DT203" s="308" t="s">
        <v>176</v>
      </c>
      <c r="DU203" s="308" t="s">
        <v>176</v>
      </c>
      <c r="DV203" s="308" t="s">
        <v>176</v>
      </c>
      <c r="DW203" s="308" t="s">
        <v>176</v>
      </c>
      <c r="DX203" s="308" t="s">
        <v>176</v>
      </c>
      <c r="DY203" s="308" t="s">
        <v>176</v>
      </c>
      <c r="DZ203" s="308" t="s">
        <v>176</v>
      </c>
      <c r="EA203" s="308" t="s">
        <v>176</v>
      </c>
      <c r="EB203" s="308" t="s">
        <v>176</v>
      </c>
      <c r="EC203" s="308" t="s">
        <v>176</v>
      </c>
      <c r="ED203" s="308" t="s">
        <v>176</v>
      </c>
      <c r="EE203" s="308" t="s">
        <v>176</v>
      </c>
      <c r="EF203" s="308" t="s">
        <v>176</v>
      </c>
      <c r="EG203" s="308" t="s">
        <v>176</v>
      </c>
      <c r="EH203" s="308" t="s">
        <v>176</v>
      </c>
      <c r="EI203" s="308" t="s">
        <v>176</v>
      </c>
      <c r="EJ203" s="308" t="s">
        <v>176</v>
      </c>
      <c r="EK203" s="308" t="s">
        <v>176</v>
      </c>
      <c r="EL203" s="308" t="s">
        <v>176</v>
      </c>
      <c r="EM203" s="308" t="s">
        <v>176</v>
      </c>
      <c r="EN203" s="308" t="s">
        <v>176</v>
      </c>
      <c r="EO203" s="308" t="s">
        <v>176</v>
      </c>
      <c r="EP203" s="308" t="s">
        <v>176</v>
      </c>
      <c r="EQ203" s="308" t="s">
        <v>176</v>
      </c>
      <c r="ER203" s="308" t="s">
        <v>176</v>
      </c>
      <c r="ES203" s="308" t="s">
        <v>176</v>
      </c>
      <c r="ET203" s="308" t="s">
        <v>176</v>
      </c>
      <c r="EU203" s="308" t="s">
        <v>176</v>
      </c>
      <c r="EV203" s="308" t="s">
        <v>176</v>
      </c>
      <c r="EW203" s="308" t="s">
        <v>176</v>
      </c>
      <c r="EX203" s="308" t="s">
        <v>176</v>
      </c>
      <c r="EY203" s="308">
        <v>2</v>
      </c>
      <c r="EZ203" s="308">
        <v>2</v>
      </c>
      <c r="FA203" s="308">
        <v>2</v>
      </c>
      <c r="FB203" s="309">
        <v>2</v>
      </c>
      <c r="FC203" s="309" t="s">
        <v>176</v>
      </c>
      <c r="FD203" s="308">
        <v>2</v>
      </c>
      <c r="FE203" s="308">
        <v>2</v>
      </c>
      <c r="FF203" s="308">
        <v>1</v>
      </c>
      <c r="FG203" s="308">
        <v>2</v>
      </c>
      <c r="FH203" s="308">
        <v>2</v>
      </c>
      <c r="FI203" s="308">
        <v>2</v>
      </c>
      <c r="FJ203" s="308">
        <v>2</v>
      </c>
      <c r="FK203" s="308">
        <v>2</v>
      </c>
      <c r="FL203" s="308">
        <v>1</v>
      </c>
      <c r="FM203" s="308">
        <v>2</v>
      </c>
      <c r="FN203" s="308">
        <v>2</v>
      </c>
      <c r="FO203" s="308">
        <v>2</v>
      </c>
      <c r="FP203" s="308">
        <v>1</v>
      </c>
      <c r="FQ203" s="308" t="s">
        <v>176</v>
      </c>
      <c r="FR203" s="308" t="s">
        <v>176</v>
      </c>
      <c r="FS203" s="308" t="s">
        <v>160</v>
      </c>
      <c r="FT203" s="308" t="s">
        <v>176</v>
      </c>
      <c r="FU203" s="308" t="s">
        <v>176</v>
      </c>
      <c r="FV203" s="308" t="s">
        <v>176</v>
      </c>
      <c r="FW203" s="308" t="s">
        <v>176</v>
      </c>
      <c r="FX203" s="308" t="s">
        <v>176</v>
      </c>
      <c r="FY203" s="308" t="s">
        <v>176</v>
      </c>
      <c r="FZ203" s="308" t="s">
        <v>176</v>
      </c>
      <c r="GA203" s="308" t="s">
        <v>176</v>
      </c>
      <c r="GB203" s="308" t="s">
        <v>160</v>
      </c>
      <c r="GC203" s="308" t="s">
        <v>176</v>
      </c>
      <c r="GD203" s="308" t="s">
        <v>176</v>
      </c>
      <c r="GE203" s="308" t="s">
        <v>176</v>
      </c>
      <c r="GF203" s="308" t="s">
        <v>176</v>
      </c>
      <c r="GG203" s="308" t="s">
        <v>176</v>
      </c>
      <c r="GH203" s="308" t="s">
        <v>176</v>
      </c>
      <c r="GI203" s="308" t="s">
        <v>176</v>
      </c>
      <c r="GJ203" s="308" t="s">
        <v>176</v>
      </c>
      <c r="GK203" s="308" t="s">
        <v>176</v>
      </c>
      <c r="GL203" s="311">
        <f>SUM(G203:FP203)</f>
        <v>112</v>
      </c>
    </row>
    <row r="204" spans="1:195" ht="31.5" customHeight="1" thickBot="1" x14ac:dyDescent="0.3">
      <c r="A204" s="138" t="str">
        <f>A203</f>
        <v>Jakość-Quality Kontrola</v>
      </c>
      <c r="B204" s="138" t="str">
        <f>B203</f>
        <v>Supplier Quality Assurance</v>
      </c>
      <c r="C204" s="135" t="s">
        <v>750</v>
      </c>
      <c r="D204" s="138">
        <f>D203</f>
        <v>1023</v>
      </c>
      <c r="E204" s="573" t="str">
        <f>E203</f>
        <v>Kaczorowska-Adamiak Martyna</v>
      </c>
      <c r="F204" s="312" t="s">
        <v>166</v>
      </c>
      <c r="G204" s="314">
        <f>IF(INDEX(tab_MinKomp[Przepisy PPOŻ / Brandschutzbestimmungen],MATCH($B203,tab_MinKomp[[Stanowisko / Position ]:[Stanowisko / Position ]],0))="n/a","n/a",G203-INDEX(tab_MinKomp[Przepisy PPOŻ / Brandschutzbestimmungen],MATCH($B203,tab_MinKomp[[Stanowisko / Position ]:[Stanowisko / Position ]],0)))</f>
        <v>0</v>
      </c>
      <c r="H204" s="314">
        <f>IF(INDEX(tab_MinKomp[Przepisy PPOŻ / Brandschutzbestimmungen],MATCH($B203,tab_MinKomp[[Stanowisko / Position ]:[Stanowisko / Position ]],0))="n/a","n/a",H203-INDEX(tab_MinKomp[Przepisy PPOŻ / Brandschutzbestimmungen],MATCH($B203,tab_MinKomp[[Stanowisko / Position ]:[Stanowisko / Position ]],0)))</f>
        <v>0</v>
      </c>
      <c r="I204" s="314">
        <f>IF(INDEX(tab_MinKomp[Ryzyko zawodowe na stanowiskach pracyv/ Berufliche Risiken an Arbeitsstellen],MATCH($B203,tab_MinKomp[[Stanowisko / Position ]:[Stanowisko / Position ]],0))="n/a","n/a",I203-INDEX(tab_MinKomp[Ryzyko zawodowe na stanowiskach pracyv/ Berufliche Risiken an Arbeitsstellen],MATCH($B203,tab_MinKomp[[Stanowisko / Position ]:[Stanowisko / Position ]],0)))</f>
        <v>0</v>
      </c>
      <c r="J204" s="314">
        <f>IF(INDEX(tab_MinKomp[Gospodarka substancjami niebezpiecznymi / Gefahrstoffmanagement],MATCH($B203,tab_MinKomp[[Stanowisko / Position ]:[Stanowisko / Position ]],0))="n/a","n/a",J203-INDEX(tab_MinKomp[Gospodarka substancjami niebezpiecznymi / Gefahrstoffmanagement],MATCH($B203,tab_MinKomp[[Stanowisko / Position ]:[Stanowisko / Position ]],0)))</f>
        <v>0</v>
      </c>
      <c r="K204" s="314">
        <f>IF(INDEX(tab_MinKomp[Gospodarka odpadami / Abfallwirtschaft],MATCH($B203,tab_MinKomp[[Stanowisko / Position ]:[Stanowisko / Position ]],0))="n/a","n/a",K203-INDEX(tab_MinKomp[Gospodarka odpadami / Abfallwirtschaft],MATCH($B203,tab_MinKomp[[Stanowisko / Position ]:[Stanowisko / Position ]],0)))</f>
        <v>0</v>
      </c>
      <c r="L204" s="315">
        <f>IF(INDEX(tab_MinKomp[Przepisy kodeksu pracy / Bestimmungen des Arbeitsgesetzes],MATCH($B203,tab_MinKomp[[Stanowisko / Position ]:[Stanowisko / Position ]],0))="n/a","n/a",L203-INDEX(tab_MinKomp[Przepisy kodeksu pracy / Bestimmungen des Arbeitsgesetzes],MATCH($B203,tab_MinKomp[[Stanowisko / Position ]:[Stanowisko / Position ]],0)))</f>
        <v>0</v>
      </c>
      <c r="M204" s="315" t="str">
        <f>IF(INDEX(tab_MinKomp[Przepisy o ub.społ. ZUS  / Sozialversicherungsvorschriften],MATCH($B203,tab_MinKomp[[Stanowisko / Position ]:[Stanowisko / Position ]],0))="n/a","n/a",M203-INDEX(tab_MinKomp[Przepisy o ub.społ. ZUS  / Sozialversicherungsvorschriften],MATCH($B203,tab_MinKomp[[Stanowisko / Position ]:[Stanowisko / Position ]],0)))</f>
        <v>n/a</v>
      </c>
      <c r="N204" s="315" t="str">
        <f>IF(INDEX(tab_MinKomp[PRZEPISY O PDOF /persönlich Einkommensteuergesetz ],MATCH($B203,tab_MinKomp[[Stanowisko / Position ]:[Stanowisko / Position ]],0))="n/a","n/a",N203-INDEX(tab_MinKomp[PRZEPISY O PDOF /persönlich Einkommensteuergesetz ],MATCH($B203,tab_MinKomp[[Stanowisko / Position ]:[Stanowisko / Position ]],0)))</f>
        <v>n/a</v>
      </c>
      <c r="O204" s="315">
        <f>IF(INDEX(tab_MinKomp[Regulamin pracy / Arbeitsordnung],MATCH($B203,tab_MinKomp[[Stanowisko / Position ]:[Stanowisko / Position ]],0))="n/a","n/a",O203-INDEX(tab_MinKomp[Regulamin pracy / Arbeitsordnung],MATCH($B203,tab_MinKomp[[Stanowisko / Position ]:[Stanowisko / Position ]],0)))</f>
        <v>0</v>
      </c>
      <c r="P204" s="315">
        <f>IF(INDEX(tab_MinKomp[Regulamin wynagradzania / Vergütungsordnung],MATCH($B203,tab_MinKomp[[Stanowisko / Position ]:[Stanowisko / Position ]],0))="n/a","n/a",P203-INDEX(tab_MinKomp[Regulamin wynagradzania / Vergütungsordnung],MATCH($B203,tab_MinKomp[[Stanowisko / Position ]:[Stanowisko / Position ]],0)))</f>
        <v>0</v>
      </c>
      <c r="Q204" s="315" t="str">
        <f>IF(INDEX(tab_MinKomp[System R2PŁATNIK PRO: Płace / Lohnabrechnung],MATCH($B203,tab_MinKomp[[Stanowisko / Position ]:[Stanowisko / Position ]],0))="n/a","n/a",Q203-INDEX(tab_MinKomp[System R2PŁATNIK PRO: Płace / Lohnabrechnung],MATCH($B203,tab_MinKomp[[Stanowisko / Position ]:[Stanowisko / Position ]],0)))</f>
        <v>n/a</v>
      </c>
      <c r="R204" s="315" t="str">
        <f>IF(INDEX(tab_MinKomp[SystemR2PŁATNIK PRO: KADRY / Personaldaten],MATCH($B203,tab_MinKomp[[Stanowisko / Position ]:[Stanowisko / Position ]],0))="n/a","n/a",R203-INDEX(tab_MinKomp[SystemR2PŁATNIK PRO: KADRY / Personaldaten],MATCH($B203,tab_MinKomp[[Stanowisko / Position ]:[Stanowisko / Position ]],0)))</f>
        <v>n/a</v>
      </c>
      <c r="S204" s="315" t="str">
        <f>IF(INDEX(tab_MinKomp[SYSTEM R2PŁATNIK PRO: zarządzanie pracownikami / Arbeitsverwaltung],MATCH($B203,tab_MinKomp[[Stanowisko / Position ]:[Stanowisko / Position ]],0))="n/a","n/a",S203-INDEX(tab_MinKomp[SYSTEM R2PŁATNIK PRO: zarządzanie pracownikami / Arbeitsverwaltung],MATCH($B203,tab_MinKomp[[Stanowisko / Position ]:[Stanowisko / Position ]],0)))</f>
        <v>n/a</v>
      </c>
      <c r="T204" s="315" t="str">
        <f>IF(INDEX(tab_MinKomp[Doradztwo, wsparcie personalne / Personalberatung und Unterstützung],MATCH($B203,tab_MinKomp[[Stanowisko / Position ]:[Stanowisko / Position ]],0))="n/a","n/a",T203-INDEX(tab_MinKomp[Doradztwo, wsparcie personalne / Personalberatung und Unterstützung],MATCH($B203,tab_MinKomp[[Stanowisko / Position ]:[Stanowisko / Position ]],0)))</f>
        <v>n/a</v>
      </c>
      <c r="U204" s="315" t="str">
        <f>IF(INDEX(tab_MinKomp[Przepisy o podatku VAT / MwSt.- Gesetz],MATCH($B203,tab_MinKomp[[Stanowisko / Position ]:[Stanowisko / Position ]],0))="n/a","n/a",U203-INDEX(tab_MinKomp[Przepisy o podatku VAT / MwSt.- Gesetz],MATCH($B203,tab_MinKomp[[Stanowisko / Position ]:[Stanowisko / Position ]],0)))</f>
        <v>n/a</v>
      </c>
      <c r="V204" s="315" t="str">
        <f>IF(INDEX(tab_MinKomp[PrzepisyPDOP / geschäftlich Einkommensteuergesetz],MATCH($B203,tab_MinKomp[[Stanowisko / Position ]:[Stanowisko / Position ]],0))="n/a","n/a",V203-INDEX(tab_MinKomp[PrzepisyPDOP / geschäftlich Einkommensteuergesetz],MATCH($B203,tab_MinKomp[[Stanowisko / Position ]:[Stanowisko / Position ]],0)))</f>
        <v>n/a</v>
      </c>
      <c r="W204" s="315" t="str">
        <f>IF(INDEX(tab_MinKomp[System BAAN / FINANSE (FIBU)],MATCH($B203,tab_MinKomp[[Stanowisko / Position ]:[Stanowisko / Position ]],0))="n/a","n/a",W203-INDEX(tab_MinKomp[System BAAN / FINANSE (FIBU)],MATCH($B203,tab_MinKomp[[Stanowisko / Position ]:[Stanowisko / Position ]],0)))</f>
        <v>n/a</v>
      </c>
      <c r="X204" s="315" t="str">
        <f>IF(INDEX(tab_MinKomp[Systemy pomocnicze / Hilfssysteme(STOCKPROGRAM, KALK2000 etc.)],MATCH($B203,tab_MinKomp[[Stanowisko / Position ]:[Stanowisko / Position ]],0))="n/a","n/a",X203-INDEX(tab_MinKomp[Systemy pomocnicze / Hilfssysteme(STOCKPROGRAM, KALK2000 etc.)],MATCH($B203,tab_MinKomp[[Stanowisko / Position ]:[Stanowisko / Position ]],0)))</f>
        <v>n/a</v>
      </c>
      <c r="Y204" s="315" t="str">
        <f>IF(INDEX(tab_MinKomp[Polityka rachunkowości / Buchführungspolitik],MATCH($B203,tab_MinKomp[[Stanowisko / Position ]:[Stanowisko / Position ]],0))="n/a","n/a",Y203-INDEX(tab_MinKomp[Polityka rachunkowości / Buchführungspolitik],MATCH($B203,tab_MinKomp[[Stanowisko / Position ]:[Stanowisko / Position ]],0)))</f>
        <v>n/a</v>
      </c>
      <c r="Z204" s="315" t="str">
        <f>IF(INDEX(tab_MinKomp[Ustawa o rachunkowości / Rechnungslegungsgesetz],MATCH($B203,tab_MinKomp[[Stanowisko / Position ]:[Stanowisko / Position ]],0))="n/a","n/a",Z203-INDEX(tab_MinKomp[Ustawa o rachunkowości / Rechnungslegungsgesetz],MATCH($B203,tab_MinKomp[[Stanowisko / Position ]:[Stanowisko / Position ]],0)))</f>
        <v>n/a</v>
      </c>
      <c r="AA204" s="315" t="str">
        <f>IF(INDEX(tab_MinKomp[WORKFLOW - TS-100],MATCH($B203,tab_MinKomp[[Stanowisko / Position ]:[Stanowisko / Position ]],0))="n/a","n/a",AA203-INDEX(tab_MinKomp[WORKFLOW - TS-100],MATCH($B203,tab_MinKomp[[Stanowisko / Position ]:[Stanowisko / Position ]],0)))</f>
        <v>n/a</v>
      </c>
      <c r="AB204" s="315">
        <f>IF(INDEX(tab_MinKomp[WORKFLOW - SFMS],MATCH($B203,tab_MinKomp[[Stanowisko / Position ]:[Stanowisko / Position ]],0))="n/a","n/a",AB203-INDEX(tab_MinKomp[WORKFLOW - SFMS],MATCH($B203,tab_MinKomp[[Stanowisko / Position ]:[Stanowisko / Position ]],0)))</f>
        <v>0</v>
      </c>
      <c r="AC204" s="315">
        <f>IF(INDEX(tab_MinKomp[System ISO 9001:2015],MATCH($B203,tab_MinKomp[[Stanowisko / Position ]:[Stanowisko / Position ]],0))="n/a","n/a",AC203-INDEX(tab_MinKomp[System ISO 9001:2015],MATCH($B203,tab_MinKomp[[Stanowisko / Position ]:[Stanowisko / Position ]],0)))</f>
        <v>0</v>
      </c>
      <c r="AD204" s="315">
        <f>IF(INDEX(tab_MinKomp[System IATF 16949:2016],MATCH($B203,tab_MinKomp[[Stanowisko / Position ]:[Stanowisko / Position ]],0))="n/a","n/a",AD203-INDEX(tab_MinKomp[System IATF 16949:2016],MATCH($B203,tab_MinKomp[[Stanowisko / Position ]:[Stanowisko / Position ]],0)))</f>
        <v>0</v>
      </c>
      <c r="AE204" s="315">
        <f>IF(INDEX(tab_MinKomp[System ISO 14001:2015],MATCH($B203,tab_MinKomp[[Stanowisko / Position ]:[Stanowisko / Position ]],0))="n/a","n/a",AE203-INDEX(tab_MinKomp[System ISO 14001:2015],MATCH($B203,tab_MinKomp[[Stanowisko / Position ]:[Stanowisko / Position ]],0)))</f>
        <v>0</v>
      </c>
      <c r="AF204" s="315">
        <f>IF(INDEX(tab_MinKomp[System PN-N 18001:2004 / ISO 45001:2018],MATCH($B203,tab_MinKomp[[Stanowisko / Position ]:[Stanowisko / Position ]],0))="n/a","n/a",AF203-INDEX(tab_MinKomp[System PN-N 18001:2004 / ISO 45001:2018],MATCH($B203,tab_MinKomp[[Stanowisko / Position ]:[Stanowisko / Position ]],0)))</f>
        <v>0</v>
      </c>
      <c r="AG204" s="315">
        <f>IF(INDEX(tab_MinKomp[Wymagania VDA 6.3 Process / Forderungen],MATCH($B203,tab_MinKomp[[Stanowisko / Position ]:[Stanowisko / Position ]],0))="n/a","n/a",AG203-INDEX(tab_MinKomp[Wymagania VDA 6.3 Process / Forderungen],MATCH($B203,tab_MinKomp[[Stanowisko / Position ]:[Stanowisko / Position ]],0)))</f>
        <v>-1</v>
      </c>
      <c r="AH204" s="315">
        <f>IF(INDEX(tab_MinKomp[Wymagania VDA 6.5 Product / Forderungen],MATCH($B203,tab_MinKomp[[Stanowisko / Position ]:[Stanowisko / Position ]],0))="n/a","n/a",AH203-INDEX(tab_MinKomp[Wymagania VDA 6.5 Product / Forderungen],MATCH($B203,tab_MinKomp[[Stanowisko / Position ]:[Stanowisko / Position ]],0)))</f>
        <v>0</v>
      </c>
      <c r="AI204" s="315" t="str">
        <f>IF(INDEX(tab_MinKomp[PSCR (VW Product Safety &amp; Conformity Representative)],MATCH($B203,tab_MinKomp[[Stanowisko / Position ]:[Stanowisko / Position ]],0))="n/a","n/a",AI203-INDEX(tab_MinKomp[PSCR (VW Product Safety &amp; Conformity Representative)],MATCH($B203,tab_MinKomp[[Stanowisko / Position ]:[Stanowisko / Position ]],0)))</f>
        <v>n/a</v>
      </c>
      <c r="AJ204" s="315" t="str">
        <f>IF(INDEX(tab_MinKomp[Auditor systemu ISO 17025:2018],MATCH($B203,tab_MinKomp[[Stanowisko / Position ]:[Stanowisko / Position ]],0))="n/a","n/a",AJ203-INDEX(tab_MinKomp[Auditor systemu ISO 17025:2018],MATCH($B203,tab_MinKomp[[Stanowisko / Position ]:[Stanowisko / Position ]],0)))</f>
        <v>n/a</v>
      </c>
      <c r="AK204" s="315" t="str">
        <f>IF(INDEX(tab_MinKomp[Pełnomocnik systemu / Systemvertreter],MATCH($B203,tab_MinKomp[[Stanowisko / Position ]:[Stanowisko / Position ]],0))="n/a","n/a",AK203-INDEX(tab_MinKomp[Pełnomocnik systemu / Systemvertreter],MATCH($B203,tab_MinKomp[[Stanowisko / Position ]:[Stanowisko / Position ]],0)))</f>
        <v>n/a</v>
      </c>
      <c r="AL204" s="315">
        <f>IF(INDEX(tab_MinKomp[Polityka Etyczna - Compliance],MATCH($B203,tab_MinKomp[[Stanowisko / Position ]:[Stanowisko / Position ]],0))="n/a","n/a",AL203-INDEX(tab_MinKomp[Polityka Etyczna - Compliance],MATCH($B203,tab_MinKomp[[Stanowisko / Position ]:[Stanowisko / Position ]],0)))</f>
        <v>0</v>
      </c>
      <c r="AM204" s="315">
        <f>IF(INDEX(tab_MinKomp[WDRAŻANIE NOWYCH PROJEKTÓW/ PROCEDURA CTM],MATCH($B203,tab_MinKomp[[Stanowisko / Position ]:[Stanowisko / Position ]],0))="n/a","n/a",AM203-INDEX(tab_MinKomp[WDRAŻANIE NOWYCH PROJEKTÓW/ PROCEDURA CTM],MATCH($B203,tab_MinKomp[[Stanowisko / Position ]:[Stanowisko / Position ]],0)))</f>
        <v>-1</v>
      </c>
      <c r="AN204" s="315">
        <f>IF(INDEX(tab_MinKomp[KAMIENIE MILOWE MSL/PIFF],MATCH($B203,tab_MinKomp[[Stanowisko / Position ]:[Stanowisko / Position ]],0))="n/a","n/a",AN203-INDEX(tab_MinKomp[KAMIENIE MILOWE MSL/PIFF],MATCH($B203,tab_MinKomp[[Stanowisko / Position ]:[Stanowisko / Position ]],0)))</f>
        <v>-1</v>
      </c>
      <c r="AO204" s="315">
        <f>IF(INDEX(tab_MinKomp[CP],MATCH($B203,tab_MinKomp[[Stanowisko / Position ]:[Stanowisko / Position ]],0))="n/a","n/a",AO203-INDEX(tab_MinKomp[CP],MATCH($B203,tab_MinKomp[[Stanowisko / Position ]:[Stanowisko / Position ]],0)))</f>
        <v>1</v>
      </c>
      <c r="AP204" s="315">
        <f>IF(INDEX(tab_MinKomp[FMEA],MATCH($B203,tab_MinKomp[[Stanowisko / Position ]:[Stanowisko / Position ]],0))="n/a","n/a",AP203-INDEX(tab_MinKomp[FMEA],MATCH($B203,tab_MinKomp[[Stanowisko / Position ]:[Stanowisko / Position ]],0)))</f>
        <v>1</v>
      </c>
      <c r="AQ204" s="315">
        <f>IF(INDEX(tab_MinKomp[FLOW CHART],MATCH($B203,tab_MinKomp[[Stanowisko / Position ]:[Stanowisko / Position ]],0))="n/a","n/a",AQ203-INDEX(tab_MinKomp[FLOW CHART],MATCH($B203,tab_MinKomp[[Stanowisko / Position ]:[Stanowisko / Position ]],0)))</f>
        <v>1</v>
      </c>
      <c r="AR204" s="315">
        <f>IF(INDEX(tab_MinKomp[APQP],MATCH($B203,tab_MinKomp[[Stanowisko / Position ]:[Stanowisko / Position ]],0))="n/a","n/a",AR203-INDEX(tab_MinKomp[APQP],MATCH($B203,tab_MinKomp[[Stanowisko / Position ]:[Stanowisko / Position ]],0)))</f>
        <v>1</v>
      </c>
      <c r="AS204" s="315">
        <f>IF(INDEX(tab_MinKomp[MSA],MATCH($B203,tab_MinKomp[[Stanowisko / Position ]:[Stanowisko / Position ]],0))="n/a","n/a",AS203-INDEX(tab_MinKomp[MSA],MATCH($B203,tab_MinKomp[[Stanowisko / Position ]:[Stanowisko / Position ]],0)))</f>
        <v>1</v>
      </c>
      <c r="AT204" s="315">
        <f>IF(INDEX(tab_MinKomp[SPC],MATCH($B203,tab_MinKomp[[Stanowisko / Position ]:[Stanowisko / Position ]],0))="n/a","n/a",AT203-INDEX(tab_MinKomp[SPC],MATCH($B203,tab_MinKomp[[Stanowisko / Position ]:[Stanowisko / Position ]],0)))</f>
        <v>1</v>
      </c>
      <c r="AU204" s="315">
        <f>IF(INDEX(tab_MinKomp[CSR (SPECYFICZNE WYMAGANIA KLIENTA)],MATCH($B203,tab_MinKomp[[Stanowisko / Position ]:[Stanowisko / Position ]],0))="n/a","n/a",AU203-INDEX(tab_MinKomp[CSR (SPECYFICZNE WYMAGANIA KLIENTA)],MATCH($B203,tab_MinKomp[[Stanowisko / Position ]:[Stanowisko / Position ]],0)))</f>
        <v>1</v>
      </c>
      <c r="AV204" s="315">
        <f>IF(INDEX(tab_MinKomp[5S],MATCH($B203,tab_MinKomp[[Stanowisko / Position ]:[Stanowisko / Position ]],0))="n/a","n/a",AV203-INDEX(tab_MinKomp[5S],MATCH($B203,tab_MinKomp[[Stanowisko / Position ]:[Stanowisko / Position ]],0)))</f>
        <v>0</v>
      </c>
      <c r="AW204" s="315">
        <f>IF(INDEX(tab_MinKomp[LEAN MANAGEMENT],MATCH($B203,tab_MinKomp[[Stanowisko / Position ]:[Stanowisko / Position ]],0))="n/a","n/a",AW203-INDEX(tab_MinKomp[LEAN MANAGEMENT],MATCH($B203,tab_MinKomp[[Stanowisko / Position ]:[Stanowisko / Position ]],0)))</f>
        <v>0</v>
      </c>
      <c r="AX204" s="315">
        <f>IF(INDEX(tab_MinKomp[5R],MATCH($B203,tab_MinKomp[[Stanowisko / Position ]:[Stanowisko / Position ]],0))="n/a","n/a",AX203-INDEX(tab_MinKomp[5R],MATCH($B203,tab_MinKomp[[Stanowisko / Position ]:[Stanowisko / Position ]],0)))</f>
        <v>-1</v>
      </c>
      <c r="AY204" s="315" t="str">
        <f>IF(INDEX(tab_MinKomp[Six Sigma],MATCH($B203,tab_MinKomp[[Stanowisko / Position ]:[Stanowisko / Position ]],0))="n/a","n/a",AY203-INDEX(tab_MinKomp[Six Sigma],MATCH($B203,tab_MinKomp[[Stanowisko / Position ]:[Stanowisko / Position ]],0)))</f>
        <v>n/a</v>
      </c>
      <c r="AZ204" s="315">
        <f>IF(INDEX(tab_MinKomp[System BAAN / Distribution &amp; Supply Chain],MATCH($B203,tab_MinKomp[[Stanowisko / Position ]:[Stanowisko / Position ]],0))="n/a","n/a",AZ203-INDEX(tab_MinKomp[System BAAN / Distribution &amp; Supply Chain],MATCH($B203,tab_MinKomp[[Stanowisko / Position ]:[Stanowisko / Position ]],0)))</f>
        <v>0</v>
      </c>
      <c r="BA204" s="315" t="str">
        <f>IF(INDEX(tab_MinKomp[Gospodarka magazynowa / Lagerverwaltung],MATCH($B203,tab_MinKomp[[Stanowisko / Position ]:[Stanowisko / Position ]],0))="n/a","n/a",BA203-INDEX(tab_MinKomp[Gospodarka magazynowa / Lagerverwaltung],MATCH($B203,tab_MinKomp[[Stanowisko / Position ]:[Stanowisko / Position ]],0)))</f>
        <v>n/a</v>
      </c>
      <c r="BB204" s="315" t="str">
        <f>IF(INDEX(tab_MinKomp[Inwentaryzacja - organizacja i przebieg / Inventurprozess],MATCH($B203,tab_MinKomp[[Stanowisko / Position ]:[Stanowisko / Position ]],0))="n/a","n/a",BB203-INDEX(tab_MinKomp[Inwentaryzacja - organizacja i przebieg / Inventurprozess],MATCH($B203,tab_MinKomp[[Stanowisko / Position ]:[Stanowisko / Position ]],0)))</f>
        <v>n/a</v>
      </c>
      <c r="BC204" s="315" t="str">
        <f>IF(INDEX(tab_MinKomp[Organizacja dostaw / Versorgungsorganisation],MATCH($B203,tab_MinKomp[[Stanowisko / Position ]:[Stanowisko / Position ]],0))="n/a","n/a",BC203-INDEX(tab_MinKomp[Organizacja dostaw / Versorgungsorganisation],MATCH($B203,tab_MinKomp[[Stanowisko / Position ]:[Stanowisko / Position ]],0)))</f>
        <v>n/a</v>
      </c>
      <c r="BD204" s="315" t="str">
        <f>IF(INDEX(tab_MinKomp[Organizacja wysyłek / Organisation von Lieferungen],MATCH($B203,tab_MinKomp[[Stanowisko / Position ]:[Stanowisko / Position ]],0))="n/a","n/a",BD203-INDEX(tab_MinKomp[Organizacja wysyłek / Organisation von Lieferungen],MATCH($B203,tab_MinKomp[[Stanowisko / Position ]:[Stanowisko / Position ]],0)))</f>
        <v>n/a</v>
      </c>
      <c r="BE204" s="315" t="str">
        <f>IF(INDEX(tab_MinKomp[Analiza magazynowa - Program Polen.mdb / Inventuranalyse],MATCH($B203,tab_MinKomp[[Stanowisko / Position ]:[Stanowisko / Position ]],0))="n/a","n/a",BE203-INDEX(tab_MinKomp[Analiza magazynowa - Program Polen.mdb / Inventuranalyse],MATCH($B203,tab_MinKomp[[Stanowisko / Position ]:[Stanowisko / Position ]],0)))</f>
        <v>n/a</v>
      </c>
      <c r="BF204" s="315" t="str">
        <f>IF(INDEX(tab_MinKomp[MMOG (Materials Management Operations Guidelines)],MATCH($B203,tab_MinKomp[[Stanowisko / Position ]:[Stanowisko / Position ]],0))="n/a","n/a",BF203-INDEX(tab_MinKomp[MMOG (Materials Management Operations Guidelines)],MATCH($B203,tab_MinKomp[[Stanowisko / Position ]:[Stanowisko / Position ]],0)))</f>
        <v>n/a</v>
      </c>
      <c r="BG204" s="315" t="str">
        <f>IF(INDEX(tab_MinKomp[DETC],MATCH($B203,tab_MinKomp[[Stanowisko / Position ]:[Stanowisko / Position ]],0))="n/a","n/a",BG203-INDEX(tab_MinKomp[DETC],MATCH($B203,tab_MinKomp[[Stanowisko / Position ]:[Stanowisko / Position ]],0)))</f>
        <v>n/a</v>
      </c>
      <c r="BH204" s="315" t="str">
        <f>IF(INDEX(tab_MinKomp[GPP],MATCH($B203,tab_MinKomp[[Stanowisko / Position ]:[Stanowisko / Position ]],0))="n/a","n/a",BH203-INDEX(tab_MinKomp[GPP],MATCH($B203,tab_MinKomp[[Stanowisko / Position ]:[Stanowisko / Position ]],0)))</f>
        <v>n/a</v>
      </c>
      <c r="BI204" s="315" t="str">
        <f>IF(INDEX(tab_MinKomp[AIAG (Automotive Industry Action Group)],MATCH($B203,tab_MinKomp[[Stanowisko / Position ]:[Stanowisko / Position ]],0))="n/a","n/a",BI203-INDEX(tab_MinKomp[AIAG (Automotive Industry Action Group)],MATCH($B203,tab_MinKomp[[Stanowisko / Position ]:[Stanowisko / Position ]],0)))</f>
        <v>n/a</v>
      </c>
      <c r="BJ204" s="315" t="str">
        <f>IF(INDEX(tab_MinKomp[Super-G disputes],MATCH($B203,tab_MinKomp[[Stanowisko / Position ]:[Stanowisko / Position ]],0))="n/a","n/a",BJ203-INDEX(tab_MinKomp[Super-G disputes],MATCH($B203,tab_MinKomp[[Stanowisko / Position ]:[Stanowisko / Position ]],0)))</f>
        <v>n/a</v>
      </c>
      <c r="BK204" s="315" t="str">
        <f>IF(INDEX(tab_MinKomp[CMMS3/eDDL (Direct Data Link)],MATCH($B203,tab_MinKomp[[Stanowisko / Position ]:[Stanowisko / Position ]],0))="n/a","n/a",BK203-INDEX(tab_MinKomp[CMMS3/eDDL (Direct Data Link)],MATCH($B203,tab_MinKomp[[Stanowisko / Position ]:[Stanowisko / Position ]],0)))</f>
        <v>n/a</v>
      </c>
      <c r="BL204" s="315" t="str">
        <f>IF(INDEX(tab_MinKomp[MP&amp;L (Material Planning and Logistics)],MATCH($B203,tab_MinKomp[[Stanowisko / Position ]:[Stanowisko / Position ]],0))="n/a","n/a",BL203-INDEX(tab_MinKomp[MP&amp;L (Material Planning and Logistics)],MATCH($B203,tab_MinKomp[[Stanowisko / Position ]:[Stanowisko / Position ]],0)))</f>
        <v>n/a</v>
      </c>
      <c r="BM204" s="315">
        <f>IF(INDEX(tab_MinKomp[Planowanie produkcji / Produktionsplanung],MATCH($B203,tab_MinKomp[[Stanowisko / Position ]:[Stanowisko / Position ]],0))="n/a","n/a",BM203-INDEX(tab_MinKomp[Planowanie produkcji / Produktionsplanung],MATCH($B203,tab_MinKomp[[Stanowisko / Position ]:[Stanowisko / Position ]],0)))</f>
        <v>0</v>
      </c>
      <c r="BN204" s="315" t="str">
        <f>IF(INDEX(tab_MinKomp[Obsługa maszyn Engel / Engel Maschinenbedienung],MATCH($B203,tab_MinKomp[[Stanowisko / Position ]:[Stanowisko / Position ]],0))="n/a","n/a",BN203-INDEX(tab_MinKomp[Obsługa maszyn Engel / Engel Maschinenbedienung],MATCH($B203,tab_MinKomp[[Stanowisko / Position ]:[Stanowisko / Position ]],0)))</f>
        <v>n/a</v>
      </c>
      <c r="BO204" s="315" t="str">
        <f>IF(INDEX(tab_MinKomp[Obsługa maszyn Novapax / Novapax Maschinenbedienung],MATCH($B203,tab_MinKomp[[Stanowisko / Position ]:[Stanowisko / Position ]],0))="n/a","n/a",BO203-INDEX(tab_MinKomp[Obsługa maszyn Novapax / Novapax Maschinenbedienung],MATCH($B203,tab_MinKomp[[Stanowisko / Position ]:[Stanowisko / Position ]],0)))</f>
        <v>n/a</v>
      </c>
      <c r="BP204" s="315" t="str">
        <f>IF(INDEX(tab_MinKomp[Obsługa maszyn KVT / KVT Maschinenbedienung],MATCH($B203,tab_MinKomp[[Stanowisko / Position ]:[Stanowisko / Position ]],0))="n/a","n/a",BP203-INDEX(tab_MinKomp[Obsługa maszyn KVT / KVT Maschinenbedienung],MATCH($B203,tab_MinKomp[[Stanowisko / Position ]:[Stanowisko / Position ]],0)))</f>
        <v>n/a</v>
      </c>
      <c r="BQ204" s="315" t="str">
        <f>IF(INDEX(tab_MinKomp[Obsługa maszyn ASL / ASL Maschinenbedienung],MATCH($B203,tab_MinKomp[[Stanowisko / Position ]:[Stanowisko / Position ]],0))="n/a","n/a",BQ203-INDEX(tab_MinKomp[Obsługa maszyn ASL / ASL Maschinenbedienung],MATCH($B203,tab_MinKomp[[Stanowisko / Position ]:[Stanowisko / Position ]],0)))</f>
        <v>n/a</v>
      </c>
      <c r="BR204" s="315" t="str">
        <f>IF(INDEX(tab_MinKomp[Obsługa maszyn Branson / Branson Maschinenbedienung],MATCH($B203,tab_MinKomp[[Stanowisko / Position ]:[Stanowisko / Position ]],0))="n/a","n/a",BR203-INDEX(tab_MinKomp[Obsługa maszyn Branson / Branson Maschinenbedienung],MATCH($B203,tab_MinKomp[[Stanowisko / Position ]:[Stanowisko / Position ]],0)))</f>
        <v>n/a</v>
      </c>
      <c r="BS204" s="315" t="str">
        <f>IF(INDEX(tab_MinKomp[Obsługa maszyn Kamtec / Kamtec Maschinenbedienung],MATCH($B203,tab_MinKomp[[Stanowisko / Position ]:[Stanowisko / Position ]],0))="n/a","n/a",BS203-INDEX(tab_MinKomp[Obsługa maszyn Kamtec / Kamtec Maschinenbedienung],MATCH($B203,tab_MinKomp[[Stanowisko / Position ]:[Stanowisko / Position ]],0)))</f>
        <v>n/a</v>
      </c>
      <c r="BT204" s="315" t="str">
        <f>IF(INDEX(tab_MinKomp[Obsługa maszyn Piovan / Piovan Maschinenbedienung],MATCH($B203,tab_MinKomp[[Stanowisko / Position ]:[Stanowisko / Position ]],0))="n/a","n/a",BT203-INDEX(tab_MinKomp[Obsługa maszyn Piovan / Piovan Maschinenbedienung],MATCH($B203,tab_MinKomp[[Stanowisko / Position ]:[Stanowisko / Position ]],0)))</f>
        <v>n/a</v>
      </c>
      <c r="BU204" s="315" t="str">
        <f>IF(INDEX(tab_MinKomp[Obsługa maszyn REP / REP Maschinenbedienung],MATCH($B203,tab_MinKomp[[Stanowisko / Position ]:[Stanowisko / Position ]],0))="n/a","n/a",BU203-INDEX(tab_MinKomp[Obsługa maszyn REP / REP Maschinenbedienung],MATCH($B203,tab_MinKomp[[Stanowisko / Position ]:[Stanowisko / Position ]],0)))</f>
        <v>n/a</v>
      </c>
      <c r="BV204" s="315" t="str">
        <f>IF(INDEX(tab_MinKomp[Eliminacja awarii / Beseitigung von Ausfällen],MATCH($B203,tab_MinKomp[[Stanowisko / Position ]:[Stanowisko / Position ]],0))="n/a","n/a",BV203-INDEX(tab_MinKomp[Eliminacja awarii / Beseitigung von Ausfällen],MATCH($B203,tab_MinKomp[[Stanowisko / Position ]:[Stanowisko / Position ]],0)))</f>
        <v>n/a</v>
      </c>
      <c r="BW204" s="315" t="str">
        <f>IF(INDEX(tab_MinKomp[Informatyka ogólna (techniczne i systemowe) / Allgemeine IT (Technik und System)],MATCH($B203,tab_MinKomp[[Stanowisko / Position ]:[Stanowisko / Position ]],0))="n/a","n/a",BW203-INDEX(tab_MinKomp[Informatyka ogólna (techniczne i systemowe) / Allgemeine IT (Technik und System)],MATCH($B203,tab_MinKomp[[Stanowisko / Position ]:[Stanowisko / Position ]],0)))</f>
        <v>n/a</v>
      </c>
      <c r="BX204" s="315" t="str">
        <f>IF(INDEX(tab_MinKomp[Sieci komputerowe / Computernetzwerke],MATCH($B203,tab_MinKomp[[Stanowisko / Position ]:[Stanowisko / Position ]],0))="n/a","n/a",BX203-INDEX(tab_MinKomp[Sieci komputerowe / Computernetzwerke],MATCH($B203,tab_MinKomp[[Stanowisko / Position ]:[Stanowisko / Position ]],0)))</f>
        <v>n/a</v>
      </c>
      <c r="BY204" s="315" t="str">
        <f>IF(INDEX(tab_MinKomp[Hardware (komputery PC, drukarki biurowe i etykietowe, telefonia stacjonarna i mobilna) (PC, Drucker, Telefpne, Handys)],MATCH($B203,tab_MinKomp[[Stanowisko / Position ]:[Stanowisko / Position ]],0))="n/a","n/a",BY203-INDEX(tab_MinKomp[Hardware (komputery PC, drukarki biurowe i etykietowe, telefonia stacjonarna i mobilna) (PC, Drucker, Telefpne, Handys)],MATCH($B203,tab_MinKomp[[Stanowisko / Position ]:[Stanowisko / Position ]],0)))</f>
        <v>n/a</v>
      </c>
      <c r="BZ204" s="315" t="str">
        <f>IF(INDEX(tab_MinKomp[Software &amp; Systems (MS Office, MS Remote Desktop)],MATCH($B203,tab_MinKomp[[Stanowisko / Position ]:[Stanowisko / Position ]],0))="n/a","n/a",BZ203-INDEX(tab_MinKomp[Software &amp; Systems (MS Office, MS Remote Desktop)],MATCH($B203,tab_MinKomp[[Stanowisko / Position ]:[Stanowisko / Position ]],0)))</f>
        <v>n/a</v>
      </c>
      <c r="CA204" s="315" t="str">
        <f>IF(INDEX(tab_MinKomp[Programowanie obiektowe (PHP) / Objektprogrammierung],MATCH($B203,tab_MinKomp[[Stanowisko / Position ]:[Stanowisko / Position ]],0))="n/a","n/a",CA203-INDEX(tab_MinKomp[Programowanie obiektowe (PHP) / Objektprogrammierung],MATCH($B203,tab_MinKomp[[Stanowisko / Position ]:[Stanowisko / Position ]],0)))</f>
        <v>n/a</v>
      </c>
      <c r="CB204" s="315" t="str">
        <f>IF(INDEX(tab_MinKomp[Scrum],MATCH($B203,tab_MinKomp[[Stanowisko / Position ]:[Stanowisko / Position ]],0))="n/a","n/a",CB203-INDEX(tab_MinKomp[Scrum],MATCH($B203,tab_MinKomp[[Stanowisko / Position ]:[Stanowisko / Position ]],0)))</f>
        <v>n/a</v>
      </c>
      <c r="CC204" s="315" t="str">
        <f>IF(INDEX(tab_MinKomp[SQL (MySQL)],MATCH($B203,tab_MinKomp[[Stanowisko / Position ]:[Stanowisko / Position ]],0))="n/a","n/a",CC203-INDEX(tab_MinKomp[SQL (MySQL)],MATCH($B203,tab_MinKomp[[Stanowisko / Position ]:[Stanowisko / Position ]],0)))</f>
        <v>n/a</v>
      </c>
      <c r="CD204" s="315" t="str">
        <f>IF(INDEX(tab_MinKomp[Javascript],MATCH($B203,tab_MinKomp[[Stanowisko / Position ]:[Stanowisko / Position ]],0))="n/a","n/a",CD203-INDEX(tab_MinKomp[Javascript],MATCH($B203,tab_MinKomp[[Stanowisko / Position ]:[Stanowisko / Position ]],0)))</f>
        <v>n/a</v>
      </c>
      <c r="CE204" s="315" t="str">
        <f>IF(INDEX(tab_MinKomp[Joomla],MATCH($B203,tab_MinKomp[[Stanowisko / Position ]:[Stanowisko / Position ]],0))="n/a","n/a",CE203-INDEX(tab_MinKomp[Joomla],MATCH($B203,tab_MinKomp[[Stanowisko / Position ]:[Stanowisko / Position ]],0)))</f>
        <v>n/a</v>
      </c>
      <c r="CF204" s="315" t="str">
        <f>IF(INDEX(tab_MinKomp[Bash],MATCH($B203,tab_MinKomp[[Stanowisko / Position ]:[Stanowisko / Position ]],0))="n/a","n/a",CF203-INDEX(tab_MinKomp[Bash],MATCH($B203,tab_MinKomp[[Stanowisko / Position ]:[Stanowisko / Position ]],0)))</f>
        <v>n/a</v>
      </c>
      <c r="CG204" s="315" t="str">
        <f>IF(INDEX(tab_MinKomp[Systemy MES (HYDRA / SFMS)],MATCH($B203,tab_MinKomp[[Stanowisko / Position ]:[Stanowisko / Position ]],0))="n/a","n/a",CG203-INDEX(tab_MinKomp[Systemy MES (HYDRA / SFMS)],MATCH($B203,tab_MinKomp[[Stanowisko / Position ]:[Stanowisko / Position ]],0)))</f>
        <v>n/a</v>
      </c>
      <c r="CH204" s="315" t="str">
        <f>IF(INDEX(tab_MinKomp[HTML / CSS],MATCH($B203,tab_MinKomp[[Stanowisko / Position ]:[Stanowisko / Position ]],0))="n/a","n/a",CH203-INDEX(tab_MinKomp[HTML / CSS],MATCH($B203,tab_MinKomp[[Stanowisko / Position ]:[Stanowisko / Position ]],0)))</f>
        <v>n/a</v>
      </c>
      <c r="CI204" s="315">
        <f>IF(INDEX(tab_MinKomp[SYSTEM PR],MATCH($B203,tab_MinKomp[[Stanowisko / Position ]:[Stanowisko / Position ]],0))="n/a","n/a",CI203-INDEX(tab_MinKomp[SYSTEM PR],MATCH($B203,tab_MinKomp[[Stanowisko / Position ]:[Stanowisko / Position ]],0)))</f>
        <v>0</v>
      </c>
      <c r="CJ204" s="315">
        <f>IF(INDEX(tab_MinKomp[System Einkauf XP / EBA],MATCH($B203,tab_MinKomp[[Stanowisko / Position ]:[Stanowisko / Position ]],0))="n/a","n/a",CJ203-INDEX(tab_MinKomp[System Einkauf XP / EBA],MATCH($B203,tab_MinKomp[[Stanowisko / Position ]:[Stanowisko / Position ]],0)))</f>
        <v>0</v>
      </c>
      <c r="CK204" s="315" t="str">
        <f>IF(INDEX(tab_MinKomp[Techniki negocjacyjne / Verhandlungstechniken],MATCH($B203,tab_MinKomp[[Stanowisko / Position ]:[Stanowisko / Position ]],0))="n/a","n/a",CK203-INDEX(tab_MinKomp[Techniki negocjacyjne / Verhandlungstechniken],MATCH($B203,tab_MinKomp[[Stanowisko / Position ]:[Stanowisko / Position ]],0)))</f>
        <v>n/a</v>
      </c>
      <c r="CL204" s="315" t="str">
        <f>IF(INDEX(tab_MinKomp[Znajomość rynku branżowego / Kenntnis des Industrie Marktes],MATCH($B203,tab_MinKomp[[Stanowisko / Position ]:[Stanowisko / Position ]],0))="n/a","n/a",CL203-INDEX(tab_MinKomp[Znajomość rynku branżowego / Kenntnis des Industrie Marktes],MATCH($B203,tab_MinKomp[[Stanowisko / Position ]:[Stanowisko / Position ]],0)))</f>
        <v>n/a</v>
      </c>
      <c r="CM204" s="315">
        <f>IF(INDEX(tab_MinKomp[RAPORTY 8D / 8D Berichten],MATCH($B203,tab_MinKomp[[Stanowisko / Position ]:[Stanowisko / Position ]],0))="n/a","n/a",CM203-INDEX(tab_MinKomp[RAPORTY 8D / 8D Berichten],MATCH($B203,tab_MinKomp[[Stanowisko / Position ]:[Stanowisko / Position ]],0)))</f>
        <v>0</v>
      </c>
      <c r="CN204" s="315">
        <f>IF(INDEX(tab_MinKomp[NARZĘDZIA JAKOŚCIOWE (5WHY, Ishikawa, etc) / QS-Werkzeuge],MATCH($B203,tab_MinKomp[[Stanowisko / Position ]:[Stanowisko / Position ]],0))="n/a","n/a",CN203-INDEX(tab_MinKomp[NARZĘDZIA JAKOŚCIOWE (5WHY, Ishikawa, etc) / QS-Werkzeuge],MATCH($B203,tab_MinKomp[[Stanowisko / Position ]:[Stanowisko / Position ]],0)))</f>
        <v>0</v>
      </c>
      <c r="CO204" s="315">
        <f>IF(INDEX(tab_MinKomp[PDCA],MATCH($B203,tab_MinKomp[[Stanowisko / Position ]:[Stanowisko / Position ]],0))="n/a","n/a",CO203-INDEX(tab_MinKomp[PDCA],MATCH($B203,tab_MinKomp[[Stanowisko / Position ]:[Stanowisko / Position ]],0)))</f>
        <v>0</v>
      </c>
      <c r="CP204" s="315">
        <f>IF(INDEX(tab_MinKomp[Pareto],MATCH($B203,tab_MinKomp[[Stanowisko / Position ]:[Stanowisko / Position ]],0))="n/a","n/a",CP203-INDEX(tab_MinKomp[Pareto],MATCH($B203,tab_MinKomp[[Stanowisko / Position ]:[Stanowisko / Position ]],0)))</f>
        <v>0</v>
      </c>
      <c r="CQ204" s="315">
        <f>IF(INDEX(tab_MinKomp[PPAP/PSW],MATCH($B203,tab_MinKomp[[Stanowisko / Position ]:[Stanowisko / Position ]],0))="n/a","n/a",CQ203-INDEX(tab_MinKomp[PPAP/PSW],MATCH($B203,tab_MinKomp[[Stanowisko / Position ]:[Stanowisko / Position ]],0)))</f>
        <v>-1</v>
      </c>
      <c r="CR204" s="315">
        <f>IF(INDEX(tab_MinKomp[SUPPLIER MANAGEMENT],MATCH($B203,tab_MinKomp[[Stanowisko / Position ]:[Stanowisko / Position ]],0))="n/a","n/a",CR203-INDEX(tab_MinKomp[SUPPLIER MANAGEMENT],MATCH($B203,tab_MinKomp[[Stanowisko / Position ]:[Stanowisko / Position ]],0)))</f>
        <v>-1</v>
      </c>
      <c r="CS204" s="315" t="str">
        <f>IF(INDEX(tab_MinKomp[OBSŁUGA PORTALI KLIENTA / Kundenportale],MATCH($B203,tab_MinKomp[[Stanowisko / Position ]:[Stanowisko / Position ]],0))="n/a","n/a",CS203-INDEX(tab_MinKomp[OBSŁUGA PORTALI KLIENTA / Kundenportale],MATCH($B203,tab_MinKomp[[Stanowisko / Position ]:[Stanowisko / Position ]],0)))</f>
        <v>n/a</v>
      </c>
      <c r="CT204" s="315">
        <f>IF(INDEX(tab_MinKomp[Obsługa systemu BABTECQ / BABTECQ System],MATCH($B203,tab_MinKomp[[Stanowisko / Position ]:[Stanowisko / Position ]],0))="n/a","n/a",CT203-INDEX(tab_MinKomp[Obsługa systemu BABTECQ / BABTECQ System],MATCH($B203,tab_MinKomp[[Stanowisko / Position ]:[Stanowisko / Position ]],0)))</f>
        <v>0</v>
      </c>
      <c r="CU204" s="315">
        <f>IF(INDEX(tab_MinKomp[Rysunek techniczny / technische Zeichnung],MATCH($B203,tab_MinKomp[[Stanowisko / Position ]:[Stanowisko / Position ]],0))="n/a","n/a",CU203-INDEX(tab_MinKomp[Rysunek techniczny / technische Zeichnung],MATCH($B203,tab_MinKomp[[Stanowisko / Position ]:[Stanowisko / Position ]],0)))</f>
        <v>0</v>
      </c>
      <c r="CV204" s="315" t="str">
        <f>IF(INDEX(tab_MinKomp[Kalibracja / Kalibrierung],MATCH($B203,tab_MinKomp[[Stanowisko / Position ]:[Stanowisko / Position ]],0))="n/a","n/a",CV203-INDEX(tab_MinKomp[Kalibracja / Kalibrierung],MATCH($B203,tab_MinKomp[[Stanowisko / Position ]:[Stanowisko / Position ]],0)))</f>
        <v>n/a</v>
      </c>
      <c r="CW204" s="315">
        <f>IF(INDEX(tab_MinKomp[Rekwalifikacja / Requalifizierung],MATCH($B203,tab_MinKomp[[Stanowisko / Position ]:[Stanowisko / Position ]],0))="n/a","n/a",CW203-INDEX(tab_MinKomp[Rekwalifikacja / Requalifizierung],MATCH($B203,tab_MinKomp[[Stanowisko / Position ]:[Stanowisko / Position ]],0)))</f>
        <v>0</v>
      </c>
      <c r="CX204" s="315" t="str">
        <f>IF(INDEX(tab_MinKomp[Obsługa mikroskopu optycznego / Bedienung eines optischen Mikroskops],MATCH($B203,tab_MinKomp[[Stanowisko / Position ]:[Stanowisko / Position ]],0))="n/a","n/a",CX203-INDEX(tab_MinKomp[Obsługa mikroskopu optycznego / Bedienung eines optischen Mikroskops],MATCH($B203,tab_MinKomp[[Stanowisko / Position ]:[Stanowisko / Position ]],0)))</f>
        <v>n/a</v>
      </c>
      <c r="CY204" s="315" t="str">
        <f>IF(INDEX(tab_MinKomp[Wykonywanie pomiarów optycznych - ocena wizualna / Optische Messungen durchführen – visuelle Beurteilung],MATCH($B203,tab_MinKomp[[Stanowisko / Position ]:[Stanowisko / Position ]],0))="n/a","n/a",CY203-INDEX(tab_MinKomp[Wykonywanie pomiarów optycznych - ocena wizualna / Optische Messungen durchführen – visuelle Beurteilung],MATCH($B203,tab_MinKomp[[Stanowisko / Position ]:[Stanowisko / Position ]],0)))</f>
        <v>n/a</v>
      </c>
      <c r="CZ204" s="315" t="str">
        <f>IF(INDEX(tab_MinKomp[Obsługa Rheometra / Rheometra-Unterstützung],MATCH($B203,tab_MinKomp[[Stanowisko / Position ]:[Stanowisko / Position ]],0))="n/a","n/a",CZ203-INDEX(tab_MinKomp[Obsługa Rheometra / Rheometra-Unterstützung],MATCH($B203,tab_MinKomp[[Stanowisko / Position ]:[Stanowisko / Position ]],0)))</f>
        <v>n/a</v>
      </c>
      <c r="DA204" s="315" t="str">
        <f>IF(INDEX(tab_MinKomp[Testy właściwości Rheometra mieszanki gumy],MATCH($B203,tab_MinKomp[[Stanowisko / Position ]:[Stanowisko / Position ]],0))="n/a","n/a",DA203-INDEX(tab_MinKomp[Testy właściwości Rheometra mieszanki gumy],MATCH($B203,tab_MinKomp[[Stanowisko / Position ]:[Stanowisko / Position ]],0)))</f>
        <v>n/a</v>
      </c>
      <c r="DB204" s="315" t="str">
        <f>IF(INDEX(tab_MinKomp[CMM - Contura Zeiss],MATCH($B203,tab_MinKomp[[Stanowisko / Position ]:[Stanowisko / Position ]],0))="n/a","n/a",DB203-INDEX(tab_MinKomp[CMM - Contura Zeiss],MATCH($B203,tab_MinKomp[[Stanowisko / Position ]:[Stanowisko / Position ]],0)))</f>
        <v>n/a</v>
      </c>
      <c r="DC204" s="315" t="str">
        <f>IF(INDEX(tab_MinKomp[Wykonywanie precyzyjnych pomiarów metrycznych, pomiary 3D],MATCH($B203,tab_MinKomp[[Stanowisko / Position ]:[Stanowisko / Position ]],0))="n/a","n/a",DC203-INDEX(tab_MinKomp[Wykonywanie precyzyjnych pomiarów metrycznych, pomiary 3D],MATCH($B203,tab_MinKomp[[Stanowisko / Position ]:[Stanowisko / Position ]],0)))</f>
        <v>n/a</v>
      </c>
      <c r="DD204" s="315" t="str">
        <f>IF(INDEX(tab_MinKomp[Pisanie programów / Programme schreiben],MATCH($B203,tab_MinKomp[[Stanowisko / Position ]:[Stanowisko / Position ]],0))="n/a","n/a",DD203-INDEX(tab_MinKomp[Pisanie programów / Programme schreiben],MATCH($B203,tab_MinKomp[[Stanowisko / Position ]:[Stanowisko / Position ]],0)))</f>
        <v>n/a</v>
      </c>
      <c r="DE204" s="315" t="str">
        <f>IF(INDEX(tab_MinKomp[Obsługa wyposażenia do testów czystości (myjka + analizator) / Betrieb von Sauberkeitsprüfgeräten (Waschmaschine + Analysegerät)],MATCH($B203,tab_MinKomp[[Stanowisko / Position ]:[Stanowisko / Position ]],0))="n/a","n/a",DE203-INDEX(tab_MinKomp[Obsługa wyposażenia do testów czystości (myjka + analizator) / Betrieb von Sauberkeitsprüfgeräten (Waschmaschine + Analysegerät)],MATCH($B203,tab_MinKomp[[Stanowisko / Position ]:[Stanowisko / Position ]],0)))</f>
        <v>n/a</v>
      </c>
      <c r="DF204" s="315" t="str">
        <f>IF(INDEX(tab_MinKomp[Testy czystości / Reinheitstests],MATCH($B203,tab_MinKomp[[Stanowisko / Position ]:[Stanowisko / Position ]],0))="n/a","n/a",DF203-INDEX(tab_MinKomp[Testy czystości / Reinheitstests],MATCH($B203,tab_MinKomp[[Stanowisko / Position ]:[Stanowisko / Position ]],0)))</f>
        <v>n/a</v>
      </c>
      <c r="DG204" s="315" t="str">
        <f>IF(INDEX(tab_MinKomp[Obsługa wysokościomierza / Unterstützung für Höhenmesser],MATCH($B203,tab_MinKomp[[Stanowisko / Position ]:[Stanowisko / Position ]],0))="n/a","n/a",DG203-INDEX(tab_MinKomp[Obsługa wysokościomierza / Unterstützung für Höhenmesser],MATCH($B203,tab_MinKomp[[Stanowisko / Position ]:[Stanowisko / Position ]],0)))</f>
        <v>n/a</v>
      </c>
      <c r="DH204" s="315" t="str">
        <f>IF(INDEX(tab_MinKomp[Pomiary wysokości materiału / Materialhöhenmessungen],MATCH($B203,tab_MinKomp[[Stanowisko / Position ]:[Stanowisko / Position ]],0))="n/a","n/a",DH203-INDEX(tab_MinKomp[Pomiary wysokości materiału / Materialhöhenmessungen],MATCH($B203,tab_MinKomp[[Stanowisko / Position ]:[Stanowisko / Position ]],0)))</f>
        <v>n/a</v>
      </c>
      <c r="DI204" s="315" t="str">
        <f>IF(INDEX(tab_MinKomp[Obsługa okrągłościomierza / Unterstützung für Rundheitsmessgeräte],MATCH($B203,tab_MinKomp[[Stanowisko / Position ]:[Stanowisko / Position ]],0))="n/a","n/a",DI203-INDEX(tab_MinKomp[Obsługa okrągłościomierza / Unterstützung für Rundheitsmessgeräte],MATCH($B203,tab_MinKomp[[Stanowisko / Position ]:[Stanowisko / Position ]],0)))</f>
        <v>n/a</v>
      </c>
      <c r="DJ204" s="315" t="str">
        <f>IF(INDEX(tab_MinKomp[Wykonywania pomiarów owalności, srednicy materiału / Messung der Ovalität und des Durchmessers des Materials],MATCH($B203,tab_MinKomp[[Stanowisko / Position ]:[Stanowisko / Position ]],0))="n/a","n/a",DJ203-INDEX(tab_MinKomp[Wykonywania pomiarów owalności, srednicy materiału / Messung der Ovalität und des Durchmessers des Materials],MATCH($B203,tab_MinKomp[[Stanowisko / Position ]:[Stanowisko / Position ]],0)))</f>
        <v>n/a</v>
      </c>
      <c r="DK204" s="315" t="str">
        <f>IF(INDEX(tab_MinKomp[Obsługa urządzenia do pomiarów chropowoatości powierzchni materiału],MATCH($B203,tab_MinKomp[[Stanowisko / Position ]:[Stanowisko / Position ]],0))="n/a","n/a",DK203-INDEX(tab_MinKomp[Obsługa urządzenia do pomiarów chropowoatości powierzchni materiału],MATCH($B203,tab_MinKomp[[Stanowisko / Position ]:[Stanowisko / Position ]],0)))</f>
        <v>n/a</v>
      </c>
      <c r="DL204" s="315" t="str">
        <f>IF(INDEX(tab_MinKomp[Wykonywanie pomiarów chropowatości powierzchni materiału / Durchführung von Messungen der Materialoberflächenrauheit],MATCH($B203,tab_MinKomp[[Stanowisko / Position ]:[Stanowisko / Position ]],0))="n/a","n/a",DL203-INDEX(tab_MinKomp[Wykonywanie pomiarów chropowatości powierzchni materiału / Durchführung von Messungen der Materialoberflächenrauheit],MATCH($B203,tab_MinKomp[[Stanowisko / Position ]:[Stanowisko / Position ]],0)))</f>
        <v>n/a</v>
      </c>
      <c r="DM204" s="315" t="str">
        <f>IF(INDEX(tab_MinKomp[Obsługa urządzenia do pomiaru siły radialnej części - postępowanie z trzpieniami. / Funktionsweise des Geräts zur Messung der Radialkraft von Teilen – Handhabungsstifte.],MATCH($B203,tab_MinKomp[[Stanowisko / Position ]:[Stanowisko / Position ]],0))="n/a","n/a",DM203-INDEX(tab_MinKomp[Obsługa urządzenia do pomiaru siły radialnej części - postępowanie z trzpieniami. / Funktionsweise des Geräts zur Messung der Radialkraft von Teilen – Handhabungsstifte.],MATCH($B203,tab_MinKomp[[Stanowisko / Position ]:[Stanowisko / Position ]],0)))</f>
        <v>n/a</v>
      </c>
      <c r="DN204" s="315" t="str">
        <f>IF(INDEX(tab_MinKomp[Wykonywanie pomiarów siły radialnej części / Führen Sie Radialkraftmessungen an Teilen durch],MATCH($B203,tab_MinKomp[[Stanowisko / Position ]:[Stanowisko / Position ]],0))="n/a","n/a",DN203-INDEX(tab_MinKomp[Wykonywanie pomiarów siły radialnej części / Führen Sie Radialkraftmessungen an Teilen durch],MATCH($B203,tab_MinKomp[[Stanowisko / Position ]:[Stanowisko / Position ]],0)))</f>
        <v>n/a</v>
      </c>
      <c r="DO204" s="315" t="str">
        <f>IF(INDEX(tab_MinKomp[Obsługa komory do testów wybuchwych / Betrieb einer Explosionsprüfkammer],MATCH($B203,tab_MinKomp[[Stanowisko / Position ]:[Stanowisko / Position ]],0))="n/a","n/a",DO203-INDEX(tab_MinKomp[Obsługa komory do testów wybuchwych / Betrieb einer Explosionsprüfkammer],MATCH($B203,tab_MinKomp[[Stanowisko / Position ]:[Stanowisko / Position ]],0)))</f>
        <v>n/a</v>
      </c>
      <c r="DP204" s="315" t="str">
        <f>IF(INDEX(tab_MinKomp[Wykonywanie testów wybuchowych części / Durchführung von Explosionstests an Teilen],MATCH($B203,tab_MinKomp[[Stanowisko / Position ]:[Stanowisko / Position ]],0))="n/a","n/a",DP203-INDEX(tab_MinKomp[Wykonywanie testów wybuchowych części / Durchführung von Explosionstests an Teilen],MATCH($B203,tab_MinKomp[[Stanowisko / Position ]:[Stanowisko / Position ]],0)))</f>
        <v>n/a</v>
      </c>
      <c r="DQ204" s="315" t="str">
        <f>IF(INDEX(tab_MinKomp[Obsługa urządzeń do mierzenia siły trzymania i/lub rozciągania / Betrieb von Geräten zur Messung der Halte- und/oder Dehnkraft],MATCH($B203,tab_MinKomp[[Stanowisko / Position ]:[Stanowisko / Position ]],0))="n/a","n/a",DQ203-INDEX(tab_MinKomp[Obsługa urządzeń do mierzenia siły trzymania i/lub rozciągania / Betrieb von Geräten zur Messung der Halte- und/oder Dehnkraft],MATCH($B203,tab_MinKomp[[Stanowisko / Position ]:[Stanowisko / Position ]],0)))</f>
        <v>n/a</v>
      </c>
      <c r="DR204" s="315" t="str">
        <f>IF(INDEX(tab_MinKomp[Wykonywanie testów mierzenia siły trzymania i/lub rozciągania / Durchführung von Tests zur Messung der Halte- und/oder Streckkraft],MATCH($B203,tab_MinKomp[[Stanowisko / Position ]:[Stanowisko / Position ]],0))="n/a","n/a",DR203-INDEX(tab_MinKomp[Wykonywanie testów mierzenia siły trzymania i/lub rozciągania / Durchführung von Tests zur Messung der Halte- und/oder Streckkraft],MATCH($B203,tab_MinKomp[[Stanowisko / Position ]:[Stanowisko / Position ]],0)))</f>
        <v>n/a</v>
      </c>
      <c r="DS204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Luftstrom)],MATCH($B203,tab_MinKomp[[Stanowisko / Position ]:[Stanowisko / Position ]],0))="n/a","n/a",DS203-INDEX(tab_MinKomp[Obsługa multimetru do pomiarów środowiskowych (temperatura, wilgotność, hałas, oświetlenie, przepływ powietrza) / Betrieb eines Multimeters für Umweltmessungen (Temperatur, Luftfeuchtigkeit, Lärm, Beleuchtung, Luftstrom)],MATCH($B203,tab_MinKomp[[Stanowisko / Position ]:[Stanowisko / Position ]],0)))</f>
        <v>n/a</v>
      </c>
      <c r="DT204" s="315" t="str">
        <f>IF(INDEX(tab_MinKomp[Kontrola warunków środowiskowych pracy (temperatura, wilgotność, hałas, oświetlenie, przepływ powietrza) / Kontrolle der Arbeitsumgebungsbedingungen (Temperatur, Luftfeuchtigkeit, Lärm, Beleuchtung, Luftstrom)],MATCH($B203,tab_MinKomp[[Stanowisko / Position ]:[Stanowisko / Position ]],0))="n/a","n/a",DT203-INDEX(tab_MinKomp[Kontrola warunków środowiskowych pracy (temperatura, wilgotność, hałas, oświetlenie, przepływ powietrza) / Kontrolle der Arbeitsumgebungsbedingungen (Temperatur, Luftfeuchtigkeit, Lärm, Beleuchtung, Luftstrom)],MATCH($B203,tab_MinKomp[[Stanowisko / Position ]:[Stanowisko / Position ]],0)))</f>
        <v>n/a</v>
      </c>
      <c r="DU204" s="315" t="str">
        <f>IF(INDEX(tab_MinKomp[MSA i SPC],MATCH($B203,tab_MinKomp[[Stanowisko / Position ]:[Stanowisko / Position ]],0))="n/a","n/a",DU203-INDEX(tab_MinKomp[MSA i SPC],MATCH($B203,tab_MinKomp[[Stanowisko / Position ]:[Stanowisko / Position ]],0)))</f>
        <v>n/a</v>
      </c>
      <c r="DV204" s="315" t="str">
        <f>IF(INDEX(tab_MinKomp[Kontrola wejściowa komponentów/ Eingangskontrolle],MATCH($B203,tab_MinKomp[[Stanowisko / Position ]:[Stanowisko / Position ]],0))="n/a","n/a",DV203-INDEX(tab_MinKomp[Kontrola wejściowa komponentów/ Eingangskontrolle],MATCH($B203,tab_MinKomp[[Stanowisko / Position ]:[Stanowisko / Position ]],0)))</f>
        <v>n/a</v>
      </c>
      <c r="DW204" s="315" t="str">
        <f>IF(INDEX(tab_MinKomp[Kontrola wyjściowa produktu / Ausgangskontrolle],MATCH($B203,tab_MinKomp[[Stanowisko / Position ]:[Stanowisko / Position ]],0))="n/a","n/a",DW203-INDEX(tab_MinKomp[Kontrola wyjściowa produktu / Ausgangskontrolle],MATCH($B203,tab_MinKomp[[Stanowisko / Position ]:[Stanowisko / Position ]],0)))</f>
        <v>n/a</v>
      </c>
      <c r="DX204" s="315" t="str">
        <f>IF(INDEX(tab_MinKomp[Kontrola codzienna produkcji / Tägliche Produktionskontrolle],MATCH($B203,tab_MinKomp[[Stanowisko / Position ]:[Stanowisko / Position ]],0))="n/a","n/a",DX203-INDEX(tab_MinKomp[Kontrola codzienna produkcji / Tägliche Produktionskontrolle],MATCH($B203,tab_MinKomp[[Stanowisko / Position ]:[Stanowisko / Position ]],0)))</f>
        <v>n/a</v>
      </c>
      <c r="DY204" s="315" t="str">
        <f>IF(INDEX(tab_MinKomp[Konserwacja Rep],MATCH($B203,tab_MinKomp[[Stanowisko / Position ]:[Stanowisko / Position ]],0))="n/a","n/a",DY203-INDEX(tab_MinKomp[Konserwacja Rep],MATCH($B203,tab_MinKomp[[Stanowisko / Position ]:[Stanowisko / Position ]],0)))</f>
        <v>n/a</v>
      </c>
      <c r="DZ204" s="315" t="str">
        <f>IF(INDEX(tab_MinKomp[[Konserwacja Engel ]],MATCH($B203,tab_MinKomp[[Stanowisko / Position ]:[Stanowisko / Position ]],0))="n/a","n/a",DZ203-INDEX(tab_MinKomp[[Konserwacja Engel ]],MATCH($B203,tab_MinKomp[[Stanowisko / Position ]:[Stanowisko / Position ]],0)))</f>
        <v>n/a</v>
      </c>
      <c r="EA204" s="315" t="str">
        <f>IF(INDEX(tab_MinKomp[Konserwacja B 50],MATCH($B203,tab_MinKomp[[Stanowisko / Position ]:[Stanowisko / Position ]],0))="n/a","n/a",EA203-INDEX(tab_MinKomp[Konserwacja B 50],MATCH($B203,tab_MinKomp[[Stanowisko / Position ]:[Stanowisko / Position ]],0)))</f>
        <v>n/a</v>
      </c>
      <c r="EB204" s="315" t="str">
        <f>IF(INDEX(tab_MinKomp[[Konserwacja EOL ]],MATCH($B203,tab_MinKomp[[Stanowisko / Position ]:[Stanowisko / Position ]],0))="n/a","n/a",EB203-INDEX(tab_MinKomp[[Konserwacja EOL ]],MATCH($B203,tab_MinKomp[[Stanowisko / Position ]:[Stanowisko / Position ]],0)))</f>
        <v>n/a</v>
      </c>
      <c r="EC204" s="315" t="str">
        <f>IF(INDEX(tab_MinKomp[Konserwacja Branson],MATCH($B203,tab_MinKomp[[Stanowisko / Position ]:[Stanowisko / Position ]],0))="n/a","n/a",EC203-INDEX(tab_MinKomp[Konserwacja Branson],MATCH($B203,tab_MinKomp[[Stanowisko / Position ]:[Stanowisko / Position ]],0)))</f>
        <v>n/a</v>
      </c>
      <c r="ED204" s="315" t="str">
        <f>IF(INDEX(tab_MinKomp[Konserwacja coolery],MATCH($B203,tab_MinKomp[[Stanowisko / Position ]:[Stanowisko / Position ]],0))="n/a","n/a",ED203-INDEX(tab_MinKomp[Konserwacja coolery],MATCH($B203,tab_MinKomp[[Stanowisko / Position ]:[Stanowisko / Position ]],0)))</f>
        <v>n/a</v>
      </c>
      <c r="EE204" s="315" t="str">
        <f>IF(INDEX(tab_MinKomp[Konserwacja piecy],MATCH($B203,tab_MinKomp[[Stanowisko / Position ]:[Stanowisko / Position ]],0))="n/a","n/a",EE203-INDEX(tab_MinKomp[Konserwacja piecy],MATCH($B203,tab_MinKomp[[Stanowisko / Position ]:[Stanowisko / Position ]],0)))</f>
        <v>n/a</v>
      </c>
      <c r="EF204" s="315" t="str">
        <f>IF(INDEX(tab_MinKomp[Rysunek techniczny- czytanie],MATCH($B203,tab_MinKomp[[Stanowisko / Position ]:[Stanowisko / Position ]],0))="n/a","n/a",EF203-INDEX(tab_MinKomp[Rysunek techniczny- czytanie],MATCH($B203,tab_MinKomp[[Stanowisko / Position ]:[Stanowisko / Position ]],0)))</f>
        <v>n/a</v>
      </c>
      <c r="EG204" s="315" t="str">
        <f>IF(INDEX(tab_MinKomp[Elektryka],MATCH($B203,tab_MinKomp[[Stanowisko / Position ]:[Stanowisko / Position ]],0))="n/a","n/a",EG203-INDEX(tab_MinKomp[Elektryka],MATCH($B203,tab_MinKomp[[Stanowisko / Position ]:[Stanowisko / Position ]],0)))</f>
        <v>n/a</v>
      </c>
      <c r="EH204" s="315" t="str">
        <f>IF(INDEX(tab_MinKomp[Pneumatyka],MATCH($B203,tab_MinKomp[[Stanowisko / Position ]:[Stanowisko / Position ]],0))="n/a","n/a",EH203-INDEX(tab_MinKomp[Pneumatyka],MATCH($B203,tab_MinKomp[[Stanowisko / Position ]:[Stanowisko / Position ]],0)))</f>
        <v>n/a</v>
      </c>
      <c r="EI204" s="315" t="str">
        <f>IF(INDEX(tab_MinKomp[[Hydraulika ]],MATCH($B203,tab_MinKomp[[Stanowisko / Position ]:[Stanowisko / Position ]],0))="n/a","n/a",EI203-INDEX(tab_MinKomp[[Hydraulika ]],MATCH($B203,tab_MinKomp[[Stanowisko / Position ]:[Stanowisko / Position ]],0)))</f>
        <v>n/a</v>
      </c>
      <c r="EJ204" s="315" t="str">
        <f>IF(INDEX(tab_MinKomp[Podciśnienie],MATCH($B203,tab_MinKomp[[Stanowisko / Position ]:[Stanowisko / Position ]],0))="n/a","n/a",EJ203-INDEX(tab_MinKomp[Podciśnienie],MATCH($B203,tab_MinKomp[[Stanowisko / Position ]:[Stanowisko / Position ]],0)))</f>
        <v>n/a</v>
      </c>
      <c r="EK204" s="315" t="str">
        <f>IF(INDEX(tab_MinKomp[Usuwanie awarii],MATCH($B203,tab_MinKomp[[Stanowisko / Position ]:[Stanowisko / Position ]],0))="n/a","n/a",EK203-INDEX(tab_MinKomp[Usuwanie awarii],MATCH($B203,tab_MinKomp[[Stanowisko / Position ]:[Stanowisko / Position ]],0)))</f>
        <v>n/a</v>
      </c>
      <c r="EL204" s="315" t="str">
        <f>IF(INDEX(tab_MinKomp[Obsługa robotów],MATCH($B203,tab_MinKomp[[Stanowisko / Position ]:[Stanowisko / Position ]],0))="n/a","n/a",EL203-INDEX(tab_MinKomp[Obsługa robotów],MATCH($B203,tab_MinKomp[[Stanowisko / Position ]:[Stanowisko / Position ]],0)))</f>
        <v>n/a</v>
      </c>
      <c r="EM204" s="315" t="str">
        <f>IF(INDEX(tab_MinKomp[Obsługa sterowania maszyny],MATCH($B203,tab_MinKomp[[Stanowisko / Position ]:[Stanowisko / Position ]],0))="n/a","n/a",EM203-INDEX(tab_MinKomp[Obsługa sterowania maszyny],MATCH($B203,tab_MinKomp[[Stanowisko / Position ]:[Stanowisko / Position ]],0)))</f>
        <v>n/a</v>
      </c>
      <c r="EN204" s="315" t="str">
        <f>IF(INDEX(tab_MinKomp[Usuwanie przyczyn żródłowych],MATCH($B203,tab_MinKomp[[Stanowisko / Position ]:[Stanowisko / Position ]],0))="n/a","n/a",EN203-INDEX(tab_MinKomp[Usuwanie przyczyn żródłowych],MATCH($B203,tab_MinKomp[[Stanowisko / Position ]:[Stanowisko / Position ]],0)))</f>
        <v>n/a</v>
      </c>
      <c r="EO204" s="315" t="str">
        <f>IF(INDEX(tab_MinKomp[Cmms stosowanie],MATCH($B203,tab_MinKomp[[Stanowisko / Position ]:[Stanowisko / Position ]],0))="n/a","n/a",EO203-INDEX(tab_MinKomp[Cmms stosowanie],MATCH($B203,tab_MinKomp[[Stanowisko / Position ]:[Stanowisko / Position ]],0)))</f>
        <v>n/a</v>
      </c>
      <c r="EP204" s="315" t="str">
        <f>IF(INDEX(tab_MinKomp[[Czyszczenie form gumowych ]],MATCH($B203,tab_MinKomp[[Stanowisko / Position ]:[Stanowisko / Position ]],0))="n/a","n/a",EP203-INDEX(tab_MinKomp[[Czyszczenie form gumowych ]],MATCH($B203,tab_MinKomp[[Stanowisko / Position ]:[Stanowisko / Position ]],0)))</f>
        <v>n/a</v>
      </c>
      <c r="EQ204" s="315" t="str">
        <f>IF(INDEX(tab_MinKomp[Czyszczenie form plastikowych],MATCH($B203,tab_MinKomp[[Stanowisko / Position ]:[Stanowisko / Position ]],0))="n/a","n/a",EQ203-INDEX(tab_MinKomp[Czyszczenie form plastikowych],MATCH($B203,tab_MinKomp[[Stanowisko / Position ]:[Stanowisko / Position ]],0)))</f>
        <v>n/a</v>
      </c>
      <c r="ER204" s="315" t="str">
        <f>IF(INDEX(tab_MinKomp[Wymiana form plastik],MATCH($B203,tab_MinKomp[[Stanowisko / Position ]:[Stanowisko / Position ]],0))="n/a","n/a",ER203-INDEX(tab_MinKomp[Wymiana form plastik],MATCH($B203,tab_MinKomp[[Stanowisko / Position ]:[Stanowisko / Position ]],0)))</f>
        <v>n/a</v>
      </c>
      <c r="ES204" s="315" t="str">
        <f>IF(INDEX(tab_MinKomp[Wymiana form guma],MATCH($B203,tab_MinKomp[[Stanowisko / Position ]:[Stanowisko / Position ]],0))="n/a","n/a",ES203-INDEX(tab_MinKomp[Wymiana form guma],MATCH($B203,tab_MinKomp[[Stanowisko / Position ]:[Stanowisko / Position ]],0)))</f>
        <v>n/a</v>
      </c>
      <c r="ET204" s="315" t="str">
        <f>IF(INDEX(tab_MinKomp[Konserwacja KK],MATCH($B203,tab_MinKomp[[Stanowisko / Position ]:[Stanowisko / Position ]],0))="n/a","n/a",ET203-INDEX(tab_MinKomp[Konserwacja KK],MATCH($B203,tab_MinKomp[[Stanowisko / Position ]:[Stanowisko / Position ]],0)))</f>
        <v>n/a</v>
      </c>
      <c r="EU204" s="315" t="str">
        <f>IF(INDEX(tab_MinKomp[Konserwacja form guma],MATCH($B203,tab_MinKomp[[Stanowisko / Position ]:[Stanowisko / Position ]],0))="n/a","n/a",EU203-INDEX(tab_MinKomp[Konserwacja form guma],MATCH($B203,tab_MinKomp[[Stanowisko / Position ]:[Stanowisko / Position ]],0)))</f>
        <v>n/a</v>
      </c>
      <c r="EV204" s="315" t="str">
        <f>IF(INDEX(tab_MinKomp[Konserwacja form plastiki],MATCH($B203,tab_MinKomp[[Stanowisko / Position ]:[Stanowisko / Position ]],0))="n/a","n/a",EV203-INDEX(tab_MinKomp[Konserwacja form plastiki],MATCH($B203,tab_MinKomp[[Stanowisko / Position ]:[Stanowisko / Position ]],0)))</f>
        <v>n/a</v>
      </c>
      <c r="EW204" s="330" t="str">
        <f>IF(INDEX(tab_MinKomp[Konserwacja form plastiki],MATCH($B203,tab_MinKomp[[Stanowisko / Position ]:[Stanowisko / Position ]],0))="n/a","n/a",EW203-INDEX(tab_MinKomp[Konserwacja form plastiki],MATCH($B203,tab_MinKomp[[Stanowisko / Position ]:[Stanowisko / Position ]],0)))</f>
        <v>n/a</v>
      </c>
      <c r="EX204" s="315" t="str">
        <f>IF(INDEX(tab_MinKomp[Konserwacja Gorącego Kanału],MATCH($B203,tab_MinKomp[[Stanowisko / Position ]:[Stanowisko / Position ]],0))="n/a","n/a",EX203-INDEX(tab_MinKomp[Konserwacja Gorącego Kanału],MATCH($B203,tab_MinKomp[[Stanowisko / Position ]:[Stanowisko / Position ]],0)))</f>
        <v>n/a</v>
      </c>
      <c r="EY204" s="315">
        <f>IF(INDEX(tab_MinKomp[MS Office (Excel)],MATCH($B203,tab_MinKomp[[Stanowisko / Position ]:[Stanowisko / Position ]],0))="n/a","n/a",EY203-INDEX(tab_MinKomp[MS Office (Excel)],MATCH($B203,tab_MinKomp[[Stanowisko / Position ]:[Stanowisko / Position ]],0)))</f>
        <v>0</v>
      </c>
      <c r="EZ204" s="315">
        <f>IF(INDEX(tab_MinKomp[MS Office (Word)],MATCH($B203,tab_MinKomp[[Stanowisko / Position ]:[Stanowisko / Position ]],0))="n/a","n/a",EZ203-INDEX(tab_MinKomp[MS Office (Word)],MATCH($B203,tab_MinKomp[[Stanowisko / Position ]:[Stanowisko / Position ]],0)))</f>
        <v>0</v>
      </c>
      <c r="FA204" s="315">
        <f>IF(INDEX(tab_MinKomp[MS Office (Power Point)],MATCH($B203,tab_MinKomp[[Stanowisko / Position ]:[Stanowisko / Position ]],0))="n/a","n/a",FA203-INDEX(tab_MinKomp[MS Office (Power Point)],MATCH($B203,tab_MinKomp[[Stanowisko / Position ]:[Stanowisko / Position ]],0)))</f>
        <v>0</v>
      </c>
      <c r="FB204" s="315">
        <f>IF(INDEX(tab_MinKomp[Język angielski / Englisch],MATCH($B203,tab_MinKomp[[Stanowisko / Position ]:[Stanowisko / Position ]],0))="n/a","n/a",FB203-INDEX(tab_MinKomp[Język angielski / Englisch],MATCH($B203,tab_MinKomp[[Stanowisko / Position ]:[Stanowisko / Position ]],0)))</f>
        <v>0</v>
      </c>
      <c r="FC204" s="315" t="str">
        <f>IF(INDEX(tab_MinKomp[Język niemiecki / Deutsch],MATCH($B203,tab_MinKomp[[Stanowisko / Position ]:[Stanowisko / Position ]],0))="n/a","n/a",FC203-INDEX(tab_MinKomp[Język niemiecki / Deutsch],MATCH($B203,tab_MinKomp[[Stanowisko / Position ]:[Stanowisko / Position ]],0)))</f>
        <v>n/a</v>
      </c>
      <c r="FD204" s="315">
        <f>IF(INDEX(tab_MinKomp[Zarządzanie dokumentacją procesową / Process dokumentation management],MATCH($B203,tab_MinKomp[[Stanowisko / Position ]:[Stanowisko / Position ]],0))="n/a","n/a",FD203-INDEX(tab_MinKomp[Zarządzanie dokumentacją procesową / Process dokumentation management],MATCH($B203,tab_MinKomp[[Stanowisko / Position ]:[Stanowisko / Position ]],0)))</f>
        <v>0</v>
      </c>
      <c r="FE204" s="315">
        <f>IF(INDEX(tab_MinKomp[Znajomość procesów z obszaru / Kenntiss der prozesse in dem Bereich],MATCH($B203,tab_MinKomp[[Stanowisko / Position ]:[Stanowisko / Position ]],0))="n/a","n/a",FE203-INDEX(tab_MinKomp[Znajomość procesów z obszaru / Kenntiss der prozesse in dem Bereich],MATCH($B203,tab_MinKomp[[Stanowisko / Position ]:[Stanowisko / Position ]],0)))</f>
        <v>0</v>
      </c>
      <c r="FF204" s="315">
        <f>IF(INDEX(tab_MinKomp[optymalizacja procesów / Prozessoptymalisierung],MATCH($B203,tab_MinKomp[[Stanowisko / Position ]:[Stanowisko / Position ]],0))="n/a","n/a",FF203-INDEX(tab_MinKomp[optymalizacja procesów / Prozessoptymalisierung],MATCH($B203,tab_MinKomp[[Stanowisko / Position ]:[Stanowisko / Position ]],0)))</f>
        <v>-1</v>
      </c>
      <c r="FG204" s="315">
        <f>IF(INDEX(tab_MinKomp[Umiejętności szkoleniowe / Trainingsfähigkeiten],MATCH($B203,tab_MinKomp[[Stanowisko / Position ]:[Stanowisko / Position ]],0))="n/a","n/a",FG203-INDEX(tab_MinKomp[Umiejętności szkoleniowe / Trainingsfähigkeiten],MATCH($B203,tab_MinKomp[[Stanowisko / Position ]:[Stanowisko / Position ]],0)))</f>
        <v>0</v>
      </c>
      <c r="FH204" s="315">
        <f>IF(INDEX(tab_MinKomp[Analityczne myślenie, podejście / Analitysches Denken, Einstellung],MATCH($B203,tab_MinKomp[[Stanowisko / Position ]:[Stanowisko / Position ]],0))="n/a","n/a",FH203-INDEX(tab_MinKomp[Analityczne myślenie, podejście / Analitysches Denken, Einstellung],MATCH($B203,tab_MinKomp[[Stanowisko / Position ]:[Stanowisko / Position ]],0)))</f>
        <v>0</v>
      </c>
      <c r="FI204" s="315">
        <f>IF(INDEX(tab_MinKomp[Dokładność, precyzja w dzialaniu / Genauigkeit, Präzision in die Arbeit],MATCH($B203,tab_MinKomp[[Stanowisko / Position ]:[Stanowisko / Position ]],0))="n/a","n/a",FI203-INDEX(tab_MinKomp[Dokładność, precyzja w dzialaniu / Genauigkeit, Präzision in die Arbeit],MATCH($B203,tab_MinKomp[[Stanowisko / Position ]:[Stanowisko / Position ]],0)))</f>
        <v>0</v>
      </c>
      <c r="FJ204" s="315">
        <f>IF(INDEX(tab_MinKomp[Dyspozycyjność / Verfügbarkeit],MATCH($B203,tab_MinKomp[[Stanowisko / Position ]:[Stanowisko / Position ]],0))="n/a","n/a",FJ203-INDEX(tab_MinKomp[Dyspozycyjność / Verfügbarkeit],MATCH($B203,tab_MinKomp[[Stanowisko / Position ]:[Stanowisko / Position ]],0)))</f>
        <v>0</v>
      </c>
      <c r="FK204" s="315">
        <f>IF(INDEX(tab_MinKomp[Zaangażowanie / 
Engagement],MATCH($B203,tab_MinKomp[[Stanowisko / Position ]:[Stanowisko / Position ]],0))="n/a","n/a",FK203-INDEX(tab_MinKomp[Zaangażowanie / 
Engagement],MATCH($B203,tab_MinKomp[[Stanowisko / Position ]:[Stanowisko / Position ]],0)))</f>
        <v>0</v>
      </c>
      <c r="FL204" s="315">
        <f>IF(INDEX(tab_MinKomp[Planowanie strategiczne / Strategische Planung],MATCH($B203,tab_MinKomp[[Stanowisko / Position ]:[Stanowisko / Position ]],0))="n/a","n/a",FL203-INDEX(tab_MinKomp[Planowanie strategiczne / Strategische Planung],MATCH($B203,tab_MinKomp[[Stanowisko / Position ]:[Stanowisko / Position ]],0)))</f>
        <v>-1</v>
      </c>
      <c r="FM204" s="315">
        <f>IF(INDEX(tab_MinKomp[Konsekwentne i dynamiczne działanie],MATCH($B203,tab_MinKomp[[Stanowisko / Position ]:[Stanowisko / Position ]],0))="n/a","n/a",FM203-INDEX(tab_MinKomp[Konsekwentne i dynamiczne działanie],MATCH($B203,tab_MinKomp[[Stanowisko / Position ]:[Stanowisko / Position ]],0)))</f>
        <v>0</v>
      </c>
      <c r="FN204" s="315">
        <f>IF(INDEX(tab_MinKomp[Elastyczność w działaniu],MATCH($B203,tab_MinKomp[[Stanowisko / Position ]:[Stanowisko / Position ]],0))="n/a","n/a",FN203-INDEX(tab_MinKomp[Elastyczność w działaniu],MATCH($B203,tab_MinKomp[[Stanowisko / Position ]:[Stanowisko / Position ]],0)))</f>
        <v>0</v>
      </c>
      <c r="FO204" s="315">
        <f>IF(INDEX(tab_MinKomp[Komunikatywność],MATCH($B203,tab_MinKomp[[Stanowisko / Position ]:[Stanowisko / Position ]],0))="n/a","n/a",FO203-INDEX(tab_MinKomp[Komunikatywność],MATCH($B203,tab_MinKomp[[Stanowisko / Position ]:[Stanowisko / Position ]],0)))</f>
        <v>0</v>
      </c>
      <c r="FP204" s="315">
        <f>IF(INDEX(tab_MinKomp[Motywowanie i budowanie zaangażowania zespołu],MATCH($B203,tab_MinKomp[[Stanowisko / Position ]:[Stanowisko / Position ]],0))="n/a","n/a",FP203-INDEX(tab_MinKomp[Motywowanie i budowanie zaangażowania zespołu],MATCH($B203,tab_MinKomp[[Stanowisko / Position ]:[Stanowisko / Position ]],0)))</f>
        <v>-1</v>
      </c>
      <c r="FQ204" s="318" t="str">
        <f>IFERROR(IF(INDEX(tab_MinKomp[BRAK / Keine],MATCH($B203,tab_MinKomp[[Stanowisko / Position ]:[Stanowisko / Position ]],0))="n/a","n/a",INDEX(tab_MinKomp[BRAK / Keine],MATCH($B203,tab_MinKomp[[Stanowisko / Position ]:[Stanowisko / Position ]],0))-FQ203),"")</f>
        <v>n/a</v>
      </c>
      <c r="FR204" s="315" t="str">
        <f>IF(INDEX(tab_MinKomp[MINIMUM 1 ROK / min. 1 Jahr],MATCH($B203,tab_MinKomp[[Stanowisko / Position ]:[Stanowisko / Position ]],0))="n/a","n/a",INDEX(tab_MinKomp[MINIMUM 1 ROK / min. 1 Jahr],MATCH($B203,tab_MinKomp[[Stanowisko / Position ]:[Stanowisko / Position ]],0)))</f>
        <v>n/a</v>
      </c>
      <c r="FS204" s="315" t="s">
        <v>160</v>
      </c>
      <c r="FT204" s="315" t="str">
        <f>IF(INDEX(tab_MinKomp[MINIMUM 3 LATA / min. 3 Jahre],MATCH($B203,tab_MinKomp[[Stanowisko / Position ]:[Stanowisko / Position ]],0))="n/a","n/a",INDEX(tab_MinKomp[MINIMUM 3 LATA / min. 3 Jahre],MATCH($B203,tab_MinKomp[[Stanowisko / Position ]:[Stanowisko / Position ]],0)))</f>
        <v>n/a</v>
      </c>
      <c r="FU204" s="315" t="str">
        <f>IF(INDEX(tab_MinKomp[MINIMUM 4 LATA / min. 4 Jahre],MATCH($B203,tab_MinKomp[[Stanowisko / Position ]:[Stanowisko / Position ]],0))="n/a","n/a",INDEX(tab_MinKomp[MINIMUM 4 LATA / min. 4 Jahre],MATCH($B203,tab_MinKomp[[Stanowisko / Position ]:[Stanowisko / Position ]],0)))</f>
        <v>n/a</v>
      </c>
      <c r="FV204" s="319" t="str">
        <f>IF(INDEX(tab_MinKomp[MINIMUM 5 LAT / min. 5 Jahre],MATCH($B203,tab_MinKomp[[Stanowisko / Position ]:[Stanowisko / Position ]],0))="n/a","n/a",INDEX(tab_MinKomp[MINIMUM 5 LAT / min. 5 Jahre],MATCH($B203,tab_MinKomp[[Stanowisko / Position ]:[Stanowisko / Position ]],0)))</f>
        <v>n/a</v>
      </c>
      <c r="FW204" s="318" t="str">
        <f>IF(INDEX(tab_MinKomp[BRAK / Keine9],MATCH($B203,tab_MinKomp[[Stanowisko / Position ]:[Stanowisko / Position ]],0))="n/a","n/a",INDEX(tab_MinKomp[BRAK / Keine9],MATCH($B203,tab_MinKomp[[Stanowisko / Position ]:[Stanowisko / Position ]],0)))</f>
        <v>n/a</v>
      </c>
      <c r="FX204" s="315" t="str">
        <f>IF(INDEX(tab_MinKomp[MINIMUM 4 LATA / min. 4 Jahre],MATCH($B203,tab_MinKomp[[Stanowisko / Position ]:[Stanowisko / Position ]],0))="n/a","n/a",INDEX(tab_MinKomp[MINIMUM 4 LATA / min. 4 Jahre],MATCH($B203,tab_MinKomp[[Stanowisko / Position ]:[Stanowisko / Position ]],0)))</f>
        <v>n/a</v>
      </c>
      <c r="FY204" s="319" t="str">
        <f>IF(INDEX(tab_MinKomp[MINIMUM 5 LAT / min. 5 Jahre],MATCH($B203,tab_MinKomp[[Stanowisko / Position ]:[Stanowisko / Position ]],0))="n/a","n/a",INDEX(tab_MinKomp[MINIMUM 5 LAT / min. 5 Jahre],MATCH($B203,tab_MinKomp[[Stanowisko / Position ]:[Stanowisko / Position ]],0)))</f>
        <v>n/a</v>
      </c>
      <c r="FZ204" s="318" t="str">
        <f>IF(INDEX(tab_MinKomp[BRAK / Keine9],MATCH($B203,tab_MinKomp[[Stanowisko / Position ]:[Stanowisko / Position ]],0))="n/a","n/a",INDEX(tab_MinKomp[BRAK / Keine9],MATCH($B203,tab_MinKomp[[Stanowisko / Position ]:[Stanowisko / Position ]],0)))</f>
        <v>n/a</v>
      </c>
      <c r="GA204" s="318" t="str">
        <f>IF(INDEX(tab_MinKomp[BRAK / Keine9],MATCH($B203,tab_MinKomp[[Stanowisko / Position ]:[Stanowisko / Position ]],0))="n/a","n/a",INDEX(tab_MinKomp[BRAK / Keine9],MATCH($B203,tab_MinKomp[[Stanowisko / Position ]:[Stanowisko / Position ]],0)))</f>
        <v>n/a</v>
      </c>
      <c r="GB204" s="319" t="str">
        <f>IF(INDEX(tab_MinKomp[WYŻSZE KIERUNKOWE / Hochschule berufliche],MATCH($B203,tab_MinKomp[[Stanowisko / Position ]:[Stanowisko / Position ]],0))="n/a","n/a",INDEX(tab_MinKomp[WYŻSZE KIERUNKOWE / Hochschule berufliche],MATCH($B203,tab_MinKomp[[Stanowisko / Position ]:[Stanowisko / Position ]],0)))</f>
        <v>X</v>
      </c>
      <c r="GC204" s="318" t="str">
        <f>IF(INDEX(tab_MinKomp[PIERWSZA POMOC / Erste Hilfe],MATCH($B203,tab_MinKomp[[Stanowisko / Position ]:[Stanowisko / Position ]],0))="n/a","n/a",INDEX(tab_MinKomp[PIERWSZA POMOC / Erste Hilfe],MATCH($B203,tab_MinKomp[[Stanowisko / Position ]:[Stanowisko / Position ]],0)))</f>
        <v>n/a</v>
      </c>
      <c r="GD204" s="315" t="str">
        <f>IF(INDEX(tab_MinKomp[Specjalista BHP / BHP Spezialist],MATCH($B203,tab_MinKomp[[Stanowisko / Position ]:[Stanowisko / Position ]],0))="n/a","n/a",INDEX(tab_MinKomp[Specjalista BHP / BHP Spezialist],MATCH($B203,tab_MinKomp[[Stanowisko / Position ]:[Stanowisko / Position ]],0)))</f>
        <v>n/a</v>
      </c>
      <c r="GE204" s="315" t="str">
        <f>IF(INDEX(tab_MinKomp[Inspektor ochrony PPOŻ / Brandschutzinspektor],MATCH($B203,tab_MinKomp[[Stanowisko / Position ]:[Stanowisko / Position ]],0))="n/a","n/a",INDEX(tab_MinKomp[Inspektor ochrony PPOŻ / Brandschutzinspektor],MATCH($B203,tab_MinKomp[[Stanowisko / Position ]:[Stanowisko / Position ]],0)))</f>
        <v>n/a</v>
      </c>
      <c r="GF204" s="315" t="str">
        <f>IF(INDEX(tab_MinKomp[WÓZKI JEZDNIOWE / Gebelstapler],MATCH($B203,tab_MinKomp[[Stanowisko / Position ]:[Stanowisko / Position ]],0))="n/a","n/a",INDEX(tab_MinKomp[WÓZKI JEZDNIOWE / Gebelstapler],MATCH($B203,tab_MinKomp[[Stanowisko / Position ]:[Stanowisko / Position ]],0)))</f>
        <v>n/a</v>
      </c>
      <c r="GG204" s="315" t="str">
        <f>IF(INDEX(tab_MinKomp[SEP],MATCH($B203,tab_MinKomp[[Stanowisko / Position ]:[Stanowisko / Position ]],0))="n/a","n/a",INDEX(tab_MinKomp[SEP],MATCH($B203,tab_MinKomp[[Stanowisko / Position ]:[Stanowisko / Position ]],0)))</f>
        <v>n/a</v>
      </c>
      <c r="GH204" s="315" t="str">
        <f>IF(INDEX(tab_MinKomp[SEP  DOZÓR / SEP Aufsicht],MATCH($B203,tab_MinKomp[[Stanowisko / Position ]:[Stanowisko / Position ]],0))="n/a","n/a",INDEX(tab_MinKomp[SEP  DOZÓR / SEP Aufsicht],MATCH($B203,tab_MinKomp[[Stanowisko / Position ]:[Stanowisko / Position ]],0)))</f>
        <v>n/a</v>
      </c>
      <c r="GI204" s="315" t="str">
        <f>IF(INDEX(tab_MinKomp[PODNOŚNIKI / Hebevorrichtung],MATCH($B203,tab_MinKomp[[Stanowisko / Position ]:[Stanowisko / Position ]],0))="n/a","n/a",INDEX(tab_MinKomp[PODNOŚNIKI / Hebevorrichtung],MATCH($B203,tab_MinKomp[[Stanowisko / Position ]:[Stanowisko / Position ]],0)))</f>
        <v>n/a</v>
      </c>
      <c r="GJ204" s="315" t="str">
        <f>IF(INDEX(tab_MinKomp[SUWNICE / Laufkran],MATCH($B203,tab_MinKomp[[Stanowisko / Position ]:[Stanowisko / Position ]],0))="n/a","n/a",INDEX(tab_MinKomp[SUWNICE / Laufkran],MATCH($B203,tab_MinKomp[[Stanowisko / Position ]:[Stanowisko / Position ]],0)))</f>
        <v>n/a</v>
      </c>
      <c r="GK204" s="319" t="str">
        <f>IF(INDEX(tab_MinKomp[WYSOKOŚCIOWE / Höhenberechtigungen],MATCH($B203,tab_MinKomp[[Stanowisko / Position ]:[Stanowisko / Position ]],0))="n/a","n/a",INDEX(tab_MinKomp[WYSOKOŚCIOWE / Höhenberechtigungen],MATCH($B203,tab_MinKomp[[Stanowisko / Position ]:[Stanowisko / Position ]],0)))</f>
        <v>n/a</v>
      </c>
      <c r="GL204" s="320">
        <f>SUM(G204:FP204)/(GL203-(SUM(G204:FP204)))</f>
        <v>-1.7543859649122806E-2</v>
      </c>
    </row>
    <row r="205" spans="1:195" ht="21.75" customHeight="1" thickBot="1" x14ac:dyDescent="0.3">
      <c r="A205" s="135" t="s">
        <v>260</v>
      </c>
      <c r="B205" s="135" t="s">
        <v>642</v>
      </c>
      <c r="C205" s="135" t="s">
        <v>750</v>
      </c>
      <c r="D205" s="135">
        <v>1787</v>
      </c>
      <c r="E205" s="565" t="s">
        <v>679</v>
      </c>
      <c r="F205" s="307" t="s">
        <v>165</v>
      </c>
      <c r="G205" s="308">
        <v>1</v>
      </c>
      <c r="H205" s="308">
        <v>1</v>
      </c>
      <c r="I205" s="308">
        <v>1</v>
      </c>
      <c r="J205" s="308">
        <v>1</v>
      </c>
      <c r="K205" s="308">
        <v>1</v>
      </c>
      <c r="L205" s="308">
        <v>1</v>
      </c>
      <c r="M205" s="308" t="s">
        <v>176</v>
      </c>
      <c r="N205" s="308" t="s">
        <v>176</v>
      </c>
      <c r="O205" s="308">
        <v>1</v>
      </c>
      <c r="P205" s="308">
        <v>1</v>
      </c>
      <c r="Q205" s="308" t="s">
        <v>176</v>
      </c>
      <c r="R205" s="308" t="s">
        <v>176</v>
      </c>
      <c r="S205" s="308" t="s">
        <v>176</v>
      </c>
      <c r="T205" s="308" t="s">
        <v>176</v>
      </c>
      <c r="U205" s="308" t="s">
        <v>176</v>
      </c>
      <c r="V205" s="308" t="s">
        <v>176</v>
      </c>
      <c r="W205" s="308" t="s">
        <v>176</v>
      </c>
      <c r="X205" s="308" t="s">
        <v>176</v>
      </c>
      <c r="Y205" s="308" t="s">
        <v>176</v>
      </c>
      <c r="Z205" s="308" t="s">
        <v>176</v>
      </c>
      <c r="AA205" s="308" t="s">
        <v>176</v>
      </c>
      <c r="AB205" s="308"/>
      <c r="AC205" s="308">
        <v>1</v>
      </c>
      <c r="AD205" s="308">
        <v>1</v>
      </c>
      <c r="AE205" s="308">
        <v>1</v>
      </c>
      <c r="AF205" s="308">
        <v>1</v>
      </c>
      <c r="AG205" s="308">
        <v>1</v>
      </c>
      <c r="AH205" s="308">
        <v>1</v>
      </c>
      <c r="AI205" s="308">
        <v>1</v>
      </c>
      <c r="AJ205" s="308">
        <v>1</v>
      </c>
      <c r="AK205" s="308" t="s">
        <v>176</v>
      </c>
      <c r="AL205" s="308">
        <v>1</v>
      </c>
      <c r="AM205" s="308">
        <v>1</v>
      </c>
      <c r="AN205" s="308" t="s">
        <v>176</v>
      </c>
      <c r="AO205" s="308">
        <v>1</v>
      </c>
      <c r="AP205" s="308">
        <v>1</v>
      </c>
      <c r="AQ205" s="308">
        <v>1</v>
      </c>
      <c r="AR205" s="308">
        <v>1</v>
      </c>
      <c r="AS205" s="308">
        <v>1</v>
      </c>
      <c r="AT205" s="308">
        <v>1</v>
      </c>
      <c r="AU205" s="308">
        <v>1</v>
      </c>
      <c r="AV205" s="308">
        <v>1</v>
      </c>
      <c r="AW205" s="308">
        <v>1</v>
      </c>
      <c r="AX205" s="308">
        <v>1</v>
      </c>
      <c r="AY205" s="308" t="s">
        <v>176</v>
      </c>
      <c r="AZ205" s="308" t="s">
        <v>176</v>
      </c>
      <c r="BA205" s="308" t="s">
        <v>176</v>
      </c>
      <c r="BB205" s="308" t="s">
        <v>176</v>
      </c>
      <c r="BC205" s="308" t="s">
        <v>176</v>
      </c>
      <c r="BD205" s="308" t="s">
        <v>176</v>
      </c>
      <c r="BE205" s="308" t="s">
        <v>176</v>
      </c>
      <c r="BF205" s="308" t="s">
        <v>176</v>
      </c>
      <c r="BG205" s="308" t="s">
        <v>176</v>
      </c>
      <c r="BH205" s="308" t="s">
        <v>176</v>
      </c>
      <c r="BI205" s="308" t="s">
        <v>176</v>
      </c>
      <c r="BJ205" s="308" t="s">
        <v>176</v>
      </c>
      <c r="BK205" s="308" t="s">
        <v>176</v>
      </c>
      <c r="BL205" s="308" t="s">
        <v>176</v>
      </c>
      <c r="BM205" s="308" t="s">
        <v>176</v>
      </c>
      <c r="BN205" s="308" t="s">
        <v>176</v>
      </c>
      <c r="BO205" s="308" t="s">
        <v>176</v>
      </c>
      <c r="BP205" s="308" t="s">
        <v>176</v>
      </c>
      <c r="BQ205" s="308" t="s">
        <v>176</v>
      </c>
      <c r="BR205" s="308" t="s">
        <v>176</v>
      </c>
      <c r="BS205" s="308" t="s">
        <v>176</v>
      </c>
      <c r="BT205" s="308" t="s">
        <v>176</v>
      </c>
      <c r="BU205" s="308" t="s">
        <v>176</v>
      </c>
      <c r="BV205" s="308" t="s">
        <v>176</v>
      </c>
      <c r="BW205" s="308" t="s">
        <v>176</v>
      </c>
      <c r="BX205" s="308" t="s">
        <v>176</v>
      </c>
      <c r="BY205" s="308" t="s">
        <v>176</v>
      </c>
      <c r="BZ205" s="308" t="s">
        <v>176</v>
      </c>
      <c r="CA205" s="308" t="s">
        <v>176</v>
      </c>
      <c r="CB205" s="308" t="s">
        <v>176</v>
      </c>
      <c r="CC205" s="308" t="s">
        <v>176</v>
      </c>
      <c r="CD205" s="308" t="s">
        <v>176</v>
      </c>
      <c r="CE205" s="308" t="s">
        <v>176</v>
      </c>
      <c r="CF205" s="308" t="s">
        <v>176</v>
      </c>
      <c r="CG205" s="308" t="s">
        <v>176</v>
      </c>
      <c r="CH205" s="308" t="s">
        <v>176</v>
      </c>
      <c r="CI205" s="308">
        <v>1</v>
      </c>
      <c r="CJ205" s="308" t="s">
        <v>176</v>
      </c>
      <c r="CK205" s="308" t="s">
        <v>176</v>
      </c>
      <c r="CL205" s="308" t="s">
        <v>176</v>
      </c>
      <c r="CM205" s="308">
        <v>1</v>
      </c>
      <c r="CN205" s="308">
        <v>1</v>
      </c>
      <c r="CO205" s="308">
        <v>1</v>
      </c>
      <c r="CP205" s="308">
        <v>1</v>
      </c>
      <c r="CQ205" s="308">
        <v>1</v>
      </c>
      <c r="CR205" s="308" t="s">
        <v>176</v>
      </c>
      <c r="CS205" s="308">
        <v>1</v>
      </c>
      <c r="CT205" s="308">
        <v>1</v>
      </c>
      <c r="CU205" s="308">
        <v>1</v>
      </c>
      <c r="CV205" s="308" t="s">
        <v>176</v>
      </c>
      <c r="CW205" s="308">
        <v>1</v>
      </c>
      <c r="CX205" s="308" t="s">
        <v>176</v>
      </c>
      <c r="CY205" s="308" t="s">
        <v>176</v>
      </c>
      <c r="CZ205" s="308" t="s">
        <v>176</v>
      </c>
      <c r="DA205" s="308" t="s">
        <v>176</v>
      </c>
      <c r="DB205" s="308" t="s">
        <v>176</v>
      </c>
      <c r="DC205" s="308" t="s">
        <v>176</v>
      </c>
      <c r="DD205" s="308" t="s">
        <v>176</v>
      </c>
      <c r="DE205" s="308" t="s">
        <v>176</v>
      </c>
      <c r="DF205" s="308" t="s">
        <v>176</v>
      </c>
      <c r="DG205" s="308" t="s">
        <v>176</v>
      </c>
      <c r="DH205" s="308" t="s">
        <v>176</v>
      </c>
      <c r="DI205" s="308" t="s">
        <v>176</v>
      </c>
      <c r="DJ205" s="308" t="s">
        <v>176</v>
      </c>
      <c r="DK205" s="308" t="s">
        <v>176</v>
      </c>
      <c r="DL205" s="308" t="s">
        <v>176</v>
      </c>
      <c r="DM205" s="308" t="s">
        <v>176</v>
      </c>
      <c r="DN205" s="308" t="s">
        <v>176</v>
      </c>
      <c r="DO205" s="308" t="s">
        <v>176</v>
      </c>
      <c r="DP205" s="308" t="s">
        <v>176</v>
      </c>
      <c r="DQ205" s="308" t="s">
        <v>176</v>
      </c>
      <c r="DR205" s="308" t="s">
        <v>176</v>
      </c>
      <c r="DS205" s="308" t="s">
        <v>176</v>
      </c>
      <c r="DT205" s="308" t="s">
        <v>176</v>
      </c>
      <c r="DU205" s="308" t="s">
        <v>176</v>
      </c>
      <c r="DV205" s="308" t="s">
        <v>176</v>
      </c>
      <c r="DW205" s="308" t="s">
        <v>176</v>
      </c>
      <c r="DX205" s="308" t="s">
        <v>176</v>
      </c>
      <c r="DY205" s="308" t="s">
        <v>176</v>
      </c>
      <c r="DZ205" s="308" t="s">
        <v>176</v>
      </c>
      <c r="EA205" s="308" t="s">
        <v>176</v>
      </c>
      <c r="EB205" s="308" t="s">
        <v>176</v>
      </c>
      <c r="EC205" s="308" t="s">
        <v>176</v>
      </c>
      <c r="ED205" s="308" t="s">
        <v>176</v>
      </c>
      <c r="EE205" s="308" t="s">
        <v>176</v>
      </c>
      <c r="EF205" s="308" t="s">
        <v>176</v>
      </c>
      <c r="EG205" s="308" t="s">
        <v>176</v>
      </c>
      <c r="EH205" s="308" t="s">
        <v>176</v>
      </c>
      <c r="EI205" s="308" t="s">
        <v>176</v>
      </c>
      <c r="EJ205" s="308" t="s">
        <v>176</v>
      </c>
      <c r="EK205" s="308" t="s">
        <v>176</v>
      </c>
      <c r="EL205" s="308" t="s">
        <v>176</v>
      </c>
      <c r="EM205" s="308" t="s">
        <v>176</v>
      </c>
      <c r="EN205" s="308" t="s">
        <v>176</v>
      </c>
      <c r="EO205" s="308" t="s">
        <v>176</v>
      </c>
      <c r="EP205" s="308" t="s">
        <v>176</v>
      </c>
      <c r="EQ205" s="308" t="s">
        <v>176</v>
      </c>
      <c r="ER205" s="308" t="s">
        <v>176</v>
      </c>
      <c r="ES205" s="308" t="s">
        <v>176</v>
      </c>
      <c r="ET205" s="308" t="s">
        <v>176</v>
      </c>
      <c r="EU205" s="308" t="s">
        <v>176</v>
      </c>
      <c r="EV205" s="308" t="s">
        <v>176</v>
      </c>
      <c r="EW205" s="308" t="s">
        <v>176</v>
      </c>
      <c r="EX205" s="308" t="s">
        <v>176</v>
      </c>
      <c r="EY205" s="308">
        <v>1</v>
      </c>
      <c r="EZ205" s="308">
        <v>1</v>
      </c>
      <c r="FA205" s="308">
        <v>1</v>
      </c>
      <c r="FB205" s="323">
        <v>1</v>
      </c>
      <c r="FC205" s="308" t="s">
        <v>176</v>
      </c>
      <c r="FD205" s="308">
        <v>2</v>
      </c>
      <c r="FE205" s="308">
        <v>1</v>
      </c>
      <c r="FF205" s="308">
        <v>1</v>
      </c>
      <c r="FG205" s="308">
        <v>1</v>
      </c>
      <c r="FH205" s="308">
        <v>1</v>
      </c>
      <c r="FI205" s="308">
        <v>1</v>
      </c>
      <c r="FJ205" s="308">
        <v>1</v>
      </c>
      <c r="FK205" s="308">
        <v>2</v>
      </c>
      <c r="FL205" s="308">
        <v>1</v>
      </c>
      <c r="FM205" s="323">
        <v>1</v>
      </c>
      <c r="FN205" s="323">
        <v>1</v>
      </c>
      <c r="FO205" s="323">
        <v>2</v>
      </c>
      <c r="FP205" s="323">
        <v>1</v>
      </c>
      <c r="FQ205" s="308" t="s">
        <v>176</v>
      </c>
      <c r="FR205" s="308" t="s">
        <v>160</v>
      </c>
      <c r="FS205" s="308" t="s">
        <v>176</v>
      </c>
      <c r="FT205" s="308" t="s">
        <v>176</v>
      </c>
      <c r="FU205" s="308" t="s">
        <v>176</v>
      </c>
      <c r="FV205" s="308" t="s">
        <v>176</v>
      </c>
      <c r="FW205" s="308" t="s">
        <v>176</v>
      </c>
      <c r="FX205" s="454" t="s">
        <v>176</v>
      </c>
      <c r="FY205" s="308" t="s">
        <v>176</v>
      </c>
      <c r="FZ205" s="308" t="s">
        <v>176</v>
      </c>
      <c r="GA205" s="308" t="s">
        <v>160</v>
      </c>
      <c r="GB205" s="308" t="s">
        <v>176</v>
      </c>
      <c r="GC205" s="308" t="s">
        <v>176</v>
      </c>
      <c r="GD205" s="308" t="s">
        <v>176</v>
      </c>
      <c r="GE205" s="308" t="s">
        <v>176</v>
      </c>
      <c r="GF205" s="308" t="s">
        <v>176</v>
      </c>
      <c r="GG205" s="308" t="s">
        <v>176</v>
      </c>
      <c r="GH205" s="308" t="s">
        <v>176</v>
      </c>
      <c r="GI205" s="308" t="s">
        <v>176</v>
      </c>
      <c r="GJ205" s="308" t="s">
        <v>176</v>
      </c>
      <c r="GK205" s="308" t="s">
        <v>176</v>
      </c>
      <c r="GL205" s="311">
        <f>SUM(G205:FP205)</f>
        <v>58</v>
      </c>
    </row>
    <row r="206" spans="1:195" ht="24" customHeight="1" thickBot="1" x14ac:dyDescent="0.3">
      <c r="A206" s="138" t="str">
        <f>A205</f>
        <v>Jakość-Quality Labor</v>
      </c>
      <c r="B206" s="138" t="str">
        <f>B205</f>
        <v xml:space="preserve">Specjalista ds. zapewnienia jakości </v>
      </c>
      <c r="C206" s="135" t="s">
        <v>750</v>
      </c>
      <c r="D206" s="138">
        <v>1787</v>
      </c>
      <c r="E206" s="566" t="str">
        <f>E205</f>
        <v>Lis Julia</v>
      </c>
      <c r="F206" s="312" t="s">
        <v>166</v>
      </c>
      <c r="G206" s="473">
        <f>IF(INDEX(tab_MinKomp[Przepisy BHP / BHP Vorschriften],MATCH($B205,tab_MinKomp[[Stanowisko / Position ]:[Stanowisko / Position ]],0))="n/a","n/a",G205-INDEX(tab_MinKomp[Przepisy BHP / BHP Vorschriften],MATCH($B205,tab_MinKomp[[Stanowisko / Position ]:[Stanowisko / Position ]],0)))</f>
        <v>-1</v>
      </c>
      <c r="H206" s="473">
        <f>IF(INDEX(tab_MinKomp[Przepisy PPOŻ / Brandschutzbestimmungen],MATCH($B205,tab_MinKomp[[Stanowisko / Position ]:[Stanowisko / Position ]],0))="n/a","n/a",H205-INDEX(tab_MinKomp[Przepisy PPOŻ / Brandschutzbestimmungen],MATCH($B205,tab_MinKomp[[Stanowisko / Position ]:[Stanowisko / Position ]],0)))</f>
        <v>-1</v>
      </c>
      <c r="I206" s="473">
        <f>IF(INDEX(tab_MinKomp[Ryzyko zawodowe na stanowiskach pracyv/ Berufliche Risiken an Arbeitsstellen],MATCH($B205,tab_MinKomp[[Stanowisko / Position ]:[Stanowisko / Position ]],0))="n/a","n/a",I205-INDEX(tab_MinKomp[Ryzyko zawodowe na stanowiskach pracyv/ Berufliche Risiken an Arbeitsstellen],MATCH($B205,tab_MinKomp[[Stanowisko / Position ]:[Stanowisko / Position ]],0)))</f>
        <v>-1</v>
      </c>
      <c r="J206" s="473">
        <f>IF(INDEX(tab_MinKomp[Gospodarka substancjami niebezpiecznymi / Gefahrstoffmanagement],MATCH($B205,tab_MinKomp[[Stanowisko / Position ]:[Stanowisko / Position ]],0))="n/a","n/a",J205-INDEX(tab_MinKomp[Gospodarka substancjami niebezpiecznymi / Gefahrstoffmanagement],MATCH($B205,tab_MinKomp[[Stanowisko / Position ]:[Stanowisko / Position ]],0)))</f>
        <v>-1</v>
      </c>
      <c r="K206" s="473">
        <f>IF(INDEX(tab_MinKomp[Gospodarka odpadami / Abfallwirtschaft],MATCH($B205,tab_MinKomp[[Stanowisko / Position ]:[Stanowisko / Position ]],0))="n/a","n/a",K205-INDEX(tab_MinKomp[Gospodarka odpadami / Abfallwirtschaft],MATCH($B205,tab_MinKomp[[Stanowisko / Position ]:[Stanowisko / Position ]],0)))</f>
        <v>-1</v>
      </c>
      <c r="L206" s="473">
        <f>IF(INDEX(tab_MinKomp[Przepisy kodeksu pracy / Bestimmungen des Arbeitsgesetzes],MATCH($B205,tab_MinKomp[[Stanowisko / Position ]:[Stanowisko / Position ]],0))="n/a","n/a",L205-INDEX(tab_MinKomp[Przepisy kodeksu pracy / Bestimmungen des Arbeitsgesetzes],MATCH($B205,tab_MinKomp[[Stanowisko / Position ]:[Stanowisko / Position ]],0)))</f>
        <v>0</v>
      </c>
      <c r="M206" s="473" t="str">
        <f>IF(INDEX(tab_MinKomp[Przepisy o ub.społ. ZUS  / Sozialversicherungsvorschriften],MATCH($B205,tab_MinKomp[[Stanowisko / Position ]:[Stanowisko / Position ]],0))="n/a","n/a",M205-INDEX(tab_MinKomp[Przepisy o ub.społ. ZUS  / Sozialversicherungsvorschriften],MATCH($B205,tab_MinKomp[[Stanowisko / Position ]:[Stanowisko / Position ]],0)))</f>
        <v>n/a</v>
      </c>
      <c r="N206" s="473" t="str">
        <f>IF(INDEX(tab_MinKomp[PRZEPISY O PDOF /persönlich Einkommensteuergesetz ],MATCH($B205,tab_MinKomp[[Stanowisko / Position ]:[Stanowisko / Position ]],0))="n/a","n/a",N205-INDEX(tab_MinKomp[PRZEPISY O PDOF /persönlich Einkommensteuergesetz ],MATCH($B205,tab_MinKomp[[Stanowisko / Position ]:[Stanowisko / Position ]],0)))</f>
        <v>n/a</v>
      </c>
      <c r="O206" s="473">
        <f>IF(INDEX(tab_MinKomp[Regulamin pracy / Arbeitsordnung],MATCH($B205,tab_MinKomp[[Stanowisko / Position ]:[Stanowisko / Position ]],0))="n/a","n/a",O205-INDEX(tab_MinKomp[Regulamin pracy / Arbeitsordnung],MATCH($B205,tab_MinKomp[[Stanowisko / Position ]:[Stanowisko / Position ]],0)))</f>
        <v>0</v>
      </c>
      <c r="P206" s="473">
        <f>IF(INDEX(tab_MinKomp[Regulamin wynagradzania / Vergütungsordnung],MATCH($B205,tab_MinKomp[[Stanowisko / Position ]:[Stanowisko / Position ]],0))="n/a","n/a",P205-INDEX(tab_MinKomp[Regulamin wynagradzania / Vergütungsordnung],MATCH($B205,tab_MinKomp[[Stanowisko / Position ]:[Stanowisko / Position ]],0)))</f>
        <v>0</v>
      </c>
      <c r="Q206" s="473" t="str">
        <f>IF(INDEX(tab_MinKomp[System R2PŁATNIK PRO: Płace / Lohnabrechnung],MATCH($B205,tab_MinKomp[[Stanowisko / Position ]:[Stanowisko / Position ]],0))="n/a","n/a",Q205-INDEX(tab_MinKomp[System R2PŁATNIK PRO: Płace / Lohnabrechnung],MATCH($B205,tab_MinKomp[[Stanowisko / Position ]:[Stanowisko / Position ]],0)))</f>
        <v>n/a</v>
      </c>
      <c r="R206" s="473" t="str">
        <f>IF(INDEX(tab_MinKomp[SystemR2PŁATNIK PRO: KADRY / Personaldaten],MATCH($B205,tab_MinKomp[[Stanowisko / Position ]:[Stanowisko / Position ]],0))="n/a","n/a",R205-INDEX(tab_MinKomp[SystemR2PŁATNIK PRO: KADRY / Personaldaten],MATCH($B205,tab_MinKomp[[Stanowisko / Position ]:[Stanowisko / Position ]],0)))</f>
        <v>n/a</v>
      </c>
      <c r="S206" s="473" t="str">
        <f>IF(INDEX(tab_MinKomp[SYSTEM R2PŁATNIK PRO: zarządzanie pracownikami / Arbeitsverwaltung],MATCH($B205,tab_MinKomp[[Stanowisko / Position ]:[Stanowisko / Position ]],0))="n/a","n/a",S205-INDEX(tab_MinKomp[SYSTEM R2PŁATNIK PRO: zarządzanie pracownikami / Arbeitsverwaltung],MATCH($B205,tab_MinKomp[[Stanowisko / Position ]:[Stanowisko / Position ]],0)))</f>
        <v>n/a</v>
      </c>
      <c r="T206" s="473" t="str">
        <f>IF(INDEX(tab_MinKomp[Doradztwo, wsparcie personalne / Personalberatung und Unterstützung],MATCH($B205,tab_MinKomp[[Stanowisko / Position ]:[Stanowisko / Position ]],0))="n/a","n/a",T205-INDEX(tab_MinKomp[Doradztwo, wsparcie personalne / Personalberatung und Unterstützung],MATCH($B205,tab_MinKomp[[Stanowisko / Position ]:[Stanowisko / Position ]],0)))</f>
        <v>n/a</v>
      </c>
      <c r="U206" s="472" t="str">
        <f>IF(INDEX(tab_MinKomp[Przepisy o podatku VAT / MwSt.- Gesetz],MATCH($B205,tab_MinKomp[[Stanowisko / Position ]:[Stanowisko / Position ]],0))="n/a","n/a",U205-INDEX(tab_MinKomp[Przepisy o podatku VAT / MwSt.- Gesetz],MATCH($B205,tab_MinKomp[[Stanowisko / Position ]:[Stanowisko / Position ]],0)))</f>
        <v>n/a</v>
      </c>
      <c r="V206" s="315" t="str">
        <f>IF(INDEX(tab_MinKomp[PrzepisyPDOP / geschäftlich Einkommensteuergesetz],MATCH($B205,tab_MinKomp[[Stanowisko / Position ]:[Stanowisko / Position ]],0))="n/a","n/a",V205-INDEX(tab_MinKomp[PrzepisyPDOP / geschäftlich Einkommensteuergesetz],MATCH($B205,tab_MinKomp[[Stanowisko / Position ]:[Stanowisko / Position ]],0)))</f>
        <v>n/a</v>
      </c>
      <c r="W206" s="315" t="str">
        <f>IF(INDEX(tab_MinKomp[System BAAN / FINANSE (FIBU)],MATCH($B205,tab_MinKomp[[Stanowisko / Position ]:[Stanowisko / Position ]],0))="n/a","n/a",W205-INDEX(tab_MinKomp[System BAAN / FINANSE (FIBU)],MATCH($B205,tab_MinKomp[[Stanowisko / Position ]:[Stanowisko / Position ]],0)))</f>
        <v>n/a</v>
      </c>
      <c r="X206" s="315" t="str">
        <f>IF(INDEX(tab_MinKomp[Systemy pomocnicze / Hilfssysteme(STOCKPROGRAM, KALK2000 etc.)],MATCH($B205,tab_MinKomp[[Stanowisko / Position ]:[Stanowisko / Position ]],0))="n/a","n/a",X205-INDEX(tab_MinKomp[Systemy pomocnicze / Hilfssysteme(STOCKPROGRAM, KALK2000 etc.)],MATCH($B205,tab_MinKomp[[Stanowisko / Position ]:[Stanowisko / Position ]],0)))</f>
        <v>n/a</v>
      </c>
      <c r="Y206" s="315" t="str">
        <f>IF(INDEX(tab_MinKomp[Polityka rachunkowości / Buchführungspolitik],MATCH($B205,tab_MinKomp[[Stanowisko / Position ]:[Stanowisko / Position ]],0))="n/a","n/a",Y205-INDEX(tab_MinKomp[Polityka rachunkowości / Buchführungspolitik],MATCH($B205,tab_MinKomp[[Stanowisko / Position ]:[Stanowisko / Position ]],0)))</f>
        <v>n/a</v>
      </c>
      <c r="Z206" s="315" t="str">
        <f>IF(INDEX(tab_MinKomp[Ustawa o rachunkowości / Rechnungslegungsgesetz],MATCH($B205,tab_MinKomp[[Stanowisko / Position ]:[Stanowisko / Position ]],0))="n/a","n/a",Z205-INDEX(tab_MinKomp[Ustawa o rachunkowości / Rechnungslegungsgesetz],MATCH($B205,tab_MinKomp[[Stanowisko / Position ]:[Stanowisko / Position ]],0)))</f>
        <v>n/a</v>
      </c>
      <c r="AA206" s="315" t="str">
        <f>IF(INDEX(tab_MinKomp[WORKFLOW - TS-100],MATCH($B205,tab_MinKomp[[Stanowisko / Position ]:[Stanowisko / Position ]],0))="n/a","n/a",AA205-INDEX(tab_MinKomp[WORKFLOW - TS-100],MATCH($B205,tab_MinKomp[[Stanowisko / Position ]:[Stanowisko / Position ]],0)))</f>
        <v>n/a</v>
      </c>
      <c r="AB206" s="315">
        <f>IF(INDEX(tab_MinKomp[WORKFLOW - SFMS],MATCH($B205,tab_MinKomp[[Stanowisko / Position ]:[Stanowisko / Position ]],0))="n/a","n/a",AB205-INDEX(tab_MinKomp[WORKFLOW - SFMS],MATCH($B205,tab_MinKomp[[Stanowisko / Position ]:[Stanowisko / Position ]],0)))</f>
        <v>-2</v>
      </c>
      <c r="AC206" s="315">
        <f>IF(INDEX(tab_MinKomp[System ISO 9001:2015],MATCH($B205,tab_MinKomp[[Stanowisko / Position ]:[Stanowisko / Position ]],0))="n/a","n/a",AC205-INDEX(tab_MinKomp[System ISO 9001:2015],MATCH($B205,tab_MinKomp[[Stanowisko / Position ]:[Stanowisko / Position ]],0)))</f>
        <v>-2</v>
      </c>
      <c r="AD206" s="315">
        <f>IF(INDEX(tab_MinKomp[System IATF 16949:2016],MATCH($B205,tab_MinKomp[[Stanowisko / Position ]:[Stanowisko / Position ]],0))="n/a","n/a",AD205-INDEX(tab_MinKomp[System IATF 16949:2016],MATCH($B205,tab_MinKomp[[Stanowisko / Position ]:[Stanowisko / Position ]],0)))</f>
        <v>-2</v>
      </c>
      <c r="AE206" s="315">
        <f>IF(INDEX(tab_MinKomp[System ISO 14001:2015],MATCH($B205,tab_MinKomp[[Stanowisko / Position ]:[Stanowisko / Position ]],0))="n/a","n/a",AE205-INDEX(tab_MinKomp[System ISO 14001:2015],MATCH($B205,tab_MinKomp[[Stanowisko / Position ]:[Stanowisko / Position ]],0)))</f>
        <v>-1</v>
      </c>
      <c r="AF206" s="315">
        <f>IF(INDEX(tab_MinKomp[System PN-N 18001:2004 / ISO 45001:2018],MATCH($B205,tab_MinKomp[[Stanowisko / Position ]:[Stanowisko / Position ]],0))="n/a","n/a",AF205-INDEX(tab_MinKomp[System PN-N 18001:2004 / ISO 45001:2018],MATCH($B205,tab_MinKomp[[Stanowisko / Position ]:[Stanowisko / Position ]],0)))</f>
        <v>-1</v>
      </c>
      <c r="AG206" s="315">
        <f>IF(INDEX(tab_MinKomp[Wymagania VDA 6.3 Process / Forderungen],MATCH($B205,tab_MinKomp[[Stanowisko / Position ]:[Stanowisko / Position ]],0))="n/a","n/a",AG205-INDEX(tab_MinKomp[Wymagania VDA 6.3 Process / Forderungen],MATCH($B205,tab_MinKomp[[Stanowisko / Position ]:[Stanowisko / Position ]],0)))</f>
        <v>-2</v>
      </c>
      <c r="AH206" s="315">
        <f>IF(INDEX(tab_MinKomp[Wymagania VDA 6.5 Product / Forderungen],MATCH($B205,tab_MinKomp[[Stanowisko / Position ]:[Stanowisko / Position ]],0))="n/a","n/a",AH205-INDEX(tab_MinKomp[Wymagania VDA 6.5 Product / Forderungen],MATCH($B205,tab_MinKomp[[Stanowisko / Position ]:[Stanowisko / Position ]],0)))</f>
        <v>-2</v>
      </c>
      <c r="AI206" s="315">
        <f>IF(INDEX(tab_MinKomp[PSCR (VW Product Safety &amp; Conformity Representative)],MATCH($B205,tab_MinKomp[[Stanowisko / Position ]:[Stanowisko / Position ]],0))="n/a","n/a",AI205-INDEX(tab_MinKomp[PSCR (VW Product Safety &amp; Conformity Representative)],MATCH($B205,tab_MinKomp[[Stanowisko / Position ]:[Stanowisko / Position ]],0)))</f>
        <v>0</v>
      </c>
      <c r="AJ206" s="315">
        <f>IF(INDEX(tab_MinKomp[Auditor systemu ISO 17025:2018],MATCH($B205,tab_MinKomp[[Stanowisko / Position ]:[Stanowisko / Position ]],0))="n/a","n/a",AJ205-INDEX(tab_MinKomp[Auditor systemu ISO 17025:2018],MATCH($B205,tab_MinKomp[[Stanowisko / Position ]:[Stanowisko / Position ]],0)))</f>
        <v>-1</v>
      </c>
      <c r="AK206" s="315" t="str">
        <f>IF(INDEX(tab_MinKomp[Pełnomocnik systemu / Systemvertreter],MATCH($B205,tab_MinKomp[[Stanowisko / Position ]:[Stanowisko / Position ]],0))="n/a","n/a",AK205-INDEX(tab_MinKomp[Pełnomocnik systemu / Systemvertreter],MATCH($B205,tab_MinKomp[[Stanowisko / Position ]:[Stanowisko / Position ]],0)))</f>
        <v>n/a</v>
      </c>
      <c r="AL206" s="315">
        <f>IF(INDEX(tab_MinKomp[Polityka Etyczna - Compliance],MATCH($B205,tab_MinKomp[[Stanowisko / Position ]:[Stanowisko / Position ]],0))="n/a","n/a",AL205-INDEX(tab_MinKomp[Polityka Etyczna - Compliance],MATCH($B205,tab_MinKomp[[Stanowisko / Position ]:[Stanowisko / Position ]],0)))</f>
        <v>-2</v>
      </c>
      <c r="AM206" s="315">
        <f>IF(INDEX(tab_MinKomp[WDRAŻANIE NOWYCH PROJEKTÓW/ PROCEDURA CTM],MATCH($B205,tab_MinKomp[[Stanowisko / Position ]:[Stanowisko / Position ]],0))="n/a","n/a",AM205-INDEX(tab_MinKomp[WDRAŻANIE NOWYCH PROJEKTÓW/ PROCEDURA CTM],MATCH($B205,tab_MinKomp[[Stanowisko / Position ]:[Stanowisko / Position ]],0)))</f>
        <v>-1</v>
      </c>
      <c r="AN206" s="315" t="str">
        <f>IF(INDEX(tab_MinKomp[KAMIENIE MILOWE MSL/PIFF],MATCH($B205,tab_MinKomp[[Stanowisko / Position ]:[Stanowisko / Position ]],0))="n/a","n/a",AN205-INDEX(tab_MinKomp[KAMIENIE MILOWE MSL/PIFF],MATCH($B205,tab_MinKomp[[Stanowisko / Position ]:[Stanowisko / Position ]],0)))</f>
        <v>n/a</v>
      </c>
      <c r="AO206" s="315">
        <f>IF(INDEX(tab_MinKomp[CP],MATCH($B205,tab_MinKomp[[Stanowisko / Position ]:[Stanowisko / Position ]],0))="n/a","n/a",AO205-INDEX(tab_MinKomp[CP],MATCH($B205,tab_MinKomp[[Stanowisko / Position ]:[Stanowisko / Position ]],0)))</f>
        <v>-1</v>
      </c>
      <c r="AP206" s="315">
        <f>IF(INDEX(tab_MinKomp[FMEA],MATCH($B205,tab_MinKomp[[Stanowisko / Position ]:[Stanowisko / Position ]],0))="n/a","n/a",AP205-INDEX(tab_MinKomp[FMEA],MATCH($B205,tab_MinKomp[[Stanowisko / Position ]:[Stanowisko / Position ]],0)))</f>
        <v>-1</v>
      </c>
      <c r="AQ206" s="315">
        <f>IF(INDEX(tab_MinKomp[FLOW CHART],MATCH($B205,tab_MinKomp[[Stanowisko / Position ]:[Stanowisko / Position ]],0))="n/a","n/a",AQ205-INDEX(tab_MinKomp[FLOW CHART],MATCH($B205,tab_MinKomp[[Stanowisko / Position ]:[Stanowisko / Position ]],0)))</f>
        <v>-1</v>
      </c>
      <c r="AR206" s="315">
        <f>IF(INDEX(tab_MinKomp[APQP],MATCH($B205,tab_MinKomp[[Stanowisko / Position ]:[Stanowisko / Position ]],0))="n/a","n/a",AR205-INDEX(tab_MinKomp[APQP],MATCH($B205,tab_MinKomp[[Stanowisko / Position ]:[Stanowisko / Position ]],0)))</f>
        <v>0</v>
      </c>
      <c r="AS206" s="315">
        <f>IF(INDEX(tab_MinKomp[MSA],MATCH($B205,tab_MinKomp[[Stanowisko / Position ]:[Stanowisko / Position ]],0))="n/a","n/a",AS205-INDEX(tab_MinKomp[MSA],MATCH($B205,tab_MinKomp[[Stanowisko / Position ]:[Stanowisko / Position ]],0)))</f>
        <v>-1</v>
      </c>
      <c r="AT206" s="315">
        <f>IF(INDEX(tab_MinKomp[SPC],MATCH($B205,tab_MinKomp[[Stanowisko / Position ]:[Stanowisko / Position ]],0))="n/a","n/a",AT205-INDEX(tab_MinKomp[SPC],MATCH($B205,tab_MinKomp[[Stanowisko / Position ]:[Stanowisko / Position ]],0)))</f>
        <v>-1</v>
      </c>
      <c r="AU206" s="315">
        <f>IF(INDEX(tab_MinKomp[CSR (SPECYFICZNE WYMAGANIA KLIENTA)],MATCH($B205,tab_MinKomp[[Stanowisko / Position ]:[Stanowisko / Position ]],0))="n/a","n/a",AU205-INDEX(tab_MinKomp[CSR (SPECYFICZNE WYMAGANIA KLIENTA)],MATCH($B205,tab_MinKomp[[Stanowisko / Position ]:[Stanowisko / Position ]],0)))</f>
        <v>-1</v>
      </c>
      <c r="AV206" s="315">
        <f>IF(INDEX(tab_MinKomp[5S],MATCH($B205,tab_MinKomp[[Stanowisko / Position ]:[Stanowisko / Position ]],0))="n/a","n/a",AV205-INDEX(tab_MinKomp[5S],MATCH($B205,tab_MinKomp[[Stanowisko / Position ]:[Stanowisko / Position ]],0)))</f>
        <v>-2</v>
      </c>
      <c r="AW206" s="315">
        <f>IF(INDEX(tab_MinKomp[LEAN MANAGEMENT],MATCH($B205,tab_MinKomp[[Stanowisko / Position ]:[Stanowisko / Position ]],0))="n/a","n/a",AW205-INDEX(tab_MinKomp[LEAN MANAGEMENT],MATCH($B205,tab_MinKomp[[Stanowisko / Position ]:[Stanowisko / Position ]],0)))</f>
        <v>0</v>
      </c>
      <c r="AX206" s="315">
        <f>IF(INDEX(tab_MinKomp[5R],MATCH($B205,tab_MinKomp[[Stanowisko / Position ]:[Stanowisko / Position ]],0))="n/a","n/a",AX205-INDEX(tab_MinKomp[5R],MATCH($B205,tab_MinKomp[[Stanowisko / Position ]:[Stanowisko / Position ]],0)))</f>
        <v>-1</v>
      </c>
      <c r="AY206" s="315" t="str">
        <f>IF(INDEX(tab_MinKomp[Six Sigma],MATCH($B205,tab_MinKomp[[Stanowisko / Position ]:[Stanowisko / Position ]],0))="n/a","n/a",AY205-INDEX(tab_MinKomp[Six Sigma],MATCH($B205,tab_MinKomp[[Stanowisko / Position ]:[Stanowisko / Position ]],0)))</f>
        <v>n/a</v>
      </c>
      <c r="AZ206" s="315" t="str">
        <f>IF(INDEX(tab_MinKomp[System BAAN / Distribution &amp; Supply Chain],MATCH($B205,tab_MinKomp[[Stanowisko / Position ]:[Stanowisko / Position ]],0))="n/a","n/a",AZ205-INDEX(tab_MinKomp[System BAAN / Distribution &amp; Supply Chain],MATCH($B205,tab_MinKomp[[Stanowisko / Position ]:[Stanowisko / Position ]],0)))</f>
        <v>n/a</v>
      </c>
      <c r="BA206" s="315" t="str">
        <f>IF(INDEX(tab_MinKomp[Gospodarka magazynowa / Lagerverwaltung],MATCH($B205,tab_MinKomp[[Stanowisko / Position ]:[Stanowisko / Position ]],0))="n/a","n/a",BA205-INDEX(tab_MinKomp[Gospodarka magazynowa / Lagerverwaltung],MATCH($B205,tab_MinKomp[[Stanowisko / Position ]:[Stanowisko / Position ]],0)))</f>
        <v>n/a</v>
      </c>
      <c r="BB206" s="315" t="str">
        <f>IF(INDEX(tab_MinKomp[Inwentaryzacja - organizacja i przebieg / Inventurprozess],MATCH($B205,tab_MinKomp[[Stanowisko / Position ]:[Stanowisko / Position ]],0))="n/a","n/a",BB205-INDEX(tab_MinKomp[Inwentaryzacja - organizacja i przebieg / Inventurprozess],MATCH($B205,tab_MinKomp[[Stanowisko / Position ]:[Stanowisko / Position ]],0)))</f>
        <v>n/a</v>
      </c>
      <c r="BC206" s="315" t="str">
        <f>IF(INDEX(tab_MinKomp[Organizacja dostaw / Versorgungsorganisation],MATCH($B205,tab_MinKomp[[Stanowisko / Position ]:[Stanowisko / Position ]],0))="n/a","n/a",BC205-INDEX(tab_MinKomp[Organizacja dostaw / Versorgungsorganisation],MATCH($B205,tab_MinKomp[[Stanowisko / Position ]:[Stanowisko / Position ]],0)))</f>
        <v>n/a</v>
      </c>
      <c r="BD206" s="315" t="str">
        <f>IF(INDEX(tab_MinKomp[Organizacja wysyłek / Organisation von Lieferungen],MATCH($B205,tab_MinKomp[[Stanowisko / Position ]:[Stanowisko / Position ]],0))="n/a","n/a",BD205-INDEX(tab_MinKomp[Organizacja wysyłek / Organisation von Lieferungen],MATCH($B205,tab_MinKomp[[Stanowisko / Position ]:[Stanowisko / Position ]],0)))</f>
        <v>n/a</v>
      </c>
      <c r="BE206" s="315" t="str">
        <f>IF(INDEX(tab_MinKomp[Analiza magazynowa - Program Polen.mdb / Inventuranalyse],MATCH($B205,tab_MinKomp[[Stanowisko / Position ]:[Stanowisko / Position ]],0))="n/a","n/a",BE205-INDEX(tab_MinKomp[Analiza magazynowa - Program Polen.mdb / Inventuranalyse],MATCH($B205,tab_MinKomp[[Stanowisko / Position ]:[Stanowisko / Position ]],0)))</f>
        <v>n/a</v>
      </c>
      <c r="BF206" s="315" t="str">
        <f>IF(INDEX(tab_MinKomp[MMOG (Materials Management Operations Guidelines)],MATCH($B205,tab_MinKomp[[Stanowisko / Position ]:[Stanowisko / Position ]],0))="n/a","n/a",BF205-INDEX(tab_MinKomp[MMOG (Materials Management Operations Guidelines)],MATCH($B205,tab_MinKomp[[Stanowisko / Position ]:[Stanowisko / Position ]],0)))</f>
        <v>n/a</v>
      </c>
      <c r="BG206" s="315" t="str">
        <f>IF(INDEX(tab_MinKomp[DETC],MATCH($B205,tab_MinKomp[[Stanowisko / Position ]:[Stanowisko / Position ]],0))="n/a","n/a",BG205-INDEX(tab_MinKomp[DETC],MATCH($B205,tab_MinKomp[[Stanowisko / Position ]:[Stanowisko / Position ]],0)))</f>
        <v>n/a</v>
      </c>
      <c r="BH206" s="315" t="str">
        <f>IF(INDEX(tab_MinKomp[GPP],MATCH($B205,tab_MinKomp[[Stanowisko / Position ]:[Stanowisko / Position ]],0))="n/a","n/a",BH205-INDEX(tab_MinKomp[GPP],MATCH($B205,tab_MinKomp[[Stanowisko / Position ]:[Stanowisko / Position ]],0)))</f>
        <v>n/a</v>
      </c>
      <c r="BI206" s="315" t="str">
        <f>IF(INDEX(tab_MinKomp[AIAG (Automotive Industry Action Group)],MATCH($B205,tab_MinKomp[[Stanowisko / Position ]:[Stanowisko / Position ]],0))="n/a","n/a",BI205-INDEX(tab_MinKomp[AIAG (Automotive Industry Action Group)],MATCH($B205,tab_MinKomp[[Stanowisko / Position ]:[Stanowisko / Position ]],0)))</f>
        <v>n/a</v>
      </c>
      <c r="BJ206" s="315" t="str">
        <f>IF(INDEX(tab_MinKomp[Super-G disputes],MATCH($B205,tab_MinKomp[[Stanowisko / Position ]:[Stanowisko / Position ]],0))="n/a","n/a",BJ205-INDEX(tab_MinKomp[Super-G disputes],MATCH($B205,tab_MinKomp[[Stanowisko / Position ]:[Stanowisko / Position ]],0)))</f>
        <v>n/a</v>
      </c>
      <c r="BK206" s="315" t="str">
        <f>IF(INDEX(tab_MinKomp[CMMS3/eDDL (Direct Data Link)],MATCH($B205,tab_MinKomp[[Stanowisko / Position ]:[Stanowisko / Position ]],0))="n/a","n/a",BK205-INDEX(tab_MinKomp[CMMS3/eDDL (Direct Data Link)],MATCH($B205,tab_MinKomp[[Stanowisko / Position ]:[Stanowisko / Position ]],0)))</f>
        <v>n/a</v>
      </c>
      <c r="BL206" s="315" t="str">
        <f>IF(INDEX(tab_MinKomp[MP&amp;L (Material Planning and Logistics)],MATCH($B205,tab_MinKomp[[Stanowisko / Position ]:[Stanowisko / Position ]],0))="n/a","n/a",BL205-INDEX(tab_MinKomp[MP&amp;L (Material Planning and Logistics)],MATCH($B205,tab_MinKomp[[Stanowisko / Position ]:[Stanowisko / Position ]],0)))</f>
        <v>n/a</v>
      </c>
      <c r="BM206" s="315" t="str">
        <f>IF(INDEX(tab_MinKomp[Supplier delivery rating],MATCH($B205,tab_MinKomp[[Stanowisko / Position ]:[Stanowisko / Position ]],0))="n/a","n/a",BM205-INDEX(tab_MinKomp[Supplier delivery rating],MATCH($B205,tab_MinKomp[[Stanowisko / Position ]:[Stanowisko / Position ]],0)))</f>
        <v>n/a</v>
      </c>
      <c r="BN206" s="315" t="str">
        <f>IF(INDEX(tab_MinKomp[Planowanie produkcji / Produktionsplanung],MATCH($B205,tab_MinKomp[[Stanowisko / Position ]:[Stanowisko / Position ]],0))="n/a","n/a",BN205-INDEX(tab_MinKomp[Planowanie produkcji / Produktionsplanung],MATCH($B205,tab_MinKomp[[Stanowisko / Position ]:[Stanowisko / Position ]],0)))</f>
        <v>n/a</v>
      </c>
      <c r="BO206" s="315" t="str">
        <f>IF(INDEX(tab_MinKomp[Obsługa maszyn Engel / Engel Maschinenbedienung],MATCH($B205,tab_MinKomp[[Stanowisko / Position ]:[Stanowisko / Position ]],0))="n/a","n/a",BO205-INDEX(tab_MinKomp[Obsługa maszyn Engel / Engel Maschinenbedienung],MATCH($B205,tab_MinKomp[[Stanowisko / Position ]:[Stanowisko / Position ]],0)))</f>
        <v>n/a</v>
      </c>
      <c r="BP206" s="315" t="str">
        <f>IF(INDEX(tab_MinKomp[Obsługa maszyn Novapax / Novapax Maschinenbedienung],MATCH($B205,tab_MinKomp[[Stanowisko / Position ]:[Stanowisko / Position ]],0))="n/a","n/a",BP205-INDEX(tab_MinKomp[Obsługa maszyn Novapax / Novapax Maschinenbedienung],MATCH($B205,tab_MinKomp[[Stanowisko / Position ]:[Stanowisko / Position ]],0)))</f>
        <v>n/a</v>
      </c>
      <c r="BQ206" s="315" t="str">
        <f>IF(INDEX(tab_MinKomp[Obsługa maszyn KVT / KVT Maschinenbedienung],MATCH($B205,tab_MinKomp[[Stanowisko / Position ]:[Stanowisko / Position ]],0))="n/a","n/a",BQ205-INDEX(tab_MinKomp[Obsługa maszyn KVT / KVT Maschinenbedienung],MATCH($B205,tab_MinKomp[[Stanowisko / Position ]:[Stanowisko / Position ]],0)))</f>
        <v>n/a</v>
      </c>
      <c r="BR206" s="315" t="str">
        <f>IF(INDEX(tab_MinKomp[Obsługa maszyn ASL / ASL Maschinenbedienung],MATCH($B205,tab_MinKomp[[Stanowisko / Position ]:[Stanowisko / Position ]],0))="n/a","n/a",BR205-INDEX(tab_MinKomp[Obsługa maszyn ASL / ASL Maschinenbedienung],MATCH($B205,tab_MinKomp[[Stanowisko / Position ]:[Stanowisko / Position ]],0)))</f>
        <v>n/a</v>
      </c>
      <c r="BS206" s="315" t="str">
        <f>IF(INDEX(tab_MinKomp[Obsługa maszyn Branson / Branson Maschinenbedienung],MATCH($B205,tab_MinKomp[[Stanowisko / Position ]:[Stanowisko / Position ]],0))="n/a","n/a",BS205-INDEX(tab_MinKomp[Obsługa maszyn Branson / Branson Maschinenbedienung],MATCH($B205,tab_MinKomp[[Stanowisko / Position ]:[Stanowisko / Position ]],0)))</f>
        <v>n/a</v>
      </c>
      <c r="BT206" s="315" t="str">
        <f>IF(INDEX(tab_MinKomp[Obsługa maszyn Kamtec / Kamtec Maschinenbedienung],MATCH($B205,tab_MinKomp[[Stanowisko / Position ]:[Stanowisko / Position ]],0))="n/a","n/a",BT205-INDEX(tab_MinKomp[Obsługa maszyn Kamtec / Kamtec Maschinenbedienung],MATCH($B205,tab_MinKomp[[Stanowisko / Position ]:[Stanowisko / Position ]],0)))</f>
        <v>n/a</v>
      </c>
      <c r="BU206" s="315" t="str">
        <f>IF(INDEX(tab_MinKomp[Obsługa maszyn Piovan / Piovan Maschinenbedienung],MATCH($B205,tab_MinKomp[[Stanowisko / Position ]:[Stanowisko / Position ]],0))="n/a","n/a",BU205-INDEX(tab_MinKomp[Obsługa maszyn Piovan / Piovan Maschinenbedienung],MATCH($B205,tab_MinKomp[[Stanowisko / Position ]:[Stanowisko / Position ]],0)))</f>
        <v>n/a</v>
      </c>
      <c r="BV206" s="315" t="str">
        <f>IF(INDEX(tab_MinKomp[Obsługa maszyn REP / REP Maschinenbedienung],MATCH($B205,tab_MinKomp[[Stanowisko / Position ]:[Stanowisko / Position ]],0))="n/a","n/a",BV205-INDEX(tab_MinKomp[Obsługa maszyn REP / REP Maschinenbedienung],MATCH($B205,tab_MinKomp[[Stanowisko / Position ]:[Stanowisko / Position ]],0)))</f>
        <v>n/a</v>
      </c>
      <c r="BW206" s="315" t="str">
        <f>IF(INDEX(tab_MinKomp[Informatyka ogólna (techniczne i systemowe) / Allgemeine IT (Technik und System)],MATCH($B205,tab_MinKomp[[Stanowisko / Position ]:[Stanowisko / Position ]],0))="n/a","n/a",BW205-INDEX(tab_MinKomp[Informatyka ogólna (techniczne i systemowe) / Allgemeine IT (Technik und System)],MATCH($B205,tab_MinKomp[[Stanowisko / Position ]:[Stanowisko / Position ]],0)))</f>
        <v>n/a</v>
      </c>
      <c r="BX206" s="315" t="str">
        <f>IF(INDEX(tab_MinKomp[Sieci komputerowe / Computernetzwerke],MATCH($B205,tab_MinKomp[[Stanowisko / Position ]:[Stanowisko / Position ]],0))="n/a","n/a",BX205-INDEX(tab_MinKomp[Sieci komputerowe / Computernetzwerke],MATCH($B205,tab_MinKomp[[Stanowisko / Position ]:[Stanowisko / Position ]],0)))</f>
        <v>n/a</v>
      </c>
      <c r="BY206" s="315" t="str">
        <f>IF(INDEX(tab_MinKomp[Hardware (komputery PC, drukarki biurowe i etykietowe, telefonia stacjonarna i mobilna) (PC, Drucker, Telefpne, Handys)],MATCH($B205,tab_MinKomp[[Stanowisko / Position ]:[Stanowisko / Position ]],0))="n/a","n/a",BY205-INDEX(tab_MinKomp[Hardware (komputery PC, drukarki biurowe i etykietowe, telefonia stacjonarna i mobilna) (PC, Drucker, Telefpne, Handys)],MATCH($B205,tab_MinKomp[[Stanowisko / Position ]:[Stanowisko / Position ]],0)))</f>
        <v>n/a</v>
      </c>
      <c r="BZ206" s="315" t="str">
        <f>IF(INDEX(tab_MinKomp[Software &amp; Systems (MS Office, MS Remote Desktop)],MATCH($B205,tab_MinKomp[[Stanowisko / Position ]:[Stanowisko / Position ]],0))="n/a","n/a",BZ205-INDEX(tab_MinKomp[Software &amp; Systems (MS Office, MS Remote Desktop)],MATCH($B205,tab_MinKomp[[Stanowisko / Position ]:[Stanowisko / Position ]],0)))</f>
        <v>n/a</v>
      </c>
      <c r="CA206" s="315" t="str">
        <f>IF(INDEX(tab_MinKomp[Programowanie obiektowe (PHP) / Objektprogrammierung],MATCH($B205,tab_MinKomp[[Stanowisko / Position ]:[Stanowisko / Position ]],0))="n/a","n/a",CA205-INDEX(tab_MinKomp[Programowanie obiektowe (PHP) / Objektprogrammierung],MATCH($B205,tab_MinKomp[[Stanowisko / Position ]:[Stanowisko / Position ]],0)))</f>
        <v>n/a</v>
      </c>
      <c r="CB206" s="315" t="str">
        <f>IF(INDEX(tab_MinKomp[Scrum],MATCH($B205,tab_MinKomp[[Stanowisko / Position ]:[Stanowisko / Position ]],0))="n/a","n/a",CB205-INDEX(tab_MinKomp[Scrum],MATCH($B205,tab_MinKomp[[Stanowisko / Position ]:[Stanowisko / Position ]],0)))</f>
        <v>n/a</v>
      </c>
      <c r="CC206" s="315" t="str">
        <f>IF(INDEX(tab_MinKomp[SQL (MySQL)],MATCH($B205,tab_MinKomp[[Stanowisko / Position ]:[Stanowisko / Position ]],0))="n/a","n/a",CC205-INDEX(tab_MinKomp[SQL (MySQL)],MATCH($B205,tab_MinKomp[[Stanowisko / Position ]:[Stanowisko / Position ]],0)))</f>
        <v>n/a</v>
      </c>
      <c r="CD206" s="315" t="str">
        <f>IF(INDEX(tab_MinKomp[Javascript],MATCH($B205,tab_MinKomp[[Stanowisko / Position ]:[Stanowisko / Position ]],0))="n/a","n/a",CD205-INDEX(tab_MinKomp[Javascript],MATCH($B205,tab_MinKomp[[Stanowisko / Position ]:[Stanowisko / Position ]],0)))</f>
        <v>n/a</v>
      </c>
      <c r="CE206" s="315" t="str">
        <f>IF(INDEX(tab_MinKomp[Joomla],MATCH($B205,tab_MinKomp[[Stanowisko / Position ]:[Stanowisko / Position ]],0))="n/a","n/a",CE205-INDEX(tab_MinKomp[Joomla],MATCH($B205,tab_MinKomp[[Stanowisko / Position ]:[Stanowisko / Position ]],0)))</f>
        <v>n/a</v>
      </c>
      <c r="CF206" s="315" t="str">
        <f>IF(INDEX(tab_MinKomp[Bash],MATCH($B205,tab_MinKomp[[Stanowisko / Position ]:[Stanowisko / Position ]],0))="n/a","n/a",CF205-INDEX(tab_MinKomp[Bash],MATCH($B205,tab_MinKomp[[Stanowisko / Position ]:[Stanowisko / Position ]],0)))</f>
        <v>n/a</v>
      </c>
      <c r="CG206" s="315" t="str">
        <f>IF(INDEX(tab_MinKomp[Systemy MES (HYDRA / SFMS)],MATCH($B205,tab_MinKomp[[Stanowisko / Position ]:[Stanowisko / Position ]],0))="n/a","n/a",CG205-INDEX(tab_MinKomp[Systemy MES (HYDRA / SFMS)],MATCH($B205,tab_MinKomp[[Stanowisko / Position ]:[Stanowisko / Position ]],0)))</f>
        <v>n/a</v>
      </c>
      <c r="CH206" s="315" t="str">
        <f>IF(INDEX(tab_MinKomp[HTML / CSS],MATCH($B205,tab_MinKomp[[Stanowisko / Position ]:[Stanowisko / Position ]],0))="n/a","n/a",CH205-INDEX(tab_MinKomp[HTML / CSS],MATCH($B205,tab_MinKomp[[Stanowisko / Position ]:[Stanowisko / Position ]],0)))</f>
        <v>n/a</v>
      </c>
      <c r="CI206" s="315">
        <f>IF(INDEX(tab_MinKomp[SYSTEM PR],MATCH($B205,tab_MinKomp[[Stanowisko / Position ]:[Stanowisko / Position ]],0))="n/a","n/a",CI205-INDEX(tab_MinKomp[SYSTEM PR],MATCH($B205,tab_MinKomp[[Stanowisko / Position ]:[Stanowisko / Position ]],0)))</f>
        <v>-1</v>
      </c>
      <c r="CJ206" s="315" t="str">
        <f>IF(INDEX(tab_MinKomp[System Einkauf XP / EBA],MATCH($B205,tab_MinKomp[[Stanowisko / Position ]:[Stanowisko / Position ]],0))="n/a","n/a",CJ205-INDEX(tab_MinKomp[System Einkauf XP / EBA],MATCH($B205,tab_MinKomp[[Stanowisko / Position ]:[Stanowisko / Position ]],0)))</f>
        <v>n/a</v>
      </c>
      <c r="CK206" s="315" t="str">
        <f>IF(INDEX(tab_MinKomp[Techniki negocjacyjne / Verhandlungstechniken],MATCH($B205,tab_MinKomp[[Stanowisko / Position ]:[Stanowisko / Position ]],0))="n/a","n/a",CK205-INDEX(tab_MinKomp[Techniki negocjacyjne / Verhandlungstechniken],MATCH($B205,tab_MinKomp[[Stanowisko / Position ]:[Stanowisko / Position ]],0)))</f>
        <v>n/a</v>
      </c>
      <c r="CL206" s="315" t="str">
        <f>IF(INDEX(tab_MinKomp[Znajomość rynku branżowego / Kenntnis des Industrie Marktes],MATCH($B205,tab_MinKomp[[Stanowisko / Position ]:[Stanowisko / Position ]],0))="n/a","n/a",CL205-INDEX(tab_MinKomp[Znajomość rynku branżowego / Kenntnis des Industrie Marktes],MATCH($B205,tab_MinKomp[[Stanowisko / Position ]:[Stanowisko / Position ]],0)))</f>
        <v>n/a</v>
      </c>
      <c r="CM206" s="315">
        <f>IF(INDEX(tab_MinKomp[RAPORTY 8D / 8D Berichten],MATCH($B205,tab_MinKomp[[Stanowisko / Position ]:[Stanowisko / Position ]],0))="n/a","n/a",CM205-INDEX(tab_MinKomp[RAPORTY 8D / 8D Berichten],MATCH($B205,tab_MinKomp[[Stanowisko / Position ]:[Stanowisko / Position ]],0)))</f>
        <v>-1</v>
      </c>
      <c r="CN206" s="315">
        <f>IF(INDEX(tab_MinKomp[NARZĘDZIA JAKOŚCIOWE (5WHY, Ishikawa, etc) / QS-Werkzeuge],MATCH($B205,tab_MinKomp[[Stanowisko / Position ]:[Stanowisko / Position ]],0))="n/a","n/a",CN205-INDEX(tab_MinKomp[NARZĘDZIA JAKOŚCIOWE (5WHY, Ishikawa, etc) / QS-Werkzeuge],MATCH($B205,tab_MinKomp[[Stanowisko / Position ]:[Stanowisko / Position ]],0)))</f>
        <v>-2</v>
      </c>
      <c r="CO206" s="315">
        <f>IF(INDEX(tab_MinKomp[PDCA],MATCH($B205,tab_MinKomp[[Stanowisko / Position ]:[Stanowisko / Position ]],0))="n/a","n/a",CO205-INDEX(tab_MinKomp[PDCA],MATCH($B205,tab_MinKomp[[Stanowisko / Position ]:[Stanowisko / Position ]],0)))</f>
        <v>-2</v>
      </c>
      <c r="CP206" s="315">
        <f>IF(INDEX(tab_MinKomp[Pareto],MATCH($B205,tab_MinKomp[[Stanowisko / Position ]:[Stanowisko / Position ]],0))="n/a","n/a",CP205-INDEX(tab_MinKomp[Pareto],MATCH($B205,tab_MinKomp[[Stanowisko / Position ]:[Stanowisko / Position ]],0)))</f>
        <v>-2</v>
      </c>
      <c r="CQ206" s="315">
        <f>IF(INDEX(tab_MinKomp[PPAP/PSW],MATCH($B205,tab_MinKomp[[Stanowisko / Position ]:[Stanowisko / Position ]],0))="n/a","n/a",CQ205-INDEX(tab_MinKomp[PPAP/PSW],MATCH($B205,tab_MinKomp[[Stanowisko / Position ]:[Stanowisko / Position ]],0)))</f>
        <v>-1</v>
      </c>
      <c r="CR206" s="315" t="str">
        <f>IF(INDEX(tab_MinKomp[SUPPLIER MANAGEMENT],MATCH($B205,tab_MinKomp[[Stanowisko / Position ]:[Stanowisko / Position ]],0))="n/a","n/a",CR205-INDEX(tab_MinKomp[SUPPLIER MANAGEMENT],MATCH($B205,tab_MinKomp[[Stanowisko / Position ]:[Stanowisko / Position ]],0)))</f>
        <v>n/a</v>
      </c>
      <c r="CS206" s="315">
        <f>IF(INDEX(tab_MinKomp[OBSŁUGA PORTALI KLIENTA / Kundenportale],MATCH($B205,tab_MinKomp[[Stanowisko / Position ]:[Stanowisko / Position ]],0))="n/a","n/a",CS205-INDEX(tab_MinKomp[OBSŁUGA PORTALI KLIENTA / Kundenportale],MATCH($B205,tab_MinKomp[[Stanowisko / Position ]:[Stanowisko / Position ]],0)))</f>
        <v>-1</v>
      </c>
      <c r="CT206" s="315">
        <f>IF(INDEX(tab_MinKomp[Obsługa systemu BABTECQ / BABTECQ System],MATCH($B205,tab_MinKomp[[Stanowisko / Position ]:[Stanowisko / Position ]],0))="n/a","n/a",CT205-INDEX(tab_MinKomp[Obsługa systemu BABTECQ / BABTECQ System],MATCH($B205,tab_MinKomp[[Stanowisko / Position ]:[Stanowisko / Position ]],0)))</f>
        <v>0</v>
      </c>
      <c r="CU206" s="315">
        <f>IF(INDEX(tab_MinKomp[Rysunek techniczny / technische Zeichnung],MATCH($B205,tab_MinKomp[[Stanowisko / Position ]:[Stanowisko / Position ]],0))="n/a","n/a",CU205-INDEX(tab_MinKomp[Rysunek techniczny / technische Zeichnung],MATCH($B205,tab_MinKomp[[Stanowisko / Position ]:[Stanowisko / Position ]],0)))</f>
        <v>0</v>
      </c>
      <c r="CV206" s="315" t="str">
        <f>IF(INDEX(tab_MinKomp[Kalibracja / Kalibrierung],MATCH($B205,tab_MinKomp[[Stanowisko / Position ]:[Stanowisko / Position ]],0))="n/a","n/a",CV205-INDEX(tab_MinKomp[Kalibracja / Kalibrierung],MATCH($B205,tab_MinKomp[[Stanowisko / Position ]:[Stanowisko / Position ]],0)))</f>
        <v>n/a</v>
      </c>
      <c r="CW206" s="315">
        <f>IF(INDEX(tab_MinKomp[Rekwalifikacja / Requalifizierung],MATCH($B205,tab_MinKomp[[Stanowisko / Position ]:[Stanowisko / Position ]],0))="n/a","n/a",CW205-INDEX(tab_MinKomp[Rekwalifikacja / Requalifizierung],MATCH($B205,tab_MinKomp[[Stanowisko / Position ]:[Stanowisko / Position ]],0)))</f>
        <v>0</v>
      </c>
      <c r="CX206" s="315" t="str">
        <f>IF(INDEX(tab_MinKomp[Obsługa mikroskopu optycznego / Bedienung eines optischen Mikroskops],MATCH($B205,tab_MinKomp[[Stanowisko / Position ]:[Stanowisko / Position ]],0))="n/a","n/a",CX205-INDEX(tab_MinKomp[Obsługa mikroskopu optycznego / Bedienung eines optischen Mikroskops],MATCH($B205,tab_MinKomp[[Stanowisko / Position ]:[Stanowisko / Position ]],0)))</f>
        <v>n/a</v>
      </c>
      <c r="CY206" s="315" t="str">
        <f>IF(INDEX(tab_MinKomp[Wykonywanie pomiarów optycznych - ocena wizualna / Optische Messungen durchführen – visuelle Beurteilung],MATCH($B205,tab_MinKomp[[Stanowisko / Position ]:[Stanowisko / Position ]],0))="n/a","n/a",CY205-INDEX(tab_MinKomp[Wykonywanie pomiarów optycznych - ocena wizualna / Optische Messungen durchführen – visuelle Beurteilung],MATCH($B205,tab_MinKomp[[Stanowisko / Position ]:[Stanowisko / Position ]],0)))</f>
        <v>n/a</v>
      </c>
      <c r="CZ206" s="315" t="str">
        <f>IF(INDEX(tab_MinKomp[Obsługa Rheometra / Rheometra-Unterstützung],MATCH($B205,tab_MinKomp[[Stanowisko / Position ]:[Stanowisko / Position ]],0))="n/a","n/a",CZ205-INDEX(tab_MinKomp[Obsługa Rheometra / Rheometra-Unterstützung],MATCH($B205,tab_MinKomp[[Stanowisko / Position ]:[Stanowisko / Position ]],0)))</f>
        <v>n/a</v>
      </c>
      <c r="DA206" s="315" t="str">
        <f>IF(INDEX(tab_MinKomp[Testy właściwości Rheometra mieszanki gumy],MATCH($B205,tab_MinKomp[[Stanowisko / Position ]:[Stanowisko / Position ]],0))="n/a","n/a",DA205-INDEX(tab_MinKomp[Testy właściwości Rheometra mieszanki gumy],MATCH($B205,tab_MinKomp[[Stanowisko / Position ]:[Stanowisko / Position ]],0)))</f>
        <v>n/a</v>
      </c>
      <c r="DB206" s="315" t="str">
        <f>IF(INDEX(tab_MinKomp[CMM - Contura Zeiss],MATCH($B205,tab_MinKomp[[Stanowisko / Position ]:[Stanowisko / Position ]],0))="n/a","n/a",DB205-INDEX(tab_MinKomp[CMM - Contura Zeiss],MATCH($B205,tab_MinKomp[[Stanowisko / Position ]:[Stanowisko / Position ]],0)))</f>
        <v>n/a</v>
      </c>
      <c r="DC206" s="315" t="str">
        <f>IF(INDEX(tab_MinKomp[Wykonywanie precyzyjnych pomiarów metrycznych, pomiary 3D],MATCH($B205,tab_MinKomp[[Stanowisko / Position ]:[Stanowisko / Position ]],0))="n/a","n/a",DC205-INDEX(tab_MinKomp[Wykonywanie precyzyjnych pomiarów metrycznych, pomiary 3D],MATCH($B205,tab_MinKomp[[Stanowisko / Position ]:[Stanowisko / Position ]],0)))</f>
        <v>n/a</v>
      </c>
      <c r="DD206" s="315" t="str">
        <f>IF(INDEX(tab_MinKomp[Pisanie programów / Programme schreiben],MATCH($B205,tab_MinKomp[[Stanowisko / Position ]:[Stanowisko / Position ]],0))="n/a","n/a",DD205-INDEX(tab_MinKomp[Pisanie programów / Programme schreiben],MATCH($B205,tab_MinKomp[[Stanowisko / Position ]:[Stanowisko / Position ]],0)))</f>
        <v>n/a</v>
      </c>
      <c r="DE206" s="315" t="str">
        <f>IF(INDEX(tab_MinKomp[Obsługa wyposażenia do testów czystości (myjka + analizator) / Betrieb von Sauberkeitsprüfgeräten (Waschmaschine + Analysegerät)],MATCH($B205,tab_MinKomp[[Stanowisko / Position ]:[Stanowisko / Position ]],0))="n/a","n/a",DE205-INDEX(tab_MinKomp[Obsługa wyposażenia do testów czystości (myjka + analizator) / Betrieb von Sauberkeitsprüfgeräten (Waschmaschine + Analysegerät)],MATCH($B205,tab_MinKomp[[Stanowisko / Position ]:[Stanowisko / Position ]],0)))</f>
        <v>n/a</v>
      </c>
      <c r="DF206" s="315" t="str">
        <f>IF(INDEX(tab_MinKomp[Testy czystości / Reinheitstests],MATCH($B205,tab_MinKomp[[Stanowisko / Position ]:[Stanowisko / Position ]],0))="n/a","n/a",DF205-INDEX(tab_MinKomp[Testy czystości / Reinheitstests],MATCH($B205,tab_MinKomp[[Stanowisko / Position ]:[Stanowisko / Position ]],0)))</f>
        <v>n/a</v>
      </c>
      <c r="DG206" s="315" t="str">
        <f>IF(INDEX(tab_MinKomp[Obsługa wysokościomierza / Unterstützung für Höhenmesser],MATCH($B205,tab_MinKomp[[Stanowisko / Position ]:[Stanowisko / Position ]],0))="n/a","n/a",DG205-INDEX(tab_MinKomp[Obsługa wysokościomierza / Unterstützung für Höhenmesser],MATCH($B205,tab_MinKomp[[Stanowisko / Position ]:[Stanowisko / Position ]],0)))</f>
        <v>n/a</v>
      </c>
      <c r="DH206" s="315" t="str">
        <f>IF(INDEX(tab_MinKomp[Pomiary wysokości materiału / Materialhöhenmessungen],MATCH($B205,tab_MinKomp[[Stanowisko / Position ]:[Stanowisko / Position ]],0))="n/a","n/a",DH205-INDEX(tab_MinKomp[Pomiary wysokości materiału / Materialhöhenmessungen],MATCH($B205,tab_MinKomp[[Stanowisko / Position ]:[Stanowisko / Position ]],0)))</f>
        <v>n/a</v>
      </c>
      <c r="DI206" s="315" t="str">
        <f>IF(INDEX(tab_MinKomp[Obsługa okrągłościomierza / Unterstützung für Rundheitsmessgeräte],MATCH($B205,tab_MinKomp[[Stanowisko / Position ]:[Stanowisko / Position ]],0))="n/a","n/a",DI205-INDEX(tab_MinKomp[Obsługa okrągłościomierza / Unterstützung für Rundheitsmessgeräte],MATCH($B205,tab_MinKomp[[Stanowisko / Position ]:[Stanowisko / Position ]],0)))</f>
        <v>n/a</v>
      </c>
      <c r="DJ206" s="315" t="str">
        <f>IF(INDEX(tab_MinKomp[Wykonywania pomiarów owalności, srednicy materiału / Messung der Ovalität und des Durchmessers des Materials],MATCH($B205,tab_MinKomp[[Stanowisko / Position ]:[Stanowisko / Position ]],0))="n/a","n/a",DJ205-INDEX(tab_MinKomp[Wykonywania pomiarów owalności, srednicy materiału / Messung der Ovalität und des Durchmessers des Materials],MATCH($B205,tab_MinKomp[[Stanowisko / Position ]:[Stanowisko / Position ]],0)))</f>
        <v>n/a</v>
      </c>
      <c r="DK206" s="315" t="str">
        <f>IF(INDEX(tab_MinKomp[Obsługa urządzenia do pomiarów chropowoatości powierzchni materiału],MATCH($B205,tab_MinKomp[[Stanowisko / Position ]:[Stanowisko / Position ]],0))="n/a","n/a",DK205-INDEX(tab_MinKomp[Obsługa urządzenia do pomiarów chropowoatości powierzchni materiału],MATCH($B205,tab_MinKomp[[Stanowisko / Position ]:[Stanowisko / Position ]],0)))</f>
        <v>n/a</v>
      </c>
      <c r="DL206" s="315" t="str">
        <f>IF(INDEX(tab_MinKomp[Wykonywanie pomiarów chropowatości powierzchni materiału / Durchführung von Messungen der Materialoberflächenrauheit],MATCH($B205,tab_MinKomp[[Stanowisko / Position ]:[Stanowisko / Position ]],0))="n/a","n/a",DL205-INDEX(tab_MinKomp[Wykonywanie pomiarów chropowatości powierzchni materiału / Durchführung von Messungen der Materialoberflächenrauheit],MATCH($B205,tab_MinKomp[[Stanowisko / Position ]:[Stanowisko / Position ]],0)))</f>
        <v>n/a</v>
      </c>
      <c r="DM206" s="315" t="str">
        <f>IF(INDEX(tab_MinKomp[Obsługa urządzenia do pomiaru siły radialnej części - postępowanie z trzpieniami. / Funktionsweise des Geräts zur Messung der Radialkraft von Teilen – Handhabungsstifte.],MATCH($B205,tab_MinKomp[[Stanowisko / Position ]:[Stanowisko / Position ]],0))="n/a","n/a",DM205-INDEX(tab_MinKomp[Obsługa urządzenia do pomiaru siły radialnej części - postępowanie z trzpieniami. / Funktionsweise des Geräts zur Messung der Radialkraft von Teilen – Handhabungsstifte.],MATCH($B205,tab_MinKomp[[Stanowisko / Position ]:[Stanowisko / Position ]],0)))</f>
        <v>n/a</v>
      </c>
      <c r="DN206" s="315" t="str">
        <f>IF(INDEX(tab_MinKomp[Wykonywanie pomiarów siły radialnej części / Führen Sie Radialkraftmessungen an Teilen durch],MATCH($B205,tab_MinKomp[[Stanowisko / Position ]:[Stanowisko / Position ]],0))="n/a","n/a",DN205-INDEX(tab_MinKomp[Wykonywanie pomiarów siły radialnej części / Führen Sie Radialkraftmessungen an Teilen durch],MATCH($B205,tab_MinKomp[[Stanowisko / Position ]:[Stanowisko / Position ]],0)))</f>
        <v>n/a</v>
      </c>
      <c r="DO206" s="315" t="str">
        <f>IF(INDEX(tab_MinKomp[Obsługa komory do testów wybuchwych / Betrieb einer Explosionsprüfkammer],MATCH($B205,tab_MinKomp[[Stanowisko / Position ]:[Stanowisko / Position ]],0))="n/a","n/a",DO205-INDEX(tab_MinKomp[Obsługa komory do testów wybuchwych / Betrieb einer Explosionsprüfkammer],MATCH($B205,tab_MinKomp[[Stanowisko / Position ]:[Stanowisko / Position ]],0)))</f>
        <v>n/a</v>
      </c>
      <c r="DP206" s="315" t="str">
        <f>IF(INDEX(tab_MinKomp[Wykonywanie testów wybuchowych części / Durchführung von Explosionstests an Teilen],MATCH($B205,tab_MinKomp[[Stanowisko / Position ]:[Stanowisko / Position ]],0))="n/a","n/a",DP205-INDEX(tab_MinKomp[Wykonywanie testów wybuchowych części / Durchführung von Explosionstests an Teilen],MATCH($B205,tab_MinKomp[[Stanowisko / Position ]:[Stanowisko / Position ]],0)))</f>
        <v>n/a</v>
      </c>
      <c r="DQ206" s="315" t="str">
        <f>IF(INDEX(tab_MinKomp[Obsługa urządzeń do mierzenia siły trzymania i/lub rozciągania / Betrieb von Geräten zur Messung der Halte- und/oder Dehnkraft],MATCH($B205,tab_MinKomp[[Stanowisko / Position ]:[Stanowisko / Position ]],0))="n/a","n/a",DQ205-INDEX(tab_MinKomp[Obsługa urządzeń do mierzenia siły trzymania i/lub rozciągania / Betrieb von Geräten zur Messung der Halte- und/oder Dehnkraft],MATCH($B205,tab_MinKomp[[Stanowisko / Position ]:[Stanowisko / Position ]],0)))</f>
        <v>n/a</v>
      </c>
      <c r="DR206" s="315" t="str">
        <f>IF(INDEX(tab_MinKomp[Wykonywanie testów mierzenia siły trzymania i/lub rozciągania / Durchführung von Tests zur Messung der Halte- und/oder Streckkraft],MATCH($B205,tab_MinKomp[[Stanowisko / Position ]:[Stanowisko / Position ]],0))="n/a","n/a",DR205-INDEX(tab_MinKomp[Wykonywanie testów mierzenia siły trzymania i/lub rozciągania / Durchführung von Tests zur Messung der Halte- und/oder Streckkraft],MATCH($B205,tab_MinKomp[[Stanowisko / Position ]:[Stanowisko / Position ]],0)))</f>
        <v>n/a</v>
      </c>
      <c r="DS206" s="315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Luftstrom)],MATCH($B205,tab_MinKomp[[Stanowisko / Position ]:[Stanowisko / Position ]],0))="n/a","n/a",DS205-INDEX(tab_MinKomp[Obsługa multimetru do pomiarów środowiskowych (temperatura, wilgotność, hałas, oświetlenie, przepływ powietrza) / Betrieb eines Multimeters für Umweltmessungen (Temperatur, Luftfeuchtigkeit, Lärm, Beleuchtung, Luftstrom)],MATCH($B205,tab_MinKomp[[Stanowisko / Position ]:[Stanowisko / Position ]],0)))</f>
        <v>n/a</v>
      </c>
      <c r="DT206" s="315" t="str">
        <f>IF(INDEX(tab_MinKomp[Kontrola warunków środowiskowych pracy (temperatura, wilgotność, hałas, oświetlenie, przepływ powietrza) / Kontrolle der Arbeitsumgebungsbedingungen (Temperatur, Luftfeuchtigkeit, Lärm, Beleuchtung, Luftstrom)],MATCH($B205,tab_MinKomp[[Stanowisko / Position ]:[Stanowisko / Position ]],0))="n/a","n/a",DT205-INDEX(tab_MinKomp[Kontrola warunków środowiskowych pracy (temperatura, wilgotność, hałas, oświetlenie, przepływ powietrza) / Kontrolle der Arbeitsumgebungsbedingungen (Temperatur, Luftfeuchtigkeit, Lärm, Beleuchtung, Luftstrom)],MATCH($B205,tab_MinKomp[[Stanowisko / Position ]:[Stanowisko / Position ]],0)))</f>
        <v>n/a</v>
      </c>
      <c r="DU206" s="315" t="str">
        <f>IF(INDEX(tab_MinKomp[MSA i SPC],MATCH($B205,tab_MinKomp[[Stanowisko / Position ]:[Stanowisko / Position ]],0))="n/a","n/a",DU205-INDEX(tab_MinKomp[MSA i SPC],MATCH($B205,tab_MinKomp[[Stanowisko / Position ]:[Stanowisko / Position ]],0)))</f>
        <v>n/a</v>
      </c>
      <c r="DV206" s="315" t="str">
        <f>IF(INDEX(tab_MinKomp[Kontrola wejściowa komponentów/ Eingangskontrolle],MATCH($B205,tab_MinKomp[[Stanowisko / Position ]:[Stanowisko / Position ]],0))="n/a","n/a",DV205-INDEX(tab_MinKomp[Kontrola wejściowa komponentów/ Eingangskontrolle],MATCH($B205,tab_MinKomp[[Stanowisko / Position ]:[Stanowisko / Position ]],0)))</f>
        <v>n/a</v>
      </c>
      <c r="DW206" s="315" t="str">
        <f>IF(INDEX(tab_MinKomp[Kontrola wyjściowa produktu / Ausgangskontrolle],MATCH($B205,tab_MinKomp[[Stanowisko / Position ]:[Stanowisko / Position ]],0))="n/a","n/a",DW205-INDEX(tab_MinKomp[Kontrola wyjściowa produktu / Ausgangskontrolle],MATCH($B205,tab_MinKomp[[Stanowisko / Position ]:[Stanowisko / Position ]],0)))</f>
        <v>n/a</v>
      </c>
      <c r="DX206" s="315" t="str">
        <f>IF(INDEX(tab_MinKomp[Kontrola codzienna produkcji / Tägliche Produktionskontrolle],MATCH($B205,tab_MinKomp[[Stanowisko / Position ]:[Stanowisko / Position ]],0))="n/a","n/a",DX205-INDEX(tab_MinKomp[Kontrola codzienna produkcji / Tägliche Produktionskontrolle],MATCH($B205,tab_MinKomp[[Stanowisko / Position ]:[Stanowisko / Position ]],0)))</f>
        <v>n/a</v>
      </c>
      <c r="DY206" s="315" t="str">
        <f>IF(INDEX(tab_MinKomp[Konserwacja Rep],MATCH($B205,tab_MinKomp[[Stanowisko / Position ]:[Stanowisko / Position ]],0))="n/a","n/a",DY205-INDEX(tab_MinKomp[Konserwacja Rep],MATCH($B205,tab_MinKomp[[Stanowisko / Position ]:[Stanowisko / Position ]],0)))</f>
        <v>n/a</v>
      </c>
      <c r="DZ206" s="315" t="str">
        <f>IF(INDEX(tab_MinKomp[[Konserwacja Engel ]],MATCH($B205,tab_MinKomp[[Stanowisko / Position ]:[Stanowisko / Position ]],0))="n/a","n/a",DZ205-INDEX(tab_MinKomp[[Konserwacja Engel ]],MATCH($B205,tab_MinKomp[[Stanowisko / Position ]:[Stanowisko / Position ]],0)))</f>
        <v>n/a</v>
      </c>
      <c r="EA206" s="315" t="str">
        <f>IF(INDEX(tab_MinKomp[Konserwacja B 50],MATCH($B205,tab_MinKomp[[Stanowisko / Position ]:[Stanowisko / Position ]],0))="n/a","n/a",EA205-INDEX(tab_MinKomp[Konserwacja B 50],MATCH($B205,tab_MinKomp[[Stanowisko / Position ]:[Stanowisko / Position ]],0)))</f>
        <v>n/a</v>
      </c>
      <c r="EB206" s="315" t="str">
        <f>IF(INDEX(tab_MinKomp[[Konserwacja EOL ]],MATCH($B205,tab_MinKomp[[Stanowisko / Position ]:[Stanowisko / Position ]],0))="n/a","n/a",EB205-INDEX(tab_MinKomp[[Konserwacja EOL ]],MATCH($B205,tab_MinKomp[[Stanowisko / Position ]:[Stanowisko / Position ]],0)))</f>
        <v>n/a</v>
      </c>
      <c r="EC206" s="315" t="str">
        <f>IF(INDEX(tab_MinKomp[Konserwacja Branson],MATCH($B205,tab_MinKomp[[Stanowisko / Position ]:[Stanowisko / Position ]],0))="n/a","n/a",EC205-INDEX(tab_MinKomp[Konserwacja Branson],MATCH($B205,tab_MinKomp[[Stanowisko / Position ]:[Stanowisko / Position ]],0)))</f>
        <v>n/a</v>
      </c>
      <c r="ED206" s="315" t="str">
        <f>IF(INDEX(tab_MinKomp[Konserwacja coolery],MATCH($B205,tab_MinKomp[[Stanowisko / Position ]:[Stanowisko / Position ]],0))="n/a","n/a",ED205-INDEX(tab_MinKomp[Konserwacja coolery],MATCH($B205,tab_MinKomp[[Stanowisko / Position ]:[Stanowisko / Position ]],0)))</f>
        <v>n/a</v>
      </c>
      <c r="EE206" s="315" t="str">
        <f>IF(INDEX(tab_MinKomp[Konserwacja piecy],MATCH($B205,tab_MinKomp[[Stanowisko / Position ]:[Stanowisko / Position ]],0))="n/a","n/a",EE205-INDEX(tab_MinKomp[Konserwacja piecy],MATCH($B205,tab_MinKomp[[Stanowisko / Position ]:[Stanowisko / Position ]],0)))</f>
        <v>n/a</v>
      </c>
      <c r="EF206" s="315" t="str">
        <f>IF(INDEX(tab_MinKomp[Rysunek techniczny- czytanie],MATCH($B205,tab_MinKomp[[Stanowisko / Position ]:[Stanowisko / Position ]],0))="n/a","n/a",EF205-INDEX(tab_MinKomp[Rysunek techniczny- czytanie],MATCH($B205,tab_MinKomp[[Stanowisko / Position ]:[Stanowisko / Position ]],0)))</f>
        <v>n/a</v>
      </c>
      <c r="EG206" s="315" t="str">
        <f>IF(INDEX(tab_MinKomp[Elektryka],MATCH($B205,tab_MinKomp[[Stanowisko / Position ]:[Stanowisko / Position ]],0))="n/a","n/a",EG205-INDEX(tab_MinKomp[Elektryka],MATCH($B205,tab_MinKomp[[Stanowisko / Position ]:[Stanowisko / Position ]],0)))</f>
        <v>n/a</v>
      </c>
      <c r="EH206" s="315" t="str">
        <f>IF(INDEX(tab_MinKomp[Pneumatyka],MATCH($B205,tab_MinKomp[[Stanowisko / Position ]:[Stanowisko / Position ]],0))="n/a","n/a",EH205-INDEX(tab_MinKomp[Pneumatyka],MATCH($B205,tab_MinKomp[[Stanowisko / Position ]:[Stanowisko / Position ]],0)))</f>
        <v>n/a</v>
      </c>
      <c r="EI206" s="315" t="str">
        <f>IF(INDEX(tab_MinKomp[[Hydraulika ]],MATCH($B205,tab_MinKomp[[Stanowisko / Position ]:[Stanowisko / Position ]],0))="n/a","n/a",EI205-INDEX(tab_MinKomp[[Hydraulika ]],MATCH($B205,tab_MinKomp[[Stanowisko / Position ]:[Stanowisko / Position ]],0)))</f>
        <v>n/a</v>
      </c>
      <c r="EJ206" s="315" t="str">
        <f>IF(INDEX(tab_MinKomp[Podciśnienie],MATCH($B205,tab_MinKomp[[Stanowisko / Position ]:[Stanowisko / Position ]],0))="n/a","n/a",EJ205-INDEX(tab_MinKomp[Podciśnienie],MATCH($B205,tab_MinKomp[[Stanowisko / Position ]:[Stanowisko / Position ]],0)))</f>
        <v>n/a</v>
      </c>
      <c r="EK206" s="315" t="str">
        <f>IF(INDEX(tab_MinKomp[Usuwanie awarii],MATCH($B205,tab_MinKomp[[Stanowisko / Position ]:[Stanowisko / Position ]],0))="n/a","n/a",EK205-INDEX(tab_MinKomp[Usuwanie awarii],MATCH($B205,tab_MinKomp[[Stanowisko / Position ]:[Stanowisko / Position ]],0)))</f>
        <v>n/a</v>
      </c>
      <c r="EL206" s="315" t="str">
        <f>IF(INDEX(tab_MinKomp[Obsługa robotów],MATCH($B205,tab_MinKomp[[Stanowisko / Position ]:[Stanowisko / Position ]],0))="n/a","n/a",EL205-INDEX(tab_MinKomp[Obsługa robotów],MATCH($B205,tab_MinKomp[[Stanowisko / Position ]:[Stanowisko / Position ]],0)))</f>
        <v>n/a</v>
      </c>
      <c r="EM206" s="315" t="str">
        <f>IF(INDEX(tab_MinKomp[Obsługa sterowania maszyny],MATCH($B205,tab_MinKomp[[Stanowisko / Position ]:[Stanowisko / Position ]],0))="n/a","n/a",EM205-INDEX(tab_MinKomp[Obsługa sterowania maszyny],MATCH($B205,tab_MinKomp[[Stanowisko / Position ]:[Stanowisko / Position ]],0)))</f>
        <v>n/a</v>
      </c>
      <c r="EN206" s="315" t="str">
        <f>IF(INDEX(tab_MinKomp[Usuwanie przyczyn żródłowych],MATCH($B205,tab_MinKomp[[Stanowisko / Position ]:[Stanowisko / Position ]],0))="n/a","n/a",EN205-INDEX(tab_MinKomp[Usuwanie przyczyn żródłowych],MATCH($B205,tab_MinKomp[[Stanowisko / Position ]:[Stanowisko / Position ]],0)))</f>
        <v>n/a</v>
      </c>
      <c r="EO206" s="315" t="str">
        <f>IF(INDEX(tab_MinKomp[Cmms stosowanie],MATCH($B205,tab_MinKomp[[Stanowisko / Position ]:[Stanowisko / Position ]],0))="n/a","n/a",EO205-INDEX(tab_MinKomp[Cmms stosowanie],MATCH($B205,tab_MinKomp[[Stanowisko / Position ]:[Stanowisko / Position ]],0)))</f>
        <v>n/a</v>
      </c>
      <c r="EP206" s="315" t="str">
        <f>IF(INDEX(tab_MinKomp[[Czyszczenie form gumowych ]],MATCH($B205,tab_MinKomp[[Stanowisko / Position ]:[Stanowisko / Position ]],0))="n/a","n/a",EP205-INDEX(tab_MinKomp[[Czyszczenie form gumowych ]],MATCH($B205,tab_MinKomp[[Stanowisko / Position ]:[Stanowisko / Position ]],0)))</f>
        <v>n/a</v>
      </c>
      <c r="EQ206" s="315" t="str">
        <f>IF(INDEX(tab_MinKomp[Czyszczenie form plastikowych],MATCH($B205,tab_MinKomp[[Stanowisko / Position ]:[Stanowisko / Position ]],0))="n/a","n/a",EQ205-INDEX(tab_MinKomp[Czyszczenie form plastikowych],MATCH($B205,tab_MinKomp[[Stanowisko / Position ]:[Stanowisko / Position ]],0)))</f>
        <v>n/a</v>
      </c>
      <c r="ER206" s="315" t="str">
        <f>IF(INDEX(tab_MinKomp[Wymiana form plastik],MATCH($B205,tab_MinKomp[[Stanowisko / Position ]:[Stanowisko / Position ]],0))="n/a","n/a",ER205-INDEX(tab_MinKomp[Wymiana form plastik],MATCH($B205,tab_MinKomp[[Stanowisko / Position ]:[Stanowisko / Position ]],0)))</f>
        <v>n/a</v>
      </c>
      <c r="ES206" s="315" t="str">
        <f>IF(INDEX(tab_MinKomp[Wymiana form guma],MATCH($B205,tab_MinKomp[[Stanowisko / Position ]:[Stanowisko / Position ]],0))="n/a","n/a",ES205-INDEX(tab_MinKomp[Wymiana form guma],MATCH($B205,tab_MinKomp[[Stanowisko / Position ]:[Stanowisko / Position ]],0)))</f>
        <v>n/a</v>
      </c>
      <c r="ET206" s="315" t="str">
        <f>IF(INDEX(tab_MinKomp[Konserwacja KK],MATCH($B205,tab_MinKomp[[Stanowisko / Position ]:[Stanowisko / Position ]],0))="n/a","n/a",ET205-INDEX(tab_MinKomp[Konserwacja KK],MATCH($B205,tab_MinKomp[[Stanowisko / Position ]:[Stanowisko / Position ]],0)))</f>
        <v>n/a</v>
      </c>
      <c r="EU206" s="315" t="str">
        <f>IF(INDEX(tab_MinKomp[Konserwacja form guma],MATCH($B205,tab_MinKomp[[Stanowisko / Position ]:[Stanowisko / Position ]],0))="n/a","n/a",EU205-INDEX(tab_MinKomp[Konserwacja form guma],MATCH($B205,tab_MinKomp[[Stanowisko / Position ]:[Stanowisko / Position ]],0)))</f>
        <v>n/a</v>
      </c>
      <c r="EV206" s="315" t="str">
        <f>IF(INDEX(tab_MinKomp[Konserwacja form plastiki],MATCH($B205,tab_MinKomp[[Stanowisko / Position ]:[Stanowisko / Position ]],0))="n/a","n/a",EV205-INDEX(tab_MinKomp[Konserwacja form plastiki],MATCH($B205,tab_MinKomp[[Stanowisko / Position ]:[Stanowisko / Position ]],0)))</f>
        <v>n/a</v>
      </c>
      <c r="EW206" s="330" t="str">
        <f>IF(INDEX(tab_MinKomp[Konserwacja form plastiki],MATCH($B205,tab_MinKomp[[Stanowisko / Position ]:[Stanowisko / Position ]],0))="n/a","n/a",EW205-INDEX(tab_MinKomp[Konserwacja form plastiki],MATCH($B205,tab_MinKomp[[Stanowisko / Position ]:[Stanowisko / Position ]],0)))</f>
        <v>n/a</v>
      </c>
      <c r="EX206" s="315" t="str">
        <f>IF(INDEX(tab_MinKomp[Konserwacja Gorącego Kanału],MATCH($B205,tab_MinKomp[[Stanowisko / Position ]:[Stanowisko / Position ]],0))="n/a","n/a",EX205-INDEX(tab_MinKomp[Konserwacja Gorącego Kanału],MATCH($B205,tab_MinKomp[[Stanowisko / Position ]:[Stanowisko / Position ]],0)))</f>
        <v>n/a</v>
      </c>
      <c r="EY206" s="315">
        <f>IF(INDEX(tab_MinKomp[MS Office (Excel)],MATCH($B205,tab_MinKomp[[Stanowisko / Position ]:[Stanowisko / Position ]],0))="n/a","n/a",EY205-INDEX(tab_MinKomp[MS Office (Excel)],MATCH($B205,tab_MinKomp[[Stanowisko / Position ]:[Stanowisko / Position ]],0)))</f>
        <v>-1</v>
      </c>
      <c r="EZ206" s="315">
        <f>IF(INDEX(tab_MinKomp[MS Office (Word)],MATCH($B205,tab_MinKomp[[Stanowisko / Position ]:[Stanowisko / Position ]],0))="n/a","n/a",EZ205-INDEX(tab_MinKomp[MS Office (Word)],MATCH($B205,tab_MinKomp[[Stanowisko / Position ]:[Stanowisko / Position ]],0)))</f>
        <v>-1</v>
      </c>
      <c r="FA206" s="315">
        <f>IF(INDEX(tab_MinKomp[MS Office (Power Point)],MATCH($B205,tab_MinKomp[[Stanowisko / Position ]:[Stanowisko / Position ]],0))="n/a","n/a",FA205-INDEX(tab_MinKomp[MS Office (Power Point)],MATCH($B205,tab_MinKomp[[Stanowisko / Position ]:[Stanowisko / Position ]],0)))</f>
        <v>-1</v>
      </c>
      <c r="FB206" s="315">
        <f>IF(INDEX(tab_MinKomp[Język angielski / Englisch],MATCH($B205,tab_MinKomp[[Stanowisko / Position ]:[Stanowisko / Position ]],0))="n/a","n/a",FB205-INDEX(tab_MinKomp[Język angielski / Englisch],MATCH($B205,tab_MinKomp[[Stanowisko / Position ]:[Stanowisko / Position ]],0)))</f>
        <v>-1</v>
      </c>
      <c r="FC206" s="315" t="str">
        <f>IF(INDEX(tab_MinKomp[Język niemiecki / Deutsch],MATCH($B205,tab_MinKomp[[Stanowisko / Position ]:[Stanowisko / Position ]],0))="n/a","n/a",FC205-INDEX(tab_MinKomp[Język niemiecki / Deutsch],MATCH($B205,tab_MinKomp[[Stanowisko / Position ]:[Stanowisko / Position ]],0)))</f>
        <v>n/a</v>
      </c>
      <c r="FD206" s="315">
        <f>IF(INDEX(tab_MinKomp[Zarządzanie dokumentacją procesową / Process dokumentation management],MATCH($B205,tab_MinKomp[[Stanowisko / Position ]:[Stanowisko / Position ]],0))="n/a","n/a",FD205-INDEX(tab_MinKomp[Zarządzanie dokumentacją procesową / Process dokumentation management],MATCH($B205,tab_MinKomp[[Stanowisko / Position ]:[Stanowisko / Position ]],0)))</f>
        <v>0</v>
      </c>
      <c r="FE206" s="315">
        <f>IF(INDEX(tab_MinKomp[Znajomość procesów z obszaru / Kenntiss der prozesse in dem Bereich],MATCH($B205,tab_MinKomp[[Stanowisko / Position ]:[Stanowisko / Position ]],0))="n/a","n/a",FE205-INDEX(tab_MinKomp[Znajomość procesów z obszaru / Kenntiss der prozesse in dem Bereich],MATCH($B205,tab_MinKomp[[Stanowisko / Position ]:[Stanowisko / Position ]],0)))</f>
        <v>-1</v>
      </c>
      <c r="FF206" s="315">
        <f>IF(INDEX(tab_MinKomp[optymalizacja procesów / Prozessoptymalisierung],MATCH($B205,tab_MinKomp[[Stanowisko / Position ]:[Stanowisko / Position ]],0))="n/a","n/a",FF205-INDEX(tab_MinKomp[optymalizacja procesów / Prozessoptymalisierung],MATCH($B205,tab_MinKomp[[Stanowisko / Position ]:[Stanowisko / Position ]],0)))</f>
        <v>-1</v>
      </c>
      <c r="FG206" s="315">
        <f>IF(INDEX(tab_MinKomp[Umiejętności szkoleniowe / Trainingsfähigkeiten],MATCH($B205,tab_MinKomp[[Stanowisko / Position ]:[Stanowisko / Position ]],0))="n/a","n/a",FG205-INDEX(tab_MinKomp[Umiejętności szkoleniowe / Trainingsfähigkeiten],MATCH($B205,tab_MinKomp[[Stanowisko / Position ]:[Stanowisko / Position ]],0)))</f>
        <v>-1</v>
      </c>
      <c r="FH206" s="315">
        <f>IF(INDEX(tab_MinKomp[Analityczne myślenie, podejście / Analitysches Denken, Einstellung],MATCH($B205,tab_MinKomp[[Stanowisko / Position ]:[Stanowisko / Position ]],0))="n/a","n/a",FH205-INDEX(tab_MinKomp[Analityczne myślenie, podejście / Analitysches Denken, Einstellung],MATCH($B205,tab_MinKomp[[Stanowisko / Position ]:[Stanowisko / Position ]],0)))</f>
        <v>-1</v>
      </c>
      <c r="FI206" s="315">
        <f>IF(INDEX(tab_MinKomp[Dokładność, precyzja w dzialaniu / Genauigkeit, Präzision in die Arbeit],MATCH($B205,tab_MinKomp[[Stanowisko / Position ]:[Stanowisko / Position ]],0))="n/a","n/a",FI205-INDEX(tab_MinKomp[Dokładność, precyzja w dzialaniu / Genauigkeit, Präzision in die Arbeit],MATCH($B205,tab_MinKomp[[Stanowisko / Position ]:[Stanowisko / Position ]],0)))</f>
        <v>-1</v>
      </c>
      <c r="FJ206" s="315">
        <f>IF(INDEX(tab_MinKomp[Dyspozycyjność / Verfügbarkeit],MATCH($B205,tab_MinKomp[[Stanowisko / Position ]:[Stanowisko / Position ]],0))="n/a","n/a",FJ205-INDEX(tab_MinKomp[Dyspozycyjność / Verfügbarkeit],MATCH($B205,tab_MinKomp[[Stanowisko / Position ]:[Stanowisko / Position ]],0)))</f>
        <v>-1</v>
      </c>
      <c r="FK206" s="315">
        <f>IF(INDEX(tab_MinKomp[Zaangażowanie / 
Engagement],MATCH($B205,tab_MinKomp[[Stanowisko / Position ]:[Stanowisko / Position ]],0))="n/a","n/a",FK205-INDEX(tab_MinKomp[Zaangażowanie / 
Engagement],MATCH($B205,tab_MinKomp[[Stanowisko / Position ]:[Stanowisko / Position ]],0)))</f>
        <v>0</v>
      </c>
      <c r="FL206" s="315">
        <f>IF(INDEX(tab_MinKomp[Planowanie strategiczne / Strategische Planung],MATCH($B205,tab_MinKomp[[Stanowisko / Position ]:[Stanowisko / Position ]],0))="n/a","n/a",FL205-INDEX(tab_MinKomp[Planowanie strategiczne / Strategische Planung],MATCH($B205,tab_MinKomp[[Stanowisko / Position ]:[Stanowisko / Position ]],0)))</f>
        <v>-1</v>
      </c>
      <c r="FM206" s="315">
        <f>IF(INDEX(tab_MinKomp[Konsekwentne i dynamiczne działanie],MATCH($B205,tab_MinKomp[[Stanowisko / Position ]:[Stanowisko / Position ]],0))="n/a","n/a",FM205-INDEX(tab_MinKomp[Konsekwentne i dynamiczne działanie],MATCH($B205,tab_MinKomp[[Stanowisko / Position ]:[Stanowisko / Position ]],0)))</f>
        <v>-1</v>
      </c>
      <c r="FN206" s="315">
        <f>IF(INDEX(tab_MinKomp[Elastyczność w działaniu],MATCH($B205,tab_MinKomp[[Stanowisko / Position ]:[Stanowisko / Position ]],0))="n/a","n/a",FN205-INDEX(tab_MinKomp[Elastyczność w działaniu],MATCH($B205,tab_MinKomp[[Stanowisko / Position ]:[Stanowisko / Position ]],0)))</f>
        <v>-1</v>
      </c>
      <c r="FO206" s="315">
        <f>IF(INDEX(tab_MinKomp[Komunikatywność],MATCH($B205,tab_MinKomp[[Stanowisko / Position ]:[Stanowisko / Position ]],0))="n/a","n/a",FO205-INDEX(tab_MinKomp[Komunikatywność],MATCH($B205,tab_MinKomp[[Stanowisko / Position ]:[Stanowisko / Position ]],0)))</f>
        <v>0</v>
      </c>
      <c r="FP206" s="315">
        <f>IF(INDEX(tab_MinKomp[Motywowanie i budowanie zaangażowania zespołu],MATCH($B205,tab_MinKomp[[Stanowisko / Position ]:[Stanowisko / Position ]],0))="n/a","n/a",FP205-INDEX(tab_MinKomp[Motywowanie i budowanie zaangażowania zespołu],MATCH($B205,tab_MinKomp[[Stanowisko / Position ]:[Stanowisko / Position ]],0)))</f>
        <v>-1</v>
      </c>
      <c r="FQ206" s="318" t="str">
        <f>IFERROR(IF(INDEX(tab_MinKomp[BRAK / Keine],MATCH($B205,tab_MinKomp[[Stanowisko / Position ]:[Stanowisko / Position ]],0))="n/a","n/a",INDEX(tab_MinKomp[BRAK / Keine],MATCH($B205,tab_MinKomp[[Stanowisko / Position ]:[Stanowisko / Position ]],0))-FQ205),"")</f>
        <v>n/a</v>
      </c>
      <c r="FR206" s="315" t="str">
        <f>IF(INDEX(tab_MinKomp[MINIMUM 1 ROK / min. 1 Jahr],MATCH($B205,tab_MinKomp[[Stanowisko / Position ]:[Stanowisko / Position ]],0))="n/a","n/a",INDEX(tab_MinKomp[MINIMUM 1 ROK / min. 1 Jahr],MATCH($B205,tab_MinKomp[[Stanowisko / Position ]:[Stanowisko / Position ]],0)))</f>
        <v>X</v>
      </c>
      <c r="FS206" s="315" t="str">
        <f>IF(INDEX(tab_MinKomp[MINIMUM 2 LATA / min. 2 Jahre],MATCH($B205,tab_MinKomp[[Stanowisko / Position ]:[Stanowisko / Position ]],0))="n/a","n/a",INDEX(tab_MinKomp[MINIMUM 2 LATA / min. 2 Jahre],MATCH($B205,tab_MinKomp[[Stanowisko / Position ]:[Stanowisko / Position ]],0)))</f>
        <v>n/a</v>
      </c>
      <c r="FT206" s="315" t="str">
        <f>IF(INDEX(tab_MinKomp[MINIMUM 3 LATA / min. 3 Jahre],MATCH($B205,tab_MinKomp[[Stanowisko / Position ]:[Stanowisko / Position ]],0))="n/a","n/a",INDEX(tab_MinKomp[MINIMUM 3 LATA / min. 3 Jahre],MATCH($B205,tab_MinKomp[[Stanowisko / Position ]:[Stanowisko / Position ]],0)))</f>
        <v>n/a</v>
      </c>
      <c r="FU206" s="315" t="str">
        <f>IF(INDEX(tab_MinKomp[MINIMUM 4 LATA / min. 4 Jahre],MATCH($B205,tab_MinKomp[[Stanowisko / Position ]:[Stanowisko / Position ]],0))="n/a","n/a",INDEX(tab_MinKomp[MINIMUM 4 LATA / min. 4 Jahre],MATCH($B205,tab_MinKomp[[Stanowisko / Position ]:[Stanowisko / Position ]],0)))</f>
        <v>n/a</v>
      </c>
      <c r="FV206" s="319" t="str">
        <f>IF(INDEX(tab_MinKomp[MINIMUM 5 LAT / min. 5 Jahre],MATCH($B205,tab_MinKomp[[Stanowisko / Position ]:[Stanowisko / Position ]],0))="n/a","n/a",INDEX(tab_MinKomp[MINIMUM 5 LAT / min. 5 Jahre],MATCH($B205,tab_MinKomp[[Stanowisko / Position ]:[Stanowisko / Position ]],0)))</f>
        <v>n/a</v>
      </c>
      <c r="FW206" s="318" t="str">
        <f>IF(INDEX(tab_MinKomp[BRAK / Keine9],MATCH($B205,tab_MinKomp[[Stanowisko / Position ]:[Stanowisko / Position ]],0))="n/a","n/a",INDEX(tab_MinKomp[BRAK / Keine9],MATCH($B205,tab_MinKomp[[Stanowisko / Position ]:[Stanowisko / Position ]],0)))</f>
        <v>n/a</v>
      </c>
      <c r="FX206" s="315" t="str">
        <f>IF(INDEX(tab_MinKomp[ZAWODOWE / Berufsausbildung],MATCH($B205,tab_MinKomp[[Stanowisko / Position ]:[Stanowisko / Position ]],0))="n/a","n/a",INDEX(tab_MinKomp[ZAWODOWE / Berufsausbildung],MATCH($B205,tab_MinKomp[[Stanowisko / Position ]:[Stanowisko / Position ]],0)))</f>
        <v>n/a</v>
      </c>
      <c r="FY206" s="315" t="str">
        <f>IF(INDEX(tab_MinKomp[ŚREDNIE OGÓLNE / Abitur allgemeine],MATCH($B205,tab_MinKomp[[Stanowisko / Position ]:[Stanowisko / Position ]],0))="n/a","n/a",INDEX(tab_MinKomp[ŚREDNIE OGÓLNE / Abitur allgemeine],MATCH($B205,tab_MinKomp[[Stanowisko / Position ]:[Stanowisko / Position ]],0)))</f>
        <v>n/a</v>
      </c>
      <c r="FZ206" s="315" t="str">
        <f>IF(INDEX(tab_MinKomp[ŚREDNIE KIERUNKOWE / berufliches Gymnasium],MATCH($B205,tab_MinKomp[[Stanowisko / Position ]:[Stanowisko / Position ]],0))="n/a","n/a",INDEX(tab_MinKomp[ŚREDNIE KIERUNKOWE / berufliches Gymnasium],MATCH($B205,tab_MinKomp[[Stanowisko / Position ]:[Stanowisko / Position ]],0)))</f>
        <v>n/a</v>
      </c>
      <c r="GA206" s="315" t="str">
        <f>IF(INDEX(tab_MinKomp[WYŻSZE OGÓLNE / Hochschule allgemeine],MATCH($B205,tab_MinKomp[[Stanowisko / Position ]:[Stanowisko / Position ]],0))="n/a","n/a",INDEX(tab_MinKomp[WYŻSZE OGÓLNE / Hochschule allgemeine],MATCH($B205,tab_MinKomp[[Stanowisko / Position ]:[Stanowisko / Position ]],0)))</f>
        <v>n/a</v>
      </c>
      <c r="GB206" s="319" t="str">
        <f>IF(INDEX(tab_MinKomp[WYŻSZE KIERUNKOWE / Hochschule berufliche],MATCH($B205,tab_MinKomp[[Stanowisko / Position ]:[Stanowisko / Position ]],0))="n/a","n/a",INDEX(tab_MinKomp[WYŻSZE KIERUNKOWE / Hochschule berufliche],MATCH($B205,tab_MinKomp[[Stanowisko / Position ]:[Stanowisko / Position ]],0)))</f>
        <v>X</v>
      </c>
      <c r="GC206" s="318" t="str">
        <f>IF(INDEX(tab_MinKomp[PIERWSZA POMOC / Erste Hilfe],MATCH($B205,tab_MinKomp[[Stanowisko / Position ]:[Stanowisko / Position ]],0))="n/a","n/a",INDEX(tab_MinKomp[PIERWSZA POMOC / Erste Hilfe],MATCH($B205,tab_MinKomp[[Stanowisko / Position ]:[Stanowisko / Position ]],0)))</f>
        <v>n/a</v>
      </c>
      <c r="GD206" s="315" t="str">
        <f>IF(INDEX(tab_MinKomp[Specjalista BHP / BHP Spezialist],MATCH($B205,tab_MinKomp[[Stanowisko / Position ]:[Stanowisko / Position ]],0))="n/a","n/a",INDEX(tab_MinKomp[Specjalista BHP / BHP Spezialist],MATCH($B205,tab_MinKomp[[Stanowisko / Position ]:[Stanowisko / Position ]],0)))</f>
        <v>n/a</v>
      </c>
      <c r="GE206" s="315" t="str">
        <f>IF(INDEX(tab_MinKomp[Inspektor ochrony PPOŻ / Brandschutzinspektor],MATCH($B205,tab_MinKomp[[Stanowisko / Position ]:[Stanowisko / Position ]],0))="n/a","n/a",INDEX(tab_MinKomp[Inspektor ochrony PPOŻ / Brandschutzinspektor],MATCH($B205,tab_MinKomp[[Stanowisko / Position ]:[Stanowisko / Position ]],0)))</f>
        <v>n/a</v>
      </c>
      <c r="GF206" s="315" t="str">
        <f>IF(INDEX(tab_MinKomp[WÓZKI JEZDNIOWE / Gebelstapler],MATCH($B205,tab_MinKomp[[Stanowisko / Position ]:[Stanowisko / Position ]],0))="n/a","n/a",INDEX(tab_MinKomp[WÓZKI JEZDNIOWE / Gebelstapler],MATCH($B205,tab_MinKomp[[Stanowisko / Position ]:[Stanowisko / Position ]],0)))</f>
        <v>n/a</v>
      </c>
      <c r="GG206" s="315" t="str">
        <f>IF(INDEX(tab_MinKomp[SEP],MATCH($B205,tab_MinKomp[[Stanowisko / Position ]:[Stanowisko / Position ]],0))="n/a","n/a",INDEX(tab_MinKomp[SEP],MATCH($B205,tab_MinKomp[[Stanowisko / Position ]:[Stanowisko / Position ]],0)))</f>
        <v>n/a</v>
      </c>
      <c r="GH206" s="315" t="str">
        <f>IF(INDEX(tab_MinKomp[SEP  DOZÓR / SEP Aufsicht],MATCH($B205,tab_MinKomp[[Stanowisko / Position ]:[Stanowisko / Position ]],0))="n/a","n/a",INDEX(tab_MinKomp[SEP  DOZÓR / SEP Aufsicht],MATCH($B205,tab_MinKomp[[Stanowisko / Position ]:[Stanowisko / Position ]],0)))</f>
        <v>n/a</v>
      </c>
      <c r="GI206" s="315" t="str">
        <f>IF(INDEX(tab_MinKomp[PODNOŚNIKI / Hebevorrichtung],MATCH($B205,tab_MinKomp[[Stanowisko / Position ]:[Stanowisko / Position ]],0))="n/a","n/a",INDEX(tab_MinKomp[PODNOŚNIKI / Hebevorrichtung],MATCH($B205,tab_MinKomp[[Stanowisko / Position ]:[Stanowisko / Position ]],0)))</f>
        <v>n/a</v>
      </c>
      <c r="GJ206" s="315" t="str">
        <f>IF(INDEX(tab_MinKomp[SUWNICE / Laufkran],MATCH($B205,tab_MinKomp[[Stanowisko / Position ]:[Stanowisko / Position ]],0))="n/a","n/a",INDEX(tab_MinKomp[SUWNICE / Laufkran],MATCH($B205,tab_MinKomp[[Stanowisko / Position ]:[Stanowisko / Position ]],0)))</f>
        <v>n/a</v>
      </c>
      <c r="GK206" s="319" t="str">
        <f>IF(INDEX(tab_MinKomp[WYSOKOŚCIOWE / Höhenberechtigungen],MATCH($B205,tab_MinKomp[[Stanowisko / Position ]:[Stanowisko / Position ]],0))="n/a","n/a",INDEX(tab_MinKomp[WYSOKOŚCIOWE / Höhenberechtigungen],MATCH($B205,tab_MinKomp[[Stanowisko / Position ]:[Stanowisko / Position ]],0)))</f>
        <v>n/a</v>
      </c>
      <c r="GL206" s="320">
        <f>SUM(G206:FP206)/(GL205-(SUM(G206:FP206)))</f>
        <v>-0.48214285714285715</v>
      </c>
    </row>
    <row r="207" spans="1:195" s="187" customFormat="1" ht="24.75" customHeight="1" x14ac:dyDescent="0.25">
      <c r="A207" s="135" t="s">
        <v>227</v>
      </c>
      <c r="B207" s="135" t="s">
        <v>655</v>
      </c>
      <c r="C207" s="135" t="s">
        <v>766</v>
      </c>
      <c r="D207" s="135">
        <v>845</v>
      </c>
      <c r="E207" s="565" t="s">
        <v>242</v>
      </c>
      <c r="F207" s="307" t="s">
        <v>165</v>
      </c>
      <c r="G207" s="308">
        <v>2</v>
      </c>
      <c r="H207" s="308">
        <v>2</v>
      </c>
      <c r="I207" s="308">
        <v>3</v>
      </c>
      <c r="J207" s="308">
        <v>2</v>
      </c>
      <c r="K207" s="308">
        <v>2</v>
      </c>
      <c r="L207" s="308">
        <v>1</v>
      </c>
      <c r="M207" s="308" t="s">
        <v>176</v>
      </c>
      <c r="N207" s="308" t="s">
        <v>176</v>
      </c>
      <c r="O207" s="308">
        <v>2</v>
      </c>
      <c r="P207" s="308">
        <v>2</v>
      </c>
      <c r="Q207" s="308" t="s">
        <v>176</v>
      </c>
      <c r="R207" s="308" t="s">
        <v>176</v>
      </c>
      <c r="S207" s="308">
        <v>2</v>
      </c>
      <c r="T207" s="308">
        <v>2</v>
      </c>
      <c r="U207" s="308" t="s">
        <v>176</v>
      </c>
      <c r="V207" s="308" t="s">
        <v>176</v>
      </c>
      <c r="W207" s="308" t="s">
        <v>176</v>
      </c>
      <c r="X207" s="308">
        <v>1</v>
      </c>
      <c r="Y207" s="308" t="s">
        <v>176</v>
      </c>
      <c r="Z207" s="308" t="s">
        <v>176</v>
      </c>
      <c r="AA207" s="308">
        <v>1</v>
      </c>
      <c r="AB207" s="308">
        <v>2</v>
      </c>
      <c r="AC207" s="308">
        <v>2</v>
      </c>
      <c r="AD207" s="308">
        <v>2</v>
      </c>
      <c r="AE207" s="308">
        <v>2</v>
      </c>
      <c r="AF207" s="308">
        <v>1</v>
      </c>
      <c r="AG207" s="308">
        <v>2</v>
      </c>
      <c r="AH207" s="308">
        <v>2</v>
      </c>
      <c r="AI207" s="308" t="s">
        <v>176</v>
      </c>
      <c r="AJ207" s="308">
        <v>1</v>
      </c>
      <c r="AK207" s="308">
        <v>1</v>
      </c>
      <c r="AL207" s="308">
        <v>3</v>
      </c>
      <c r="AM207" s="308">
        <v>2</v>
      </c>
      <c r="AN207" s="308" t="s">
        <v>176</v>
      </c>
      <c r="AO207" s="308">
        <v>2</v>
      </c>
      <c r="AP207" s="308">
        <v>2</v>
      </c>
      <c r="AQ207" s="308">
        <v>2</v>
      </c>
      <c r="AR207" s="308" t="s">
        <v>176</v>
      </c>
      <c r="AS207" s="308">
        <v>1</v>
      </c>
      <c r="AT207" s="308">
        <v>1</v>
      </c>
      <c r="AU207" s="308">
        <v>2</v>
      </c>
      <c r="AV207" s="308">
        <v>3</v>
      </c>
      <c r="AW207" s="308">
        <v>3</v>
      </c>
      <c r="AX207" s="308">
        <v>3</v>
      </c>
      <c r="AY207" s="308">
        <v>1</v>
      </c>
      <c r="AZ207" s="308">
        <v>3</v>
      </c>
      <c r="BA207" s="308">
        <v>3</v>
      </c>
      <c r="BB207" s="308">
        <v>3</v>
      </c>
      <c r="BC207" s="308">
        <v>2</v>
      </c>
      <c r="BD207" s="308">
        <v>2</v>
      </c>
      <c r="BE207" s="308">
        <v>3</v>
      </c>
      <c r="BF207" s="308">
        <v>2</v>
      </c>
      <c r="BG207" s="308">
        <v>1</v>
      </c>
      <c r="BH207" s="308">
        <v>3</v>
      </c>
      <c r="BI207" s="308">
        <v>3</v>
      </c>
      <c r="BJ207" s="308">
        <v>2</v>
      </c>
      <c r="BK207" s="308">
        <v>3</v>
      </c>
      <c r="BL207" s="308">
        <v>1</v>
      </c>
      <c r="BM207" s="308">
        <v>3</v>
      </c>
      <c r="BN207" s="308">
        <v>2</v>
      </c>
      <c r="BO207" s="308">
        <v>2</v>
      </c>
      <c r="BP207" s="308">
        <v>2</v>
      </c>
      <c r="BQ207" s="308">
        <v>2</v>
      </c>
      <c r="BR207" s="308">
        <v>2</v>
      </c>
      <c r="BS207" s="308">
        <v>2</v>
      </c>
      <c r="BT207" s="308">
        <v>2</v>
      </c>
      <c r="BU207" s="308">
        <v>2</v>
      </c>
      <c r="BV207" s="308">
        <v>2</v>
      </c>
      <c r="BW207" s="308">
        <v>2</v>
      </c>
      <c r="BX207" s="308">
        <v>1</v>
      </c>
      <c r="BY207" s="308">
        <v>1</v>
      </c>
      <c r="BZ207" s="308">
        <v>2</v>
      </c>
      <c r="CA207" s="308" t="s">
        <v>176</v>
      </c>
      <c r="CB207" s="308" t="s">
        <v>176</v>
      </c>
      <c r="CC207" s="308" t="s">
        <v>176</v>
      </c>
      <c r="CD207" s="308" t="s">
        <v>176</v>
      </c>
      <c r="CE207" s="308" t="s">
        <v>176</v>
      </c>
      <c r="CF207" s="308" t="s">
        <v>176</v>
      </c>
      <c r="CG207" s="308">
        <v>2</v>
      </c>
      <c r="CH207" s="308">
        <v>2</v>
      </c>
      <c r="CI207" s="308">
        <v>2</v>
      </c>
      <c r="CJ207" s="308">
        <v>2</v>
      </c>
      <c r="CK207" s="308" t="s">
        <v>176</v>
      </c>
      <c r="CL207" s="308">
        <v>2</v>
      </c>
      <c r="CM207" s="308">
        <v>2</v>
      </c>
      <c r="CN207" s="308">
        <v>3</v>
      </c>
      <c r="CO207" s="308">
        <v>3</v>
      </c>
      <c r="CP207" s="308">
        <v>3</v>
      </c>
      <c r="CQ207" s="308">
        <v>1</v>
      </c>
      <c r="CR207" s="308">
        <v>1</v>
      </c>
      <c r="CS207" s="308">
        <v>1</v>
      </c>
      <c r="CT207" s="308">
        <v>1</v>
      </c>
      <c r="CU207" s="308">
        <v>2</v>
      </c>
      <c r="CV207" s="308" t="s">
        <v>176</v>
      </c>
      <c r="CW207" s="308" t="s">
        <v>176</v>
      </c>
      <c r="CX207" s="308" t="s">
        <v>176</v>
      </c>
      <c r="CY207" s="308" t="s">
        <v>176</v>
      </c>
      <c r="CZ207" s="308" t="s">
        <v>176</v>
      </c>
      <c r="DA207" s="308" t="s">
        <v>176</v>
      </c>
      <c r="DB207" s="308" t="s">
        <v>176</v>
      </c>
      <c r="DC207" s="308" t="s">
        <v>176</v>
      </c>
      <c r="DD207" s="308" t="s">
        <v>176</v>
      </c>
      <c r="DE207" s="308" t="s">
        <v>176</v>
      </c>
      <c r="DF207" s="308" t="s">
        <v>176</v>
      </c>
      <c r="DG207" s="308" t="s">
        <v>176</v>
      </c>
      <c r="DH207" s="308" t="s">
        <v>176</v>
      </c>
      <c r="DI207" s="308" t="s">
        <v>176</v>
      </c>
      <c r="DJ207" s="308" t="s">
        <v>176</v>
      </c>
      <c r="DK207" s="308" t="s">
        <v>176</v>
      </c>
      <c r="DL207" s="308" t="s">
        <v>176</v>
      </c>
      <c r="DM207" s="308" t="s">
        <v>176</v>
      </c>
      <c r="DN207" s="308" t="s">
        <v>176</v>
      </c>
      <c r="DO207" s="308" t="s">
        <v>176</v>
      </c>
      <c r="DP207" s="308" t="s">
        <v>176</v>
      </c>
      <c r="DQ207" s="308" t="s">
        <v>176</v>
      </c>
      <c r="DR207" s="308" t="s">
        <v>176</v>
      </c>
      <c r="DS207" s="308" t="s">
        <v>176</v>
      </c>
      <c r="DT207" s="308" t="s">
        <v>176</v>
      </c>
      <c r="DU207" s="308" t="s">
        <v>176</v>
      </c>
      <c r="DV207" s="308" t="s">
        <v>176</v>
      </c>
      <c r="DW207" s="308" t="s">
        <v>176</v>
      </c>
      <c r="DX207" s="308" t="s">
        <v>176</v>
      </c>
      <c r="DY207" s="308" t="s">
        <v>176</v>
      </c>
      <c r="DZ207" s="308" t="s">
        <v>176</v>
      </c>
      <c r="EA207" s="308" t="s">
        <v>176</v>
      </c>
      <c r="EB207" s="308" t="s">
        <v>176</v>
      </c>
      <c r="EC207" s="308" t="s">
        <v>176</v>
      </c>
      <c r="ED207" s="308" t="s">
        <v>176</v>
      </c>
      <c r="EE207" s="308" t="s">
        <v>176</v>
      </c>
      <c r="EF207" s="308" t="s">
        <v>176</v>
      </c>
      <c r="EG207" s="308" t="s">
        <v>176</v>
      </c>
      <c r="EH207" s="308" t="s">
        <v>176</v>
      </c>
      <c r="EI207" s="308" t="s">
        <v>176</v>
      </c>
      <c r="EJ207" s="308" t="s">
        <v>176</v>
      </c>
      <c r="EK207" s="308" t="s">
        <v>176</v>
      </c>
      <c r="EL207" s="308" t="s">
        <v>176</v>
      </c>
      <c r="EM207" s="308" t="s">
        <v>176</v>
      </c>
      <c r="EN207" s="308" t="s">
        <v>176</v>
      </c>
      <c r="EO207" s="308" t="s">
        <v>176</v>
      </c>
      <c r="EP207" s="308" t="s">
        <v>176</v>
      </c>
      <c r="EQ207" s="308" t="s">
        <v>176</v>
      </c>
      <c r="ER207" s="308" t="s">
        <v>176</v>
      </c>
      <c r="ES207" s="308" t="s">
        <v>176</v>
      </c>
      <c r="ET207" s="308" t="s">
        <v>176</v>
      </c>
      <c r="EU207" s="308" t="s">
        <v>176</v>
      </c>
      <c r="EV207" s="308" t="s">
        <v>176</v>
      </c>
      <c r="EW207" s="308" t="s">
        <v>176</v>
      </c>
      <c r="EX207" s="308" t="s">
        <v>176</v>
      </c>
      <c r="EY207" s="308">
        <v>3</v>
      </c>
      <c r="EZ207" s="308">
        <v>3</v>
      </c>
      <c r="FA207" s="308">
        <v>3</v>
      </c>
      <c r="FB207" s="309">
        <v>3</v>
      </c>
      <c r="FC207" s="308">
        <v>1</v>
      </c>
      <c r="FD207" s="308">
        <v>2</v>
      </c>
      <c r="FE207" s="308">
        <v>3</v>
      </c>
      <c r="FF207" s="308">
        <v>2</v>
      </c>
      <c r="FG207" s="308">
        <v>3</v>
      </c>
      <c r="FH207" s="308">
        <v>3</v>
      </c>
      <c r="FI207" s="308">
        <v>3</v>
      </c>
      <c r="FJ207" s="308">
        <v>3</v>
      </c>
      <c r="FK207" s="308">
        <v>3</v>
      </c>
      <c r="FL207" s="308">
        <v>3</v>
      </c>
      <c r="FM207" s="308">
        <v>3</v>
      </c>
      <c r="FN207" s="308">
        <v>3</v>
      </c>
      <c r="FO207" s="308">
        <v>3</v>
      </c>
      <c r="FP207" s="308">
        <v>3</v>
      </c>
      <c r="FQ207" s="308" t="s">
        <v>176</v>
      </c>
      <c r="FR207" s="308" t="s">
        <v>176</v>
      </c>
      <c r="FS207" s="308" t="s">
        <v>387</v>
      </c>
      <c r="FT207" s="308" t="s">
        <v>176</v>
      </c>
      <c r="FU207" s="308" t="s">
        <v>176</v>
      </c>
      <c r="FV207" s="308" t="s">
        <v>176</v>
      </c>
      <c r="FW207" s="308" t="s">
        <v>176</v>
      </c>
      <c r="FX207" s="308" t="s">
        <v>176</v>
      </c>
      <c r="FY207" s="308" t="s">
        <v>176</v>
      </c>
      <c r="FZ207" s="308" t="s">
        <v>176</v>
      </c>
      <c r="GA207" s="322" t="s">
        <v>160</v>
      </c>
      <c r="GB207" s="308" t="s">
        <v>176</v>
      </c>
      <c r="GC207" s="308" t="s">
        <v>176</v>
      </c>
      <c r="GD207" s="308" t="s">
        <v>176</v>
      </c>
      <c r="GE207" s="308" t="s">
        <v>176</v>
      </c>
      <c r="GF207" s="308" t="s">
        <v>176</v>
      </c>
      <c r="GG207" s="308" t="s">
        <v>176</v>
      </c>
      <c r="GH207" s="308" t="s">
        <v>176</v>
      </c>
      <c r="GI207" s="308" t="s">
        <v>176</v>
      </c>
      <c r="GJ207" s="308" t="s">
        <v>176</v>
      </c>
      <c r="GK207" s="308" t="s">
        <v>176</v>
      </c>
      <c r="GL207" s="311">
        <f>SUM(G207:FP207)</f>
        <v>197</v>
      </c>
      <c r="GM207" s="132"/>
    </row>
    <row r="208" spans="1:195" s="187" customFormat="1" ht="25.5" customHeight="1" thickBot="1" x14ac:dyDescent="0.3">
      <c r="A208" s="138" t="str">
        <f>A207</f>
        <v>Management / zarządzanie</v>
      </c>
      <c r="B208" s="138" t="str">
        <f>B207</f>
        <v>Supply Chain Manager</v>
      </c>
      <c r="C208" s="135" t="s">
        <v>766</v>
      </c>
      <c r="D208" s="138">
        <f>D207</f>
        <v>845</v>
      </c>
      <c r="E208" s="566" t="str">
        <f>E207</f>
        <v>Bondar Jakub</v>
      </c>
      <c r="F208" s="312" t="s">
        <v>166</v>
      </c>
      <c r="G208" s="330">
        <f>IF(INDEX(tab_MinKomp[Przepisy BHP / BHP Vorschriften],MATCH($B207,tab_MinKomp[[Stanowisko / Position ]:[Stanowisko / Position ]],0))="n/a","n/a",G207-INDEX(tab_MinKomp[Przepisy BHP / BHP Vorschriften],MATCH($B207,tab_MinKomp[[Stanowisko / Position ]:[Stanowisko / Position ]],0)))</f>
        <v>0</v>
      </c>
      <c r="H208" s="330">
        <f>IF(INDEX(tab_MinKomp[Przepisy PPOŻ / Brandschutzbestimmungen],MATCH($B207,tab_MinKomp[[Stanowisko / Position ]:[Stanowisko / Position ]],0))="n/a","n/a",H207-INDEX(tab_MinKomp[Przepisy PPOŻ / Brandschutzbestimmungen],MATCH($B207,tab_MinKomp[[Stanowisko / Position ]:[Stanowisko / Position ]],0)))</f>
        <v>0</v>
      </c>
      <c r="I208" s="330">
        <f>IF(INDEX(tab_MinKomp[Ryzyko zawodowe na stanowiskach pracyv/ Berufliche Risiken an Arbeitsstellen],MATCH($B207,tab_MinKomp[[Stanowisko / Position ]:[Stanowisko / Position ]],0))="n/a","n/a",I207-INDEX(tab_MinKomp[Ryzyko zawodowe na stanowiskach pracyv/ Berufliche Risiken an Arbeitsstellen],MATCH($B207,tab_MinKomp[[Stanowisko / Position ]:[Stanowisko / Position ]],0)))</f>
        <v>0</v>
      </c>
      <c r="J208" s="330">
        <f>IF(INDEX(tab_MinKomp[Gospodarka substancjami niebezpiecznymi / Gefahrstoffmanagement],MATCH($B207,tab_MinKomp[[Stanowisko / Position ]:[Stanowisko / Position ]],0))="n/a","n/a",J207-INDEX(tab_MinKomp[Gospodarka substancjami niebezpiecznymi / Gefahrstoffmanagement],MATCH($B207,tab_MinKomp[[Stanowisko / Position ]:[Stanowisko / Position ]],0)))</f>
        <v>0</v>
      </c>
      <c r="K208" s="330">
        <f>IF(INDEX(tab_MinKomp[Gospodarka odpadami / Abfallwirtschaft],MATCH($B207,tab_MinKomp[[Stanowisko / Position ]:[Stanowisko / Position ]],0))="n/a","n/a",K207-INDEX(tab_MinKomp[Gospodarka odpadami / Abfallwirtschaft],MATCH($B207,tab_MinKomp[[Stanowisko / Position ]:[Stanowisko / Position ]],0)))</f>
        <v>0</v>
      </c>
      <c r="L208" s="330">
        <f>IF(INDEX(tab_MinKomp[Przepisy kodeksu pracy / Bestimmungen des Arbeitsgesetzes],MATCH($B207,tab_MinKomp[[Stanowisko / Position ]:[Stanowisko / Position ]],0))="n/a","n/a",L207-INDEX(tab_MinKomp[Przepisy kodeksu pracy / Bestimmungen des Arbeitsgesetzes],MATCH($B207,tab_MinKomp[[Stanowisko / Position ]:[Stanowisko / Position ]],0)))</f>
        <v>0</v>
      </c>
      <c r="M208" s="330" t="str">
        <f>IF(INDEX(tab_MinKomp[Przepisy o ub.społ. ZUS  / Sozialversicherungsvorschriften],MATCH($B207,tab_MinKomp[[Stanowisko / Position ]:[Stanowisko / Position ]],0))="n/a","n/a",M207-INDEX(tab_MinKomp[Przepisy o ub.społ. ZUS  / Sozialversicherungsvorschriften],MATCH($B207,tab_MinKomp[[Stanowisko / Position ]:[Stanowisko / Position ]],0)))</f>
        <v>n/a</v>
      </c>
      <c r="N208" s="330" t="str">
        <f>IF(INDEX(tab_MinKomp[PRZEPISY O PDOF /persönlich Einkommensteuergesetz ],MATCH($B207,tab_MinKomp[[Stanowisko / Position ]:[Stanowisko / Position ]],0))="n/a","n/a",N207-INDEX(tab_MinKomp[PRZEPISY O PDOF /persönlich Einkommensteuergesetz ],MATCH($B207,tab_MinKomp[[Stanowisko / Position ]:[Stanowisko / Position ]],0)))</f>
        <v>n/a</v>
      </c>
      <c r="O208" s="330">
        <f>IF(INDEX(tab_MinKomp[Regulamin pracy / Arbeitsordnung],MATCH($B207,tab_MinKomp[[Stanowisko / Position ]:[Stanowisko / Position ]],0))="n/a","n/a",O207-INDEX(tab_MinKomp[Regulamin pracy / Arbeitsordnung],MATCH($B207,tab_MinKomp[[Stanowisko / Position ]:[Stanowisko / Position ]],0)))</f>
        <v>0</v>
      </c>
      <c r="P208" s="330">
        <f>IF(INDEX(tab_MinKomp[Regulamin wynagradzania / Vergütungsordnung],MATCH($B207,tab_MinKomp[[Stanowisko / Position ]:[Stanowisko / Position ]],0))="n/a","n/a",P207-INDEX(tab_MinKomp[Regulamin wynagradzania / Vergütungsordnung],MATCH($B207,tab_MinKomp[[Stanowisko / Position ]:[Stanowisko / Position ]],0)))</f>
        <v>0</v>
      </c>
      <c r="Q208" s="330" t="str">
        <f>IF(INDEX(tab_MinKomp[System R2PŁATNIK PRO: Płace / Lohnabrechnung],MATCH($B207,tab_MinKomp[[Stanowisko / Position ]:[Stanowisko / Position ]],0))="n/a","n/a",Q207-INDEX(tab_MinKomp[System R2PŁATNIK PRO: Płace / Lohnabrechnung],MATCH($B207,tab_MinKomp[[Stanowisko / Position ]:[Stanowisko / Position ]],0)))</f>
        <v>n/a</v>
      </c>
      <c r="R208" s="330" t="str">
        <f>IF(INDEX(tab_MinKomp[SystemR2PŁATNIK PRO: KADRY / Personaldaten],MATCH($B207,tab_MinKomp[[Stanowisko / Position ]:[Stanowisko / Position ]],0))="n/a","n/a",R207-INDEX(tab_MinKomp[SystemR2PŁATNIK PRO: KADRY / Personaldaten],MATCH($B207,tab_MinKomp[[Stanowisko / Position ]:[Stanowisko / Position ]],0)))</f>
        <v>n/a</v>
      </c>
      <c r="S208" s="330">
        <f>IF(INDEX(tab_MinKomp[Regulamin pracy / Arbeitsordnung],MATCH($B207,tab_MinKomp[[Stanowisko / Position ]:[Stanowisko / Position ]],0))="n/a","n/a",S207-INDEX(tab_MinKomp[Regulamin pracy / Arbeitsordnung],MATCH($B207,tab_MinKomp[[Stanowisko / Position ]:[Stanowisko / Position ]],0)))</f>
        <v>0</v>
      </c>
      <c r="T208" s="330">
        <f>IF(INDEX(tab_MinKomp[Regulamin pracy / Arbeitsordnung],MATCH($B207,tab_MinKomp[[Stanowisko / Position ]:[Stanowisko / Position ]],0))="n/a","n/a",T207-INDEX(tab_MinKomp[Regulamin pracy / Arbeitsordnung],MATCH($B207,tab_MinKomp[[Stanowisko / Position ]:[Stanowisko / Position ]],0)))</f>
        <v>0</v>
      </c>
      <c r="U208" s="330" t="str">
        <f>IF(INDEX(tab_MinKomp[Przepisy o podatku VAT / MwSt.- Gesetz],MATCH($B207,tab_MinKomp[[Stanowisko / Position ]:[Stanowisko / Position ]],0))="n/a","n/a",U207-INDEX(tab_MinKomp[Przepisy o podatku VAT / MwSt.- Gesetz],MATCH($B207,tab_MinKomp[[Stanowisko / Position ]:[Stanowisko / Position ]],0)))</f>
        <v>n/a</v>
      </c>
      <c r="V208" s="330" t="str">
        <f>IF(INDEX(tab_MinKomp[PrzepisyPDOP / geschäftlich Einkommensteuergesetz],MATCH($B207,tab_MinKomp[[Stanowisko / Position ]:[Stanowisko / Position ]],0))="n/a","n/a",V207-INDEX(tab_MinKomp[PrzepisyPDOP / geschäftlich Einkommensteuergesetz],MATCH($B207,tab_MinKomp[[Stanowisko / Position ]:[Stanowisko / Position ]],0)))</f>
        <v>n/a</v>
      </c>
      <c r="W208" s="330" t="str">
        <f>IF(INDEX(tab_MinKomp[System BAAN / FINANSE (FIBU)],MATCH($B207,tab_MinKomp[[Stanowisko / Position ]:[Stanowisko / Position ]],0))="n/a","n/a",W207-INDEX(tab_MinKomp[System BAAN / FINANSE (FIBU)],MATCH($B207,tab_MinKomp[[Stanowisko / Position ]:[Stanowisko / Position ]],0)))</f>
        <v>n/a</v>
      </c>
      <c r="X208" s="330">
        <f>IF(INDEX(tab_MinKomp[Przepisy kodeksu pracy / Bestimmungen des Arbeitsgesetzes],MATCH($B207,tab_MinKomp[[Stanowisko / Position ]:[Stanowisko / Position ]],0))="n/a","n/a",X207-INDEX(tab_MinKomp[Przepisy kodeksu pracy / Bestimmungen des Arbeitsgesetzes],MATCH($B207,tab_MinKomp[[Stanowisko / Position ]:[Stanowisko / Position ]],0)))</f>
        <v>0</v>
      </c>
      <c r="Y208" s="330" t="str">
        <f>IF(INDEX(tab_MinKomp[Polityka rachunkowości / Buchführungspolitik],MATCH($B207,tab_MinKomp[[Stanowisko / Position ]:[Stanowisko / Position ]],0))="n/a","n/a",Y207-INDEX(tab_MinKomp[Polityka rachunkowości / Buchführungspolitik],MATCH($B207,tab_MinKomp[[Stanowisko / Position ]:[Stanowisko / Position ]],0)))</f>
        <v>n/a</v>
      </c>
      <c r="Z208" s="330" t="str">
        <f>IF(INDEX(tab_MinKomp[Ustawa o rachunkowości / Rechnungslegungsgesetz],MATCH($B207,tab_MinKomp[[Stanowisko / Position ]:[Stanowisko / Position ]],0))="n/a","n/a",Z207-INDEX(tab_MinKomp[Ustawa o rachunkowości / Rechnungslegungsgesetz],MATCH($B207,tab_MinKomp[[Stanowisko / Position ]:[Stanowisko / Position ]],0)))</f>
        <v>n/a</v>
      </c>
      <c r="AA208" s="330" t="str">
        <f>IF(INDEX(tab_MinKomp[Przepisy o ub.społ. ZUS  / Sozialversicherungsvorschriften],MATCH($B207,tab_MinKomp[[Stanowisko / Position ]:[Stanowisko / Position ]],0))="n/a","n/a",AA207-INDEX(tab_MinKomp[Przepisy o ub.społ. ZUS  / Sozialversicherungsvorschriften],MATCH($B207,tab_MinKomp[[Stanowisko / Position ]:[Stanowisko / Position ]],0)))</f>
        <v>n/a</v>
      </c>
      <c r="AB208" s="330">
        <f>IF(INDEX(tab_MinKomp[WORKFLOW - SFMS],MATCH($B207,tab_MinKomp[[Stanowisko / Position ]:[Stanowisko / Position ]],0))="n/a","n/a",AB207-INDEX(tab_MinKomp[WORKFLOW - SFMS],MATCH($B207,tab_MinKomp[[Stanowisko / Position ]:[Stanowisko / Position ]],0)))</f>
        <v>0</v>
      </c>
      <c r="AC208" s="330">
        <f>IF(INDEX(tab_MinKomp[Przepisy kodeksu pracy / Bestimmungen des Arbeitsgesetzes],MATCH($B207,tab_MinKomp[[Stanowisko / Position ]:[Stanowisko / Position ]],0))="n/a","n/a",AC207-INDEX(tab_MinKomp[Przepisy kodeksu pracy / Bestimmungen des Arbeitsgesetzes],MATCH($B207,tab_MinKomp[[Stanowisko / Position ]:[Stanowisko / Position ]],0)))</f>
        <v>1</v>
      </c>
      <c r="AD208" s="330">
        <f>IF(INDEX(tab_MinKomp[Przepisy kodeksu pracy / Bestimmungen des Arbeitsgesetzes],MATCH($B207,tab_MinKomp[[Stanowisko / Position ]:[Stanowisko / Position ]],0))="n/a","n/a",AD207-INDEX(tab_MinKomp[Przepisy kodeksu pracy / Bestimmungen des Arbeitsgesetzes],MATCH($B207,tab_MinKomp[[Stanowisko / Position ]:[Stanowisko / Position ]],0)))</f>
        <v>1</v>
      </c>
      <c r="AE208" s="330">
        <f>IF(INDEX(tab_MinKomp[Przepisy kodeksu pracy / Bestimmungen des Arbeitsgesetzes],MATCH($B207,tab_MinKomp[[Stanowisko / Position ]:[Stanowisko / Position ]],0))="n/a","n/a",AE207-INDEX(tab_MinKomp[Przepisy kodeksu pracy / Bestimmungen des Arbeitsgesetzes],MATCH($B207,tab_MinKomp[[Stanowisko / Position ]:[Stanowisko / Position ]],0)))</f>
        <v>1</v>
      </c>
      <c r="AF208" s="330">
        <f>IF(INDEX(tab_MinKomp[Przepisy kodeksu pracy / Bestimmungen des Arbeitsgesetzes],MATCH($B207,tab_MinKomp[[Stanowisko / Position ]:[Stanowisko / Position ]],0))="n/a","n/a",AF207-INDEX(tab_MinKomp[Przepisy kodeksu pracy / Bestimmungen des Arbeitsgesetzes],MATCH($B207,tab_MinKomp[[Stanowisko / Position ]:[Stanowisko / Position ]],0)))</f>
        <v>0</v>
      </c>
      <c r="AG208" s="330">
        <f>IF(INDEX(tab_MinKomp[Przepisy kodeksu pracy / Bestimmungen des Arbeitsgesetzes],MATCH($B207,tab_MinKomp[[Stanowisko / Position ]:[Stanowisko / Position ]],0))="n/a","n/a",AG207-INDEX(tab_MinKomp[Przepisy kodeksu pracy / Bestimmungen des Arbeitsgesetzes],MATCH($B207,tab_MinKomp[[Stanowisko / Position ]:[Stanowisko / Position ]],0)))</f>
        <v>1</v>
      </c>
      <c r="AH208" s="330">
        <f>IF(INDEX(tab_MinKomp[Przepisy kodeksu pracy / Bestimmungen des Arbeitsgesetzes],MATCH($B207,tab_MinKomp[[Stanowisko / Position ]:[Stanowisko / Position ]],0))="n/a","n/a",AH207-INDEX(tab_MinKomp[Przepisy kodeksu pracy / Bestimmungen des Arbeitsgesetzes],MATCH($B207,tab_MinKomp[[Stanowisko / Position ]:[Stanowisko / Position ]],0)))</f>
        <v>1</v>
      </c>
      <c r="AI208" s="330" t="str">
        <f>IF(INDEX(tab_MinKomp[Przepisy o ub.społ. ZUS  / Sozialversicherungsvorschriften],MATCH($B207,tab_MinKomp[[Stanowisko / Position ]:[Stanowisko / Position ]],0))="n/a","n/a",AI207-INDEX(tab_MinKomp[Przepisy o ub.społ. ZUS  / Sozialversicherungsvorschriften],MATCH($B207,tab_MinKomp[[Stanowisko / Position ]:[Stanowisko / Position ]],0)))</f>
        <v>n/a</v>
      </c>
      <c r="AJ208" s="330" t="str">
        <f>IF(INDEX(tab_MinKomp[Przepisy o ub.społ. ZUS  / Sozialversicherungsvorschriften],MATCH($B207,tab_MinKomp[[Stanowisko / Position ]:[Stanowisko / Position ]],0))="n/a","n/a",AJ207-INDEX(tab_MinKomp[Przepisy o ub.społ. ZUS  / Sozialversicherungsvorschriften],MATCH($B207,tab_MinKomp[[Stanowisko / Position ]:[Stanowisko / Position ]],0)))</f>
        <v>n/a</v>
      </c>
      <c r="AK208" s="330" t="str">
        <f>IF(INDEX(tab_MinKomp[Przepisy o ub.społ. ZUS  / Sozialversicherungsvorschriften],MATCH($B207,tab_MinKomp[[Stanowisko / Position ]:[Stanowisko / Position ]],0))="n/a","n/a",AK207-INDEX(tab_MinKomp[Przepisy o ub.społ. ZUS  / Sozialversicherungsvorschriften],MATCH($B207,tab_MinKomp[[Stanowisko / Position ]:[Stanowisko / Position ]],0)))</f>
        <v>n/a</v>
      </c>
      <c r="AL208" s="330">
        <f>IF(INDEX(tab_MinKomp[WORKFLOW - SFMS],MATCH($B207,tab_MinKomp[[Stanowisko / Position ]:[Stanowisko / Position ]],0))="n/a","n/a",AL207-INDEX(tab_MinKomp[WORKFLOW - SFMS],MATCH($B207,tab_MinKomp[[Stanowisko / Position ]:[Stanowisko / Position ]],0)))</f>
        <v>1</v>
      </c>
      <c r="AM208" s="330">
        <f>IF(INDEX(tab_MinKomp[Przepisy kodeksu pracy / Bestimmungen des Arbeitsgesetzes],MATCH($B207,tab_MinKomp[[Stanowisko / Position ]:[Stanowisko / Position ]],0))="n/a","n/a",AM207-INDEX(tab_MinKomp[Przepisy kodeksu pracy / Bestimmungen des Arbeitsgesetzes],MATCH($B207,tab_MinKomp[[Stanowisko / Position ]:[Stanowisko / Position ]],0)))</f>
        <v>1</v>
      </c>
      <c r="AN208" s="330" t="str">
        <f>IF(INDEX(tab_MinKomp[Przepisy o ub.społ. ZUS  / Sozialversicherungsvorschriften],MATCH($B207,tab_MinKomp[[Stanowisko / Position ]:[Stanowisko / Position ]],0))="n/a","n/a",AN207-INDEX(tab_MinKomp[Przepisy o ub.społ. ZUS  / Sozialversicherungsvorschriften],MATCH($B207,tab_MinKomp[[Stanowisko / Position ]:[Stanowisko / Position ]],0)))</f>
        <v>n/a</v>
      </c>
      <c r="AO208" s="330">
        <f>IF(INDEX(tab_MinKomp[WORKFLOW - SFMS],MATCH($B207,tab_MinKomp[[Stanowisko / Position ]:[Stanowisko / Position ]],0))="n/a","n/a",AO207-INDEX(tab_MinKomp[WORKFLOW - SFMS],MATCH($B207,tab_MinKomp[[Stanowisko / Position ]:[Stanowisko / Position ]],0)))</f>
        <v>0</v>
      </c>
      <c r="AP208" s="330">
        <f>IF(INDEX(tab_MinKomp[WORKFLOW - SFMS],MATCH($B207,tab_MinKomp[[Stanowisko / Position ]:[Stanowisko / Position ]],0))="n/a","n/a",AP207-INDEX(tab_MinKomp[WORKFLOW - SFMS],MATCH($B207,tab_MinKomp[[Stanowisko / Position ]:[Stanowisko / Position ]],0)))</f>
        <v>0</v>
      </c>
      <c r="AQ208" s="330">
        <f>IF(INDEX(tab_MinKomp[WORKFLOW - SFMS],MATCH($B207,tab_MinKomp[[Stanowisko / Position ]:[Stanowisko / Position ]],0))="n/a","n/a",AQ207-INDEX(tab_MinKomp[WORKFLOW - SFMS],MATCH($B207,tab_MinKomp[[Stanowisko / Position ]:[Stanowisko / Position ]],0)))</f>
        <v>0</v>
      </c>
      <c r="AR208" s="330" t="str">
        <f>IF(INDEX(tab_MinKomp[Przepisy o ub.społ. ZUS  / Sozialversicherungsvorschriften],MATCH($B207,tab_MinKomp[[Stanowisko / Position ]:[Stanowisko / Position ]],0))="n/a","n/a",AR207-INDEX(tab_MinKomp[Przepisy o ub.społ. ZUS  / Sozialversicherungsvorschriften],MATCH($B207,tab_MinKomp[[Stanowisko / Position ]:[Stanowisko / Position ]],0)))</f>
        <v>n/a</v>
      </c>
      <c r="AS208" s="330">
        <f>IF(INDEX(tab_MinKomp[Przepisy kodeksu pracy / Bestimmungen des Arbeitsgesetzes],MATCH($B207,tab_MinKomp[[Stanowisko / Position ]:[Stanowisko / Position ]],0))="n/a","n/a",AS207-INDEX(tab_MinKomp[Przepisy kodeksu pracy / Bestimmungen des Arbeitsgesetzes],MATCH($B207,tab_MinKomp[[Stanowisko / Position ]:[Stanowisko / Position ]],0)))</f>
        <v>0</v>
      </c>
      <c r="AT208" s="330">
        <f>IF(INDEX(tab_MinKomp[Przepisy kodeksu pracy / Bestimmungen des Arbeitsgesetzes],MATCH($B207,tab_MinKomp[[Stanowisko / Position ]:[Stanowisko / Position ]],0))="n/a","n/a",AT207-INDEX(tab_MinKomp[Przepisy kodeksu pracy / Bestimmungen des Arbeitsgesetzes],MATCH($B207,tab_MinKomp[[Stanowisko / Position ]:[Stanowisko / Position ]],0)))</f>
        <v>0</v>
      </c>
      <c r="AU208" s="330">
        <f>IF(INDEX(tab_MinKomp[WORKFLOW - SFMS],MATCH($B207,tab_MinKomp[[Stanowisko / Position ]:[Stanowisko / Position ]],0))="n/a","n/a",AU207-INDEX(tab_MinKomp[WORKFLOW - SFMS],MATCH($B207,tab_MinKomp[[Stanowisko / Position ]:[Stanowisko / Position ]],0)))</f>
        <v>0</v>
      </c>
      <c r="AV208" s="330">
        <f>IF(INDEX(tab_MinKomp[WORKFLOW - SFMS],MATCH($B207,tab_MinKomp[[Stanowisko / Position ]:[Stanowisko / Position ]],0))="n/a","n/a",AV207-INDEX(tab_MinKomp[WORKFLOW - SFMS],MATCH($B207,tab_MinKomp[[Stanowisko / Position ]:[Stanowisko / Position ]],0)))</f>
        <v>1</v>
      </c>
      <c r="AW208" s="330">
        <f>IF(INDEX(tab_MinKomp[Przepisy kodeksu pracy / Bestimmungen des Arbeitsgesetzes],MATCH($B207,tab_MinKomp[[Stanowisko / Position ]:[Stanowisko / Position ]],0))="n/a","n/a",AW207-INDEX(tab_MinKomp[Przepisy kodeksu pracy / Bestimmungen des Arbeitsgesetzes],MATCH($B207,tab_MinKomp[[Stanowisko / Position ]:[Stanowisko / Position ]],0)))</f>
        <v>2</v>
      </c>
      <c r="AX208" s="330">
        <f>IF(INDEX(tab_MinKomp[Przepisy kodeksu pracy / Bestimmungen des Arbeitsgesetzes],MATCH($B207,tab_MinKomp[[Stanowisko / Position ]:[Stanowisko / Position ]],0))="n/a","n/a",AX207-INDEX(tab_MinKomp[Przepisy kodeksu pracy / Bestimmungen des Arbeitsgesetzes],MATCH($B207,tab_MinKomp[[Stanowisko / Position ]:[Stanowisko / Position ]],0)))</f>
        <v>2</v>
      </c>
      <c r="AY208" s="330" t="str">
        <f>IF(INDEX(tab_MinKomp[Przepisy o ub.społ. ZUS  / Sozialversicherungsvorschriften],MATCH($B207,tab_MinKomp[[Stanowisko / Position ]:[Stanowisko / Position ]],0))="n/a","n/a",AY207-INDEX(tab_MinKomp[Przepisy o ub.społ. ZUS  / Sozialversicherungsvorschriften],MATCH($B207,tab_MinKomp[[Stanowisko / Position ]:[Stanowisko / Position ]],0)))</f>
        <v>n/a</v>
      </c>
      <c r="AZ208" s="330">
        <f>IF(INDEX(tab_MinKomp[WORKFLOW - SFMS],MATCH($B207,tab_MinKomp[[Stanowisko / Position ]:[Stanowisko / Position ]],0))="n/a","n/a",AZ207-INDEX(tab_MinKomp[WORKFLOW - SFMS],MATCH($B207,tab_MinKomp[[Stanowisko / Position ]:[Stanowisko / Position ]],0)))</f>
        <v>1</v>
      </c>
      <c r="BA208" s="330">
        <f>IF(INDEX(tab_MinKomp[Ryzyko zawodowe na stanowiskach pracyv/ Berufliche Risiken an Arbeitsstellen],MATCH($B207,tab_MinKomp[[Stanowisko / Position ]:[Stanowisko / Position ]],0))="n/a","n/a",BA207-INDEX(tab_MinKomp[Ryzyko zawodowe na stanowiskach pracyv/ Berufliche Risiken an Arbeitsstellen],MATCH($B207,tab_MinKomp[[Stanowisko / Position ]:[Stanowisko / Position ]],0)))</f>
        <v>0</v>
      </c>
      <c r="BB208" s="330">
        <f>IF(INDEX(tab_MinKomp[Ryzyko zawodowe na stanowiskach pracyv/ Berufliche Risiken an Arbeitsstellen],MATCH($B207,tab_MinKomp[[Stanowisko / Position ]:[Stanowisko / Position ]],0))="n/a","n/a",BB207-INDEX(tab_MinKomp[Ryzyko zawodowe na stanowiskach pracyv/ Berufliche Risiken an Arbeitsstellen],MATCH($B207,tab_MinKomp[[Stanowisko / Position ]:[Stanowisko / Position ]],0)))</f>
        <v>0</v>
      </c>
      <c r="BC208" s="330">
        <f>IF(INDEX(tab_MinKomp[WORKFLOW - SFMS],MATCH($B207,tab_MinKomp[[Stanowisko / Position ]:[Stanowisko / Position ]],0))="n/a","n/a",BC207-INDEX(tab_MinKomp[WORKFLOW - SFMS],MATCH($B207,tab_MinKomp[[Stanowisko / Position ]:[Stanowisko / Position ]],0)))</f>
        <v>0</v>
      </c>
      <c r="BD208" s="330">
        <f>IF(INDEX(tab_MinKomp[WORKFLOW - SFMS],MATCH($B207,tab_MinKomp[[Stanowisko / Position ]:[Stanowisko / Position ]],0))="n/a","n/a",BD207-INDEX(tab_MinKomp[WORKFLOW - SFMS],MATCH($B207,tab_MinKomp[[Stanowisko / Position ]:[Stanowisko / Position ]],0)))</f>
        <v>0</v>
      </c>
      <c r="BE208" s="330">
        <f>IF(INDEX(tab_MinKomp[WORKFLOW - SFMS],MATCH($B207,tab_MinKomp[[Stanowisko / Position ]:[Stanowisko / Position ]],0))="n/a","n/a",BE207-INDEX(tab_MinKomp[WORKFLOW - SFMS],MATCH($B207,tab_MinKomp[[Stanowisko / Position ]:[Stanowisko / Position ]],0)))</f>
        <v>1</v>
      </c>
      <c r="BF208" s="330">
        <f>IF(INDEX(tab_MinKomp[WORKFLOW - SFMS],MATCH($B207,tab_MinKomp[[Stanowisko / Position ]:[Stanowisko / Position ]],0))="n/a","n/a",BF207-INDEX(tab_MinKomp[WORKFLOW - SFMS],MATCH($B207,tab_MinKomp[[Stanowisko / Position ]:[Stanowisko / Position ]],0)))</f>
        <v>0</v>
      </c>
      <c r="BG208" s="330">
        <f>IF(INDEX(tab_MinKomp[Przepisy kodeksu pracy / Bestimmungen des Arbeitsgesetzes],MATCH($B207,tab_MinKomp[[Stanowisko / Position ]:[Stanowisko / Position ]],0))="n/a","n/a",BG207-INDEX(tab_MinKomp[Przepisy kodeksu pracy / Bestimmungen des Arbeitsgesetzes],MATCH($B207,tab_MinKomp[[Stanowisko / Position ]:[Stanowisko / Position ]],0)))</f>
        <v>0</v>
      </c>
      <c r="BH208" s="330">
        <f>IF(INDEX(tab_MinKomp[Ryzyko zawodowe na stanowiskach pracyv/ Berufliche Risiken an Arbeitsstellen],MATCH($B207,tab_MinKomp[[Stanowisko / Position ]:[Stanowisko / Position ]],0))="n/a","n/a",BH207-INDEX(tab_MinKomp[Ryzyko zawodowe na stanowiskach pracyv/ Berufliche Risiken an Arbeitsstellen],MATCH($B207,tab_MinKomp[[Stanowisko / Position ]:[Stanowisko / Position ]],0)))</f>
        <v>0</v>
      </c>
      <c r="BI208" s="330">
        <f>IF(INDEX(tab_MinKomp[Ryzyko zawodowe na stanowiskach pracyv/ Berufliche Risiken an Arbeitsstellen],MATCH($B207,tab_MinKomp[[Stanowisko / Position ]:[Stanowisko / Position ]],0))="n/a","n/a",BI207-INDEX(tab_MinKomp[Ryzyko zawodowe na stanowiskach pracyv/ Berufliche Risiken an Arbeitsstellen],MATCH($B207,tab_MinKomp[[Stanowisko / Position ]:[Stanowisko / Position ]],0)))</f>
        <v>0</v>
      </c>
      <c r="BJ208" s="330">
        <f>IF(INDEX(tab_MinKomp[WORKFLOW - SFMS],MATCH($B207,tab_MinKomp[[Stanowisko / Position ]:[Stanowisko / Position ]],0))="n/a","n/a",BJ207-INDEX(tab_MinKomp[WORKFLOW - SFMS],MATCH($B207,tab_MinKomp[[Stanowisko / Position ]:[Stanowisko / Position ]],0)))</f>
        <v>0</v>
      </c>
      <c r="BK208" s="330">
        <f>IF(INDEX(tab_MinKomp[Ryzyko zawodowe na stanowiskach pracyv/ Berufliche Risiken an Arbeitsstellen],MATCH($B207,tab_MinKomp[[Stanowisko / Position ]:[Stanowisko / Position ]],0))="n/a","n/a",BK207-INDEX(tab_MinKomp[Ryzyko zawodowe na stanowiskach pracyv/ Berufliche Risiken an Arbeitsstellen],MATCH($B207,tab_MinKomp[[Stanowisko / Position ]:[Stanowisko / Position ]],0)))</f>
        <v>0</v>
      </c>
      <c r="BL208" s="330">
        <f>IF(INDEX(tab_MinKomp[Przepisy kodeksu pracy / Bestimmungen des Arbeitsgesetzes],MATCH($B207,tab_MinKomp[[Stanowisko / Position ]:[Stanowisko / Position ]],0))="n/a","n/a",BL207-INDEX(tab_MinKomp[Przepisy kodeksu pracy / Bestimmungen des Arbeitsgesetzes],MATCH($B207,tab_MinKomp[[Stanowisko / Position ]:[Stanowisko / Position ]],0)))</f>
        <v>0</v>
      </c>
      <c r="BM208" s="330" t="str">
        <f>IF(INDEX(tab_MinKomp[Przepisy o ub.społ. ZUS  / Sozialversicherungsvorschriften],MATCH($B207,tab_MinKomp[[Stanowisko / Position ]:[Stanowisko / Position ]],0))="n/a","n/a",BM207-INDEX(tab_MinKomp[Przepisy o ub.społ. ZUS  / Sozialversicherungsvorschriften],MATCH($B207,tab_MinKomp[[Stanowisko / Position ]:[Stanowisko / Position ]],0)))</f>
        <v>n/a</v>
      </c>
      <c r="BN208" s="330" t="str">
        <f>IF(INDEX(tab_MinKomp[Przepisy o ub.społ. ZUS  / Sozialversicherungsvorschriften],MATCH($B207,tab_MinKomp[[Stanowisko / Position ]:[Stanowisko / Position ]],0))="n/a","n/a",BN207-INDEX(tab_MinKomp[Przepisy o ub.społ. ZUS  / Sozialversicherungsvorschriften],MATCH($B207,tab_MinKomp[[Stanowisko / Position ]:[Stanowisko / Position ]],0)))</f>
        <v>n/a</v>
      </c>
      <c r="BO208" s="330" t="str">
        <f>IF(INDEX(tab_MinKomp[Przepisy o ub.społ. ZUS  / Sozialversicherungsvorschriften],MATCH($B207,tab_MinKomp[[Stanowisko / Position ]:[Stanowisko / Position ]],0))="n/a","n/a",BO207-INDEX(tab_MinKomp[Przepisy o ub.społ. ZUS  / Sozialversicherungsvorschriften],MATCH($B207,tab_MinKomp[[Stanowisko / Position ]:[Stanowisko / Position ]],0)))</f>
        <v>n/a</v>
      </c>
      <c r="BP208" s="330" t="str">
        <f>IF(INDEX(tab_MinKomp[Przepisy o ub.społ. ZUS  / Sozialversicherungsvorschriften],MATCH($B207,tab_MinKomp[[Stanowisko / Position ]:[Stanowisko / Position ]],0))="n/a","n/a",BP207-INDEX(tab_MinKomp[Przepisy o ub.społ. ZUS  / Sozialversicherungsvorschriften],MATCH($B207,tab_MinKomp[[Stanowisko / Position ]:[Stanowisko / Position ]],0)))</f>
        <v>n/a</v>
      </c>
      <c r="BQ208" s="330" t="str">
        <f>IF(INDEX(tab_MinKomp[Przepisy o ub.społ. ZUS  / Sozialversicherungsvorschriften],MATCH($B207,tab_MinKomp[[Stanowisko / Position ]:[Stanowisko / Position ]],0))="n/a","n/a",BQ207-INDEX(tab_MinKomp[Przepisy o ub.społ. ZUS  / Sozialversicherungsvorschriften],MATCH($B207,tab_MinKomp[[Stanowisko / Position ]:[Stanowisko / Position ]],0)))</f>
        <v>n/a</v>
      </c>
      <c r="BR208" s="330" t="str">
        <f>IF(INDEX(tab_MinKomp[Przepisy o ub.społ. ZUS  / Sozialversicherungsvorschriften],MATCH($B207,tab_MinKomp[[Stanowisko / Position ]:[Stanowisko / Position ]],0))="n/a","n/a",BR207-INDEX(tab_MinKomp[Przepisy o ub.społ. ZUS  / Sozialversicherungsvorschriften],MATCH($B207,tab_MinKomp[[Stanowisko / Position ]:[Stanowisko / Position ]],0)))</f>
        <v>n/a</v>
      </c>
      <c r="BS208" s="330" t="str">
        <f>IF(INDEX(tab_MinKomp[Przepisy o ub.społ. ZUS  / Sozialversicherungsvorschriften],MATCH($B207,tab_MinKomp[[Stanowisko / Position ]:[Stanowisko / Position ]],0))="n/a","n/a",BS207-INDEX(tab_MinKomp[Przepisy o ub.społ. ZUS  / Sozialversicherungsvorschriften],MATCH($B207,tab_MinKomp[[Stanowisko / Position ]:[Stanowisko / Position ]],0)))</f>
        <v>n/a</v>
      </c>
      <c r="BT208" s="330" t="str">
        <f>IF(INDEX(tab_MinKomp[Przepisy o ub.społ. ZUS  / Sozialversicherungsvorschriften],MATCH($B207,tab_MinKomp[[Stanowisko / Position ]:[Stanowisko / Position ]],0))="n/a","n/a",BT207-INDEX(tab_MinKomp[Przepisy o ub.społ. ZUS  / Sozialversicherungsvorschriften],MATCH($B207,tab_MinKomp[[Stanowisko / Position ]:[Stanowisko / Position ]],0)))</f>
        <v>n/a</v>
      </c>
      <c r="BU208" s="330" t="str">
        <f>IF(INDEX(tab_MinKomp[Przepisy o ub.społ. ZUS  / Sozialversicherungsvorschriften],MATCH($B207,tab_MinKomp[[Stanowisko / Position ]:[Stanowisko / Position ]],0))="n/a","n/a",BU207-INDEX(tab_MinKomp[Przepisy o ub.społ. ZUS  / Sozialversicherungsvorschriften],MATCH($B207,tab_MinKomp[[Stanowisko / Position ]:[Stanowisko / Position ]],0)))</f>
        <v>n/a</v>
      </c>
      <c r="BV208" s="330" t="str">
        <f>IF(INDEX(tab_MinKomp[Przepisy o ub.społ. ZUS  / Sozialversicherungsvorschriften],MATCH($B207,tab_MinKomp[[Stanowisko / Position ]:[Stanowisko / Position ]],0))="n/a","n/a",BV207-INDEX(tab_MinKomp[Przepisy o ub.społ. ZUS  / Sozialversicherungsvorschriften],MATCH($B207,tab_MinKomp[[Stanowisko / Position ]:[Stanowisko / Position ]],0)))</f>
        <v>n/a</v>
      </c>
      <c r="BW208" s="330" t="str">
        <f>IF(INDEX(tab_MinKomp[Przepisy o ub.społ. ZUS  / Sozialversicherungsvorschriften],MATCH($B207,tab_MinKomp[[Stanowisko / Position ]:[Stanowisko / Position ]],0))="n/a","n/a",BW207-INDEX(tab_MinKomp[Przepisy o ub.społ. ZUS  / Sozialversicherungsvorschriften],MATCH($B207,tab_MinKomp[[Stanowisko / Position ]:[Stanowisko / Position ]],0)))</f>
        <v>n/a</v>
      </c>
      <c r="BX208" s="330" t="str">
        <f>IF(INDEX(tab_MinKomp[Przepisy o ub.społ. ZUS  / Sozialversicherungsvorschriften],MATCH($B207,tab_MinKomp[[Stanowisko / Position ]:[Stanowisko / Position ]],0))="n/a","n/a",BX207-INDEX(tab_MinKomp[Przepisy o ub.społ. ZUS  / Sozialversicherungsvorschriften],MATCH($B207,tab_MinKomp[[Stanowisko / Position ]:[Stanowisko / Position ]],0)))</f>
        <v>n/a</v>
      </c>
      <c r="BY208" s="330" t="str">
        <f>IF(INDEX(tab_MinKomp[Przepisy o ub.społ. ZUS  / Sozialversicherungsvorschriften],MATCH($B207,tab_MinKomp[[Stanowisko / Position ]:[Stanowisko / Position ]],0))="n/a","n/a",BY207-INDEX(tab_MinKomp[Przepisy o ub.społ. ZUS  / Sozialversicherungsvorschriften],MATCH($B207,tab_MinKomp[[Stanowisko / Position ]:[Stanowisko / Position ]],0)))</f>
        <v>n/a</v>
      </c>
      <c r="BZ208" s="330" t="str">
        <f>IF(INDEX(tab_MinKomp[Przepisy o ub.społ. ZUS  / Sozialversicherungsvorschriften],MATCH($B207,tab_MinKomp[[Stanowisko / Position ]:[Stanowisko / Position ]],0))="n/a","n/a",BZ207-INDEX(tab_MinKomp[Przepisy o ub.społ. ZUS  / Sozialversicherungsvorschriften],MATCH($B207,tab_MinKomp[[Stanowisko / Position ]:[Stanowisko / Position ]],0)))</f>
        <v>n/a</v>
      </c>
      <c r="CA208" s="330" t="str">
        <f>IF(INDEX(tab_MinKomp[Przepisy o ub.społ. ZUS  / Sozialversicherungsvorschriften],MATCH($B207,tab_MinKomp[[Stanowisko / Position ]:[Stanowisko / Position ]],0))="n/a","n/a",CA207-INDEX(tab_MinKomp[Przepisy o ub.społ. ZUS  / Sozialversicherungsvorschriften],MATCH($B207,tab_MinKomp[[Stanowisko / Position ]:[Stanowisko / Position ]],0)))</f>
        <v>n/a</v>
      </c>
      <c r="CB208" s="330" t="str">
        <f>IF(INDEX(tab_MinKomp[Przepisy o ub.społ. ZUS  / Sozialversicherungsvorschriften],MATCH($B207,tab_MinKomp[[Stanowisko / Position ]:[Stanowisko / Position ]],0))="n/a","n/a",CB207-INDEX(tab_MinKomp[Przepisy o ub.społ. ZUS  / Sozialversicherungsvorschriften],MATCH($B207,tab_MinKomp[[Stanowisko / Position ]:[Stanowisko / Position ]],0)))</f>
        <v>n/a</v>
      </c>
      <c r="CC208" s="330" t="str">
        <f>IF(INDEX(tab_MinKomp[Przepisy o ub.społ. ZUS  / Sozialversicherungsvorschriften],MATCH($B207,tab_MinKomp[[Stanowisko / Position ]:[Stanowisko / Position ]],0))="n/a","n/a",CC207-INDEX(tab_MinKomp[Przepisy o ub.społ. ZUS  / Sozialversicherungsvorschriften],MATCH($B207,tab_MinKomp[[Stanowisko / Position ]:[Stanowisko / Position ]],0)))</f>
        <v>n/a</v>
      </c>
      <c r="CD208" s="330" t="str">
        <f>IF(INDEX(tab_MinKomp[Przepisy o ub.społ. ZUS  / Sozialversicherungsvorschriften],MATCH($B207,tab_MinKomp[[Stanowisko / Position ]:[Stanowisko / Position ]],0))="n/a","n/a",CD207-INDEX(tab_MinKomp[Przepisy o ub.społ. ZUS  / Sozialversicherungsvorschriften],MATCH($B207,tab_MinKomp[[Stanowisko / Position ]:[Stanowisko / Position ]],0)))</f>
        <v>n/a</v>
      </c>
      <c r="CE208" s="330" t="str">
        <f>IF(INDEX(tab_MinKomp[Przepisy o ub.społ. ZUS  / Sozialversicherungsvorschriften],MATCH($B207,tab_MinKomp[[Stanowisko / Position ]:[Stanowisko / Position ]],0))="n/a","n/a",CE207-INDEX(tab_MinKomp[Przepisy o ub.społ. ZUS  / Sozialversicherungsvorschriften],MATCH($B207,tab_MinKomp[[Stanowisko / Position ]:[Stanowisko / Position ]],0)))</f>
        <v>n/a</v>
      </c>
      <c r="CF208" s="330" t="str">
        <f>IF(INDEX(tab_MinKomp[Przepisy o ub.społ. ZUS  / Sozialversicherungsvorschriften],MATCH($B207,tab_MinKomp[[Stanowisko / Position ]:[Stanowisko / Position ]],0))="n/a","n/a",CF207-INDEX(tab_MinKomp[Przepisy o ub.społ. ZUS  / Sozialversicherungsvorschriften],MATCH($B207,tab_MinKomp[[Stanowisko / Position ]:[Stanowisko / Position ]],0)))</f>
        <v>n/a</v>
      </c>
      <c r="CG208" s="330" t="str">
        <f>IF(INDEX(tab_MinKomp[Przepisy o ub.społ. ZUS  / Sozialversicherungsvorschriften],MATCH($B207,tab_MinKomp[[Stanowisko / Position ]:[Stanowisko / Position ]],0))="n/a","n/a",CG207-INDEX(tab_MinKomp[Przepisy o ub.społ. ZUS  / Sozialversicherungsvorschriften],MATCH($B207,tab_MinKomp[[Stanowisko / Position ]:[Stanowisko / Position ]],0)))</f>
        <v>n/a</v>
      </c>
      <c r="CH208" s="330">
        <f>IF(INDEX(tab_MinKomp[WORKFLOW - SFMS],MATCH($B207,tab_MinKomp[[Stanowisko / Position ]:[Stanowisko / Position ]],0))="n/a","n/a",CH207-INDEX(tab_MinKomp[WORKFLOW - SFMS],MATCH($B207,tab_MinKomp[[Stanowisko / Position ]:[Stanowisko / Position ]],0)))</f>
        <v>0</v>
      </c>
      <c r="CI208" s="330" t="str">
        <f>IF(INDEX(tab_MinKomp[Przepisy o ub.społ. ZUS  / Sozialversicherungsvorschriften],MATCH($B207,tab_MinKomp[[Stanowisko / Position ]:[Stanowisko / Position ]],0))="n/a","n/a",CI207-INDEX(tab_MinKomp[Przepisy o ub.społ. ZUS  / Sozialversicherungsvorschriften],MATCH($B207,tab_MinKomp[[Stanowisko / Position ]:[Stanowisko / Position ]],0)))</f>
        <v>n/a</v>
      </c>
      <c r="CJ208" s="330" t="str">
        <f>IF(INDEX(tab_MinKomp[Przepisy o ub.społ. ZUS  / Sozialversicherungsvorschriften],MATCH($B207,tab_MinKomp[[Stanowisko / Position ]:[Stanowisko / Position ]],0))="n/a","n/a",CJ207-INDEX(tab_MinKomp[Przepisy o ub.społ. ZUS  / Sozialversicherungsvorschriften],MATCH($B207,tab_MinKomp[[Stanowisko / Position ]:[Stanowisko / Position ]],0)))</f>
        <v>n/a</v>
      </c>
      <c r="CK208" s="330" t="str">
        <f>IF(INDEX(tab_MinKomp[Przepisy o ub.społ. ZUS  / Sozialversicherungsvorschriften],MATCH($B207,tab_MinKomp[[Stanowisko / Position ]:[Stanowisko / Position ]],0))="n/a","n/a",CK207-INDEX(tab_MinKomp[Przepisy o ub.społ. ZUS  / Sozialversicherungsvorschriften],MATCH($B207,tab_MinKomp[[Stanowisko / Position ]:[Stanowisko / Position ]],0)))</f>
        <v>n/a</v>
      </c>
      <c r="CL208" s="330">
        <f>IF(INDEX(tab_MinKomp[WORKFLOW - SFMS],MATCH($B207,tab_MinKomp[[Stanowisko / Position ]:[Stanowisko / Position ]],0))="n/a","n/a",CL207-INDEX(tab_MinKomp[WORKFLOW - SFMS],MATCH($B207,tab_MinKomp[[Stanowisko / Position ]:[Stanowisko / Position ]],0)))</f>
        <v>0</v>
      </c>
      <c r="CM208" s="330">
        <f>IF(INDEX(tab_MinKomp[WORKFLOW - SFMS],MATCH($B207,tab_MinKomp[[Stanowisko / Position ]:[Stanowisko / Position ]],0))="n/a","n/a",CM207-INDEX(tab_MinKomp[WORKFLOW - SFMS],MATCH($B207,tab_MinKomp[[Stanowisko / Position ]:[Stanowisko / Position ]],0)))</f>
        <v>0</v>
      </c>
      <c r="CN208" s="330">
        <f>IF(INDEX(tab_MinKomp[WORKFLOW - SFMS],MATCH($B207,tab_MinKomp[[Stanowisko / Position ]:[Stanowisko / Position ]],0))="n/a","n/a",CN207-INDEX(tab_MinKomp[WORKFLOW - SFMS],MATCH($B207,tab_MinKomp[[Stanowisko / Position ]:[Stanowisko / Position ]],0)))</f>
        <v>1</v>
      </c>
      <c r="CO208" s="330">
        <f>IF(INDEX(tab_MinKomp[WORKFLOW - SFMS],MATCH($B207,tab_MinKomp[[Stanowisko / Position ]:[Stanowisko / Position ]],0))="n/a","n/a",CO207-INDEX(tab_MinKomp[WORKFLOW - SFMS],MATCH($B207,tab_MinKomp[[Stanowisko / Position ]:[Stanowisko / Position ]],0)))</f>
        <v>1</v>
      </c>
      <c r="CP208" s="330">
        <f>IF(INDEX(tab_MinKomp[Przepisy kodeksu pracy / Bestimmungen des Arbeitsgesetzes],MATCH($B207,tab_MinKomp[[Stanowisko / Position ]:[Stanowisko / Position ]],0))="n/a","n/a",CP207-INDEX(tab_MinKomp[Przepisy kodeksu pracy / Bestimmungen des Arbeitsgesetzes],MATCH($B207,tab_MinKomp[[Stanowisko / Position ]:[Stanowisko / Position ]],0)))</f>
        <v>2</v>
      </c>
      <c r="CQ208" s="330">
        <f>IF(INDEX(tab_MinKomp[Ryzyko zawodowe na stanowiskach pracyv/ Berufliche Risiken an Arbeitsstellen],MATCH($B207,tab_MinKomp[[Stanowisko / Position ]:[Stanowisko / Position ]],0))="n/a","n/a",CQ207-INDEX(tab_MinKomp[Ryzyko zawodowe na stanowiskach pracyv/ Berufliche Risiken an Arbeitsstellen],MATCH($B207,tab_MinKomp[[Stanowisko / Position ]:[Stanowisko / Position ]],0)))</f>
        <v>-2</v>
      </c>
      <c r="CR208" s="330">
        <f>IF(INDEX(tab_MinKomp[Przepisy kodeksu pracy / Bestimmungen des Arbeitsgesetzes],MATCH($B207,tab_MinKomp[[Stanowisko / Position ]:[Stanowisko / Position ]],0))="n/a","n/a",CR207-INDEX(tab_MinKomp[Przepisy kodeksu pracy / Bestimmungen des Arbeitsgesetzes],MATCH($B207,tab_MinKomp[[Stanowisko / Position ]:[Stanowisko / Position ]],0)))</f>
        <v>0</v>
      </c>
      <c r="CS208" s="330">
        <f>IF(INDEX(tab_MinKomp[Przepisy kodeksu pracy / Bestimmungen des Arbeitsgesetzes],MATCH($B207,tab_MinKomp[[Stanowisko / Position ]:[Stanowisko / Position ]],0))="n/a","n/a",CS207-INDEX(tab_MinKomp[Przepisy kodeksu pracy / Bestimmungen des Arbeitsgesetzes],MATCH($B207,tab_MinKomp[[Stanowisko / Position ]:[Stanowisko / Position ]],0)))</f>
        <v>0</v>
      </c>
      <c r="CT208" s="330" t="str">
        <f>IF(INDEX(tab_MinKomp[Przepisy o ub.społ. ZUS  / Sozialversicherungsvorschriften],MATCH($B207,tab_MinKomp[[Stanowisko / Position ]:[Stanowisko / Position ]],0))="n/a","n/a",CT207-INDEX(tab_MinKomp[Przepisy o ub.społ. ZUS  / Sozialversicherungsvorschriften],MATCH($B207,tab_MinKomp[[Stanowisko / Position ]:[Stanowisko / Position ]],0)))</f>
        <v>n/a</v>
      </c>
      <c r="CU208" s="330" t="str">
        <f>IF(INDEX(tab_MinKomp[Przepisy o ub.społ. ZUS  / Sozialversicherungsvorschriften],MATCH($B207,tab_MinKomp[[Stanowisko / Position ]:[Stanowisko / Position ]],0))="n/a","n/a",CU207-INDEX(tab_MinKomp[Przepisy o ub.społ. ZUS  / Sozialversicherungsvorschriften],MATCH($B207,tab_MinKomp[[Stanowisko / Position ]:[Stanowisko / Position ]],0)))</f>
        <v>n/a</v>
      </c>
      <c r="CV208" s="330" t="str">
        <f>IF(INDEX(tab_MinKomp[Przepisy o ub.społ. ZUS  / Sozialversicherungsvorschriften],MATCH($B207,tab_MinKomp[[Stanowisko / Position ]:[Stanowisko / Position ]],0))="n/a","n/a",CV207-INDEX(tab_MinKomp[Przepisy o ub.społ. ZUS  / Sozialversicherungsvorschriften],MATCH($B207,tab_MinKomp[[Stanowisko / Position ]:[Stanowisko / Position ]],0)))</f>
        <v>n/a</v>
      </c>
      <c r="CW208" s="330" t="str">
        <f>IF(INDEX(tab_MinKomp[Przepisy o ub.społ. ZUS  / Sozialversicherungsvorschriften],MATCH($B207,tab_MinKomp[[Stanowisko / Position ]:[Stanowisko / Position ]],0))="n/a","n/a",CW207-INDEX(tab_MinKomp[Przepisy o ub.społ. ZUS  / Sozialversicherungsvorschriften],MATCH($B207,tab_MinKomp[[Stanowisko / Position ]:[Stanowisko / Position ]],0)))</f>
        <v>n/a</v>
      </c>
      <c r="CX208" s="315" t="s">
        <v>176</v>
      </c>
      <c r="CY208" s="315" t="s">
        <v>176</v>
      </c>
      <c r="CZ208" s="315" t="s">
        <v>176</v>
      </c>
      <c r="DA208" s="315" t="s">
        <v>176</v>
      </c>
      <c r="DB208" s="315" t="s">
        <v>176</v>
      </c>
      <c r="DC208" s="315" t="s">
        <v>176</v>
      </c>
      <c r="DD208" s="315" t="s">
        <v>176</v>
      </c>
      <c r="DE208" s="315" t="s">
        <v>176</v>
      </c>
      <c r="DF208" s="315" t="s">
        <v>176</v>
      </c>
      <c r="DG208" s="315" t="s">
        <v>176</v>
      </c>
      <c r="DH208" s="315" t="s">
        <v>176</v>
      </c>
      <c r="DI208" s="315" t="s">
        <v>176</v>
      </c>
      <c r="DJ208" s="315" t="s">
        <v>176</v>
      </c>
      <c r="DK208" s="315" t="s">
        <v>176</v>
      </c>
      <c r="DL208" s="315" t="s">
        <v>176</v>
      </c>
      <c r="DM208" s="315" t="s">
        <v>176</v>
      </c>
      <c r="DN208" s="315" t="s">
        <v>176</v>
      </c>
      <c r="DO208" s="315" t="s">
        <v>176</v>
      </c>
      <c r="DP208" s="315" t="s">
        <v>176</v>
      </c>
      <c r="DQ208" s="315" t="s">
        <v>176</v>
      </c>
      <c r="DR208" s="315" t="s">
        <v>176</v>
      </c>
      <c r="DS208" s="315" t="s">
        <v>176</v>
      </c>
      <c r="DT208" s="315" t="s">
        <v>176</v>
      </c>
      <c r="DU208" s="330" t="str">
        <f>IF(INDEX(tab_MinKomp[Przepisy o ub.społ. ZUS  / Sozialversicherungsvorschriften],MATCH($B207,tab_MinKomp[[Stanowisko / Position ]:[Stanowisko / Position ]],0))="n/a","n/a",DU207-INDEX(tab_MinKomp[Przepisy o ub.społ. ZUS  / Sozialversicherungsvorschriften],MATCH($B207,tab_MinKomp[[Stanowisko / Position ]:[Stanowisko / Position ]],0)))</f>
        <v>n/a</v>
      </c>
      <c r="DV208" s="330" t="str">
        <f>IF(INDEX(tab_MinKomp[Przepisy o ub.społ. ZUS  / Sozialversicherungsvorschriften],MATCH($B207,tab_MinKomp[[Stanowisko / Position ]:[Stanowisko / Position ]],0))="n/a","n/a",DV207-INDEX(tab_MinKomp[Przepisy o ub.społ. ZUS  / Sozialversicherungsvorschriften],MATCH($B207,tab_MinKomp[[Stanowisko / Position ]:[Stanowisko / Position ]],0)))</f>
        <v>n/a</v>
      </c>
      <c r="DW208" s="330" t="str">
        <f>IF(INDEX(tab_MinKomp[Przepisy o ub.społ. ZUS  / Sozialversicherungsvorschriften],MATCH($B207,tab_MinKomp[[Stanowisko / Position ]:[Stanowisko / Position ]],0))="n/a","n/a",DW207-INDEX(tab_MinKomp[Przepisy o ub.społ. ZUS  / Sozialversicherungsvorschriften],MATCH($B207,tab_MinKomp[[Stanowisko / Position ]:[Stanowisko / Position ]],0)))</f>
        <v>n/a</v>
      </c>
      <c r="DX208" s="330" t="str">
        <f>IF(INDEX(tab_MinKomp[Przepisy o ub.społ. ZUS  / Sozialversicherungsvorschriften],MATCH($B207,tab_MinKomp[[Stanowisko / Position ]:[Stanowisko / Position ]],0))="n/a","n/a",DX207-INDEX(tab_MinKomp[Przepisy o ub.społ. ZUS  / Sozialversicherungsvorschriften],MATCH($B207,tab_MinKomp[[Stanowisko / Position ]:[Stanowisko / Position ]],0)))</f>
        <v>n/a</v>
      </c>
      <c r="DY208" s="330" t="str">
        <f>IF(INDEX(tab_MinKomp[Przepisy o ub.społ. ZUS  / Sozialversicherungsvorschriften],MATCH($B207,tab_MinKomp[[Stanowisko / Position ]:[Stanowisko / Position ]],0))="n/a","n/a",DY207-INDEX(tab_MinKomp[Przepisy o ub.społ. ZUS  / Sozialversicherungsvorschriften],MATCH($B207,tab_MinKomp[[Stanowisko / Position ]:[Stanowisko / Position ]],0)))</f>
        <v>n/a</v>
      </c>
      <c r="DZ208" s="330" t="str">
        <f>IF(INDEX(tab_MinKomp[Przepisy o ub.społ. ZUS  / Sozialversicherungsvorschriften],MATCH($B207,tab_MinKomp[[Stanowisko / Position ]:[Stanowisko / Position ]],0))="n/a","n/a",DZ207-INDEX(tab_MinKomp[Przepisy o ub.społ. ZUS  / Sozialversicherungsvorschriften],MATCH($B207,tab_MinKomp[[Stanowisko / Position ]:[Stanowisko / Position ]],0)))</f>
        <v>n/a</v>
      </c>
      <c r="EA208" s="330" t="str">
        <f>IF(INDEX(tab_MinKomp[Przepisy o ub.społ. ZUS  / Sozialversicherungsvorschriften],MATCH($B207,tab_MinKomp[[Stanowisko / Position ]:[Stanowisko / Position ]],0))="n/a","n/a",EA207-INDEX(tab_MinKomp[Przepisy o ub.społ. ZUS  / Sozialversicherungsvorschriften],MATCH($B207,tab_MinKomp[[Stanowisko / Position ]:[Stanowisko / Position ]],0)))</f>
        <v>n/a</v>
      </c>
      <c r="EB208" s="330" t="str">
        <f>IF(INDEX(tab_MinKomp[Przepisy o ub.społ. ZUS  / Sozialversicherungsvorschriften],MATCH($B207,tab_MinKomp[[Stanowisko / Position ]:[Stanowisko / Position ]],0))="n/a","n/a",EB207-INDEX(tab_MinKomp[Przepisy o ub.społ. ZUS  / Sozialversicherungsvorschriften],MATCH($B207,tab_MinKomp[[Stanowisko / Position ]:[Stanowisko / Position ]],0)))</f>
        <v>n/a</v>
      </c>
      <c r="EC208" s="330" t="str">
        <f>IF(INDEX(tab_MinKomp[Przepisy o ub.społ. ZUS  / Sozialversicherungsvorschriften],MATCH($B207,tab_MinKomp[[Stanowisko / Position ]:[Stanowisko / Position ]],0))="n/a","n/a",EC207-INDEX(tab_MinKomp[Przepisy o ub.społ. ZUS  / Sozialversicherungsvorschriften],MATCH($B207,tab_MinKomp[[Stanowisko / Position ]:[Stanowisko / Position ]],0)))</f>
        <v>n/a</v>
      </c>
      <c r="ED208" s="330" t="str">
        <f>IF(INDEX(tab_MinKomp[Przepisy o ub.społ. ZUS  / Sozialversicherungsvorschriften],MATCH($B207,tab_MinKomp[[Stanowisko / Position ]:[Stanowisko / Position ]],0))="n/a","n/a",ED207-INDEX(tab_MinKomp[Przepisy o ub.społ. ZUS  / Sozialversicherungsvorschriften],MATCH($B207,tab_MinKomp[[Stanowisko / Position ]:[Stanowisko / Position ]],0)))</f>
        <v>n/a</v>
      </c>
      <c r="EE208" s="330" t="str">
        <f>IF(INDEX(tab_MinKomp[Przepisy o ub.społ. ZUS  / Sozialversicherungsvorschriften],MATCH($B207,tab_MinKomp[[Stanowisko / Position ]:[Stanowisko / Position ]],0))="n/a","n/a",EE207-INDEX(tab_MinKomp[Przepisy o ub.społ. ZUS  / Sozialversicherungsvorschriften],MATCH($B207,tab_MinKomp[[Stanowisko / Position ]:[Stanowisko / Position ]],0)))</f>
        <v>n/a</v>
      </c>
      <c r="EF208" s="330" t="str">
        <f>IF(INDEX(tab_MinKomp[Przepisy o ub.społ. ZUS  / Sozialversicherungsvorschriften],MATCH($B207,tab_MinKomp[[Stanowisko / Position ]:[Stanowisko / Position ]],0))="n/a","n/a",EF207-INDEX(tab_MinKomp[Przepisy o ub.społ. ZUS  / Sozialversicherungsvorschriften],MATCH($B207,tab_MinKomp[[Stanowisko / Position ]:[Stanowisko / Position ]],0)))</f>
        <v>n/a</v>
      </c>
      <c r="EG208" s="330" t="str">
        <f>IF(INDEX(tab_MinKomp[Przepisy o ub.społ. ZUS  / Sozialversicherungsvorschriften],MATCH($B207,tab_MinKomp[[Stanowisko / Position ]:[Stanowisko / Position ]],0))="n/a","n/a",EG207-INDEX(tab_MinKomp[Przepisy o ub.społ. ZUS  / Sozialversicherungsvorschriften],MATCH($B207,tab_MinKomp[[Stanowisko / Position ]:[Stanowisko / Position ]],0)))</f>
        <v>n/a</v>
      </c>
      <c r="EH208" s="330" t="str">
        <f>IF(INDEX(tab_MinKomp[Przepisy o ub.społ. ZUS  / Sozialversicherungsvorschriften],MATCH($B207,tab_MinKomp[[Stanowisko / Position ]:[Stanowisko / Position ]],0))="n/a","n/a",EH207-INDEX(tab_MinKomp[Przepisy o ub.społ. ZUS  / Sozialversicherungsvorschriften],MATCH($B207,tab_MinKomp[[Stanowisko / Position ]:[Stanowisko / Position ]],0)))</f>
        <v>n/a</v>
      </c>
      <c r="EI208" s="330" t="str">
        <f>IF(INDEX(tab_MinKomp[Przepisy o ub.społ. ZUS  / Sozialversicherungsvorschriften],MATCH($B207,tab_MinKomp[[Stanowisko / Position ]:[Stanowisko / Position ]],0))="n/a","n/a",EI207-INDEX(tab_MinKomp[Przepisy o ub.społ. ZUS  / Sozialversicherungsvorschriften],MATCH($B207,tab_MinKomp[[Stanowisko / Position ]:[Stanowisko / Position ]],0)))</f>
        <v>n/a</v>
      </c>
      <c r="EJ208" s="330" t="str">
        <f>IF(INDEX(tab_MinKomp[Przepisy o ub.społ. ZUS  / Sozialversicherungsvorschriften],MATCH($B207,tab_MinKomp[[Stanowisko / Position ]:[Stanowisko / Position ]],0))="n/a","n/a",EJ207-INDEX(tab_MinKomp[Przepisy o ub.społ. ZUS  / Sozialversicherungsvorschriften],MATCH($B207,tab_MinKomp[[Stanowisko / Position ]:[Stanowisko / Position ]],0)))</f>
        <v>n/a</v>
      </c>
      <c r="EK208" s="330" t="str">
        <f>IF(INDEX(tab_MinKomp[Przepisy o ub.społ. ZUS  / Sozialversicherungsvorschriften],MATCH($B207,tab_MinKomp[[Stanowisko / Position ]:[Stanowisko / Position ]],0))="n/a","n/a",EK207-INDEX(tab_MinKomp[Przepisy o ub.społ. ZUS  / Sozialversicherungsvorschriften],MATCH($B207,tab_MinKomp[[Stanowisko / Position ]:[Stanowisko / Position ]],0)))</f>
        <v>n/a</v>
      </c>
      <c r="EL208" s="330" t="str">
        <f>IF(INDEX(tab_MinKomp[Przepisy o ub.społ. ZUS  / Sozialversicherungsvorschriften],MATCH($B207,tab_MinKomp[[Stanowisko / Position ]:[Stanowisko / Position ]],0))="n/a","n/a",EL207-INDEX(tab_MinKomp[Przepisy o ub.społ. ZUS  / Sozialversicherungsvorschriften],MATCH($B207,tab_MinKomp[[Stanowisko / Position ]:[Stanowisko / Position ]],0)))</f>
        <v>n/a</v>
      </c>
      <c r="EM208" s="330" t="str">
        <f>IF(INDEX(tab_MinKomp[Przepisy o ub.społ. ZUS  / Sozialversicherungsvorschriften],MATCH($B207,tab_MinKomp[[Stanowisko / Position ]:[Stanowisko / Position ]],0))="n/a","n/a",EM207-INDEX(tab_MinKomp[Przepisy o ub.społ. ZUS  / Sozialversicherungsvorschriften],MATCH($B207,tab_MinKomp[[Stanowisko / Position ]:[Stanowisko / Position ]],0)))</f>
        <v>n/a</v>
      </c>
      <c r="EN208" s="330" t="str">
        <f>IF(INDEX(tab_MinKomp[Przepisy o ub.społ. ZUS  / Sozialversicherungsvorschriften],MATCH($B207,tab_MinKomp[[Stanowisko / Position ]:[Stanowisko / Position ]],0))="n/a","n/a",EN207-INDEX(tab_MinKomp[Przepisy o ub.społ. ZUS  / Sozialversicherungsvorschriften],MATCH($B207,tab_MinKomp[[Stanowisko / Position ]:[Stanowisko / Position ]],0)))</f>
        <v>n/a</v>
      </c>
      <c r="EO208" s="330" t="str">
        <f>IF(INDEX(tab_MinKomp[Przepisy o ub.społ. ZUS  / Sozialversicherungsvorschriften],MATCH($B207,tab_MinKomp[[Stanowisko / Position ]:[Stanowisko / Position ]],0))="n/a","n/a",EO207-INDEX(tab_MinKomp[Przepisy o ub.społ. ZUS  / Sozialversicherungsvorschriften],MATCH($B207,tab_MinKomp[[Stanowisko / Position ]:[Stanowisko / Position ]],0)))</f>
        <v>n/a</v>
      </c>
      <c r="EP208" s="330" t="str">
        <f>IF(INDEX(tab_MinKomp[Przepisy o ub.społ. ZUS  / Sozialversicherungsvorschriften],MATCH($B207,tab_MinKomp[[Stanowisko / Position ]:[Stanowisko / Position ]],0))="n/a","n/a",EP207-INDEX(tab_MinKomp[Przepisy o ub.społ. ZUS  / Sozialversicherungsvorschriften],MATCH($B207,tab_MinKomp[[Stanowisko / Position ]:[Stanowisko / Position ]],0)))</f>
        <v>n/a</v>
      </c>
      <c r="EQ208" s="330" t="str">
        <f>IF(INDEX(tab_MinKomp[Przepisy o ub.społ. ZUS  / Sozialversicherungsvorschriften],MATCH($B207,tab_MinKomp[[Stanowisko / Position ]:[Stanowisko / Position ]],0))="n/a","n/a",EQ207-INDEX(tab_MinKomp[Przepisy o ub.społ. ZUS  / Sozialversicherungsvorschriften],MATCH($B207,tab_MinKomp[[Stanowisko / Position ]:[Stanowisko / Position ]],0)))</f>
        <v>n/a</v>
      </c>
      <c r="ER208" s="330" t="str">
        <f>IF(INDEX(tab_MinKomp[Przepisy o ub.społ. ZUS  / Sozialversicherungsvorschriften],MATCH($B207,tab_MinKomp[[Stanowisko / Position ]:[Stanowisko / Position ]],0))="n/a","n/a",ER207-INDEX(tab_MinKomp[Przepisy o ub.społ. ZUS  / Sozialversicherungsvorschriften],MATCH($B207,tab_MinKomp[[Stanowisko / Position ]:[Stanowisko / Position ]],0)))</f>
        <v>n/a</v>
      </c>
      <c r="ES208" s="330" t="str">
        <f>IF(INDEX(tab_MinKomp[Przepisy o ub.społ. ZUS  / Sozialversicherungsvorschriften],MATCH($B207,tab_MinKomp[[Stanowisko / Position ]:[Stanowisko / Position ]],0))="n/a","n/a",ES207-INDEX(tab_MinKomp[Przepisy o ub.społ. ZUS  / Sozialversicherungsvorschriften],MATCH($B207,tab_MinKomp[[Stanowisko / Position ]:[Stanowisko / Position ]],0)))</f>
        <v>n/a</v>
      </c>
      <c r="ET208" s="330" t="str">
        <f>IF(INDEX(tab_MinKomp[Przepisy o ub.społ. ZUS  / Sozialversicherungsvorschriften],MATCH($B207,tab_MinKomp[[Stanowisko / Position ]:[Stanowisko / Position ]],0))="n/a","n/a",ET207-INDEX(tab_MinKomp[Przepisy o ub.społ. ZUS  / Sozialversicherungsvorschriften],MATCH($B207,tab_MinKomp[[Stanowisko / Position ]:[Stanowisko / Position ]],0)))</f>
        <v>n/a</v>
      </c>
      <c r="EU208" s="330" t="str">
        <f>IF(INDEX(tab_MinKomp[Przepisy o ub.społ. ZUS  / Sozialversicherungsvorschriften],MATCH($B207,tab_MinKomp[[Stanowisko / Position ]:[Stanowisko / Position ]],0))="n/a","n/a",EU207-INDEX(tab_MinKomp[Przepisy o ub.społ. ZUS  / Sozialversicherungsvorschriften],MATCH($B207,tab_MinKomp[[Stanowisko / Position ]:[Stanowisko / Position ]],0)))</f>
        <v>n/a</v>
      </c>
      <c r="EV208" s="330" t="str">
        <f>IF(INDEX(tab_MinKomp[Przepisy o ub.społ. ZUS  / Sozialversicherungsvorschriften],MATCH($B207,tab_MinKomp[[Stanowisko / Position ]:[Stanowisko / Position ]],0))="n/a","n/a",EV207-INDEX(tab_MinKomp[Przepisy o ub.społ. ZUS  / Sozialversicherungsvorschriften],MATCH($B207,tab_MinKomp[[Stanowisko / Position ]:[Stanowisko / Position ]],0)))</f>
        <v>n/a</v>
      </c>
      <c r="EW208" s="330" t="str">
        <f>IF(INDEX(tab_MinKomp[Konserwacja form plastiki],MATCH($B207,tab_MinKomp[[Stanowisko / Position ]:[Stanowisko / Position ]],0))="n/a","n/a",EW207-INDEX(tab_MinKomp[Konserwacja form plastiki],MATCH($B207,tab_MinKomp[[Stanowisko / Position ]:[Stanowisko / Position ]],0)))</f>
        <v>n/a</v>
      </c>
      <c r="EX208" s="330" t="str">
        <f>IF(INDEX(tab_MinKomp[Przepisy o ub.społ. ZUS  / Sozialversicherungsvorschriften],MATCH($B207,tab_MinKomp[[Stanowisko / Position ]:[Stanowisko / Position ]],0))="n/a","n/a",EX207-INDEX(tab_MinKomp[Przepisy o ub.społ. ZUS  / Sozialversicherungsvorschriften],MATCH($B207,tab_MinKomp[[Stanowisko / Position ]:[Stanowisko / Position ]],0)))</f>
        <v>n/a</v>
      </c>
      <c r="EY208" s="315">
        <f>IF(INDEX(tab_MinKomp[MS Office (Excel)],MATCH($B207,tab_MinKomp[[Stanowisko / Position ]:[Stanowisko / Position ]],0))="n/a","n/a",EY207-INDEX(tab_MinKomp[MS Office (Excel)],MATCH($B207,tab_MinKomp[[Stanowisko / Position ]:[Stanowisko / Position ]],0)))</f>
        <v>1</v>
      </c>
      <c r="EZ208" s="315">
        <f>IF(INDEX(tab_MinKomp[MS Office (Word)],MATCH($B207,tab_MinKomp[[Stanowisko / Position ]:[Stanowisko / Position ]],0))="n/a","n/a",EZ207-INDEX(tab_MinKomp[MS Office (Word)],MATCH($B207,tab_MinKomp[[Stanowisko / Position ]:[Stanowisko / Position ]],0)))</f>
        <v>1</v>
      </c>
      <c r="FA208" s="315">
        <f>IF(INDEX(tab_MinKomp[MS Office (Power Point)],MATCH($B207,tab_MinKomp[[Stanowisko / Position ]:[Stanowisko / Position ]],0))="n/a","n/a",FA207-INDEX(tab_MinKomp[MS Office (Power Point)],MATCH($B207,tab_MinKomp[[Stanowisko / Position ]:[Stanowisko / Position ]],0)))</f>
        <v>1</v>
      </c>
      <c r="FB208" s="315">
        <f>IF(INDEX(tab_MinKomp[Język angielski / Englisch],MATCH($B207,tab_MinKomp[[Stanowisko / Position ]:[Stanowisko / Position ]],0))="n/a","n/a",FB207-INDEX(tab_MinKomp[Język angielski / Englisch],MATCH($B207,tab_MinKomp[[Stanowisko / Position ]:[Stanowisko / Position ]],0)))</f>
        <v>1</v>
      </c>
      <c r="FC208" s="315">
        <f>IF(INDEX(tab_MinKomp[Język niemiecki / Deutsch],MATCH($B207,tab_MinKomp[[Stanowisko / Position ]:[Stanowisko / Position ]],0))="n/a","n/a",FC207-INDEX(tab_MinKomp[Język niemiecki / Deutsch],MATCH($B207,tab_MinKomp[[Stanowisko / Position ]:[Stanowisko / Position ]],0)))</f>
        <v>0</v>
      </c>
      <c r="FD208" s="315">
        <f>IF(INDEX(tab_MinKomp[Zarządzanie dokumentacją procesową / Process dokumentation management],MATCH($B207,tab_MinKomp[[Stanowisko / Position ]:[Stanowisko / Position ]],0))="n/a","n/a",FD207-INDEX(tab_MinKomp[Zarządzanie dokumentacją procesową / Process dokumentation management],MATCH($B207,tab_MinKomp[[Stanowisko / Position ]:[Stanowisko / Position ]],0)))</f>
        <v>-1</v>
      </c>
      <c r="FE208" s="315">
        <f>IF(INDEX(tab_MinKomp[Znajomość procesów z obszaru / Kenntiss der prozesse in dem Bereich],MATCH($B207,tab_MinKomp[[Stanowisko / Position ]:[Stanowisko / Position ]],0))="n/a","n/a",FE207-INDEX(tab_MinKomp[Znajomość procesów z obszaru / Kenntiss der prozesse in dem Bereich],MATCH($B207,tab_MinKomp[[Stanowisko / Position ]:[Stanowisko / Position ]],0)))</f>
        <v>0</v>
      </c>
      <c r="FF208" s="315">
        <f>IF(INDEX(tab_MinKomp[optymalizacja procesów / Prozessoptymalisierung],MATCH($B207,tab_MinKomp[[Stanowisko / Position ]:[Stanowisko / Position ]],0))="n/a","n/a",FF207-INDEX(tab_MinKomp[optymalizacja procesów / Prozessoptymalisierung],MATCH($B207,tab_MinKomp[[Stanowisko / Position ]:[Stanowisko / Position ]],0)))</f>
        <v>-1</v>
      </c>
      <c r="FG208" s="315">
        <f>IF(INDEX(tab_MinKomp[Umiejętności szkoleniowe / Trainingsfähigkeiten],MATCH($B207,tab_MinKomp[[Stanowisko / Position ]:[Stanowisko / Position ]],0))="n/a","n/a",FG207-INDEX(tab_MinKomp[Umiejętności szkoleniowe / Trainingsfähigkeiten],MATCH($B207,tab_MinKomp[[Stanowisko / Position ]:[Stanowisko / Position ]],0)))</f>
        <v>0</v>
      </c>
      <c r="FH208" s="315">
        <f>IF(INDEX(tab_MinKomp[Analityczne myślenie, podejście / Analitysches Denken, Einstellung],MATCH($B207,tab_MinKomp[[Stanowisko / Position ]:[Stanowisko / Position ]],0))="n/a","n/a",FH207-INDEX(tab_MinKomp[Analityczne myślenie, podejście / Analitysches Denken, Einstellung],MATCH($B207,tab_MinKomp[[Stanowisko / Position ]:[Stanowisko / Position ]],0)))</f>
        <v>0</v>
      </c>
      <c r="FI208" s="315">
        <f>IF(INDEX(tab_MinKomp[Dokładność, precyzja w dzialaniu / Genauigkeit, Präzision in die Arbeit],MATCH($B207,tab_MinKomp[[Stanowisko / Position ]:[Stanowisko / Position ]],0))="n/a","n/a",FI207-INDEX(tab_MinKomp[Dokładność, precyzja w dzialaniu / Genauigkeit, Präzision in die Arbeit],MATCH($B207,tab_MinKomp[[Stanowisko / Position ]:[Stanowisko / Position ]],0)))</f>
        <v>0</v>
      </c>
      <c r="FJ208" s="315">
        <f>IF(INDEX(tab_MinKomp[Dyspozycyjność / Verfügbarkeit],MATCH($B207,tab_MinKomp[[Stanowisko / Position ]:[Stanowisko / Position ]],0))="n/a","n/a",FJ207-INDEX(tab_MinKomp[Dyspozycyjność / Verfügbarkeit],MATCH($B207,tab_MinKomp[[Stanowisko / Position ]:[Stanowisko / Position ]],0)))</f>
        <v>0</v>
      </c>
      <c r="FK208" s="315">
        <f>IF(INDEX(tab_MinKomp[Zaangażowanie / 
Engagement],MATCH($B207,tab_MinKomp[[Stanowisko / Position ]:[Stanowisko / Position ]],0))="n/a","n/a",FK207-INDEX(tab_MinKomp[Zaangażowanie / 
Engagement],MATCH($B207,tab_MinKomp[[Stanowisko / Position ]:[Stanowisko / Position ]],0)))</f>
        <v>0</v>
      </c>
      <c r="FL208" s="315">
        <f>IF(INDEX(tab_MinKomp[Planowanie strategiczne / Strategische Planung],MATCH($B207,tab_MinKomp[[Stanowisko / Position ]:[Stanowisko / Position ]],0))="n/a","n/a",FL207-INDEX(tab_MinKomp[Planowanie strategiczne / Strategische Planung],MATCH($B207,tab_MinKomp[[Stanowisko / Position ]:[Stanowisko / Position ]],0)))</f>
        <v>0</v>
      </c>
      <c r="FM208" s="315">
        <f>IF(INDEX(tab_MinKomp[Konsekwentne i dynamiczne działanie],MATCH($B207,tab_MinKomp[[Stanowisko / Position ]:[Stanowisko / Position ]],0))="n/a","n/a",FM207-INDEX(tab_MinKomp[Konsekwentne i dynamiczne działanie],MATCH($B207,tab_MinKomp[[Stanowisko / Position ]:[Stanowisko / Position ]],0)))</f>
        <v>0</v>
      </c>
      <c r="FN208" s="315">
        <f>IF(INDEX(tab_MinKomp[Elastyczność w działaniu],MATCH($B207,tab_MinKomp[[Stanowisko / Position ]:[Stanowisko / Position ]],0))="n/a","n/a",FN207-INDEX(tab_MinKomp[Elastyczność w działaniu],MATCH($B207,tab_MinKomp[[Stanowisko / Position ]:[Stanowisko / Position ]],0)))</f>
        <v>0</v>
      </c>
      <c r="FO208" s="315">
        <f>IF(INDEX(tab_MinKomp[Komunikatywność],MATCH($B207,tab_MinKomp[[Stanowisko / Position ]:[Stanowisko / Position ]],0))="n/a","n/a",FO207-INDEX(tab_MinKomp[Komunikatywność],MATCH($B207,tab_MinKomp[[Stanowisko / Position ]:[Stanowisko / Position ]],0)))</f>
        <v>0</v>
      </c>
      <c r="FP208" s="315">
        <f>IF(INDEX(tab_MinKomp[Motywowanie i budowanie zaangażowania zespołu],MATCH($B207,tab_MinKomp[[Stanowisko / Position ]:[Stanowisko / Position ]],0))="n/a","n/a",FP207-INDEX(tab_MinKomp[Motywowanie i budowanie zaangażowania zespołu],MATCH($B207,tab_MinKomp[[Stanowisko / Position ]:[Stanowisko / Position ]],0)))</f>
        <v>0</v>
      </c>
      <c r="FQ208" s="330" t="str">
        <f>IF(INDEX(tab_MinKomp[Przepisy o ub.społ. ZUS  / Sozialversicherungsvorschriften],MATCH($B207,tab_MinKomp[[Stanowisko / Position ]:[Stanowisko / Position ]],0))="n/a","n/a",FQ207-INDEX(tab_MinKomp[Przepisy o ub.społ. ZUS  / Sozialversicherungsvorschriften],MATCH($B207,tab_MinKomp[[Stanowisko / Position ]:[Stanowisko / Position ]],0)))</f>
        <v>n/a</v>
      </c>
      <c r="FR208" s="330" t="str">
        <f>IF(INDEX(tab_MinKomp[Przepisy o ub.społ. ZUS  / Sozialversicherungsvorschriften],MATCH($B207,tab_MinKomp[[Stanowisko / Position ]:[Stanowisko / Position ]],0))="n/a","n/a",FR207-INDEX(tab_MinKomp[Przepisy o ub.społ. ZUS  / Sozialversicherungsvorschriften],MATCH($B207,tab_MinKomp[[Stanowisko / Position ]:[Stanowisko / Position ]],0)))</f>
        <v>n/a</v>
      </c>
      <c r="FS208" s="308" t="s">
        <v>387</v>
      </c>
      <c r="FT208" s="330" t="str">
        <f>IF(INDEX(tab_MinKomp[Przepisy o ub.społ. ZUS  / Sozialversicherungsvorschriften],MATCH($B207,tab_MinKomp[[Stanowisko / Position ]:[Stanowisko / Position ]],0))="n/a","n/a",FT207-INDEX(tab_MinKomp[Przepisy o ub.społ. ZUS  / Sozialversicherungsvorschriften],MATCH($B207,tab_MinKomp[[Stanowisko / Position ]:[Stanowisko / Position ]],0)))</f>
        <v>n/a</v>
      </c>
      <c r="FU208" s="330" t="str">
        <f>IF(INDEX(tab_MinKomp[Przepisy o ub.społ. ZUS  / Sozialversicherungsvorschriften],MATCH($B207,tab_MinKomp[[Stanowisko / Position ]:[Stanowisko / Position ]],0))="n/a","n/a",FU207-INDEX(tab_MinKomp[Przepisy o ub.społ. ZUS  / Sozialversicherungsvorschriften],MATCH($B207,tab_MinKomp[[Stanowisko / Position ]:[Stanowisko / Position ]],0)))</f>
        <v>n/a</v>
      </c>
      <c r="FV208" s="330" t="str">
        <f>IF(INDEX(tab_MinKomp[Przepisy o ub.społ. ZUS  / Sozialversicherungsvorschriften],MATCH($B207,tab_MinKomp[[Stanowisko / Position ]:[Stanowisko / Position ]],0))="n/a","n/a",FV207-INDEX(tab_MinKomp[Przepisy o ub.społ. ZUS  / Sozialversicherungsvorschriften],MATCH($B207,tab_MinKomp[[Stanowisko / Position ]:[Stanowisko / Position ]],0)))</f>
        <v>n/a</v>
      </c>
      <c r="FW208" s="330" t="str">
        <f>IF(INDEX(tab_MinKomp[Przepisy o ub.społ. ZUS  / Sozialversicherungsvorschriften],MATCH($B207,tab_MinKomp[[Stanowisko / Position ]:[Stanowisko / Position ]],0))="n/a","n/a",FW207-INDEX(tab_MinKomp[Przepisy o ub.społ. ZUS  / Sozialversicherungsvorschriften],MATCH($B207,tab_MinKomp[[Stanowisko / Position ]:[Stanowisko / Position ]],0)))</f>
        <v>n/a</v>
      </c>
      <c r="FX208" s="330" t="str">
        <f>IF(INDEX(tab_MinKomp[Przepisy o ub.społ. ZUS  / Sozialversicherungsvorschriften],MATCH($B207,tab_MinKomp[[Stanowisko / Position ]:[Stanowisko / Position ]],0))="n/a","n/a",FX207-INDEX(tab_MinKomp[Przepisy o ub.społ. ZUS  / Sozialversicherungsvorschriften],MATCH($B207,tab_MinKomp[[Stanowisko / Position ]:[Stanowisko / Position ]],0)))</f>
        <v>n/a</v>
      </c>
      <c r="FY208" s="330" t="str">
        <f>IF(INDEX(tab_MinKomp[Przepisy o ub.społ. ZUS  / Sozialversicherungsvorschriften],MATCH($B207,tab_MinKomp[[Stanowisko / Position ]:[Stanowisko / Position ]],0))="n/a","n/a",FY207-INDEX(tab_MinKomp[Przepisy o ub.społ. ZUS  / Sozialversicherungsvorschriften],MATCH($B207,tab_MinKomp[[Stanowisko / Position ]:[Stanowisko / Position ]],0)))</f>
        <v>n/a</v>
      </c>
      <c r="FZ208" s="330" t="str">
        <f>IF(INDEX(tab_MinKomp[Przepisy o ub.społ. ZUS  / Sozialversicherungsvorschriften],MATCH($B207,tab_MinKomp[[Stanowisko / Position ]:[Stanowisko / Position ]],0))="n/a","n/a",FZ207-INDEX(tab_MinKomp[Przepisy o ub.społ. ZUS  / Sozialversicherungsvorschriften],MATCH($B207,tab_MinKomp[[Stanowisko / Position ]:[Stanowisko / Position ]],0)))</f>
        <v>n/a</v>
      </c>
      <c r="GA208" s="322" t="s">
        <v>160</v>
      </c>
      <c r="GB208" s="330" t="str">
        <f>IF(INDEX(tab_MinKomp[Przepisy o ub.społ. ZUS  / Sozialversicherungsvorschriften],MATCH($B207,tab_MinKomp[[Stanowisko / Position ]:[Stanowisko / Position ]],0))="n/a","n/a",GB207-INDEX(tab_MinKomp[Przepisy o ub.społ. ZUS  / Sozialversicherungsvorschriften],MATCH($B207,tab_MinKomp[[Stanowisko / Position ]:[Stanowisko / Position ]],0)))</f>
        <v>n/a</v>
      </c>
      <c r="GC208" s="330" t="str">
        <f>IF(INDEX(tab_MinKomp[Przepisy o ub.społ. ZUS  / Sozialversicherungsvorschriften],MATCH($B207,tab_MinKomp[[Stanowisko / Position ]:[Stanowisko / Position ]],0))="n/a","n/a",GC207-INDEX(tab_MinKomp[Przepisy o ub.społ. ZUS  / Sozialversicherungsvorschriften],MATCH($B207,tab_MinKomp[[Stanowisko / Position ]:[Stanowisko / Position ]],0)))</f>
        <v>n/a</v>
      </c>
      <c r="GD208" s="330" t="str">
        <f>IF(INDEX(tab_MinKomp[Przepisy o ub.społ. ZUS  / Sozialversicherungsvorschriften],MATCH($B207,tab_MinKomp[[Stanowisko / Position ]:[Stanowisko / Position ]],0))="n/a","n/a",GD207-INDEX(tab_MinKomp[Przepisy o ub.społ. ZUS  / Sozialversicherungsvorschriften],MATCH($B207,tab_MinKomp[[Stanowisko / Position ]:[Stanowisko / Position ]],0)))</f>
        <v>n/a</v>
      </c>
      <c r="GE208" s="330" t="str">
        <f>IF(INDEX(tab_MinKomp[Przepisy o ub.społ. ZUS  / Sozialversicherungsvorschriften],MATCH($B207,tab_MinKomp[[Stanowisko / Position ]:[Stanowisko / Position ]],0))="n/a","n/a",GE207-INDEX(tab_MinKomp[Przepisy o ub.społ. ZUS  / Sozialversicherungsvorschriften],MATCH($B207,tab_MinKomp[[Stanowisko / Position ]:[Stanowisko / Position ]],0)))</f>
        <v>n/a</v>
      </c>
      <c r="GF208" s="330" t="str">
        <f>IF(INDEX(tab_MinKomp[Przepisy o ub.społ. ZUS  / Sozialversicherungsvorschriften],MATCH($B207,tab_MinKomp[[Stanowisko / Position ]:[Stanowisko / Position ]],0))="n/a","n/a",GF207-INDEX(tab_MinKomp[Przepisy o ub.społ. ZUS  / Sozialversicherungsvorschriften],MATCH($B207,tab_MinKomp[[Stanowisko / Position ]:[Stanowisko / Position ]],0)))</f>
        <v>n/a</v>
      </c>
      <c r="GG208" s="330" t="str">
        <f>IF(INDEX(tab_MinKomp[Przepisy o ub.społ. ZUS  / Sozialversicherungsvorschriften],MATCH($B207,tab_MinKomp[[Stanowisko / Position ]:[Stanowisko / Position ]],0))="n/a","n/a",GG207-INDEX(tab_MinKomp[Przepisy o ub.społ. ZUS  / Sozialversicherungsvorschriften],MATCH($B207,tab_MinKomp[[Stanowisko / Position ]:[Stanowisko / Position ]],0)))</f>
        <v>n/a</v>
      </c>
      <c r="GH208" s="330" t="str">
        <f>IF(INDEX(tab_MinKomp[Przepisy o ub.społ. ZUS  / Sozialversicherungsvorschriften],MATCH($B207,tab_MinKomp[[Stanowisko / Position ]:[Stanowisko / Position ]],0))="n/a","n/a",GH207-INDEX(tab_MinKomp[Przepisy o ub.społ. ZUS  / Sozialversicherungsvorschriften],MATCH($B207,tab_MinKomp[[Stanowisko / Position ]:[Stanowisko / Position ]],0)))</f>
        <v>n/a</v>
      </c>
      <c r="GI208" s="330" t="str">
        <f>IF(INDEX(tab_MinKomp[Przepisy o ub.społ. ZUS  / Sozialversicherungsvorschriften],MATCH($B207,tab_MinKomp[[Stanowisko / Position ]:[Stanowisko / Position ]],0))="n/a","n/a",GI207-INDEX(tab_MinKomp[Przepisy o ub.społ. ZUS  / Sozialversicherungsvorschriften],MATCH($B207,tab_MinKomp[[Stanowisko / Position ]:[Stanowisko / Position ]],0)))</f>
        <v>n/a</v>
      </c>
      <c r="GJ208" s="330" t="str">
        <f>IF(INDEX(tab_MinKomp[Przepisy o ub.społ. ZUS  / Sozialversicherungsvorschriften],MATCH($B207,tab_MinKomp[[Stanowisko / Position ]:[Stanowisko / Position ]],0))="n/a","n/a",GJ207-INDEX(tab_MinKomp[Przepisy o ub.społ. ZUS  / Sozialversicherungsvorschriften],MATCH($B207,tab_MinKomp[[Stanowisko / Position ]:[Stanowisko / Position ]],0)))</f>
        <v>n/a</v>
      </c>
      <c r="GK208" s="330" t="str">
        <f>IF(INDEX(tab_MinKomp[Przepisy o ub.społ. ZUS  / Sozialversicherungsvorschriften],MATCH($B207,tab_MinKomp[[Stanowisko / Position ]:[Stanowisko / Position ]],0))="n/a","n/a",GK207-INDEX(tab_MinKomp[Przepisy o ub.społ. ZUS  / Sozialversicherungsvorschriften],MATCH($B207,tab_MinKomp[[Stanowisko / Position ]:[Stanowisko / Position ]],0)))</f>
        <v>n/a</v>
      </c>
      <c r="GL208" s="320">
        <f>SUM(G208:FP208)/(GL207-(SUM(G208:FP208)))</f>
        <v>0.1005586592178771</v>
      </c>
      <c r="GM208" s="132"/>
    </row>
    <row r="209" spans="1:195" s="133" customFormat="1" ht="34.5" customHeight="1" x14ac:dyDescent="0.25">
      <c r="A209" s="135" t="s">
        <v>227</v>
      </c>
      <c r="B209" s="135" t="s">
        <v>194</v>
      </c>
      <c r="C209" s="135" t="s">
        <v>761</v>
      </c>
      <c r="D209" s="135">
        <v>1761</v>
      </c>
      <c r="E209" s="563" t="s">
        <v>669</v>
      </c>
      <c r="F209" s="307" t="s">
        <v>165</v>
      </c>
      <c r="G209" s="308">
        <v>2</v>
      </c>
      <c r="H209" s="308">
        <v>2</v>
      </c>
      <c r="I209" s="308">
        <v>1</v>
      </c>
      <c r="J209" s="308">
        <v>2</v>
      </c>
      <c r="K209" s="308">
        <v>2</v>
      </c>
      <c r="L209" s="308">
        <v>1</v>
      </c>
      <c r="M209" s="308" t="s">
        <v>176</v>
      </c>
      <c r="N209" s="308" t="s">
        <v>176</v>
      </c>
      <c r="O209" s="308">
        <v>1</v>
      </c>
      <c r="P209" s="308">
        <v>2</v>
      </c>
      <c r="Q209" s="308" t="s">
        <v>176</v>
      </c>
      <c r="R209" s="308" t="s">
        <v>176</v>
      </c>
      <c r="S209" s="308">
        <v>1</v>
      </c>
      <c r="T209" s="308">
        <v>1</v>
      </c>
      <c r="U209" s="308" t="s">
        <v>176</v>
      </c>
      <c r="V209" s="308" t="s">
        <v>176</v>
      </c>
      <c r="W209" s="308" t="s">
        <v>176</v>
      </c>
      <c r="X209" s="308" t="s">
        <v>176</v>
      </c>
      <c r="Y209" s="308" t="s">
        <v>176</v>
      </c>
      <c r="Z209" s="308" t="s">
        <v>176</v>
      </c>
      <c r="AA209" s="308" t="s">
        <v>176</v>
      </c>
      <c r="AB209" s="308">
        <v>1</v>
      </c>
      <c r="AC209" s="308">
        <v>1</v>
      </c>
      <c r="AD209" s="308">
        <v>1</v>
      </c>
      <c r="AE209" s="308">
        <v>1</v>
      </c>
      <c r="AF209" s="308">
        <v>1</v>
      </c>
      <c r="AG209" s="308">
        <v>1</v>
      </c>
      <c r="AH209" s="308">
        <v>1</v>
      </c>
      <c r="AI209" s="308" t="s">
        <v>176</v>
      </c>
      <c r="AJ209" s="308" t="s">
        <v>176</v>
      </c>
      <c r="AK209" s="308" t="s">
        <v>176</v>
      </c>
      <c r="AL209" s="308">
        <v>2</v>
      </c>
      <c r="AM209" s="308">
        <v>1</v>
      </c>
      <c r="AN209" s="308" t="s">
        <v>176</v>
      </c>
      <c r="AO209" s="308">
        <v>3</v>
      </c>
      <c r="AP209" s="308">
        <v>3</v>
      </c>
      <c r="AQ209" s="308">
        <v>3</v>
      </c>
      <c r="AR209" s="308" t="s">
        <v>176</v>
      </c>
      <c r="AS209" s="308" t="s">
        <v>176</v>
      </c>
      <c r="AT209" s="308" t="s">
        <v>176</v>
      </c>
      <c r="AU209" s="308">
        <v>1</v>
      </c>
      <c r="AV209" s="308">
        <v>1</v>
      </c>
      <c r="AW209" s="308">
        <v>1</v>
      </c>
      <c r="AX209" s="308">
        <v>2</v>
      </c>
      <c r="AY209" s="308">
        <v>1</v>
      </c>
      <c r="AZ209" s="308">
        <v>1</v>
      </c>
      <c r="BA209" s="308" t="s">
        <v>176</v>
      </c>
      <c r="BB209" s="308" t="s">
        <v>176</v>
      </c>
      <c r="BC209" s="308" t="s">
        <v>176</v>
      </c>
      <c r="BD209" s="308" t="s">
        <v>176</v>
      </c>
      <c r="BE209" s="308" t="s">
        <v>176</v>
      </c>
      <c r="BF209" s="308" t="s">
        <v>176</v>
      </c>
      <c r="BG209" s="308" t="s">
        <v>176</v>
      </c>
      <c r="BH209" s="308" t="s">
        <v>176</v>
      </c>
      <c r="BI209" s="308" t="s">
        <v>176</v>
      </c>
      <c r="BJ209" s="308" t="s">
        <v>176</v>
      </c>
      <c r="BK209" s="308" t="s">
        <v>176</v>
      </c>
      <c r="BL209" s="308" t="s">
        <v>176</v>
      </c>
      <c r="BM209" s="308">
        <v>1</v>
      </c>
      <c r="BN209" s="308">
        <v>1</v>
      </c>
      <c r="BO209" s="308">
        <v>1</v>
      </c>
      <c r="BP209" s="308">
        <v>1</v>
      </c>
      <c r="BQ209" s="308">
        <v>1</v>
      </c>
      <c r="BR209" s="308">
        <v>1</v>
      </c>
      <c r="BS209" s="308">
        <v>1</v>
      </c>
      <c r="BT209" s="308">
        <v>1</v>
      </c>
      <c r="BU209" s="308">
        <v>1</v>
      </c>
      <c r="BV209" s="308" t="s">
        <v>176</v>
      </c>
      <c r="BW209" s="308" t="s">
        <v>176</v>
      </c>
      <c r="BX209" s="308" t="s">
        <v>176</v>
      </c>
      <c r="BY209" s="308" t="s">
        <v>176</v>
      </c>
      <c r="BZ209" s="308" t="s">
        <v>176</v>
      </c>
      <c r="CA209" s="308" t="s">
        <v>176</v>
      </c>
      <c r="CB209" s="308" t="s">
        <v>176</v>
      </c>
      <c r="CC209" s="308" t="s">
        <v>176</v>
      </c>
      <c r="CD209" s="308" t="s">
        <v>176</v>
      </c>
      <c r="CE209" s="308" t="s">
        <v>176</v>
      </c>
      <c r="CF209" s="308" t="s">
        <v>176</v>
      </c>
      <c r="CG209" s="308" t="s">
        <v>176</v>
      </c>
      <c r="CH209" s="308" t="s">
        <v>176</v>
      </c>
      <c r="CI209" s="308">
        <v>1</v>
      </c>
      <c r="CJ209" s="308" t="s">
        <v>176</v>
      </c>
      <c r="CK209" s="308" t="s">
        <v>176</v>
      </c>
      <c r="CL209" s="308" t="s">
        <v>176</v>
      </c>
      <c r="CM209" s="308">
        <v>1</v>
      </c>
      <c r="CN209" s="308">
        <v>1</v>
      </c>
      <c r="CO209" s="308">
        <v>2</v>
      </c>
      <c r="CP209" s="308">
        <v>2</v>
      </c>
      <c r="CQ209" s="308" t="s">
        <v>176</v>
      </c>
      <c r="CR209" s="308" t="s">
        <v>176</v>
      </c>
      <c r="CS209" s="308" t="s">
        <v>176</v>
      </c>
      <c r="CT209" s="308" t="s">
        <v>176</v>
      </c>
      <c r="CU209" s="308">
        <v>2</v>
      </c>
      <c r="CV209" s="308" t="s">
        <v>176</v>
      </c>
      <c r="CW209" s="308" t="s">
        <v>176</v>
      </c>
      <c r="CX209" s="308" t="s">
        <v>176</v>
      </c>
      <c r="CY209" s="308" t="s">
        <v>176</v>
      </c>
      <c r="CZ209" s="308" t="s">
        <v>176</v>
      </c>
      <c r="DA209" s="308" t="s">
        <v>176</v>
      </c>
      <c r="DB209" s="308" t="s">
        <v>176</v>
      </c>
      <c r="DC209" s="308" t="s">
        <v>176</v>
      </c>
      <c r="DD209" s="308" t="s">
        <v>176</v>
      </c>
      <c r="DE209" s="308" t="s">
        <v>176</v>
      </c>
      <c r="DF209" s="308" t="s">
        <v>176</v>
      </c>
      <c r="DG209" s="308" t="s">
        <v>176</v>
      </c>
      <c r="DH209" s="308" t="s">
        <v>176</v>
      </c>
      <c r="DI209" s="308" t="s">
        <v>176</v>
      </c>
      <c r="DJ209" s="308" t="s">
        <v>176</v>
      </c>
      <c r="DK209" s="308" t="s">
        <v>176</v>
      </c>
      <c r="DL209" s="308" t="s">
        <v>176</v>
      </c>
      <c r="DM209" s="308" t="s">
        <v>176</v>
      </c>
      <c r="DN209" s="308" t="s">
        <v>176</v>
      </c>
      <c r="DO209" s="308" t="s">
        <v>176</v>
      </c>
      <c r="DP209" s="308" t="s">
        <v>176</v>
      </c>
      <c r="DQ209" s="308" t="s">
        <v>176</v>
      </c>
      <c r="DR209" s="308" t="s">
        <v>176</v>
      </c>
      <c r="DS209" s="308" t="s">
        <v>176</v>
      </c>
      <c r="DT209" s="308" t="s">
        <v>176</v>
      </c>
      <c r="DU209" s="308" t="s">
        <v>176</v>
      </c>
      <c r="DV209" s="308" t="s">
        <v>176</v>
      </c>
      <c r="DW209" s="308" t="s">
        <v>176</v>
      </c>
      <c r="DX209" s="308" t="s">
        <v>176</v>
      </c>
      <c r="DY209" s="308" t="s">
        <v>176</v>
      </c>
      <c r="DZ209" s="308" t="s">
        <v>176</v>
      </c>
      <c r="EA209" s="308" t="s">
        <v>176</v>
      </c>
      <c r="EB209" s="308" t="s">
        <v>176</v>
      </c>
      <c r="EC209" s="308" t="s">
        <v>176</v>
      </c>
      <c r="ED209" s="308" t="s">
        <v>176</v>
      </c>
      <c r="EE209" s="308" t="s">
        <v>176</v>
      </c>
      <c r="EF209" s="308" t="s">
        <v>176</v>
      </c>
      <c r="EG209" s="308" t="s">
        <v>176</v>
      </c>
      <c r="EH209" s="308" t="s">
        <v>176</v>
      </c>
      <c r="EI209" s="308" t="s">
        <v>176</v>
      </c>
      <c r="EJ209" s="308" t="s">
        <v>176</v>
      </c>
      <c r="EK209" s="308" t="s">
        <v>176</v>
      </c>
      <c r="EL209" s="308" t="s">
        <v>176</v>
      </c>
      <c r="EM209" s="308" t="s">
        <v>176</v>
      </c>
      <c r="EN209" s="308" t="s">
        <v>176</v>
      </c>
      <c r="EO209" s="308">
        <v>1</v>
      </c>
      <c r="EP209" s="308" t="s">
        <v>176</v>
      </c>
      <c r="EQ209" s="308" t="s">
        <v>176</v>
      </c>
      <c r="ER209" s="308" t="s">
        <v>176</v>
      </c>
      <c r="ES209" s="308" t="s">
        <v>176</v>
      </c>
      <c r="ET209" s="308" t="s">
        <v>176</v>
      </c>
      <c r="EU209" s="308" t="s">
        <v>176</v>
      </c>
      <c r="EV209" s="308" t="s">
        <v>176</v>
      </c>
      <c r="EW209" s="308" t="s">
        <v>176</v>
      </c>
      <c r="EX209" s="308" t="s">
        <v>176</v>
      </c>
      <c r="EY209" s="308">
        <v>1</v>
      </c>
      <c r="EZ209" s="308">
        <v>1</v>
      </c>
      <c r="FA209" s="308">
        <v>1</v>
      </c>
      <c r="FB209" s="308">
        <v>2</v>
      </c>
      <c r="FC209" s="308" t="s">
        <v>176</v>
      </c>
      <c r="FD209" s="308">
        <v>1</v>
      </c>
      <c r="FE209" s="308">
        <v>1</v>
      </c>
      <c r="FF209" s="308">
        <v>1</v>
      </c>
      <c r="FG209" s="308">
        <v>1</v>
      </c>
      <c r="FH209" s="308">
        <v>1</v>
      </c>
      <c r="FI209" s="308">
        <v>1</v>
      </c>
      <c r="FJ209" s="308">
        <v>3</v>
      </c>
      <c r="FK209" s="308">
        <v>2</v>
      </c>
      <c r="FL209" s="308">
        <v>1</v>
      </c>
      <c r="FM209" s="308">
        <v>1</v>
      </c>
      <c r="FN209" s="308">
        <v>1</v>
      </c>
      <c r="FO209" s="308">
        <v>2</v>
      </c>
      <c r="FP209" s="308">
        <v>1</v>
      </c>
      <c r="FQ209" s="308" t="s">
        <v>176</v>
      </c>
      <c r="FR209" s="308" t="s">
        <v>176</v>
      </c>
      <c r="FS209" s="308" t="s">
        <v>160</v>
      </c>
      <c r="FT209" s="308" t="s">
        <v>176</v>
      </c>
      <c r="FU209" s="308" t="s">
        <v>176</v>
      </c>
      <c r="FV209" s="308" t="s">
        <v>176</v>
      </c>
      <c r="FW209" s="308" t="s">
        <v>176</v>
      </c>
      <c r="FX209" s="308" t="s">
        <v>176</v>
      </c>
      <c r="FY209" s="308" t="s">
        <v>160</v>
      </c>
      <c r="FZ209" s="308" t="s">
        <v>176</v>
      </c>
      <c r="GA209" s="308" t="s">
        <v>176</v>
      </c>
      <c r="GB209" s="308" t="s">
        <v>176</v>
      </c>
      <c r="GC209" s="308" t="s">
        <v>160</v>
      </c>
      <c r="GD209" s="308" t="s">
        <v>176</v>
      </c>
      <c r="GE209" s="308" t="s">
        <v>176</v>
      </c>
      <c r="GF209" s="308" t="s">
        <v>176</v>
      </c>
      <c r="GG209" s="308" t="s">
        <v>176</v>
      </c>
      <c r="GH209" s="308" t="s">
        <v>176</v>
      </c>
      <c r="GI209" s="308" t="s">
        <v>176</v>
      </c>
      <c r="GJ209" s="308" t="s">
        <v>176</v>
      </c>
      <c r="GK209" s="321" t="s">
        <v>176</v>
      </c>
      <c r="GL209" s="311">
        <f>SUM(G209:FP209)</f>
        <v>82</v>
      </c>
      <c r="GM209" s="132"/>
    </row>
    <row r="210" spans="1:195" s="133" customFormat="1" ht="34.5" customHeight="1" thickBot="1" x14ac:dyDescent="0.3">
      <c r="A210" s="138" t="str">
        <f>A209</f>
        <v>Management / zarządzanie</v>
      </c>
      <c r="B210" s="138" t="str">
        <f>B209</f>
        <v>Gruplider Produkcji</v>
      </c>
      <c r="C210" s="138" t="str">
        <f>C209</f>
        <v>AS</v>
      </c>
      <c r="D210" s="138">
        <v>1761</v>
      </c>
      <c r="E210" s="564"/>
      <c r="F210" s="312" t="s">
        <v>166</v>
      </c>
      <c r="G210" s="313">
        <f>IF(INDEX(tab_MinKomp[Przepisy BHP / BHP Vorschriften],MATCH($B209,tab_MinKomp[[Stanowisko / Position ]:[Stanowisko / Position ]],0))="n/a","n/a",G209-INDEX(tab_MinKomp[Przepisy BHP / BHP Vorschriften],MATCH($B209,tab_MinKomp[[Stanowisko / Position ]:[Stanowisko / Position ]],0)))</f>
        <v>0</v>
      </c>
      <c r="H210" s="314">
        <f>IF(INDEX(tab_MinKomp[Przepisy PPOŻ / Brandschutzbestimmungen],MATCH($B209,tab_MinKomp[[Stanowisko / Position ]:[Stanowisko / Position ]],0))="n/a","n/a",H209-INDEX(tab_MinKomp[Przepisy PPOŻ / Brandschutzbestimmungen],MATCH($B209,tab_MinKomp[[Stanowisko / Position ]:[Stanowisko / Position ]],0)))</f>
        <v>0</v>
      </c>
      <c r="I210" s="314">
        <f>IF(INDEX(tab_MinKomp[Ryzyko zawodowe na stanowiskach pracyv/ Berufliche Risiken an Arbeitsstellen],MATCH($B209,tab_MinKomp[[Stanowisko / Position ]:[Stanowisko / Position ]],0))="n/a","n/a",I209-INDEX(tab_MinKomp[Ryzyko zawodowe na stanowiskach pracyv/ Berufliche Risiken an Arbeitsstellen],MATCH($B209,tab_MinKomp[[Stanowisko / Position ]:[Stanowisko / Position ]],0)))</f>
        <v>-2</v>
      </c>
      <c r="J210" s="314">
        <f>IF(INDEX(tab_MinKomp[Gospodarka substancjami niebezpiecznymi / Gefahrstoffmanagement],MATCH($B209,tab_MinKomp[[Stanowisko / Position ]:[Stanowisko / Position ]],0))="n/a","n/a",J209-INDEX(tab_MinKomp[Gospodarka substancjami niebezpiecznymi / Gefahrstoffmanagement],MATCH($B209,tab_MinKomp[[Stanowisko / Position ]:[Stanowisko / Position ]],0)))</f>
        <v>0</v>
      </c>
      <c r="K210" s="314">
        <f>IF(INDEX(tab_MinKomp[Gospodarka odpadami / Abfallwirtschaft],MATCH($B209,tab_MinKomp[[Stanowisko / Position ]:[Stanowisko / Position ]],0))="n/a","n/a",K209-INDEX(tab_MinKomp[Gospodarka odpadami / Abfallwirtschaft],MATCH($B209,tab_MinKomp[[Stanowisko / Position ]:[Stanowisko / Position ]],0)))</f>
        <v>0</v>
      </c>
      <c r="L210" s="315">
        <f>IF(INDEX(tab_MinKomp[Przepisy kodeksu pracy / Bestimmungen des Arbeitsgesetzes],MATCH($B209,tab_MinKomp[[Stanowisko / Position ]:[Stanowisko / Position ]],0))="n/a","n/a",L209-INDEX(tab_MinKomp[Przepisy kodeksu pracy / Bestimmungen des Arbeitsgesetzes],MATCH($B209,tab_MinKomp[[Stanowisko / Position ]:[Stanowisko / Position ]],0)))</f>
        <v>0</v>
      </c>
      <c r="M210" s="316" t="str">
        <f>IF(INDEX(tab_MinKomp[Przepisy o ub.społ. ZUS  / Sozialversicherungsvorschriften],MATCH($B209,tab_MinKomp[[Stanowisko / Position ]:[Stanowisko / Position ]],0))="n/a","n/a",M209-INDEX(tab_MinKomp[Przepisy o ub.społ. ZUS  / Sozialversicherungsvorschriften],MATCH($B209,tab_MinKomp[[Stanowisko / Position ]:[Stanowisko / Position ]],0)))</f>
        <v>n/a</v>
      </c>
      <c r="N210" s="315" t="str">
        <f>IF(INDEX(tab_MinKomp[PRZEPISY O PDOF /persönlich Einkommensteuergesetz ],MATCH($B209,tab_MinKomp[[Stanowisko / Position ]:[Stanowisko / Position ]],0))="n/a","n/a",N209-INDEX(tab_MinKomp[PRZEPISY O PDOF /persönlich Einkommensteuergesetz ],MATCH($B209,tab_MinKomp[[Stanowisko / Position ]:[Stanowisko / Position ]],0)))</f>
        <v>n/a</v>
      </c>
      <c r="O210" s="315">
        <f>IF(INDEX(tab_MinKomp[Regulamin pracy / Arbeitsordnung],MATCH($B209,tab_MinKomp[[Stanowisko / Position ]:[Stanowisko / Position ]],0))="n/a","n/a",O209-INDEX(tab_MinKomp[Regulamin pracy / Arbeitsordnung],MATCH($B209,tab_MinKomp[[Stanowisko / Position ]:[Stanowisko / Position ]],0)))</f>
        <v>-1</v>
      </c>
      <c r="P210" s="315">
        <f>IF(INDEX(tab_MinKomp[Regulamin wynagradzania / Vergütungsordnung],MATCH($B209,tab_MinKomp[[Stanowisko / Position ]:[Stanowisko / Position ]],0))="n/a","n/a",P209-INDEX(tab_MinKomp[Regulamin wynagradzania / Vergütungsordnung],MATCH($B209,tab_MinKomp[[Stanowisko / Position ]:[Stanowisko / Position ]],0)))</f>
        <v>0</v>
      </c>
      <c r="Q210" s="315" t="str">
        <f>IF(INDEX(tab_MinKomp[System R2PŁATNIK PRO: Płace / Lohnabrechnung],MATCH($B209,tab_MinKomp[[Stanowisko / Position ]:[Stanowisko / Position ]],0))="n/a","n/a",Q209-INDEX(tab_MinKomp[System R2PŁATNIK PRO: Płace / Lohnabrechnung],MATCH($B209,tab_MinKomp[[Stanowisko / Position ]:[Stanowisko / Position ]],0)))</f>
        <v>n/a</v>
      </c>
      <c r="R210" s="315" t="str">
        <f>IF(INDEX(tab_MinKomp[SystemR2PŁATNIK PRO: KADRY / Personaldaten],MATCH($B209,tab_MinKomp[[Stanowisko / Position ]:[Stanowisko / Position ]],0))="n/a","n/a",R209-INDEX(tab_MinKomp[SystemR2PŁATNIK PRO: KADRY / Personaldaten],MATCH($B209,tab_MinKomp[[Stanowisko / Position ]:[Stanowisko / Position ]],0)))</f>
        <v>n/a</v>
      </c>
      <c r="S210" s="315">
        <f>IF(INDEX(tab_MinKomp[SYSTEM R2PŁATNIK PRO: zarządzanie pracownikami / Arbeitsverwaltung],MATCH($B209,tab_MinKomp[[Stanowisko / Position ]:[Stanowisko / Position ]],0))="n/a","n/a",S209-INDEX(tab_MinKomp[SYSTEM R2PŁATNIK PRO: zarządzanie pracownikami / Arbeitsverwaltung],MATCH($B209,tab_MinKomp[[Stanowisko / Position ]:[Stanowisko / Position ]],0)))</f>
        <v>-1</v>
      </c>
      <c r="T210" s="315">
        <f>IF(INDEX(tab_MinKomp[Doradztwo, wsparcie personalne / Personalberatung und Unterstützung],MATCH($B209,tab_MinKomp[[Stanowisko / Position ]:[Stanowisko / Position ]],0))="n/a","n/a",T209-INDEX(tab_MinKomp[Doradztwo, wsparcie personalne / Personalberatung und Unterstützung],MATCH($B209,tab_MinKomp[[Stanowisko / Position ]:[Stanowisko / Position ]],0)))</f>
        <v>-1</v>
      </c>
      <c r="U210" s="315" t="str">
        <f>IF(INDEX(tab_MinKomp[Przepisy o podatku VAT / MwSt.- Gesetz],MATCH($B209,tab_MinKomp[[Stanowisko / Position ]:[Stanowisko / Position ]],0))="n/a","n/a",U209-INDEX(tab_MinKomp[Przepisy o podatku VAT / MwSt.- Gesetz],MATCH($B209,tab_MinKomp[[Stanowisko / Position ]:[Stanowisko / Position ]],0)))</f>
        <v>n/a</v>
      </c>
      <c r="V210" s="315" t="str">
        <f>IF(INDEX(tab_MinKomp[PrzepisyPDOP / geschäftlich Einkommensteuergesetz],MATCH($B209,tab_MinKomp[[Stanowisko / Position ]:[Stanowisko / Position ]],0))="n/a","n/a",V209-INDEX(tab_MinKomp[PrzepisyPDOP / geschäftlich Einkommensteuergesetz],MATCH($B209,tab_MinKomp[[Stanowisko / Position ]:[Stanowisko / Position ]],0)))</f>
        <v>n/a</v>
      </c>
      <c r="W210" s="315" t="str">
        <f>IF(INDEX(tab_MinKomp[System BAAN / FINANSE (FIBU)],MATCH($B209,tab_MinKomp[[Stanowisko / Position ]:[Stanowisko / Position ]],0))="n/a","n/a",W209-INDEX(tab_MinKomp[System BAAN / FINANSE (FIBU)],MATCH($B209,tab_MinKomp[[Stanowisko / Position ]:[Stanowisko / Position ]],0)))</f>
        <v>n/a</v>
      </c>
      <c r="X210" s="315" t="str">
        <f>IF(INDEX(tab_MinKomp[Polityka rachunkowości / Buchführungspolitik],MATCH($B209,tab_MinKomp[[Stanowisko / Position ]:[Stanowisko / Position ]],0))="n/a","n/a",X209-INDEX(tab_MinKomp[Polityka rachunkowości / Buchführungspolitik],MATCH($B209,tab_MinKomp[[Stanowisko / Position ]:[Stanowisko / Position ]],0)))</f>
        <v>n/a</v>
      </c>
      <c r="Y210" s="315" t="str">
        <f>IF(INDEX(tab_MinKomp[Polityka rachunkowości / Buchführungspolitik],MATCH($B209,tab_MinKomp[[Stanowisko / Position ]:[Stanowisko / Position ]],0))="n/a","n/a",Y209-INDEX(tab_MinKomp[Polityka rachunkowości / Buchführungspolitik],MATCH($B209,tab_MinKomp[[Stanowisko / Position ]:[Stanowisko / Position ]],0)))</f>
        <v>n/a</v>
      </c>
      <c r="Z210" s="315" t="str">
        <f>IF(INDEX(tab_MinKomp[Ustawa o rachunkowości / Rechnungslegungsgesetz],MATCH($B209,tab_MinKomp[[Stanowisko / Position ]:[Stanowisko / Position ]],0))="n/a","n/a",Z209-INDEX(tab_MinKomp[Ustawa o rachunkowości / Rechnungslegungsgesetz],MATCH($B209,tab_MinKomp[[Stanowisko / Position ]:[Stanowisko / Position ]],0)))</f>
        <v>n/a</v>
      </c>
      <c r="AA210" s="315" t="str">
        <f>IF(INDEX(tab_MinKomp[WORKFLOW - TS-100],MATCH($B209,tab_MinKomp[[Stanowisko / Position ]:[Stanowisko / Position ]],0))="n/a","n/a",AA209-INDEX(tab_MinKomp[WORKFLOW - TS-100],MATCH($B209,tab_MinKomp[[Stanowisko / Position ]:[Stanowisko / Position ]],0)))</f>
        <v>n/a</v>
      </c>
      <c r="AB210" s="315">
        <f>IF(INDEX(tab_MinKomp[WORKFLOW - SFMS],MATCH($B209,tab_MinKomp[[Stanowisko / Position ]:[Stanowisko / Position ]],0))="n/a","n/a",AB209-INDEX(tab_MinKomp[WORKFLOW - SFMS],MATCH($B209,tab_MinKomp[[Stanowisko / Position ]:[Stanowisko / Position ]],0)))</f>
        <v>-1</v>
      </c>
      <c r="AC210" s="315">
        <f>IF(INDEX(tab_MinKomp[System ISO 9001:2015],MATCH($B209,tab_MinKomp[[Stanowisko / Position ]:[Stanowisko / Position ]],0))="n/a","n/a",AC209-INDEX(tab_MinKomp[System ISO 9001:2015],MATCH($B209,tab_MinKomp[[Stanowisko / Position ]:[Stanowisko / Position ]],0)))</f>
        <v>0</v>
      </c>
      <c r="AD210" s="315">
        <f>IF(INDEX(tab_MinKomp[System IATF 16949:2016],MATCH($B209,tab_MinKomp[[Stanowisko / Position ]:[Stanowisko / Position ]],0))="n/a","n/a",AD209-INDEX(tab_MinKomp[System IATF 16949:2016],MATCH($B209,tab_MinKomp[[Stanowisko / Position ]:[Stanowisko / Position ]],0)))</f>
        <v>0</v>
      </c>
      <c r="AE210" s="315">
        <f>IF(INDEX(tab_MinKomp[System ISO 14001:2015],MATCH($B209,tab_MinKomp[[Stanowisko / Position ]:[Stanowisko / Position ]],0))="n/a","n/a",AE209-INDEX(tab_MinKomp[System ISO 14001:2015],MATCH($B209,tab_MinKomp[[Stanowisko / Position ]:[Stanowisko / Position ]],0)))</f>
        <v>0</v>
      </c>
      <c r="AF210" s="315">
        <f>IF(INDEX(tab_MinKomp[System PN-N 18001:2004 / ISO 45001:2018],MATCH($B209,tab_MinKomp[[Stanowisko / Position ]:[Stanowisko / Position ]],0))="n/a","n/a",AF209-INDEX(tab_MinKomp[System PN-N 18001:2004 / ISO 45001:2018],MATCH($B209,tab_MinKomp[[Stanowisko / Position ]:[Stanowisko / Position ]],0)))</f>
        <v>0</v>
      </c>
      <c r="AG210" s="315">
        <f>IF(INDEX(tab_MinKomp[Wymagania VDA 6.3 Process / Forderungen],MATCH($B209,tab_MinKomp[[Stanowisko / Position ]:[Stanowisko / Position ]],0))="n/a","n/a",AG209-INDEX(tab_MinKomp[Wymagania VDA 6.3 Process / Forderungen],MATCH($B209,tab_MinKomp[[Stanowisko / Position ]:[Stanowisko / Position ]],0)))</f>
        <v>0</v>
      </c>
      <c r="AH210" s="315">
        <f>IF(INDEX(tab_MinKomp[Wymagania VDA 6.5 Product / Forderungen],MATCH($B209,tab_MinKomp[[Stanowisko / Position ]:[Stanowisko / Position ]],0))="n/a","n/a",AH209-INDEX(tab_MinKomp[Wymagania VDA 6.5 Product / Forderungen],MATCH($B209,tab_MinKomp[[Stanowisko / Position ]:[Stanowisko / Position ]],0)))</f>
        <v>0</v>
      </c>
      <c r="AI210" s="315" t="str">
        <f>IF(INDEX(tab_MinKomp[PSCR (VW Product Safety &amp; Conformity Representative)],MATCH($B209,tab_MinKomp[[Stanowisko / Position ]:[Stanowisko / Position ]],0))="n/a","n/a",AI209-INDEX(tab_MinKomp[PSCR (VW Product Safety &amp; Conformity Representative)],MATCH($B209,tab_MinKomp[[Stanowisko / Position ]:[Stanowisko / Position ]],0)))</f>
        <v>n/a</v>
      </c>
      <c r="AJ210" s="315" t="str">
        <f>IF(INDEX(tab_MinKomp[Auditor systemu ISO 17025:2018],MATCH($B209,tab_MinKomp[[Stanowisko / Position ]:[Stanowisko / Position ]],0))="n/a","n/a",AJ209-INDEX(tab_MinKomp[Auditor systemu ISO 17025:2018],MATCH($B209,tab_MinKomp[[Stanowisko / Position ]:[Stanowisko / Position ]],0)))</f>
        <v>n/a</v>
      </c>
      <c r="AK210" s="315" t="str">
        <f>IF(INDEX(tab_MinKomp[Pełnomocnik systemu / Systemvertreter],MATCH($B209,tab_MinKomp[[Stanowisko / Position ]:[Stanowisko / Position ]],0))="n/a","n/a",AK209-INDEX(tab_MinKomp[Pełnomocnik systemu / Systemvertreter],MATCH($B209,tab_MinKomp[[Stanowisko / Position ]:[Stanowisko / Position ]],0)))</f>
        <v>n/a</v>
      </c>
      <c r="AL210" s="315">
        <f>IF(INDEX(tab_MinKomp[Polityka Etyczna - Compliance],MATCH($B209,tab_MinKomp[[Stanowisko / Position ]:[Stanowisko / Position ]],0))="n/a","n/a",AL209-INDEX(tab_MinKomp[Polityka Etyczna - Compliance],MATCH($B209,tab_MinKomp[[Stanowisko / Position ]:[Stanowisko / Position ]],0)))</f>
        <v>0</v>
      </c>
      <c r="AM210" s="315">
        <f>IF(INDEX(tab_MinKomp[WDRAŻANIE NOWYCH PROJEKTÓW/ PROCEDURA CTM],MATCH($B209,tab_MinKomp[[Stanowisko / Position ]:[Stanowisko / Position ]],0))="n/a","n/a",AM209-INDEX(tab_MinKomp[WDRAŻANIE NOWYCH PROJEKTÓW/ PROCEDURA CTM],MATCH($B209,tab_MinKomp[[Stanowisko / Position ]:[Stanowisko / Position ]],0)))</f>
        <v>0</v>
      </c>
      <c r="AN210" s="315" t="str">
        <f>IF(INDEX(tab_MinKomp[KAMIENIE MILOWE MSL/PIFF],MATCH($B209,tab_MinKomp[[Stanowisko / Position ]:[Stanowisko / Position ]],0))="n/a","n/a",AN209-INDEX(tab_MinKomp[KAMIENIE MILOWE MSL/PIFF],MATCH($B209,tab_MinKomp[[Stanowisko / Position ]:[Stanowisko / Position ]],0)))</f>
        <v>n/a</v>
      </c>
      <c r="AO210" s="315">
        <f>IF(INDEX(tab_MinKomp[CP],MATCH($B209,tab_MinKomp[[Stanowisko / Position ]:[Stanowisko / Position ]],0))="n/a","n/a",AO209-INDEX(tab_MinKomp[CP],MATCH($B209,tab_MinKomp[[Stanowisko / Position ]:[Stanowisko / Position ]],0)))</f>
        <v>1</v>
      </c>
      <c r="AP210" s="315">
        <f>IF(INDEX(tab_MinKomp[FMEA],MATCH($B209,tab_MinKomp[[Stanowisko / Position ]:[Stanowisko / Position ]],0))="n/a","n/a",AP209-INDEX(tab_MinKomp[FMEA],MATCH($B209,tab_MinKomp[[Stanowisko / Position ]:[Stanowisko / Position ]],0)))</f>
        <v>2</v>
      </c>
      <c r="AQ210" s="315">
        <f>IF(INDEX(tab_MinKomp[FLOW CHART],MATCH($B209,tab_MinKomp[[Stanowisko / Position ]:[Stanowisko / Position ]],0))="n/a","n/a",AQ209-INDEX(tab_MinKomp[FLOW CHART],MATCH($B209,tab_MinKomp[[Stanowisko / Position ]:[Stanowisko / Position ]],0)))</f>
        <v>1</v>
      </c>
      <c r="AR210" s="315" t="str">
        <f>IF(INDEX(tab_MinKomp[APQP],MATCH($B209,tab_MinKomp[[Stanowisko / Position ]:[Stanowisko / Position ]],0))="n/a","n/a",AR209-INDEX(tab_MinKomp[APQP],MATCH($B209,tab_MinKomp[[Stanowisko / Position ]:[Stanowisko / Position ]],0)))</f>
        <v>n/a</v>
      </c>
      <c r="AS210" s="315" t="str">
        <f>IF(INDEX(tab_MinKomp[MSA],MATCH($B209,tab_MinKomp[[Stanowisko / Position ]:[Stanowisko / Position ]],0))="n/a","n/a",AS209-INDEX(tab_MinKomp[MSA],MATCH($B209,tab_MinKomp[[Stanowisko / Position ]:[Stanowisko / Position ]],0)))</f>
        <v>n/a</v>
      </c>
      <c r="AT210" s="315" t="str">
        <f>IF(INDEX(tab_MinKomp[SPC],MATCH($B209,tab_MinKomp[[Stanowisko / Position ]:[Stanowisko / Position ]],0))="n/a","n/a",AT209-INDEX(tab_MinKomp[SPC],MATCH($B209,tab_MinKomp[[Stanowisko / Position ]:[Stanowisko / Position ]],0)))</f>
        <v>n/a</v>
      </c>
      <c r="AU210" s="315">
        <f>IF(INDEX(tab_MinKomp[CSR (SPECYFICZNE WYMAGANIA KLIENTA)],MATCH($B209,tab_MinKomp[[Stanowisko / Position ]:[Stanowisko / Position ]],0))="n/a","n/a",AU209-INDEX(tab_MinKomp[CSR (SPECYFICZNE WYMAGANIA KLIENTA)],MATCH($B209,tab_MinKomp[[Stanowisko / Position ]:[Stanowisko / Position ]],0)))</f>
        <v>0</v>
      </c>
      <c r="AV210" s="315">
        <f>IF(INDEX(tab_MinKomp[5S],MATCH($B209,tab_MinKomp[[Stanowisko / Position ]:[Stanowisko / Position ]],0))="n/a","n/a",AV209-INDEX(tab_MinKomp[5S],MATCH($B209,tab_MinKomp[[Stanowisko / Position ]:[Stanowisko / Position ]],0)))</f>
        <v>-1</v>
      </c>
      <c r="AW210" s="315">
        <f>IF(INDEX(tab_MinKomp[LEAN MANAGEMENT],MATCH($B209,tab_MinKomp[[Stanowisko / Position ]:[Stanowisko / Position ]],0))="n/a","n/a",AW209-INDEX(tab_MinKomp[LEAN MANAGEMENT],MATCH($B209,tab_MinKomp[[Stanowisko / Position ]:[Stanowisko / Position ]],0)))</f>
        <v>-1</v>
      </c>
      <c r="AX210" s="315">
        <f>IF(INDEX(tab_MinKomp[5R],MATCH($B209,tab_MinKomp[[Stanowisko / Position ]:[Stanowisko / Position ]],0))="n/a","n/a",AX209-INDEX(tab_MinKomp[5R],MATCH($B209,tab_MinKomp[[Stanowisko / Position ]:[Stanowisko / Position ]],0)))</f>
        <v>0</v>
      </c>
      <c r="AY210" s="315">
        <f>IF(INDEX(tab_MinKomp[Six Sigma],MATCH($B209,tab_MinKomp[[Stanowisko / Position ]:[Stanowisko / Position ]],0))="n/a","n/a",AY209-INDEX(tab_MinKomp[Six Sigma],MATCH($B209,tab_MinKomp[[Stanowisko / Position ]:[Stanowisko / Position ]],0)))</f>
        <v>-1</v>
      </c>
      <c r="AZ210" s="315">
        <f>IF(INDEX(tab_MinKomp[System BAAN / Distribution &amp; Supply Chain],MATCH($B209,tab_MinKomp[[Stanowisko / Position ]:[Stanowisko / Position ]],0))="n/a","n/a",AZ209-INDEX(tab_MinKomp[System BAAN / Distribution &amp; Supply Chain],MATCH($B209,tab_MinKomp[[Stanowisko / Position ]:[Stanowisko / Position ]],0)))</f>
        <v>0</v>
      </c>
      <c r="BA210" s="315" t="str">
        <f>IF(INDEX(tab_MinKomp[Gospodarka magazynowa / Lagerverwaltung],MATCH($B209,tab_MinKomp[[Stanowisko / Position ]:[Stanowisko / Position ]],0))="n/a","n/a",BA209-INDEX(tab_MinKomp[Gospodarka magazynowa / Lagerverwaltung],MATCH($B209,tab_MinKomp[[Stanowisko / Position ]:[Stanowisko / Position ]],0)))</f>
        <v>n/a</v>
      </c>
      <c r="BB210" s="315" t="str">
        <f>IF(INDEX(tab_MinKomp[Inwentaryzacja - organizacja i przebieg / Inventurprozess],MATCH($B209,tab_MinKomp[[Stanowisko / Position ]:[Stanowisko / Position ]],0))="n/a","n/a",BB209-INDEX(tab_MinKomp[Inwentaryzacja - organizacja i przebieg / Inventurprozess],MATCH($B209,tab_MinKomp[[Stanowisko / Position ]:[Stanowisko / Position ]],0)))</f>
        <v>n/a</v>
      </c>
      <c r="BC210" s="315" t="str">
        <f>IF(INDEX(tab_MinKomp[Organizacja dostaw / Versorgungsorganisation],MATCH($B209,tab_MinKomp[[Stanowisko / Position ]:[Stanowisko / Position ]],0))="n/a","n/a",BC209-INDEX(tab_MinKomp[Organizacja dostaw / Versorgungsorganisation],MATCH($B209,tab_MinKomp[[Stanowisko / Position ]:[Stanowisko / Position ]],0)))</f>
        <v>n/a</v>
      </c>
      <c r="BD210" s="315" t="str">
        <f>IF(INDEX(tab_MinKomp[Organizacja wysyłek / Organisation von Lieferungen],MATCH($B209,tab_MinKomp[[Stanowisko / Position ]:[Stanowisko / Position ]],0))="n/a","n/a",BD209-INDEX(tab_MinKomp[Organizacja wysyłek / Organisation von Lieferungen],MATCH($B209,tab_MinKomp[[Stanowisko / Position ]:[Stanowisko / Position ]],0)))</f>
        <v>n/a</v>
      </c>
      <c r="BE210" s="315" t="str">
        <f>IF(INDEX(tab_MinKomp[Analiza magazynowa - Program Polen.mdb / Inventuranalyse],MATCH($B209,tab_MinKomp[[Stanowisko / Position ]:[Stanowisko / Position ]],0))="n/a","n/a",BE209-INDEX(tab_MinKomp[Analiza magazynowa - Program Polen.mdb / Inventuranalyse],MATCH($B209,tab_MinKomp[[Stanowisko / Position ]:[Stanowisko / Position ]],0)))</f>
        <v>n/a</v>
      </c>
      <c r="BF210" s="315" t="str">
        <f>IF(INDEX(tab_MinKomp[MMOG (Materials Management Operations Guidelines)],MATCH($B209,tab_MinKomp[[Stanowisko / Position ]:[Stanowisko / Position ]],0))="n/a","n/a",BF209-INDEX(tab_MinKomp[MMOG (Materials Management Operations Guidelines)],MATCH($B209,tab_MinKomp[[Stanowisko / Position ]:[Stanowisko / Position ]],0)))</f>
        <v>n/a</v>
      </c>
      <c r="BG210" s="315" t="str">
        <f>IF(INDEX(tab_MinKomp[GPP],MATCH($B209,tab_MinKomp[[Stanowisko / Position ]:[Stanowisko / Position ]],0))="n/a","n/a",BG209-INDEX(tab_MinKomp[GPP],MATCH($B209,tab_MinKomp[[Stanowisko / Position ]:[Stanowisko / Position ]],0)))</f>
        <v>n/a</v>
      </c>
      <c r="BH210" s="315" t="str">
        <f>IF(INDEX(tab_MinKomp[AIAG (Automotive Industry Action Group)],MATCH($B209,tab_MinKomp[[Stanowisko / Position ]:[Stanowisko / Position ]],0))="n/a","n/a",BH209-INDEX(tab_MinKomp[AIAG (Automotive Industry Action Group)],MATCH($B209,tab_MinKomp[[Stanowisko / Position ]:[Stanowisko / Position ]],0)))</f>
        <v>n/a</v>
      </c>
      <c r="BI210" s="315" t="str">
        <f>IF(INDEX(tab_MinKomp[Super-G disputes],MATCH($B209,tab_MinKomp[[Stanowisko / Position ]:[Stanowisko / Position ]],0))="n/a","n/a",BI209-INDEX(tab_MinKomp[Super-G disputes],MATCH($B209,tab_MinKomp[[Stanowisko / Position ]:[Stanowisko / Position ]],0)))</f>
        <v>n/a</v>
      </c>
      <c r="BJ210" s="315" t="str">
        <f>IF(INDEX(tab_MinKomp[CMMS3/eDDL (Direct Data Link)],MATCH($B209,tab_MinKomp[[Stanowisko / Position ]:[Stanowisko / Position ]],0))="n/a","n/a",BJ209-INDEX(tab_MinKomp[CMMS3/eDDL (Direct Data Link)],MATCH($B209,tab_MinKomp[[Stanowisko / Position ]:[Stanowisko / Position ]],0)))</f>
        <v>n/a</v>
      </c>
      <c r="BK210" s="315" t="str">
        <f>IF(INDEX(tab_MinKomp[MP&amp;L (Material Planning and Logistics)],MATCH($B209,tab_MinKomp[[Stanowisko / Position ]:[Stanowisko / Position ]],0))="n/a","n/a",BK209-INDEX(tab_MinKomp[MP&amp;L (Material Planning and Logistics)],MATCH($B209,tab_MinKomp[[Stanowisko / Position ]:[Stanowisko / Position ]],0)))</f>
        <v>n/a</v>
      </c>
      <c r="BL210" s="315" t="str">
        <f>IF(INDEX(tab_MinKomp[Supplier delivery rating],MATCH($B209,tab_MinKomp[[Stanowisko / Position ]:[Stanowisko / Position ]],0))="n/a","n/a",BL209-INDEX(tab_MinKomp[Supplier delivery rating],MATCH($B209,tab_MinKomp[[Stanowisko / Position ]:[Stanowisko / Position ]],0)))</f>
        <v>n/a</v>
      </c>
      <c r="BM210" s="315">
        <f>IF(INDEX(tab_MinKomp[Planowanie produkcji / Produktionsplanung],MATCH($B209,tab_MinKomp[[Stanowisko / Position ]:[Stanowisko / Position ]],0))="n/a","n/a",BM209-INDEX(tab_MinKomp[Planowanie produkcji / Produktionsplanung],MATCH($B209,tab_MinKomp[[Stanowisko / Position ]:[Stanowisko / Position ]],0)))</f>
        <v>-2</v>
      </c>
      <c r="BN210" s="315">
        <f>IF(INDEX(tab_MinKomp[Obsługa maszyn Engel / Engel Maschinenbedienung],MATCH($B209,tab_MinKomp[[Stanowisko / Position ]:[Stanowisko / Position ]],0))="n/a","n/a",BN209-INDEX(tab_MinKomp[Obsługa maszyn Engel / Engel Maschinenbedienung],MATCH($B209,tab_MinKomp[[Stanowisko / Position ]:[Stanowisko / Position ]],0)))</f>
        <v>0</v>
      </c>
      <c r="BO210" s="315">
        <f>IF(INDEX(tab_MinKomp[Obsługa maszyn Novapax / Novapax Maschinenbedienung],MATCH($B209,tab_MinKomp[[Stanowisko / Position ]:[Stanowisko / Position ]],0))="n/a","n/a",BO209-INDEX(tab_MinKomp[Obsługa maszyn Novapax / Novapax Maschinenbedienung],MATCH($B209,tab_MinKomp[[Stanowisko / Position ]:[Stanowisko / Position ]],0)))</f>
        <v>0</v>
      </c>
      <c r="BP210" s="315">
        <f>IF(INDEX(tab_MinKomp[Obsługa maszyn KVT / KVT Maschinenbedienung],MATCH($B209,tab_MinKomp[[Stanowisko / Position ]:[Stanowisko / Position ]],0))="n/a","n/a",BP209-INDEX(tab_MinKomp[Obsługa maszyn KVT / KVT Maschinenbedienung],MATCH($B209,tab_MinKomp[[Stanowisko / Position ]:[Stanowisko / Position ]],0)))</f>
        <v>0</v>
      </c>
      <c r="BQ210" s="315">
        <f>IF(INDEX(tab_MinKomp[Obsługa maszyn ASL / ASL Maschinenbedienung],MATCH($B209,tab_MinKomp[[Stanowisko / Position ]:[Stanowisko / Position ]],0))="n/a","n/a",BQ209-INDEX(tab_MinKomp[Obsługa maszyn ASL / ASL Maschinenbedienung],MATCH($B209,tab_MinKomp[[Stanowisko / Position ]:[Stanowisko / Position ]],0)))</f>
        <v>0</v>
      </c>
      <c r="BR210" s="315">
        <f>IF(INDEX(tab_MinKomp[Obsługa maszyn Branson / Branson Maschinenbedienung],MATCH($B209,tab_MinKomp[[Stanowisko / Position ]:[Stanowisko / Position ]],0))="n/a","n/a",BR209-INDEX(tab_MinKomp[Obsługa maszyn Branson / Branson Maschinenbedienung],MATCH($B209,tab_MinKomp[[Stanowisko / Position ]:[Stanowisko / Position ]],0)))</f>
        <v>0</v>
      </c>
      <c r="BS210" s="315">
        <f>IF(INDEX(tab_MinKomp[Obsługa maszyn Kamtec / Kamtec Maschinenbedienung],MATCH($B209,tab_MinKomp[[Stanowisko / Position ]:[Stanowisko / Position ]],0))="n/a","n/a",BS209-INDEX(tab_MinKomp[Obsługa maszyn Kamtec / Kamtec Maschinenbedienung],MATCH($B209,tab_MinKomp[[Stanowisko / Position ]:[Stanowisko / Position ]],0)))</f>
        <v>0</v>
      </c>
      <c r="BT210" s="315">
        <f>IF(INDEX(tab_MinKomp[Obsługa maszyn Piovan / Piovan Maschinenbedienung],MATCH($B209,tab_MinKomp[[Stanowisko / Position ]:[Stanowisko / Position ]],0))="n/a","n/a",BT209-INDEX(tab_MinKomp[Obsługa maszyn Piovan / Piovan Maschinenbedienung],MATCH($B209,tab_MinKomp[[Stanowisko / Position ]:[Stanowisko / Position ]],0)))</f>
        <v>0</v>
      </c>
      <c r="BU210" s="315">
        <f>IF(INDEX(tab_MinKomp[Obsługa maszyn REP / REP Maschinenbedienung],MATCH($B209,tab_MinKomp[[Stanowisko / Position ]:[Stanowisko / Position ]],0))="n/a","n/a",BU209-INDEX(tab_MinKomp[Obsługa maszyn REP / REP Maschinenbedienung],MATCH($B209,tab_MinKomp[[Stanowisko / Position ]:[Stanowisko / Position ]],0)))</f>
        <v>0</v>
      </c>
      <c r="BV210" s="315" t="str">
        <f>IF(INDEX(tab_MinKomp[Informatyka ogólna (techniczne i systemowe) / Allgemeine IT (Technik und System)],MATCH($B209,tab_MinKomp[[Stanowisko / Position ]:[Stanowisko / Position ]],0))="n/a","n/a",BV209-INDEX(tab_MinKomp[Informatyka ogólna (techniczne i systemowe) / Allgemeine IT (Technik und System)],MATCH($B209,tab_MinKomp[[Stanowisko / Position ]:[Stanowisko / Position ]],0)))</f>
        <v>n/a</v>
      </c>
      <c r="BW210" s="315" t="str">
        <f>IF(INDEX(tab_MinKomp[Informatyka ogólna (techniczne i systemowe) / Allgemeine IT (Technik und System)],MATCH($B209,tab_MinKomp[[Stanowisko / Position ]:[Stanowisko / Position ]],0))="n/a","n/a",BW209-INDEX(tab_MinKomp[Informatyka ogólna (techniczne i systemowe) / Allgemeine IT (Technik und System)],MATCH($B209,tab_MinKomp[[Stanowisko / Position ]:[Stanowisko / Position ]],0)))</f>
        <v>n/a</v>
      </c>
      <c r="BX210" s="315" t="str">
        <f>IF(INDEX(tab_MinKomp[Sieci komputerowe / Computernetzwerke],MATCH($B209,tab_MinKomp[[Stanowisko / Position ]:[Stanowisko / Position ]],0))="n/a","n/a",BX209-INDEX(tab_MinKomp[Sieci komputerowe / Computernetzwerke],MATCH($B209,tab_MinKomp[[Stanowisko / Position ]:[Stanowisko / Position ]],0)))</f>
        <v>n/a</v>
      </c>
      <c r="BY210" s="315" t="str">
        <f>IF(INDEX(tab_MinKomp[Hardware (komputery PC, drukarki biurowe i etykietowe, telefonia stacjonarna i mobilna) (PC, Drucker, Telefpne, Handys)],MATCH($B209,tab_MinKomp[[Stanowisko / Position ]:[Stanowisko / Position ]],0))="n/a","n/a",BY209-INDEX(tab_MinKomp[Hardware (komputery PC, drukarki biurowe i etykietowe, telefonia stacjonarna i mobilna) (PC, Drucker, Telefpne, Handys)],MATCH($B209,tab_MinKomp[[Stanowisko / Position ]:[Stanowisko / Position ]],0)))</f>
        <v>n/a</v>
      </c>
      <c r="BZ210" s="315" t="str">
        <f>IF(INDEX(tab_MinKomp[Software &amp; Systems (MS Office, MS Remote Desktop)],MATCH($B209,tab_MinKomp[[Stanowisko / Position ]:[Stanowisko / Position ]],0))="n/a","n/a",BZ209-INDEX(tab_MinKomp[Software &amp; Systems (MS Office, MS Remote Desktop)],MATCH($B209,tab_MinKomp[[Stanowisko / Position ]:[Stanowisko / Position ]],0)))</f>
        <v>n/a</v>
      </c>
      <c r="CA210" s="315" t="str">
        <f>IF(INDEX(tab_MinKomp[Programowanie obiektowe (PHP) / Objektprogrammierung],MATCH($B209,tab_MinKomp[[Stanowisko / Position ]:[Stanowisko / Position ]],0))="n/a","n/a",CA209-INDEX(tab_MinKomp[Programowanie obiektowe (PHP) / Objektprogrammierung],MATCH($B209,tab_MinKomp[[Stanowisko / Position ]:[Stanowisko / Position ]],0)))</f>
        <v>n/a</v>
      </c>
      <c r="CB210" s="315" t="str">
        <f>IF(INDEX(tab_MinKomp[Scrum],MATCH($B209,tab_MinKomp[[Stanowisko / Position ]:[Stanowisko / Position ]],0))="n/a","n/a",CB209-INDEX(tab_MinKomp[Scrum],MATCH($B209,tab_MinKomp[[Stanowisko / Position ]:[Stanowisko / Position ]],0)))</f>
        <v>n/a</v>
      </c>
      <c r="CC210" s="315" t="str">
        <f>IF(INDEX(tab_MinKomp[SQL (MySQL)],MATCH($B209,tab_MinKomp[[Stanowisko / Position ]:[Stanowisko / Position ]],0))="n/a","n/a",CC209-INDEX(tab_MinKomp[SQL (MySQL)],MATCH($B209,tab_MinKomp[[Stanowisko / Position ]:[Stanowisko / Position ]],0)))</f>
        <v>n/a</v>
      </c>
      <c r="CD210" s="315" t="str">
        <f>IF(INDEX(tab_MinKomp[Javascript],MATCH($B209,tab_MinKomp[[Stanowisko / Position ]:[Stanowisko / Position ]],0))="n/a","n/a",CD209-INDEX(tab_MinKomp[Javascript],MATCH($B209,tab_MinKomp[[Stanowisko / Position ]:[Stanowisko / Position ]],0)))</f>
        <v>n/a</v>
      </c>
      <c r="CE210" s="315" t="str">
        <f>IF(INDEX(tab_MinKomp[Joomla],MATCH($B209,tab_MinKomp[[Stanowisko / Position ]:[Stanowisko / Position ]],0))="n/a","n/a",CE209-INDEX(tab_MinKomp[Joomla],MATCH($B209,tab_MinKomp[[Stanowisko / Position ]:[Stanowisko / Position ]],0)))</f>
        <v>n/a</v>
      </c>
      <c r="CF210" s="315" t="str">
        <f>IF(INDEX(tab_MinKomp[Bash],MATCH($B209,tab_MinKomp[[Stanowisko / Position ]:[Stanowisko / Position ]],0))="n/a","n/a",CF209-INDEX(tab_MinKomp[Bash],MATCH($B209,tab_MinKomp[[Stanowisko / Position ]:[Stanowisko / Position ]],0)))</f>
        <v>n/a</v>
      </c>
      <c r="CG210" s="315" t="str">
        <f>IF(INDEX(tab_MinKomp[Systemy MES (HYDRA / SFMS)],MATCH($B209,tab_MinKomp[[Stanowisko / Position ]:[Stanowisko / Position ]],0))="n/a","n/a",CG209-INDEX(tab_MinKomp[Systemy MES (HYDRA / SFMS)],MATCH($B209,tab_MinKomp[[Stanowisko / Position ]:[Stanowisko / Position ]],0)))</f>
        <v>n/a</v>
      </c>
      <c r="CH210" s="315" t="str">
        <f>IF(INDEX(tab_MinKomp[HTML / CSS],MATCH($B209,tab_MinKomp[[Stanowisko / Position ]:[Stanowisko / Position ]],0))="n/a","n/a",CH209-INDEX(tab_MinKomp[HTML / CSS],MATCH($B209,tab_MinKomp[[Stanowisko / Position ]:[Stanowisko / Position ]],0)))</f>
        <v>n/a</v>
      </c>
      <c r="CI210" s="315">
        <f>IF(INDEX(tab_MinKomp[SYSTEM PR],MATCH($B209,tab_MinKomp[[Stanowisko / Position ]:[Stanowisko / Position ]],0))="n/a","n/a",CI209-INDEX(tab_MinKomp[SYSTEM PR],MATCH($B209,tab_MinKomp[[Stanowisko / Position ]:[Stanowisko / Position ]],0)))</f>
        <v>-1</v>
      </c>
      <c r="CJ210" s="315" t="str">
        <f>IF(INDEX(tab_MinKomp[System Einkauf XP / EBA],MATCH($B209,tab_MinKomp[[Stanowisko / Position ]:[Stanowisko / Position ]],0))="n/a","n/a",CJ209-INDEX(tab_MinKomp[System Einkauf XP / EBA],MATCH($B209,tab_MinKomp[[Stanowisko / Position ]:[Stanowisko / Position ]],0)))</f>
        <v>n/a</v>
      </c>
      <c r="CK210" s="315" t="str">
        <f>IF(INDEX(tab_MinKomp[Techniki negocjacyjne / Verhandlungstechniken],MATCH($B209,tab_MinKomp[[Stanowisko / Position ]:[Stanowisko / Position ]],0))="n/a","n/a",CK209-INDEX(tab_MinKomp[Techniki negocjacyjne / Verhandlungstechniken],MATCH($B209,tab_MinKomp[[Stanowisko / Position ]:[Stanowisko / Position ]],0)))</f>
        <v>n/a</v>
      </c>
      <c r="CL210" s="315" t="str">
        <f>IF(INDEX(tab_MinKomp[Znajomość rynku branżowego / Kenntnis des Industrie Marktes],MATCH($B209,tab_MinKomp[[Stanowisko / Position ]:[Stanowisko / Position ]],0))="n/a","n/a",CL209-INDEX(tab_MinKomp[Znajomość rynku branżowego / Kenntnis des Industrie Marktes],MATCH($B209,tab_MinKomp[[Stanowisko / Position ]:[Stanowisko / Position ]],0)))</f>
        <v>n/a</v>
      </c>
      <c r="CM210" s="315">
        <f>IF(INDEX(tab_MinKomp[RAPORTY 8D / 8D Berichten],MATCH($B209,tab_MinKomp[[Stanowisko / Position ]:[Stanowisko / Position ]],0))="n/a","n/a",CM209-INDEX(tab_MinKomp[RAPORTY 8D / 8D Berichten],MATCH($B209,tab_MinKomp[[Stanowisko / Position ]:[Stanowisko / Position ]],0)))</f>
        <v>-1</v>
      </c>
      <c r="CN210" s="315">
        <f>IF(INDEX(tab_MinKomp[NARZĘDZIA JAKOŚCIOWE (5WHY, Ishikawa, etc) / QS-Werkzeuge],MATCH($B209,tab_MinKomp[[Stanowisko / Position ]:[Stanowisko / Position ]],0))="n/a","n/a",CN209-INDEX(tab_MinKomp[NARZĘDZIA JAKOŚCIOWE (5WHY, Ishikawa, etc) / QS-Werkzeuge],MATCH($B209,tab_MinKomp[[Stanowisko / Position ]:[Stanowisko / Position ]],0)))</f>
        <v>-1</v>
      </c>
      <c r="CO210" s="315">
        <f>IF(INDEX(tab_MinKomp[PDCA],MATCH($B209,tab_MinKomp[[Stanowisko / Position ]:[Stanowisko / Position ]],0))="n/a","n/a",CO209-INDEX(tab_MinKomp[PDCA],MATCH($B209,tab_MinKomp[[Stanowisko / Position ]:[Stanowisko / Position ]],0)))</f>
        <v>-1</v>
      </c>
      <c r="CP210" s="315">
        <f>IF(INDEX(tab_MinKomp[Pareto],MATCH($B209,tab_MinKomp[[Stanowisko / Position ]:[Stanowisko / Position ]],0))="n/a","n/a",CP209-INDEX(tab_MinKomp[Pareto],MATCH($B209,tab_MinKomp[[Stanowisko / Position ]:[Stanowisko / Position ]],0)))</f>
        <v>-1</v>
      </c>
      <c r="CQ210" s="315" t="str">
        <f>IF(INDEX(tab_MinKomp[PPAP/PSW],MATCH($B209,tab_MinKomp[[Stanowisko / Position ]:[Stanowisko / Position ]],0))="n/a","n/a",CQ209-INDEX(tab_MinKomp[PPAP/PSW],MATCH($B209,tab_MinKomp[[Stanowisko / Position ]:[Stanowisko / Position ]],0)))</f>
        <v>n/a</v>
      </c>
      <c r="CR210" s="315" t="str">
        <f>IF(INDEX(tab_MinKomp[Informatyka ogólna (techniczne i systemowe) / Allgemeine IT (Technik und System)],MATCH($B209,tab_MinKomp[[Stanowisko / Position ]:[Stanowisko / Position ]],0))="n/a","n/a",CR209-INDEX(tab_MinKomp[Informatyka ogólna (techniczne i systemowe) / Allgemeine IT (Technik und System)],MATCH($B209,tab_MinKomp[[Stanowisko / Position ]:[Stanowisko / Position ]],0)))</f>
        <v>n/a</v>
      </c>
      <c r="CS210" s="315" t="str">
        <f>IF(INDEX(tab_MinKomp[Obsługa systemu BABTECQ / BABTECQ System],MATCH($B209,tab_MinKomp[[Stanowisko / Position ]:[Stanowisko / Position ]],0))="n/a","n/a",CS209-INDEX(tab_MinKomp[Obsługa systemu BABTECQ / BABTECQ System],MATCH($B209,tab_MinKomp[[Stanowisko / Position ]:[Stanowisko / Position ]],0)))</f>
        <v>n/a</v>
      </c>
      <c r="CT210" s="315" t="str">
        <f>IF(INDEX(tab_MinKomp[Obsługa systemu BABTECQ / BABTECQ System],MATCH($B209,tab_MinKomp[[Stanowisko / Position ]:[Stanowisko / Position ]],0))="n/a","n/a",CT209-INDEX(tab_MinKomp[Obsługa systemu BABTECQ / BABTECQ System],MATCH($B209,tab_MinKomp[[Stanowisko / Position ]:[Stanowisko / Position ]],0)))</f>
        <v>n/a</v>
      </c>
      <c r="CU210" s="315">
        <f>IF(INDEX(tab_MinKomp[Rysunek techniczny / technische Zeichnung],MATCH($B209,tab_MinKomp[[Stanowisko / Position ]:[Stanowisko / Position ]],0))="n/a","n/a",CU209-INDEX(tab_MinKomp[Rysunek techniczny / technische Zeichnung],MATCH($B209,tab_MinKomp[[Stanowisko / Position ]:[Stanowisko / Position ]],0)))</f>
        <v>1</v>
      </c>
      <c r="CV210" s="315" t="str">
        <f>IF(INDEX(tab_MinKomp[Kalibracja / Kalibrierung],MATCH($B209,tab_MinKomp[[Stanowisko / Position ]:[Stanowisko / Position ]],0))="n/a","n/a",CV209-INDEX(tab_MinKomp[Kalibracja / Kalibrierung],MATCH($B209,tab_MinKomp[[Stanowisko / Position ]:[Stanowisko / Position ]],0)))</f>
        <v>n/a</v>
      </c>
      <c r="CW210" s="315" t="str">
        <f>IF(INDEX(tab_MinKomp[Rekwalifikacja / Requalifizierung],MATCH($B209,tab_MinKomp[[Stanowisko / Position ]:[Stanowisko / Position ]],0))="n/a","n/a",CW209-INDEX(tab_MinKomp[Rekwalifikacja / Requalifizierung],MATCH($B209,tab_MinKomp[[Stanowisko / Position ]:[Stanowisko / Position ]],0)))</f>
        <v>n/a</v>
      </c>
      <c r="CX210" s="315" t="s">
        <v>176</v>
      </c>
      <c r="CY210" s="315" t="s">
        <v>176</v>
      </c>
      <c r="CZ210" s="315" t="s">
        <v>176</v>
      </c>
      <c r="DA210" s="315" t="s">
        <v>176</v>
      </c>
      <c r="DB210" s="315" t="s">
        <v>176</v>
      </c>
      <c r="DC210" s="315" t="s">
        <v>176</v>
      </c>
      <c r="DD210" s="315" t="s">
        <v>176</v>
      </c>
      <c r="DE210" s="315" t="s">
        <v>176</v>
      </c>
      <c r="DF210" s="315" t="s">
        <v>176</v>
      </c>
      <c r="DG210" s="315" t="s">
        <v>176</v>
      </c>
      <c r="DH210" s="315" t="s">
        <v>176</v>
      </c>
      <c r="DI210" s="315" t="s">
        <v>176</v>
      </c>
      <c r="DJ210" s="315" t="s">
        <v>176</v>
      </c>
      <c r="DK210" s="315" t="s">
        <v>176</v>
      </c>
      <c r="DL210" s="315" t="s">
        <v>176</v>
      </c>
      <c r="DM210" s="315" t="s">
        <v>176</v>
      </c>
      <c r="DN210" s="315" t="s">
        <v>176</v>
      </c>
      <c r="DO210" s="315" t="s">
        <v>176</v>
      </c>
      <c r="DP210" s="315" t="s">
        <v>176</v>
      </c>
      <c r="DQ210" s="315" t="s">
        <v>176</v>
      </c>
      <c r="DR210" s="315" t="s">
        <v>176</v>
      </c>
      <c r="DS210" s="315" t="s">
        <v>176</v>
      </c>
      <c r="DT210" s="315" t="s">
        <v>176</v>
      </c>
      <c r="DU210" s="315" t="str">
        <f>IF(INDEX(tab_MinKomp[MSA i SPC],MATCH($B209,tab_MinKomp[[Stanowisko / Position ]:[Stanowisko / Position ]],0))="n/a","n/a",DU209-INDEX(tab_MinKomp[MSA i SPC],MATCH($B209,tab_MinKomp[[Stanowisko / Position ]:[Stanowisko / Position ]],0)))</f>
        <v>n/a</v>
      </c>
      <c r="DV210" s="315" t="str">
        <f>IF(INDEX(tab_MinKomp[Kontrola wejściowa komponentów/ Eingangskontrolle],MATCH($B209,tab_MinKomp[[Stanowisko / Position ]:[Stanowisko / Position ]],0))="n/a","n/a",DV209-INDEX(tab_MinKomp[Kontrola wejściowa komponentów/ Eingangskontrolle],MATCH($B209,tab_MinKomp[[Stanowisko / Position ]:[Stanowisko / Position ]],0)))</f>
        <v>n/a</v>
      </c>
      <c r="DW210" s="315" t="str">
        <f>IF(INDEX(tab_MinKomp[Kontrola wyjściowa produktu / Ausgangskontrolle],MATCH($B209,tab_MinKomp[[Stanowisko / Position ]:[Stanowisko / Position ]],0))="n/a","n/a",DW209-INDEX(tab_MinKomp[Kontrola wyjściowa produktu / Ausgangskontrolle],MATCH($B209,tab_MinKomp[[Stanowisko / Position ]:[Stanowisko / Position ]],0)))</f>
        <v>n/a</v>
      </c>
      <c r="DX210" s="315" t="str">
        <f>IF(INDEX(tab_MinKomp[Kontrola codzienna produkcji / Tägliche Produktionskontrolle],MATCH($B209,tab_MinKomp[[Stanowisko / Position ]:[Stanowisko / Position ]],0))="n/a","n/a",DX209-INDEX(tab_MinKomp[Kontrola codzienna produkcji / Tägliche Produktionskontrolle],MATCH($B209,tab_MinKomp[[Stanowisko / Position ]:[Stanowisko / Position ]],0)))</f>
        <v>n/a</v>
      </c>
      <c r="DY210" s="315" t="str">
        <f>IF(INDEX(tab_MinKomp[Konserwacja Rep],MATCH($B209,tab_MinKomp[[Stanowisko / Position ]:[Stanowisko / Position ]],0))="n/a","n/a",DY209-INDEX(tab_MinKomp[Konserwacja Rep],MATCH($B209,tab_MinKomp[[Stanowisko / Position ]:[Stanowisko / Position ]],0)))</f>
        <v>n/a</v>
      </c>
      <c r="DZ210" s="315" t="str">
        <f>IF(INDEX(tab_MinKomp[[Konserwacja Engel ]],MATCH($B209,tab_MinKomp[[Stanowisko / Position ]:[Stanowisko / Position ]],0))="n/a","n/a",DZ209-INDEX(tab_MinKomp[[Konserwacja Engel ]],MATCH($B209,tab_MinKomp[[Stanowisko / Position ]:[Stanowisko / Position ]],0)))</f>
        <v>n/a</v>
      </c>
      <c r="EA210" s="315" t="str">
        <f>IF(INDEX(tab_MinKomp[Konserwacja B 50],MATCH($B209,tab_MinKomp[[Stanowisko / Position ]:[Stanowisko / Position ]],0))="n/a","n/a",EA209-INDEX(tab_MinKomp[Konserwacja B 50],MATCH($B209,tab_MinKomp[[Stanowisko / Position ]:[Stanowisko / Position ]],0)))</f>
        <v>n/a</v>
      </c>
      <c r="EB210" s="315" t="str">
        <f>IF(INDEX(tab_MinKomp[[Konserwacja EOL ]],MATCH($B209,tab_MinKomp[[Stanowisko / Position ]:[Stanowisko / Position ]],0))="n/a","n/a",EB209-INDEX(tab_MinKomp[[Konserwacja EOL ]],MATCH($B209,tab_MinKomp[[Stanowisko / Position ]:[Stanowisko / Position ]],0)))</f>
        <v>n/a</v>
      </c>
      <c r="EC210" s="315" t="str">
        <f>IF(INDEX(tab_MinKomp[Konserwacja Branson],MATCH($B209,tab_MinKomp[[Stanowisko / Position ]:[Stanowisko / Position ]],0))="n/a","n/a",EC209-INDEX(tab_MinKomp[Konserwacja Branson],MATCH($B209,tab_MinKomp[[Stanowisko / Position ]:[Stanowisko / Position ]],0)))</f>
        <v>n/a</v>
      </c>
      <c r="ED210" s="315" t="str">
        <f>IF(INDEX(tab_MinKomp[Konserwacja coolery],MATCH($B209,tab_MinKomp[[Stanowisko / Position ]:[Stanowisko / Position ]],0))="n/a","n/a",ED209-INDEX(tab_MinKomp[Konserwacja coolery],MATCH($B209,tab_MinKomp[[Stanowisko / Position ]:[Stanowisko / Position ]],0)))</f>
        <v>n/a</v>
      </c>
      <c r="EE210" s="315" t="str">
        <f>IF(INDEX(tab_MinKomp[Konserwacja piecy],MATCH($B209,tab_MinKomp[[Stanowisko / Position ]:[Stanowisko / Position ]],0))="n/a","n/a",EE209-INDEX(tab_MinKomp[Konserwacja piecy],MATCH($B209,tab_MinKomp[[Stanowisko / Position ]:[Stanowisko / Position ]],0)))</f>
        <v>n/a</v>
      </c>
      <c r="EF210" s="315" t="str">
        <f>IF(INDEX(tab_MinKomp[Rysunek techniczny- czytanie],MATCH($B209,tab_MinKomp[[Stanowisko / Position ]:[Stanowisko / Position ]],0))="n/a","n/a",EF209-INDEX(tab_MinKomp[Rysunek techniczny- czytanie],MATCH($B209,tab_MinKomp[[Stanowisko / Position ]:[Stanowisko / Position ]],0)))</f>
        <v>n/a</v>
      </c>
      <c r="EG210" s="315" t="str">
        <f>IF(INDEX(tab_MinKomp[Elektryka],MATCH($B209,tab_MinKomp[[Stanowisko / Position ]:[Stanowisko / Position ]],0))="n/a","n/a",EG209-INDEX(tab_MinKomp[Elektryka],MATCH($B209,tab_MinKomp[[Stanowisko / Position ]:[Stanowisko / Position ]],0)))</f>
        <v>n/a</v>
      </c>
      <c r="EH210" s="315" t="str">
        <f>IF(INDEX(tab_MinKomp[Pneumatyka],MATCH($B209,tab_MinKomp[[Stanowisko / Position ]:[Stanowisko / Position ]],0))="n/a","n/a",EH209-INDEX(tab_MinKomp[Pneumatyka],MATCH($B209,tab_MinKomp[[Stanowisko / Position ]:[Stanowisko / Position ]],0)))</f>
        <v>n/a</v>
      </c>
      <c r="EI210" s="315" t="str">
        <f>IF(INDEX(tab_MinKomp[[Hydraulika ]],MATCH($B209,tab_MinKomp[[Stanowisko / Position ]:[Stanowisko / Position ]],0))="n/a","n/a",EI209-INDEX(tab_MinKomp[[Hydraulika ]],MATCH($B209,tab_MinKomp[[Stanowisko / Position ]:[Stanowisko / Position ]],0)))</f>
        <v>n/a</v>
      </c>
      <c r="EJ210" s="315" t="str">
        <f>IF(INDEX(tab_MinKomp[Podciśnienie],MATCH($B209,tab_MinKomp[[Stanowisko / Position ]:[Stanowisko / Position ]],0))="n/a","n/a",EJ209-INDEX(tab_MinKomp[Podciśnienie],MATCH($B209,tab_MinKomp[[Stanowisko / Position ]:[Stanowisko / Position ]],0)))</f>
        <v>n/a</v>
      </c>
      <c r="EK210" s="315" t="str">
        <f>IF(INDEX(tab_MinKomp[Usuwanie awarii],MATCH($B209,tab_MinKomp[[Stanowisko / Position ]:[Stanowisko / Position ]],0))="n/a","n/a",EK209-INDEX(tab_MinKomp[Usuwanie awarii],MATCH($B209,tab_MinKomp[[Stanowisko / Position ]:[Stanowisko / Position ]],0)))</f>
        <v>n/a</v>
      </c>
      <c r="EL210" s="315" t="str">
        <f>IF(INDEX(tab_MinKomp[Obsługa robotów],MATCH($B209,tab_MinKomp[[Stanowisko / Position ]:[Stanowisko / Position ]],0))="n/a","n/a",EL209-INDEX(tab_MinKomp[Obsługa robotów],MATCH($B209,tab_MinKomp[[Stanowisko / Position ]:[Stanowisko / Position ]],0)))</f>
        <v>n/a</v>
      </c>
      <c r="EM210" s="315" t="str">
        <f>IF(INDEX(tab_MinKomp[Obsługa sterowania maszyny],MATCH($B209,tab_MinKomp[[Stanowisko / Position ]:[Stanowisko / Position ]],0))="n/a","n/a",EM209-INDEX(tab_MinKomp[Obsługa sterowania maszyny],MATCH($B209,tab_MinKomp[[Stanowisko / Position ]:[Stanowisko / Position ]],0)))</f>
        <v>n/a</v>
      </c>
      <c r="EN210" s="315" t="str">
        <f>IF(INDEX(tab_MinKomp[Usuwanie przyczyn żródłowych],MATCH($B209,tab_MinKomp[[Stanowisko / Position ]:[Stanowisko / Position ]],0))="n/a","n/a",EN209-INDEX(tab_MinKomp[Usuwanie przyczyn żródłowych],MATCH($B209,tab_MinKomp[[Stanowisko / Position ]:[Stanowisko / Position ]],0)))</f>
        <v>n/a</v>
      </c>
      <c r="EO210" s="315">
        <f>IF(INDEX(tab_MinKomp[Cmms stosowanie],MATCH($B209,tab_MinKomp[[Stanowisko / Position ]:[Stanowisko / Position ]],0))="n/a","n/a",EO209-INDEX(tab_MinKomp[Cmms stosowanie],MATCH($B209,tab_MinKomp[[Stanowisko / Position ]:[Stanowisko / Position ]],0)))</f>
        <v>-1</v>
      </c>
      <c r="EP210" s="315" t="str">
        <f>IF(INDEX(tab_MinKomp[[Czyszczenie form gumowych ]],MATCH($B209,tab_MinKomp[[Stanowisko / Position ]:[Stanowisko / Position ]],0))="n/a","n/a",EP209-INDEX(tab_MinKomp[[Czyszczenie form gumowych ]],MATCH($B209,tab_MinKomp[[Stanowisko / Position ]:[Stanowisko / Position ]],0)))</f>
        <v>n/a</v>
      </c>
      <c r="EQ210" s="315" t="str">
        <f>IF(INDEX(tab_MinKomp[Czyszczenie form plastikowych],MATCH($B209,tab_MinKomp[[Stanowisko / Position ]:[Stanowisko / Position ]],0))="n/a","n/a",EQ209-INDEX(tab_MinKomp[Czyszczenie form plastikowych],MATCH($B209,tab_MinKomp[[Stanowisko / Position ]:[Stanowisko / Position ]],0)))</f>
        <v>n/a</v>
      </c>
      <c r="ER210" s="315" t="str">
        <f>IF(INDEX(tab_MinKomp[Wymiana form plastik],MATCH($B209,tab_MinKomp[[Stanowisko / Position ]:[Stanowisko / Position ]],0))="n/a","n/a",ER209-INDEX(tab_MinKomp[Wymiana form plastik],MATCH($B209,tab_MinKomp[[Stanowisko / Position ]:[Stanowisko / Position ]],0)))</f>
        <v>n/a</v>
      </c>
      <c r="ES210" s="315" t="str">
        <f>IF(INDEX(tab_MinKomp[Wymiana form guma],MATCH($B209,tab_MinKomp[[Stanowisko / Position ]:[Stanowisko / Position ]],0))="n/a","n/a",ES209-INDEX(tab_MinKomp[Wymiana form guma],MATCH($B209,tab_MinKomp[[Stanowisko / Position ]:[Stanowisko / Position ]],0)))</f>
        <v>n/a</v>
      </c>
      <c r="ET210" s="315" t="str">
        <f>IF(INDEX(tab_MinKomp[Konserwacja KK],MATCH($B209,tab_MinKomp[[Stanowisko / Position ]:[Stanowisko / Position ]],0))="n/a","n/a",ET209-INDEX(tab_MinKomp[Konserwacja KK],MATCH($B209,tab_MinKomp[[Stanowisko / Position ]:[Stanowisko / Position ]],0)))</f>
        <v>n/a</v>
      </c>
      <c r="EU210" s="315" t="str">
        <f>IF(INDEX(tab_MinKomp[Konserwacja form guma],MATCH($B209,tab_MinKomp[[Stanowisko / Position ]:[Stanowisko / Position ]],0))="n/a","n/a",EU209-INDEX(tab_MinKomp[Konserwacja form guma],MATCH($B209,tab_MinKomp[[Stanowisko / Position ]:[Stanowisko / Position ]],0)))</f>
        <v>n/a</v>
      </c>
      <c r="EV210" s="315" t="str">
        <f>IF(INDEX(tab_MinKomp[Konserwacja form plastiki],MATCH($B209,tab_MinKomp[[Stanowisko / Position ]:[Stanowisko / Position ]],0))="n/a","n/a",EV209-INDEX(tab_MinKomp[Konserwacja form plastiki],MATCH($B209,tab_MinKomp[[Stanowisko / Position ]:[Stanowisko / Position ]],0)))</f>
        <v>n/a</v>
      </c>
      <c r="EW210" s="330" t="str">
        <f>IF(INDEX(tab_MinKomp[Konserwacja form plastiki],MATCH($B209,tab_MinKomp[[Stanowisko / Position ]:[Stanowisko / Position ]],0))="n/a","n/a",EW209-INDEX(tab_MinKomp[Konserwacja form plastiki],MATCH($B209,tab_MinKomp[[Stanowisko / Position ]:[Stanowisko / Position ]],0)))</f>
        <v>n/a</v>
      </c>
      <c r="EX210" s="315" t="str">
        <f>IF(INDEX(tab_MinKomp[Konserwacja Gorącego Kanału],MATCH($B209,tab_MinKomp[[Stanowisko / Position ]:[Stanowisko / Position ]],0))="n/a","n/a",EX209-INDEX(tab_MinKomp[Konserwacja Gorącego Kanału],MATCH($B209,tab_MinKomp[[Stanowisko / Position ]:[Stanowisko / Position ]],0)))</f>
        <v>n/a</v>
      </c>
      <c r="EY210" s="315">
        <f>IF(INDEX(tab_MinKomp[MS Office (Excel)],MATCH($B209,tab_MinKomp[[Stanowisko / Position ]:[Stanowisko / Position ]],0))="n/a","n/a",EY209-INDEX(tab_MinKomp[MS Office (Excel)],MATCH($B209,tab_MinKomp[[Stanowisko / Position ]:[Stanowisko / Position ]],0)))</f>
        <v>-1</v>
      </c>
      <c r="EZ210" s="315">
        <f>IF(INDEX(tab_MinKomp[MS Office (Word)],MATCH($B209,tab_MinKomp[[Stanowisko / Position ]:[Stanowisko / Position ]],0))="n/a","n/a",EZ209-INDEX(tab_MinKomp[MS Office (Word)],MATCH($B209,tab_MinKomp[[Stanowisko / Position ]:[Stanowisko / Position ]],0)))</f>
        <v>-1</v>
      </c>
      <c r="FA210" s="315">
        <f>IF(INDEX(tab_MinKomp[MS Office (Power Point)],MATCH($B209,tab_MinKomp[[Stanowisko / Position ]:[Stanowisko / Position ]],0))="n/a","n/a",FA209-INDEX(tab_MinKomp[MS Office (Power Point)],MATCH($B209,tab_MinKomp[[Stanowisko / Position ]:[Stanowisko / Position ]],0)))</f>
        <v>-1</v>
      </c>
      <c r="FB210" s="317">
        <f>IF(INDEX(tab_MinKomp[Język angielski / Englisch],MATCH($B209,tab_MinKomp[[Stanowisko / Position ]:[Stanowisko / Position ]],0))="n/a","n/a",FB209-INDEX(tab_MinKomp[Język angielski / Englisch],MATCH($B209,tab_MinKomp[[Stanowisko / Position ]:[Stanowisko / Position ]],0)))</f>
        <v>1</v>
      </c>
      <c r="FC210" s="315" t="str">
        <f>IF(INDEX(tab_MinKomp[Konserwacja Gorącego Kanału],MATCH($B209,tab_MinKomp[[Stanowisko / Position ]:[Stanowisko / Position ]],0))="n/a","n/a",FC209-INDEX(tab_MinKomp[Konserwacja Gorącego Kanału],MATCH($B209,tab_MinKomp[[Stanowisko / Position ]:[Stanowisko / Position ]],0)))</f>
        <v>n/a</v>
      </c>
      <c r="FD210" s="315">
        <f>IF(INDEX(tab_MinKomp[Zarządzanie dokumentacją procesową / Process dokumentation management],MATCH($B209,tab_MinKomp[[Stanowisko / Position ]:[Stanowisko / Position ]],0))="n/a","n/a",FD209-INDEX(tab_MinKomp[Zarządzanie dokumentacją procesową / Process dokumentation management],MATCH($B209,tab_MinKomp[[Stanowisko / Position ]:[Stanowisko / Position ]],0)))</f>
        <v>-2</v>
      </c>
      <c r="FE210" s="315">
        <f>IF(INDEX(tab_MinKomp[Znajomość procesów z obszaru / Kenntiss der prozesse in dem Bereich],MATCH($B209,tab_MinKomp[[Stanowisko / Position ]:[Stanowisko / Position ]],0))="n/a","n/a",FE209-INDEX(tab_MinKomp[Znajomość procesów z obszaru / Kenntiss der prozesse in dem Bereich],MATCH($B209,tab_MinKomp[[Stanowisko / Position ]:[Stanowisko / Position ]],0)))</f>
        <v>-2</v>
      </c>
      <c r="FF210" s="315">
        <f>IF(INDEX(tab_MinKomp[optymalizacja procesów / Prozessoptymalisierung],MATCH($B209,tab_MinKomp[[Stanowisko / Position ]:[Stanowisko / Position ]],0))="n/a","n/a",FF209-INDEX(tab_MinKomp[optymalizacja procesów / Prozessoptymalisierung],MATCH($B209,tab_MinKomp[[Stanowisko / Position ]:[Stanowisko / Position ]],0)))</f>
        <v>-2</v>
      </c>
      <c r="FG210" s="315">
        <f>IF(INDEX(tab_MinKomp[Umiejętności szkoleniowe / Trainingsfähigkeiten],MATCH($B209,tab_MinKomp[[Stanowisko / Position ]:[Stanowisko / Position ]],0))="n/a","n/a",FG209-INDEX(tab_MinKomp[Umiejętności szkoleniowe / Trainingsfähigkeiten],MATCH($B209,tab_MinKomp[[Stanowisko / Position ]:[Stanowisko / Position ]],0)))</f>
        <v>-2</v>
      </c>
      <c r="FH210" s="315">
        <f>IF(INDEX(tab_MinKomp[Analityczne myślenie, podejście / Analitysches Denken, Einstellung],MATCH($B209,tab_MinKomp[[Stanowisko / Position ]:[Stanowisko / Position ]],0))="n/a","n/a",FH209-INDEX(tab_MinKomp[Analityczne myślenie, podejście / Analitysches Denken, Einstellung],MATCH($B209,tab_MinKomp[[Stanowisko / Position ]:[Stanowisko / Position ]],0)))</f>
        <v>-2</v>
      </c>
      <c r="FI210" s="315">
        <f>IF(INDEX(tab_MinKomp[Dokładność, precyzja w dzialaniu / Genauigkeit, Präzision in die Arbeit],MATCH($B209,tab_MinKomp[[Stanowisko / Position ]:[Stanowisko / Position ]],0))="n/a","n/a",FI209-INDEX(tab_MinKomp[Dokładność, precyzja w dzialaniu / Genauigkeit, Präzision in die Arbeit],MATCH($B209,tab_MinKomp[[Stanowisko / Position ]:[Stanowisko / Position ]],0)))</f>
        <v>-2</v>
      </c>
      <c r="FJ210" s="315">
        <f>IF(INDEX(tab_MinKomp[Dyspozycyjność / Verfügbarkeit],MATCH($B209,tab_MinKomp[[Stanowisko / Position ]:[Stanowisko / Position ]],0))="n/a","n/a",FJ209-INDEX(tab_MinKomp[Dyspozycyjność / Verfügbarkeit],MATCH($B209,tab_MinKomp[[Stanowisko / Position ]:[Stanowisko / Position ]],0)))</f>
        <v>0</v>
      </c>
      <c r="FK210" s="315">
        <f>IF(INDEX(tab_MinKomp[Zaangażowanie / 
Engagement],MATCH($B209,tab_MinKomp[[Stanowisko / Position ]:[Stanowisko / Position ]],0))="n/a","n/a",FK209-INDEX(tab_MinKomp[Zaangażowanie / 
Engagement],MATCH($B209,tab_MinKomp[[Stanowisko / Position ]:[Stanowisko / Position ]],0)))</f>
        <v>-1</v>
      </c>
      <c r="FL210" s="315">
        <f>IF(INDEX(tab_MinKomp[Planowanie strategiczne / Strategische Planung],MATCH($B209,tab_MinKomp[[Stanowisko / Position ]:[Stanowisko / Position ]],0))="n/a","n/a",FL209-INDEX(tab_MinKomp[Planowanie strategiczne / Strategische Planung],MATCH($B209,tab_MinKomp[[Stanowisko / Position ]:[Stanowisko / Position ]],0)))</f>
        <v>-2</v>
      </c>
      <c r="FM210" s="315">
        <f>IF(INDEX(tab_MinKomp[Konsekwentne i dynamiczne działanie],MATCH($B209,tab_MinKomp[[Stanowisko / Position ]:[Stanowisko / Position ]],0))="n/a","n/a",FM209-INDEX(tab_MinKomp[Konsekwentne i dynamiczne działanie],MATCH($B209,tab_MinKomp[[Stanowisko / Position ]:[Stanowisko / Position ]],0)))</f>
        <v>-2</v>
      </c>
      <c r="FN210" s="315">
        <f>IF(INDEX(tab_MinKomp[Elastyczność w działaniu],MATCH($B209,tab_MinKomp[[Stanowisko / Position ]:[Stanowisko / Position ]],0))="n/a","n/a",FN209-INDEX(tab_MinKomp[Elastyczność w działaniu],MATCH($B209,tab_MinKomp[[Stanowisko / Position ]:[Stanowisko / Position ]],0)))</f>
        <v>-2</v>
      </c>
      <c r="FO210" s="315">
        <f>IF(INDEX(tab_MinKomp[Komunikatywność],MATCH($B209,tab_MinKomp[[Stanowisko / Position ]:[Stanowisko / Position ]],0))="n/a","n/a",FO209-INDEX(tab_MinKomp[Komunikatywność],MATCH($B209,tab_MinKomp[[Stanowisko / Position ]:[Stanowisko / Position ]],0)))</f>
        <v>-1</v>
      </c>
      <c r="FP210" s="314">
        <f>IF(INDEX(tab_MinKomp[Motywowanie i budowanie zaangażowania zespołu],MATCH($B209,tab_MinKomp[[Stanowisko / Position ]:[Stanowisko / Position ]],0))="n/a","n/a",FP209-INDEX(tab_MinKomp[Motywowanie i budowanie zaangażowania zespołu],MATCH($B209,tab_MinKomp[[Stanowisko / Position ]:[Stanowisko / Position ]],0)))</f>
        <v>-2</v>
      </c>
      <c r="FQ210" s="318" t="str">
        <f>IFERROR(IF(INDEX(tab_MinKomp[BRAK / Keine],MATCH($B209,tab_MinKomp[[Stanowisko / Position ]:[Stanowisko / Position ]],0))="n/a","n/a",INDEX(tab_MinKomp[BRAK / Keine],MATCH($B209,tab_MinKomp[[Stanowisko / Position ]:[Stanowisko / Position ]],0))-FQ209),"")</f>
        <v>n/a</v>
      </c>
      <c r="FR210" s="315" t="str">
        <f>IF(INDEX(tab_MinKomp[MINIMUM 1 ROK / min. 1 Jahr],MATCH($B209,tab_MinKomp[[Stanowisko / Position ]:[Stanowisko / Position ]],0))="n/a","n/a",INDEX(tab_MinKomp[MINIMUM 1 ROK / min. 1 Jahr],MATCH($B209,tab_MinKomp[[Stanowisko / Position ]:[Stanowisko / Position ]],0)))</f>
        <v>n/a</v>
      </c>
      <c r="FS210" s="315" t="str">
        <f>IF(INDEX(tab_MinKomp[MINIMUM 2 LATA / min. 2 Jahre],MATCH($B209,tab_MinKomp[[Stanowisko / Position ]:[Stanowisko / Position ]],0))="n/a","n/a",INDEX(tab_MinKomp[MINIMUM 2 LATA / min. 2 Jahre],MATCH($B209,tab_MinKomp[[Stanowisko / Position ]:[Stanowisko / Position ]],0)))</f>
        <v>X</v>
      </c>
      <c r="FT210" s="315" t="str">
        <f>IF(INDEX(tab_MinKomp[MINIMUM 3 LATA / min. 3 Jahre],MATCH($B209,tab_MinKomp[[Stanowisko / Position ]:[Stanowisko / Position ]],0))="n/a","n/a",INDEX(tab_MinKomp[MINIMUM 3 LATA / min. 3 Jahre],MATCH($B209,tab_MinKomp[[Stanowisko / Position ]:[Stanowisko / Position ]],0)))</f>
        <v>n/a</v>
      </c>
      <c r="FU210" s="315" t="str">
        <f>IF(INDEX(tab_MinKomp[MINIMUM 4 LATA / min. 4 Jahre],MATCH($B209,tab_MinKomp[[Stanowisko / Position ]:[Stanowisko / Position ]],0))="n/a","n/a",INDEX(tab_MinKomp[MINIMUM 4 LATA / min. 4 Jahre],MATCH($B209,tab_MinKomp[[Stanowisko / Position ]:[Stanowisko / Position ]],0)))</f>
        <v>n/a</v>
      </c>
      <c r="FV210" s="319" t="str">
        <f>IF(INDEX(tab_MinKomp[MINIMUM 5 LAT / min. 5 Jahre],MATCH($B209,tab_MinKomp[[Stanowisko / Position ]:[Stanowisko / Position ]],0))="n/a","n/a",INDEX(tab_MinKomp[MINIMUM 5 LAT / min. 5 Jahre],MATCH($B209,tab_MinKomp[[Stanowisko / Position ]:[Stanowisko / Position ]],0)))</f>
        <v>n/a</v>
      </c>
      <c r="FW210" s="318" t="str">
        <f>IF(INDEX(tab_MinKomp[BRAK / Keine9],MATCH($B209,tab_MinKomp[[Stanowisko / Position ]:[Stanowisko / Position ]],0))="n/a","n/a",INDEX(tab_MinKomp[BRAK / Keine9],MATCH($B209,tab_MinKomp[[Stanowisko / Position ]:[Stanowisko / Position ]],0)))</f>
        <v>n/a</v>
      </c>
      <c r="FX210" s="315" t="str">
        <f>IF(INDEX(tab_MinKomp[ZAWODOWE / Berufsausbildung],MATCH($B209,tab_MinKomp[[Stanowisko / Position ]:[Stanowisko / Position ]],0))="n/a","n/a",INDEX(tab_MinKomp[ZAWODOWE / Berufsausbildung],MATCH($B209,tab_MinKomp[[Stanowisko / Position ]:[Stanowisko / Position ]],0)))</f>
        <v>n/a</v>
      </c>
      <c r="FY210" s="315" t="str">
        <f>IF(INDEX(tab_MinKomp[ŚREDNIE OGÓLNE / Abitur allgemeine],MATCH($B209,tab_MinKomp[[Stanowisko / Position ]:[Stanowisko / Position ]],0))="n/a","n/a",INDEX(tab_MinKomp[ŚREDNIE OGÓLNE / Abitur allgemeine],MATCH($B209,tab_MinKomp[[Stanowisko / Position ]:[Stanowisko / Position ]],0)))</f>
        <v>X</v>
      </c>
      <c r="FZ210" s="315" t="str">
        <f>IF(INDEX(tab_MinKomp[ŚREDNIE KIERUNKOWE / berufliches Gymnasium],MATCH($B209,tab_MinKomp[[Stanowisko / Position ]:[Stanowisko / Position ]],0))="n/a","n/a",INDEX(tab_MinKomp[ŚREDNIE KIERUNKOWE / berufliches Gymnasium],MATCH($B209,tab_MinKomp[[Stanowisko / Position ]:[Stanowisko / Position ]],0)))</f>
        <v>n/a</v>
      </c>
      <c r="GA210" s="315" t="str">
        <f>IF(INDEX(tab_MinKomp[WYŻSZE OGÓLNE / Hochschule allgemeine],MATCH($B209,tab_MinKomp[[Stanowisko / Position ]:[Stanowisko / Position ]],0))="n/a","n/a",INDEX(tab_MinKomp[WYŻSZE OGÓLNE / Hochschule allgemeine],MATCH($B209,tab_MinKomp[[Stanowisko / Position ]:[Stanowisko / Position ]],0)))</f>
        <v>n/a</v>
      </c>
      <c r="GB210" s="319" t="str">
        <f>IF(INDEX(tab_MinKomp[WYŻSZE KIERUNKOWE / Hochschule berufliche],MATCH($B209,tab_MinKomp[[Stanowisko / Position ]:[Stanowisko / Position ]],0))="n/a","n/a",INDEX(tab_MinKomp[WYŻSZE KIERUNKOWE / Hochschule berufliche],MATCH($B209,tab_MinKomp[[Stanowisko / Position ]:[Stanowisko / Position ]],0)))</f>
        <v>n/a</v>
      </c>
      <c r="GC210" s="308" t="s">
        <v>160</v>
      </c>
      <c r="GD210" s="315" t="str">
        <f>IF(INDEX(tab_MinKomp[Specjalista BHP / BHP Spezialist],MATCH($B209,tab_MinKomp[[Stanowisko / Position ]:[Stanowisko / Position ]],0))="n/a","n/a",INDEX(tab_MinKomp[Specjalista BHP / BHP Spezialist],MATCH($B209,tab_MinKomp[[Stanowisko / Position ]:[Stanowisko / Position ]],0)))</f>
        <v>n/a</v>
      </c>
      <c r="GE210" s="315" t="str">
        <f>IF(INDEX(tab_MinKomp[Inspektor ochrony PPOŻ / Brandschutzinspektor],MATCH($B209,tab_MinKomp[[Stanowisko / Position ]:[Stanowisko / Position ]],0))="n/a","n/a",INDEX(tab_MinKomp[Inspektor ochrony PPOŻ / Brandschutzinspektor],MATCH($B209,tab_MinKomp[[Stanowisko / Position ]:[Stanowisko / Position ]],0)))</f>
        <v>n/a</v>
      </c>
      <c r="GF210" s="315" t="s">
        <v>160</v>
      </c>
      <c r="GG210" s="315" t="str">
        <f>IF(INDEX(tab_MinKomp[SEP],MATCH($B209,tab_MinKomp[[Stanowisko / Position ]:[Stanowisko / Position ]],0))="n/a","n/a",INDEX(tab_MinKomp[SEP],MATCH($B209,tab_MinKomp[[Stanowisko / Position ]:[Stanowisko / Position ]],0)))</f>
        <v>n/a</v>
      </c>
      <c r="GH210" s="315" t="str">
        <f>IF(INDEX(tab_MinKomp[SEP  DOZÓR / SEP Aufsicht],MATCH($B209,tab_MinKomp[[Stanowisko / Position ]:[Stanowisko / Position ]],0))="n/a","n/a",INDEX(tab_MinKomp[SEP  DOZÓR / SEP Aufsicht],MATCH($B209,tab_MinKomp[[Stanowisko / Position ]:[Stanowisko / Position ]],0)))</f>
        <v>n/a</v>
      </c>
      <c r="GI210" s="315" t="str">
        <f>IF(INDEX(tab_MinKomp[PODNOŚNIKI / Hebevorrichtung],MATCH($B209,tab_MinKomp[[Stanowisko / Position ]:[Stanowisko / Position ]],0))="n/a","n/a",INDEX(tab_MinKomp[PODNOŚNIKI / Hebevorrichtung],MATCH($B209,tab_MinKomp[[Stanowisko / Position ]:[Stanowisko / Position ]],0)))</f>
        <v>n/a</v>
      </c>
      <c r="GJ210" s="315" t="str">
        <f>IF(INDEX(tab_MinKomp[SUWNICE / Laufkran],MATCH($B209,tab_MinKomp[[Stanowisko / Position ]:[Stanowisko / Position ]],0))="n/a","n/a",INDEX(tab_MinKomp[SUWNICE / Laufkran],MATCH($B209,tab_MinKomp[[Stanowisko / Position ]:[Stanowisko / Position ]],0)))</f>
        <v>n/a</v>
      </c>
      <c r="GK210" s="319" t="str">
        <f>IF(INDEX(tab_MinKomp[WYSOKOŚCIOWE / Höhenberechtigungen],MATCH($B209,tab_MinKomp[[Stanowisko / Position ]:[Stanowisko / Position ]],0))="n/a","n/a",INDEX(tab_MinKomp[WYSOKOŚCIOWE / Höhenberechtigungen],MATCH($B209,tab_MinKomp[[Stanowisko / Position ]:[Stanowisko / Position ]],0)))</f>
        <v>n/a</v>
      </c>
      <c r="GL210" s="320">
        <f>SUM(G210:FP210)/(GL209-(SUM(G210:FP210)))</f>
        <v>-0.30508474576271188</v>
      </c>
      <c r="GM210" s="132"/>
    </row>
    <row r="211" spans="1:195" s="133" customFormat="1" ht="28.35" customHeight="1" x14ac:dyDescent="0.25">
      <c r="A211" s="152" t="s">
        <v>227</v>
      </c>
      <c r="B211" s="152" t="s">
        <v>573</v>
      </c>
      <c r="C211" s="135" t="s">
        <v>766</v>
      </c>
      <c r="D211" s="152">
        <v>13</v>
      </c>
      <c r="E211" s="563" t="s">
        <v>239</v>
      </c>
      <c r="F211" s="307" t="s">
        <v>165</v>
      </c>
      <c r="G211" s="308">
        <v>2</v>
      </c>
      <c r="H211" s="308">
        <v>2</v>
      </c>
      <c r="I211" s="308">
        <v>2</v>
      </c>
      <c r="J211" s="308">
        <v>2</v>
      </c>
      <c r="K211" s="308">
        <v>2</v>
      </c>
      <c r="L211" s="308">
        <v>2</v>
      </c>
      <c r="M211" s="308" t="s">
        <v>176</v>
      </c>
      <c r="N211" s="308" t="s">
        <v>176</v>
      </c>
      <c r="O211" s="308">
        <v>2</v>
      </c>
      <c r="P211" s="308">
        <v>2</v>
      </c>
      <c r="Q211" s="308" t="s">
        <v>176</v>
      </c>
      <c r="R211" s="308" t="s">
        <v>176</v>
      </c>
      <c r="S211" s="308">
        <v>2</v>
      </c>
      <c r="T211" s="308">
        <v>2</v>
      </c>
      <c r="U211" s="308" t="s">
        <v>176</v>
      </c>
      <c r="V211" s="308" t="s">
        <v>176</v>
      </c>
      <c r="W211" s="308" t="s">
        <v>176</v>
      </c>
      <c r="X211" s="308" t="s">
        <v>176</v>
      </c>
      <c r="Y211" s="308" t="s">
        <v>176</v>
      </c>
      <c r="Z211" s="308" t="s">
        <v>176</v>
      </c>
      <c r="AA211" s="308" t="s">
        <v>176</v>
      </c>
      <c r="AB211" s="308">
        <v>2</v>
      </c>
      <c r="AC211" s="308">
        <v>1</v>
      </c>
      <c r="AD211" s="308">
        <v>1</v>
      </c>
      <c r="AE211" s="308">
        <v>1</v>
      </c>
      <c r="AF211" s="308">
        <v>1</v>
      </c>
      <c r="AG211" s="308">
        <v>1</v>
      </c>
      <c r="AH211" s="308">
        <v>1</v>
      </c>
      <c r="AI211" s="308" t="s">
        <v>176</v>
      </c>
      <c r="AJ211" s="308">
        <v>1</v>
      </c>
      <c r="AK211" s="308">
        <v>1</v>
      </c>
      <c r="AL211" s="308">
        <v>3</v>
      </c>
      <c r="AM211" s="308">
        <v>1</v>
      </c>
      <c r="AN211" s="308" t="s">
        <v>176</v>
      </c>
      <c r="AO211" s="308">
        <v>2</v>
      </c>
      <c r="AP211" s="308">
        <v>2</v>
      </c>
      <c r="AQ211" s="308">
        <v>2</v>
      </c>
      <c r="AR211" s="308" t="s">
        <v>176</v>
      </c>
      <c r="AS211" s="308">
        <v>2</v>
      </c>
      <c r="AT211" s="308">
        <v>2</v>
      </c>
      <c r="AU211" s="308">
        <v>2</v>
      </c>
      <c r="AV211" s="308">
        <v>3</v>
      </c>
      <c r="AW211" s="308">
        <v>3</v>
      </c>
      <c r="AX211" s="308">
        <v>3</v>
      </c>
      <c r="AY211" s="308">
        <v>1</v>
      </c>
      <c r="AZ211" s="308" t="s">
        <v>176</v>
      </c>
      <c r="BA211" s="308" t="s">
        <v>176</v>
      </c>
      <c r="BB211" s="308" t="s">
        <v>176</v>
      </c>
      <c r="BC211" s="308">
        <v>2</v>
      </c>
      <c r="BD211" s="308" t="s">
        <v>176</v>
      </c>
      <c r="BE211" s="308" t="s">
        <v>176</v>
      </c>
      <c r="BF211" s="308" t="s">
        <v>176</v>
      </c>
      <c r="BG211" s="308" t="s">
        <v>176</v>
      </c>
      <c r="BH211" s="308" t="s">
        <v>176</v>
      </c>
      <c r="BI211" s="308" t="s">
        <v>176</v>
      </c>
      <c r="BJ211" s="308" t="s">
        <v>176</v>
      </c>
      <c r="BK211" s="308" t="s">
        <v>176</v>
      </c>
      <c r="BL211" s="308" t="s">
        <v>176</v>
      </c>
      <c r="BM211" s="308">
        <v>2</v>
      </c>
      <c r="BN211" s="308">
        <v>2</v>
      </c>
      <c r="BO211" s="308">
        <v>2</v>
      </c>
      <c r="BP211" s="308">
        <v>2</v>
      </c>
      <c r="BQ211" s="308">
        <v>2</v>
      </c>
      <c r="BR211" s="308">
        <v>2</v>
      </c>
      <c r="BS211" s="308">
        <v>2</v>
      </c>
      <c r="BT211" s="308">
        <v>2</v>
      </c>
      <c r="BU211" s="308">
        <v>2</v>
      </c>
      <c r="BV211" s="308">
        <v>2</v>
      </c>
      <c r="BW211" s="308" t="s">
        <v>176</v>
      </c>
      <c r="BX211" s="308" t="s">
        <v>176</v>
      </c>
      <c r="BY211" s="308" t="s">
        <v>176</v>
      </c>
      <c r="BZ211" s="308" t="s">
        <v>176</v>
      </c>
      <c r="CA211" s="308" t="s">
        <v>176</v>
      </c>
      <c r="CB211" s="308" t="s">
        <v>176</v>
      </c>
      <c r="CC211" s="308" t="s">
        <v>176</v>
      </c>
      <c r="CD211" s="308" t="s">
        <v>176</v>
      </c>
      <c r="CE211" s="308" t="s">
        <v>176</v>
      </c>
      <c r="CF211" s="308" t="s">
        <v>176</v>
      </c>
      <c r="CG211" s="308">
        <v>2</v>
      </c>
      <c r="CH211" s="308" t="s">
        <v>176</v>
      </c>
      <c r="CI211" s="308">
        <v>2</v>
      </c>
      <c r="CJ211" s="308">
        <v>2</v>
      </c>
      <c r="CK211" s="308" t="s">
        <v>176</v>
      </c>
      <c r="CL211" s="308" t="s">
        <v>176</v>
      </c>
      <c r="CM211" s="308">
        <v>2</v>
      </c>
      <c r="CN211" s="308">
        <v>2</v>
      </c>
      <c r="CO211" s="308">
        <v>3</v>
      </c>
      <c r="CP211" s="308">
        <v>3</v>
      </c>
      <c r="CQ211" s="308">
        <v>2</v>
      </c>
      <c r="CR211" s="308">
        <v>1</v>
      </c>
      <c r="CS211" s="308">
        <v>1</v>
      </c>
      <c r="CT211" s="308">
        <v>1</v>
      </c>
      <c r="CU211" s="308">
        <v>2</v>
      </c>
      <c r="CV211" s="308" t="s">
        <v>176</v>
      </c>
      <c r="CW211" s="308" t="s">
        <v>176</v>
      </c>
      <c r="CX211" s="308" t="s">
        <v>176</v>
      </c>
      <c r="CY211" s="308" t="s">
        <v>176</v>
      </c>
      <c r="CZ211" s="308" t="s">
        <v>176</v>
      </c>
      <c r="DA211" s="308" t="s">
        <v>176</v>
      </c>
      <c r="DB211" s="308" t="s">
        <v>176</v>
      </c>
      <c r="DC211" s="308" t="s">
        <v>176</v>
      </c>
      <c r="DD211" s="308" t="s">
        <v>176</v>
      </c>
      <c r="DE211" s="308" t="s">
        <v>176</v>
      </c>
      <c r="DF211" s="308" t="s">
        <v>176</v>
      </c>
      <c r="DG211" s="308" t="s">
        <v>176</v>
      </c>
      <c r="DH211" s="308" t="s">
        <v>176</v>
      </c>
      <c r="DI211" s="308" t="s">
        <v>176</v>
      </c>
      <c r="DJ211" s="308" t="s">
        <v>176</v>
      </c>
      <c r="DK211" s="308" t="s">
        <v>176</v>
      </c>
      <c r="DL211" s="308" t="s">
        <v>176</v>
      </c>
      <c r="DM211" s="308" t="s">
        <v>176</v>
      </c>
      <c r="DN211" s="308" t="s">
        <v>176</v>
      </c>
      <c r="DO211" s="308" t="s">
        <v>176</v>
      </c>
      <c r="DP211" s="308" t="s">
        <v>176</v>
      </c>
      <c r="DQ211" s="308" t="s">
        <v>176</v>
      </c>
      <c r="DR211" s="308" t="s">
        <v>176</v>
      </c>
      <c r="DS211" s="308" t="s">
        <v>176</v>
      </c>
      <c r="DT211" s="308" t="s">
        <v>176</v>
      </c>
      <c r="DU211" s="308" t="s">
        <v>176</v>
      </c>
      <c r="DV211" s="308" t="s">
        <v>176</v>
      </c>
      <c r="DW211" s="308" t="s">
        <v>176</v>
      </c>
      <c r="DX211" s="308" t="s">
        <v>176</v>
      </c>
      <c r="DY211" s="308" t="s">
        <v>176</v>
      </c>
      <c r="DZ211" s="308" t="s">
        <v>176</v>
      </c>
      <c r="EA211" s="308" t="s">
        <v>176</v>
      </c>
      <c r="EB211" s="308" t="s">
        <v>176</v>
      </c>
      <c r="EC211" s="308" t="s">
        <v>176</v>
      </c>
      <c r="ED211" s="308" t="s">
        <v>176</v>
      </c>
      <c r="EE211" s="308" t="s">
        <v>176</v>
      </c>
      <c r="EF211" s="308" t="s">
        <v>176</v>
      </c>
      <c r="EG211" s="308" t="s">
        <v>176</v>
      </c>
      <c r="EH211" s="308" t="s">
        <v>176</v>
      </c>
      <c r="EI211" s="308" t="s">
        <v>176</v>
      </c>
      <c r="EJ211" s="308" t="s">
        <v>176</v>
      </c>
      <c r="EK211" s="308" t="s">
        <v>176</v>
      </c>
      <c r="EL211" s="308" t="s">
        <v>176</v>
      </c>
      <c r="EM211" s="308" t="s">
        <v>176</v>
      </c>
      <c r="EN211" s="308" t="s">
        <v>176</v>
      </c>
      <c r="EO211" s="308" t="s">
        <v>176</v>
      </c>
      <c r="EP211" s="308" t="s">
        <v>176</v>
      </c>
      <c r="EQ211" s="308" t="s">
        <v>176</v>
      </c>
      <c r="ER211" s="308" t="s">
        <v>176</v>
      </c>
      <c r="ES211" s="308" t="s">
        <v>176</v>
      </c>
      <c r="ET211" s="308" t="s">
        <v>176</v>
      </c>
      <c r="EU211" s="308" t="s">
        <v>176</v>
      </c>
      <c r="EV211" s="308" t="s">
        <v>176</v>
      </c>
      <c r="EW211" s="308" t="s">
        <v>176</v>
      </c>
      <c r="EX211" s="308" t="s">
        <v>176</v>
      </c>
      <c r="EY211" s="308">
        <v>2</v>
      </c>
      <c r="EZ211" s="308">
        <v>2</v>
      </c>
      <c r="FA211" s="308">
        <v>2</v>
      </c>
      <c r="FB211" s="308">
        <v>2</v>
      </c>
      <c r="FC211" s="308" t="s">
        <v>176</v>
      </c>
      <c r="FD211" s="308">
        <v>3</v>
      </c>
      <c r="FE211" s="308">
        <v>3</v>
      </c>
      <c r="FF211" s="308">
        <v>3</v>
      </c>
      <c r="FG211" s="308">
        <v>3</v>
      </c>
      <c r="FH211" s="308">
        <v>3</v>
      </c>
      <c r="FI211" s="308">
        <v>3</v>
      </c>
      <c r="FJ211" s="308">
        <v>3</v>
      </c>
      <c r="FK211" s="308">
        <v>3</v>
      </c>
      <c r="FL211" s="308">
        <v>3</v>
      </c>
      <c r="FM211" s="308">
        <v>3</v>
      </c>
      <c r="FN211" s="308">
        <v>3</v>
      </c>
      <c r="FO211" s="308">
        <v>1</v>
      </c>
      <c r="FP211" s="308">
        <v>1</v>
      </c>
      <c r="FQ211" s="308" t="s">
        <v>176</v>
      </c>
      <c r="FR211" s="308" t="s">
        <v>176</v>
      </c>
      <c r="FS211" s="308" t="s">
        <v>160</v>
      </c>
      <c r="FT211" s="308" t="s">
        <v>176</v>
      </c>
      <c r="FU211" s="308" t="s">
        <v>176</v>
      </c>
      <c r="FV211" s="308" t="s">
        <v>176</v>
      </c>
      <c r="FW211" s="308" t="s">
        <v>176</v>
      </c>
      <c r="FX211" s="308" t="s">
        <v>160</v>
      </c>
      <c r="FY211" s="308" t="s">
        <v>176</v>
      </c>
      <c r="FZ211" s="308" t="s">
        <v>176</v>
      </c>
      <c r="GA211" s="308" t="s">
        <v>176</v>
      </c>
      <c r="GB211" s="308" t="s">
        <v>176</v>
      </c>
      <c r="GC211" s="308" t="s">
        <v>176</v>
      </c>
      <c r="GD211" s="308" t="s">
        <v>176</v>
      </c>
      <c r="GE211" s="308" t="s">
        <v>176</v>
      </c>
      <c r="GF211" s="308" t="s">
        <v>176</v>
      </c>
      <c r="GG211" s="308" t="s">
        <v>176</v>
      </c>
      <c r="GH211" s="308" t="s">
        <v>176</v>
      </c>
      <c r="GI211" s="308" t="s">
        <v>176</v>
      </c>
      <c r="GJ211" s="308" t="s">
        <v>176</v>
      </c>
      <c r="GK211" s="308" t="s">
        <v>176</v>
      </c>
      <c r="GL211" s="311">
        <f>SUM(G211:GK211)</f>
        <v>144</v>
      </c>
      <c r="GM211" s="132"/>
    </row>
    <row r="212" spans="1:195" s="133" customFormat="1" ht="28.35" customHeight="1" thickBot="1" x14ac:dyDescent="0.3">
      <c r="A212" s="152" t="s">
        <v>227</v>
      </c>
      <c r="B212" s="152" t="s">
        <v>573</v>
      </c>
      <c r="C212" s="135" t="s">
        <v>766</v>
      </c>
      <c r="D212" s="152">
        <v>13</v>
      </c>
      <c r="E212" s="564"/>
      <c r="F212" s="312" t="s">
        <v>166</v>
      </c>
      <c r="G212" s="313">
        <f>IF(INDEX(tab_MinKomp[Przepisy BHP / BHP Vorschriften],MATCH($B211,tab_MinKomp[[Stanowisko / Position ]:[Stanowisko / Position ]],0))="n/a","n/a",G211-INDEX(tab_MinKomp[Przepisy BHP / BHP Vorschriften],MATCH($B211,tab_MinKomp[[Stanowisko / Position ]:[Stanowisko / Position ]],0)))</f>
        <v>0</v>
      </c>
      <c r="H212" s="313">
        <f>IF(INDEX(tab_MinKomp[Przepisy PPOŻ / Brandschutzbestimmungen],MATCH($B211,tab_MinKomp[[Stanowisko / Position ]:[Stanowisko / Position ]],0))="n/a","n/a",H211-INDEX(tab_MinKomp[Przepisy PPOŻ / Brandschutzbestimmungen],MATCH($B211,tab_MinKomp[[Stanowisko / Position ]:[Stanowisko / Position ]],0)))</f>
        <v>0</v>
      </c>
      <c r="I212" s="313">
        <f>IF(INDEX(tab_MinKomp[Ryzyko zawodowe na stanowiskach pracyv/ Berufliche Risiken an Arbeitsstellen],MATCH($B211,tab_MinKomp[[Stanowisko / Position ]:[Stanowisko / Position ]],0))="n/a","n/a",I211-INDEX(tab_MinKomp[Ryzyko zawodowe na stanowiskach pracyv/ Berufliche Risiken an Arbeitsstellen],MATCH($B211,tab_MinKomp[[Stanowisko / Position ]:[Stanowisko / Position ]],0)))</f>
        <v>-1</v>
      </c>
      <c r="J212" s="313">
        <f>IF(INDEX(tab_MinKomp[Gospodarka substancjami niebezpiecznymi / Gefahrstoffmanagement],MATCH($B211,tab_MinKomp[[Stanowisko / Position ]:[Stanowisko / Position ]],0))="n/a","n/a",J211-INDEX(tab_MinKomp[Gospodarka substancjami niebezpiecznymi / Gefahrstoffmanagement],MATCH($B211,tab_MinKomp[[Stanowisko / Position ]:[Stanowisko / Position ]],0)))</f>
        <v>0</v>
      </c>
      <c r="K212" s="313">
        <f>IF(INDEX(tab_MinKomp[Gospodarka odpadami / Abfallwirtschaft],MATCH($B211,tab_MinKomp[[Stanowisko / Position ]:[Stanowisko / Position ]],0))="n/a","n/a",K211-INDEX(tab_MinKomp[Gospodarka odpadami / Abfallwirtschaft],MATCH($B211,tab_MinKomp[[Stanowisko / Position ]:[Stanowisko / Position ]],0)))</f>
        <v>0</v>
      </c>
      <c r="L212" s="313">
        <f>IF(INDEX(tab_MinKomp[Przepisy kodeksu pracy / Bestimmungen des Arbeitsgesetzes],MATCH($B211,tab_MinKomp[[Stanowisko / Position ]:[Stanowisko / Position ]],0))="n/a","n/a",L211-INDEX(tab_MinKomp[Przepisy kodeksu pracy / Bestimmungen des Arbeitsgesetzes],MATCH($B211,tab_MinKomp[[Stanowisko / Position ]:[Stanowisko / Position ]],0)))</f>
        <v>1</v>
      </c>
      <c r="M212" s="313" t="str">
        <f>IF(INDEX(tab_MinKomp[Przepisy o ub.społ. ZUS  / Sozialversicherungsvorschriften],MATCH($B211,tab_MinKomp[[Stanowisko / Position ]:[Stanowisko / Position ]],0))="n/a","n/a",M211-INDEX(tab_MinKomp[Przepisy o ub.społ. ZUS  / Sozialversicherungsvorschriften],MATCH($B211,tab_MinKomp[[Stanowisko / Position ]:[Stanowisko / Position ]],0)))</f>
        <v>n/a</v>
      </c>
      <c r="N212" s="313" t="str">
        <f>IF(INDEX(tab_MinKomp[PRZEPISY O PDOF /persönlich Einkommensteuergesetz ],MATCH($B211,tab_MinKomp[[Stanowisko / Position ]:[Stanowisko / Position ]],0))="n/a","n/a",N211-INDEX(tab_MinKomp[PRZEPISY O PDOF /persönlich Einkommensteuergesetz ],MATCH($B211,tab_MinKomp[[Stanowisko / Position ]:[Stanowisko / Position ]],0)))</f>
        <v>n/a</v>
      </c>
      <c r="O212" s="313">
        <f>IF(INDEX(tab_MinKomp[Regulamin pracy / Arbeitsordnung],MATCH($B211,tab_MinKomp[[Stanowisko / Position ]:[Stanowisko / Position ]],0))="n/a","n/a",O211-INDEX(tab_MinKomp[Regulamin pracy / Arbeitsordnung],MATCH($B211,tab_MinKomp[[Stanowisko / Position ]:[Stanowisko / Position ]],0)))</f>
        <v>0</v>
      </c>
      <c r="P212" s="313">
        <f>IF(INDEX(tab_MinKomp[Regulamin wynagradzania / Vergütungsordnung],MATCH($B211,tab_MinKomp[[Stanowisko / Position ]:[Stanowisko / Position ]],0))="n/a","n/a",P211-INDEX(tab_MinKomp[Regulamin wynagradzania / Vergütungsordnung],MATCH($B211,tab_MinKomp[[Stanowisko / Position ]:[Stanowisko / Position ]],0)))</f>
        <v>0</v>
      </c>
      <c r="Q212" s="313" t="str">
        <f>IF(INDEX(tab_MinKomp[System R2PŁATNIK PRO: Płace / Lohnabrechnung],MATCH($B211,tab_MinKomp[[Stanowisko / Position ]:[Stanowisko / Position ]],0))="n/a","n/a",Q211-INDEX(tab_MinKomp[System R2PŁATNIK PRO: Płace / Lohnabrechnung],MATCH($B211,tab_MinKomp[[Stanowisko / Position ]:[Stanowisko / Position ]],0)))</f>
        <v>n/a</v>
      </c>
      <c r="R212" s="313" t="str">
        <f>IF(INDEX(tab_MinKomp[SystemR2PŁATNIK PRO: KADRY / Personaldaten],MATCH($B211,tab_MinKomp[[Stanowisko / Position ]:[Stanowisko / Position ]],0))="n/a","n/a",R211-INDEX(tab_MinKomp[SystemR2PŁATNIK PRO: KADRY / Personaldaten],MATCH($B211,tab_MinKomp[[Stanowisko / Position ]:[Stanowisko / Position ]],0)))</f>
        <v>n/a</v>
      </c>
      <c r="S212" s="313">
        <f>IF(INDEX(tab_MinKomp[SYSTEM R2PŁATNIK PRO: zarządzanie pracownikami / Arbeitsverwaltung],MATCH($B211,tab_MinKomp[[Stanowisko / Position ]:[Stanowisko / Position ]],0))="n/a","n/a",S211-INDEX(tab_MinKomp[SYSTEM R2PŁATNIK PRO: zarządzanie pracownikami / Arbeitsverwaltung],MATCH($B211,tab_MinKomp[[Stanowisko / Position ]:[Stanowisko / Position ]],0)))</f>
        <v>0</v>
      </c>
      <c r="T212" s="313">
        <f>IF(INDEX(tab_MinKomp[Doradztwo, wsparcie personalne / Personalberatung und Unterstützung],MATCH($B211,tab_MinKomp[[Stanowisko / Position ]:[Stanowisko / Position ]],0))="n/a","n/a",T211-INDEX(tab_MinKomp[Doradztwo, wsparcie personalne / Personalberatung und Unterstützung],MATCH($B211,tab_MinKomp[[Stanowisko / Position ]:[Stanowisko / Position ]],0)))</f>
        <v>0</v>
      </c>
      <c r="U212" s="313" t="str">
        <f>IF(INDEX(tab_MinKomp[Przepisy o podatku VAT / MwSt.- Gesetz],MATCH($B211,tab_MinKomp[[Stanowisko / Position ]:[Stanowisko / Position ]],0))="n/a","n/a",U211-INDEX(tab_MinKomp[Przepisy o podatku VAT / MwSt.- Gesetz],MATCH($B211,tab_MinKomp[[Stanowisko / Position ]:[Stanowisko / Position ]],0)))</f>
        <v>n/a</v>
      </c>
      <c r="V212" s="313" t="str">
        <f>IF(INDEX(tab_MinKomp[PrzepisyPDOP / geschäftlich Einkommensteuergesetz],MATCH($B211,tab_MinKomp[[Stanowisko / Position ]:[Stanowisko / Position ]],0))="n/a","n/a",V211-INDEX(tab_MinKomp[PrzepisyPDOP / geschäftlich Einkommensteuergesetz],MATCH($B211,tab_MinKomp[[Stanowisko / Position ]:[Stanowisko / Position ]],0)))</f>
        <v>n/a</v>
      </c>
      <c r="W212" s="313" t="str">
        <f>IF(INDEX(tab_MinKomp[System BAAN / FINANSE (FIBU)],MATCH($B211,tab_MinKomp[[Stanowisko / Position ]:[Stanowisko / Position ]],0))="n/a","n/a",W211-INDEX(tab_MinKomp[System BAAN / FINANSE (FIBU)],MATCH($B211,tab_MinKomp[[Stanowisko / Position ]:[Stanowisko / Position ]],0)))</f>
        <v>n/a</v>
      </c>
      <c r="X212" s="313" t="str">
        <f>IF(INDEX(tab_MinKomp[Systemy pomocnicze / Hilfssysteme(STOCKPROGRAM, KALK2000 etc.)],MATCH($B211,tab_MinKomp[[Stanowisko / Position ]:[Stanowisko / Position ]],0))="n/a","n/a",X211-INDEX(tab_MinKomp[Systemy pomocnicze / Hilfssysteme(STOCKPROGRAM, KALK2000 etc.)],MATCH($B211,tab_MinKomp[[Stanowisko / Position ]:[Stanowisko / Position ]],0)))</f>
        <v>n/a</v>
      </c>
      <c r="Y212" s="313" t="str">
        <f>IF(INDEX(tab_MinKomp[Polityka rachunkowości / Buchführungspolitik],MATCH($B211,tab_MinKomp[[Stanowisko / Position ]:[Stanowisko / Position ]],0))="n/a","n/a",Y211-INDEX(tab_MinKomp[Polityka rachunkowości / Buchführungspolitik],MATCH($B211,tab_MinKomp[[Stanowisko / Position ]:[Stanowisko / Position ]],0)))</f>
        <v>n/a</v>
      </c>
      <c r="Z212" s="313" t="str">
        <f>IF(INDEX(tab_MinKomp[Ustawa o rachunkowości / Rechnungslegungsgesetz],MATCH($B211,tab_MinKomp[[Stanowisko / Position ]:[Stanowisko / Position ]],0))="n/a","n/a",Z211-INDEX(tab_MinKomp[Ustawa o rachunkowości / Rechnungslegungsgesetz],MATCH($B211,tab_MinKomp[[Stanowisko / Position ]:[Stanowisko / Position ]],0)))</f>
        <v>n/a</v>
      </c>
      <c r="AA212" s="313" t="str">
        <f>IF(INDEX(tab_MinKomp[WORKFLOW - TS-100],MATCH($B211,tab_MinKomp[[Stanowisko / Position ]:[Stanowisko / Position ]],0))="n/a","n/a",AA211-INDEX(tab_MinKomp[WORKFLOW - TS-100],MATCH($B211,tab_MinKomp[[Stanowisko / Position ]:[Stanowisko / Position ]],0)))</f>
        <v>n/a</v>
      </c>
      <c r="AB212" s="313">
        <f>IF(INDEX(tab_MinKomp[WORKFLOW - SFMS],MATCH($B211,tab_MinKomp[[Stanowisko / Position ]:[Stanowisko / Position ]],0))="n/a","n/a",AB211-INDEX(tab_MinKomp[WORKFLOW - SFMS],MATCH($B211,tab_MinKomp[[Stanowisko / Position ]:[Stanowisko / Position ]],0)))</f>
        <v>0</v>
      </c>
      <c r="AC212" s="313">
        <f>IF(INDEX(tab_MinKomp[System ISO 9001:2015],MATCH($B211,tab_MinKomp[[Stanowisko / Position ]:[Stanowisko / Position ]],0))="n/a","n/a",AC211-INDEX(tab_MinKomp[System ISO 9001:2015],MATCH($B211,tab_MinKomp[[Stanowisko / Position ]:[Stanowisko / Position ]],0)))</f>
        <v>0</v>
      </c>
      <c r="AD212" s="313">
        <f>IF(INDEX(tab_MinKomp[System IATF 16949:2016],MATCH($B211,tab_MinKomp[[Stanowisko / Position ]:[Stanowisko / Position ]],0))="n/a","n/a",AD211-INDEX(tab_MinKomp[System IATF 16949:2016],MATCH($B211,tab_MinKomp[[Stanowisko / Position ]:[Stanowisko / Position ]],0)))</f>
        <v>0</v>
      </c>
      <c r="AE212" s="313">
        <f>IF(INDEX(tab_MinKomp[System ISO 14001:2015],MATCH($B211,tab_MinKomp[[Stanowisko / Position ]:[Stanowisko / Position ]],0))="n/a","n/a",AE211-INDEX(tab_MinKomp[System ISO 14001:2015],MATCH($B211,tab_MinKomp[[Stanowisko / Position ]:[Stanowisko / Position ]],0)))</f>
        <v>0</v>
      </c>
      <c r="AF212" s="313">
        <f>IF(INDEX(tab_MinKomp[System PN-N 18001:2004 / ISO 45001:2018],MATCH($B211,tab_MinKomp[[Stanowisko / Position ]:[Stanowisko / Position ]],0))="n/a","n/a",AF211-INDEX(tab_MinKomp[System PN-N 18001:2004 / ISO 45001:2018],MATCH($B211,tab_MinKomp[[Stanowisko / Position ]:[Stanowisko / Position ]],0)))</f>
        <v>0</v>
      </c>
      <c r="AG212" s="313">
        <f>IF(INDEX(tab_MinKomp[Wymagania VDA 6.3 Process / Forderungen],MATCH($B211,tab_MinKomp[[Stanowisko / Position ]:[Stanowisko / Position ]],0))="n/a","n/a",AG211-INDEX(tab_MinKomp[Wymagania VDA 6.3 Process / Forderungen],MATCH($B211,tab_MinKomp[[Stanowisko / Position ]:[Stanowisko / Position ]],0)))</f>
        <v>0</v>
      </c>
      <c r="AH212" s="313">
        <f>IF(INDEX(tab_MinKomp[Wymagania VDA 6.5 Product / Forderungen],MATCH($B211,tab_MinKomp[[Stanowisko / Position ]:[Stanowisko / Position ]],0))="n/a","n/a",AH211-INDEX(tab_MinKomp[Wymagania VDA 6.5 Product / Forderungen],MATCH($B211,tab_MinKomp[[Stanowisko / Position ]:[Stanowisko / Position ]],0)))</f>
        <v>0</v>
      </c>
      <c r="AI212" s="313" t="str">
        <f>IF(INDEX(tab_MinKomp[PSCR (VW Product Safety &amp; Conformity Representative)],MATCH($B211,tab_MinKomp[[Stanowisko / Position ]:[Stanowisko / Position ]],0))="n/a","n/a",AI211-INDEX(tab_MinKomp[PSCR (VW Product Safety &amp; Conformity Representative)],MATCH($B211,tab_MinKomp[[Stanowisko / Position ]:[Stanowisko / Position ]],0)))</f>
        <v>n/a</v>
      </c>
      <c r="AJ212" s="313">
        <f>IF(INDEX(tab_MinKomp[Auditor systemu ISO 17025:2018],MATCH($B211,tab_MinKomp[[Stanowisko / Position ]:[Stanowisko / Position ]],0))="n/a","n/a",AJ211-INDEX(tab_MinKomp[Auditor systemu ISO 17025:2018],MATCH($B211,tab_MinKomp[[Stanowisko / Position ]:[Stanowisko / Position ]],0)))</f>
        <v>0</v>
      </c>
      <c r="AK212" s="313">
        <f>IF(INDEX(tab_MinKomp[Pełnomocnik systemu / Systemvertreter],MATCH($B211,tab_MinKomp[[Stanowisko / Position ]:[Stanowisko / Position ]],0))="n/a","n/a",AK211-INDEX(tab_MinKomp[Pełnomocnik systemu / Systemvertreter],MATCH($B211,tab_MinKomp[[Stanowisko / Position ]:[Stanowisko / Position ]],0)))</f>
        <v>0</v>
      </c>
      <c r="AL212" s="313">
        <f>IF(INDEX(tab_MinKomp[Polityka Etyczna - Compliance],MATCH($B211,tab_MinKomp[[Stanowisko / Position ]:[Stanowisko / Position ]],0))="n/a","n/a",AL211-INDEX(tab_MinKomp[Polityka Etyczna - Compliance],MATCH($B211,tab_MinKomp[[Stanowisko / Position ]:[Stanowisko / Position ]],0)))</f>
        <v>0</v>
      </c>
      <c r="AM212" s="313">
        <f>IF(INDEX(tab_MinKomp[WDRAŻANIE NOWYCH PROJEKTÓW/ PROCEDURA CTM],MATCH($B211,tab_MinKomp[[Stanowisko / Position ]:[Stanowisko / Position ]],0))="n/a","n/a",AM211-INDEX(tab_MinKomp[WDRAŻANIE NOWYCH PROJEKTÓW/ PROCEDURA CTM],MATCH($B211,tab_MinKomp[[Stanowisko / Position ]:[Stanowisko / Position ]],0)))</f>
        <v>0</v>
      </c>
      <c r="AN212" s="313" t="str">
        <f>IF(INDEX(tab_MinKomp[KAMIENIE MILOWE MSL/PIFF],MATCH($B211,tab_MinKomp[[Stanowisko / Position ]:[Stanowisko / Position ]],0))="n/a","n/a",AN211-INDEX(tab_MinKomp[KAMIENIE MILOWE MSL/PIFF],MATCH($B211,tab_MinKomp[[Stanowisko / Position ]:[Stanowisko / Position ]],0)))</f>
        <v>n/a</v>
      </c>
      <c r="AO212" s="313">
        <f>IF(INDEX(tab_MinKomp[CP],MATCH($B211,tab_MinKomp[[Stanowisko / Position ]:[Stanowisko / Position ]],0))="n/a","n/a",AO211-INDEX(tab_MinKomp[CP],MATCH($B211,tab_MinKomp[[Stanowisko / Position ]:[Stanowisko / Position ]],0)))</f>
        <v>1</v>
      </c>
      <c r="AP212" s="313">
        <f>IF(INDEX(tab_MinKomp[FMEA],MATCH($B211,tab_MinKomp[[Stanowisko / Position ]:[Stanowisko / Position ]],0))="n/a","n/a",AP211-INDEX(tab_MinKomp[FMEA],MATCH($B211,tab_MinKomp[[Stanowisko / Position ]:[Stanowisko / Position ]],0)))</f>
        <v>0</v>
      </c>
      <c r="AQ212" s="313">
        <f>IF(INDEX(tab_MinKomp[FLOW CHART],MATCH($B211,tab_MinKomp[[Stanowisko / Position ]:[Stanowisko / Position ]],0))="n/a","n/a",AQ211-INDEX(tab_MinKomp[FLOW CHART],MATCH($B211,tab_MinKomp[[Stanowisko / Position ]:[Stanowisko / Position ]],0)))</f>
        <v>0</v>
      </c>
      <c r="AR212" s="313" t="str">
        <f>IF(INDEX(tab_MinKomp[APQP],MATCH($B211,tab_MinKomp[[Stanowisko / Position ]:[Stanowisko / Position ]],0))="n/a","n/a",AR211-INDEX(tab_MinKomp[APQP],MATCH($B211,tab_MinKomp[[Stanowisko / Position ]:[Stanowisko / Position ]],0)))</f>
        <v>n/a</v>
      </c>
      <c r="AS212" s="313">
        <f>IF(INDEX(tab_MinKomp[MSA],MATCH($B211,tab_MinKomp[[Stanowisko / Position ]:[Stanowisko / Position ]],0))="n/a","n/a",AS211-INDEX(tab_MinKomp[MSA],MATCH($B211,tab_MinKomp[[Stanowisko / Position ]:[Stanowisko / Position ]],0)))</f>
        <v>0</v>
      </c>
      <c r="AT212" s="313">
        <f>IF(INDEX(tab_MinKomp[SPC],MATCH($B211,tab_MinKomp[[Stanowisko / Position ]:[Stanowisko / Position ]],0))="n/a","n/a",AT211-INDEX(tab_MinKomp[SPC],MATCH($B211,tab_MinKomp[[Stanowisko / Position ]:[Stanowisko / Position ]],0)))</f>
        <v>0</v>
      </c>
      <c r="AU212" s="313">
        <f>IF(INDEX(tab_MinKomp[CSR (SPECYFICZNE WYMAGANIA KLIENTA)],MATCH($B211,tab_MinKomp[[Stanowisko / Position ]:[Stanowisko / Position ]],0))="n/a","n/a",AU211-INDEX(tab_MinKomp[CSR (SPECYFICZNE WYMAGANIA KLIENTA)],MATCH($B211,tab_MinKomp[[Stanowisko / Position ]:[Stanowisko / Position ]],0)))</f>
        <v>1</v>
      </c>
      <c r="AV212" s="313">
        <f>IF(INDEX(tab_MinKomp[5S],MATCH($B211,tab_MinKomp[[Stanowisko / Position ]:[Stanowisko / Position ]],0))="n/a","n/a",AV211-INDEX(tab_MinKomp[5S],MATCH($B211,tab_MinKomp[[Stanowisko / Position ]:[Stanowisko / Position ]],0)))</f>
        <v>0</v>
      </c>
      <c r="AW212" s="313">
        <f>IF(INDEX(tab_MinKomp[LEAN MANAGEMENT],MATCH($B211,tab_MinKomp[[Stanowisko / Position ]:[Stanowisko / Position ]],0))="n/a","n/a",AW211-INDEX(tab_MinKomp[LEAN MANAGEMENT],MATCH($B211,tab_MinKomp[[Stanowisko / Position ]:[Stanowisko / Position ]],0)))</f>
        <v>0</v>
      </c>
      <c r="AX212" s="313">
        <f>IF(INDEX(tab_MinKomp[5R],MATCH($B211,tab_MinKomp[[Stanowisko / Position ]:[Stanowisko / Position ]],0))="n/a","n/a",AX211-INDEX(tab_MinKomp[5R],MATCH($B211,tab_MinKomp[[Stanowisko / Position ]:[Stanowisko / Position ]],0)))</f>
        <v>0</v>
      </c>
      <c r="AY212" s="313">
        <f>IF(INDEX(tab_MinKomp[Six Sigma],MATCH($B211,tab_MinKomp[[Stanowisko / Position ]:[Stanowisko / Position ]],0))="n/a","n/a",AY211-INDEX(tab_MinKomp[Six Sigma],MATCH($B211,tab_MinKomp[[Stanowisko / Position ]:[Stanowisko / Position ]],0)))</f>
        <v>0</v>
      </c>
      <c r="AZ212" s="313" t="str">
        <f>IF(INDEX(tab_MinKomp[System BAAN / Distribution &amp; Supply Chain],MATCH($B211,tab_MinKomp[[Stanowisko / Position ]:[Stanowisko / Position ]],0))="n/a","n/a",AZ211-INDEX(tab_MinKomp[System BAAN / Distribution &amp; Supply Chain],MATCH($B211,tab_MinKomp[[Stanowisko / Position ]:[Stanowisko / Position ]],0)))</f>
        <v>n/a</v>
      </c>
      <c r="BA212" s="313" t="str">
        <f>IF(INDEX(tab_MinKomp[Gospodarka magazynowa / Lagerverwaltung],MATCH($B211,tab_MinKomp[[Stanowisko / Position ]:[Stanowisko / Position ]],0))="n/a","n/a",BA211-INDEX(tab_MinKomp[Gospodarka magazynowa / Lagerverwaltung],MATCH($B211,tab_MinKomp[[Stanowisko / Position ]:[Stanowisko / Position ]],0)))</f>
        <v>n/a</v>
      </c>
      <c r="BB212" s="313" t="str">
        <f>IF(INDEX(tab_MinKomp[Inwentaryzacja - organizacja i przebieg / Inventurprozess],MATCH($B211,tab_MinKomp[[Stanowisko / Position ]:[Stanowisko / Position ]],0))="n/a","n/a",BB211-INDEX(tab_MinKomp[Inwentaryzacja - organizacja i przebieg / Inventurprozess],MATCH($B211,tab_MinKomp[[Stanowisko / Position ]:[Stanowisko / Position ]],0)))</f>
        <v>n/a</v>
      </c>
      <c r="BC212" s="313">
        <f>IF(INDEX(tab_MinKomp[Organizacja dostaw / Versorgungsorganisation],MATCH($B211,tab_MinKomp[[Stanowisko / Position ]:[Stanowisko / Position ]],0))="n/a","n/a",BC211-INDEX(tab_MinKomp[Organizacja dostaw / Versorgungsorganisation],MATCH($B211,tab_MinKomp[[Stanowisko / Position ]:[Stanowisko / Position ]],0)))</f>
        <v>1</v>
      </c>
      <c r="BD212" s="313" t="str">
        <f>IF(INDEX(tab_MinKomp[Organizacja wysyłek / Organisation von Lieferungen],MATCH($B211,tab_MinKomp[[Stanowisko / Position ]:[Stanowisko / Position ]],0))="n/a","n/a",BD211-INDEX(tab_MinKomp[Organizacja wysyłek / Organisation von Lieferungen],MATCH($B211,tab_MinKomp[[Stanowisko / Position ]:[Stanowisko / Position ]],0)))</f>
        <v>n/a</v>
      </c>
      <c r="BE212" s="313" t="str">
        <f>IF(INDEX(tab_MinKomp[Analiza magazynowa - Program Polen.mdb / Inventuranalyse],MATCH($B211,tab_MinKomp[[Stanowisko / Position ]:[Stanowisko / Position ]],0))="n/a","n/a",BE211-INDEX(tab_MinKomp[Analiza magazynowa - Program Polen.mdb / Inventuranalyse],MATCH($B211,tab_MinKomp[[Stanowisko / Position ]:[Stanowisko / Position ]],0)))</f>
        <v>n/a</v>
      </c>
      <c r="BF212" s="313" t="str">
        <f>IF(INDEX(tab_MinKomp[MMOG (Materials Management Operations Guidelines)],MATCH($B211,tab_MinKomp[[Stanowisko / Position ]:[Stanowisko / Position ]],0))="n/a","n/a",BF211-INDEX(tab_MinKomp[MMOG (Materials Management Operations Guidelines)],MATCH($B211,tab_MinKomp[[Stanowisko / Position ]:[Stanowisko / Position ]],0)))</f>
        <v>n/a</v>
      </c>
      <c r="BG212" s="313" t="str">
        <f>IF(INDEX(tab_MinKomp[DETC],MATCH($B211,tab_MinKomp[[Stanowisko / Position ]:[Stanowisko / Position ]],0))="n/a","n/a",BG211-INDEX(tab_MinKomp[DETC],MATCH($B211,tab_MinKomp[[Stanowisko / Position ]:[Stanowisko / Position ]],0)))</f>
        <v>n/a</v>
      </c>
      <c r="BH212" s="313" t="str">
        <f>IF(INDEX(tab_MinKomp[GPP],MATCH($B211,tab_MinKomp[[Stanowisko / Position ]:[Stanowisko / Position ]],0))="n/a","n/a",BH211-INDEX(tab_MinKomp[GPP],MATCH($B211,tab_MinKomp[[Stanowisko / Position ]:[Stanowisko / Position ]],0)))</f>
        <v>n/a</v>
      </c>
      <c r="BI212" s="313" t="str">
        <f>IF(INDEX(tab_MinKomp[AIAG (Automotive Industry Action Group)],MATCH($B211,tab_MinKomp[[Stanowisko / Position ]:[Stanowisko / Position ]],0))="n/a","n/a",BI211-INDEX(tab_MinKomp[AIAG (Automotive Industry Action Group)],MATCH($B211,tab_MinKomp[[Stanowisko / Position ]:[Stanowisko / Position ]],0)))</f>
        <v>n/a</v>
      </c>
      <c r="BJ212" s="313" t="str">
        <f>IF(INDEX(tab_MinKomp[Super-G disputes],MATCH($B211,tab_MinKomp[[Stanowisko / Position ]:[Stanowisko / Position ]],0))="n/a","n/a",BJ211-INDEX(tab_MinKomp[Super-G disputes],MATCH($B211,tab_MinKomp[[Stanowisko / Position ]:[Stanowisko / Position ]],0)))</f>
        <v>n/a</v>
      </c>
      <c r="BK212" s="313" t="str">
        <f>IF(INDEX(tab_MinKomp[CMMS3/eDDL (Direct Data Link)],MATCH($B211,tab_MinKomp[[Stanowisko / Position ]:[Stanowisko / Position ]],0))="n/a","n/a",BK211-INDEX(tab_MinKomp[CMMS3/eDDL (Direct Data Link)],MATCH($B211,tab_MinKomp[[Stanowisko / Position ]:[Stanowisko / Position ]],0)))</f>
        <v>n/a</v>
      </c>
      <c r="BL212" s="313" t="str">
        <f>IF(INDEX(tab_MinKomp[MP&amp;L (Material Planning and Logistics)],MATCH($B211,tab_MinKomp[[Stanowisko / Position ]:[Stanowisko / Position ]],0))="n/a","n/a",BL211-INDEX(tab_MinKomp[MP&amp;L (Material Planning and Logistics)],MATCH($B211,tab_MinKomp[[Stanowisko / Position ]:[Stanowisko / Position ]],0)))</f>
        <v>n/a</v>
      </c>
      <c r="BM212" s="313" t="str">
        <f>IF(INDEX(tab_MinKomp[Supplier delivery rating],MATCH($B211,tab_MinKomp[[Stanowisko / Position ]:[Stanowisko / Position ]],0))="n/a","n/a",BM211-INDEX(tab_MinKomp[Supplier delivery rating],MATCH($B211,tab_MinKomp[[Stanowisko / Position ]:[Stanowisko / Position ]],0)))</f>
        <v>n/a</v>
      </c>
      <c r="BN212" s="313">
        <f>IF(INDEX(tab_MinKomp[Planowanie produkcji / Produktionsplanung],MATCH($B211,tab_MinKomp[[Stanowisko / Position ]:[Stanowisko / Position ]],0))="n/a","n/a",BN211-INDEX(tab_MinKomp[Planowanie produkcji / Produktionsplanung],MATCH($B211,tab_MinKomp[[Stanowisko / Position ]:[Stanowisko / Position ]],0)))</f>
        <v>1</v>
      </c>
      <c r="BO212" s="313" t="str">
        <f>IF(INDEX(tab_MinKomp[Obsługa maszyn Engel / Engel Maschinenbedienung],MATCH($B211,tab_MinKomp[[Stanowisko / Position ]:[Stanowisko / Position ]],0))="n/a","n/a",BO211-INDEX(tab_MinKomp[Obsługa maszyn Engel / Engel Maschinenbedienung],MATCH($B211,tab_MinKomp[[Stanowisko / Position ]:[Stanowisko / Position ]],0)))</f>
        <v>n/a</v>
      </c>
      <c r="BP212" s="313" t="str">
        <f>IF(INDEX(tab_MinKomp[Obsługa maszyn Novapax / Novapax Maschinenbedienung],MATCH($B211,tab_MinKomp[[Stanowisko / Position ]:[Stanowisko / Position ]],0))="n/a","n/a",BP211-INDEX(tab_MinKomp[Obsługa maszyn Novapax / Novapax Maschinenbedienung],MATCH($B211,tab_MinKomp[[Stanowisko / Position ]:[Stanowisko / Position ]],0)))</f>
        <v>n/a</v>
      </c>
      <c r="BQ212" s="313" t="str">
        <f>IF(INDEX(tab_MinKomp[Obsługa maszyn KVT / KVT Maschinenbedienung],MATCH($B211,tab_MinKomp[[Stanowisko / Position ]:[Stanowisko / Position ]],0))="n/a","n/a",BQ211-INDEX(tab_MinKomp[Obsługa maszyn KVT / KVT Maschinenbedienung],MATCH($B211,tab_MinKomp[[Stanowisko / Position ]:[Stanowisko / Position ]],0)))</f>
        <v>n/a</v>
      </c>
      <c r="BR212" s="313" t="str">
        <f>IF(INDEX(tab_MinKomp[Obsługa maszyn ASL / ASL Maschinenbedienung],MATCH($B211,tab_MinKomp[[Stanowisko / Position ]:[Stanowisko / Position ]],0))="n/a","n/a",BR211-INDEX(tab_MinKomp[Obsługa maszyn ASL / ASL Maschinenbedienung],MATCH($B211,tab_MinKomp[[Stanowisko / Position ]:[Stanowisko / Position ]],0)))</f>
        <v>n/a</v>
      </c>
      <c r="BS212" s="313" t="str">
        <f>IF(INDEX(tab_MinKomp[Obsługa maszyn Branson / Branson Maschinenbedienung],MATCH($B211,tab_MinKomp[[Stanowisko / Position ]:[Stanowisko / Position ]],0))="n/a","n/a",BS211-INDEX(tab_MinKomp[Obsługa maszyn Branson / Branson Maschinenbedienung],MATCH($B211,tab_MinKomp[[Stanowisko / Position ]:[Stanowisko / Position ]],0)))</f>
        <v>n/a</v>
      </c>
      <c r="BT212" s="313" t="str">
        <f>IF(INDEX(tab_MinKomp[Obsługa maszyn Kamtec / Kamtec Maschinenbedienung],MATCH($B211,tab_MinKomp[[Stanowisko / Position ]:[Stanowisko / Position ]],0))="n/a","n/a",BT211-INDEX(tab_MinKomp[Obsługa maszyn Kamtec / Kamtec Maschinenbedienung],MATCH($B211,tab_MinKomp[[Stanowisko / Position ]:[Stanowisko / Position ]],0)))</f>
        <v>n/a</v>
      </c>
      <c r="BU212" s="313" t="str">
        <f>IF(INDEX(tab_MinKomp[Obsługa maszyn Piovan / Piovan Maschinenbedienung],MATCH($B211,tab_MinKomp[[Stanowisko / Position ]:[Stanowisko / Position ]],0))="n/a","n/a",BU211-INDEX(tab_MinKomp[Obsługa maszyn Piovan / Piovan Maschinenbedienung],MATCH($B211,tab_MinKomp[[Stanowisko / Position ]:[Stanowisko / Position ]],0)))</f>
        <v>n/a</v>
      </c>
      <c r="BV212" s="313" t="str">
        <f>IF(INDEX(tab_MinKomp[Eliminacja awarii / Beseitigung von Ausfällen],MATCH($B211,tab_MinKomp[[Stanowisko / Position ]:[Stanowisko / Position ]],0))="n/a","n/a",BV211-INDEX(tab_MinKomp[Eliminacja awarii / Beseitigung von Ausfällen],MATCH($B211,tab_MinKomp[[Stanowisko / Position ]:[Stanowisko / Position ]],0)))</f>
        <v>n/a</v>
      </c>
      <c r="BW212" s="313" t="str">
        <f>IF(INDEX(tab_MinKomp[Informatyka ogólna (techniczne i systemowe) / Allgemeine IT (Technik und System)],MATCH($B211,tab_MinKomp[[Stanowisko / Position ]:[Stanowisko / Position ]],0))="n/a","n/a",BW211-INDEX(tab_MinKomp[Informatyka ogólna (techniczne i systemowe) / Allgemeine IT (Technik und System)],MATCH($B211,tab_MinKomp[[Stanowisko / Position ]:[Stanowisko / Position ]],0)))</f>
        <v>n/a</v>
      </c>
      <c r="BX212" s="313" t="str">
        <f>IF(INDEX(tab_MinKomp[Sieci komputerowe / Computernetzwerke],MATCH($B211,tab_MinKomp[[Stanowisko / Position ]:[Stanowisko / Position ]],0))="n/a","n/a",BX211-INDEX(tab_MinKomp[Sieci komputerowe / Computernetzwerke],MATCH($B211,tab_MinKomp[[Stanowisko / Position ]:[Stanowisko / Position ]],0)))</f>
        <v>n/a</v>
      </c>
      <c r="BY212" s="313" t="str">
        <f>IF(INDEX(tab_MinKomp[Hardware (komputery PC, drukarki biurowe i etykietowe, telefonia stacjonarna i mobilna) (PC, Drucker, Telefpne, Handys)],MATCH($B211,tab_MinKomp[[Stanowisko / Position ]:[Stanowisko / Position ]],0))="n/a","n/a",BY211-INDEX(tab_MinKomp[Hardware (komputery PC, drukarki biurowe i etykietowe, telefonia stacjonarna i mobilna) (PC, Drucker, Telefpne, Handys)],MATCH($B211,tab_MinKomp[[Stanowisko / Position ]:[Stanowisko / Position ]],0)))</f>
        <v>n/a</v>
      </c>
      <c r="BZ212" s="313" t="str">
        <f>IF(INDEX(tab_MinKomp[Software &amp; Systems (MS Office, MS Remote Desktop)],MATCH($B211,tab_MinKomp[[Stanowisko / Position ]:[Stanowisko / Position ]],0))="n/a","n/a",BZ211-INDEX(tab_MinKomp[Software &amp; Systems (MS Office, MS Remote Desktop)],MATCH($B211,tab_MinKomp[[Stanowisko / Position ]:[Stanowisko / Position ]],0)))</f>
        <v>n/a</v>
      </c>
      <c r="CA212" s="313" t="str">
        <f>IF(INDEX(tab_MinKomp[Programowanie obiektowe (PHP) / Objektprogrammierung],MATCH($B211,tab_MinKomp[[Stanowisko / Position ]:[Stanowisko / Position ]],0))="n/a","n/a",CA211-INDEX(tab_MinKomp[Programowanie obiektowe (PHP) / Objektprogrammierung],MATCH($B211,tab_MinKomp[[Stanowisko / Position ]:[Stanowisko / Position ]],0)))</f>
        <v>n/a</v>
      </c>
      <c r="CB212" s="313" t="str">
        <f>IF(INDEX(tab_MinKomp[Scrum],MATCH($B211,tab_MinKomp[[Stanowisko / Position ]:[Stanowisko / Position ]],0))="n/a","n/a",CB211-INDEX(tab_MinKomp[Scrum],MATCH($B211,tab_MinKomp[[Stanowisko / Position ]:[Stanowisko / Position ]],0)))</f>
        <v>n/a</v>
      </c>
      <c r="CC212" s="313" t="str">
        <f>IF(INDEX(tab_MinKomp[SQL (MySQL)],MATCH($B211,tab_MinKomp[[Stanowisko / Position ]:[Stanowisko / Position ]],0))="n/a","n/a",CC211-INDEX(tab_MinKomp[SQL (MySQL)],MATCH($B211,tab_MinKomp[[Stanowisko / Position ]:[Stanowisko / Position ]],0)))</f>
        <v>n/a</v>
      </c>
      <c r="CD212" s="313" t="str">
        <f>IF(INDEX(tab_MinKomp[Javascript],MATCH($B211,tab_MinKomp[[Stanowisko / Position ]:[Stanowisko / Position ]],0))="n/a","n/a",CD211-INDEX(tab_MinKomp[Javascript],MATCH($B211,tab_MinKomp[[Stanowisko / Position ]:[Stanowisko / Position ]],0)))</f>
        <v>n/a</v>
      </c>
      <c r="CE212" s="313" t="str">
        <f>IF(INDEX(tab_MinKomp[Joomla],MATCH($B211,tab_MinKomp[[Stanowisko / Position ]:[Stanowisko / Position ]],0))="n/a","n/a",CE211-INDEX(tab_MinKomp[Joomla],MATCH($B211,tab_MinKomp[[Stanowisko / Position ]:[Stanowisko / Position ]],0)))</f>
        <v>n/a</v>
      </c>
      <c r="CF212" s="313" t="str">
        <f>IF(INDEX(tab_MinKomp[Bash],MATCH($B211,tab_MinKomp[[Stanowisko / Position ]:[Stanowisko / Position ]],0))="n/a","n/a",CF211-INDEX(tab_MinKomp[Bash],MATCH($B211,tab_MinKomp[[Stanowisko / Position ]:[Stanowisko / Position ]],0)))</f>
        <v>n/a</v>
      </c>
      <c r="CG212" s="313">
        <f>IF(INDEX(tab_MinKomp[Systemy MES (HYDRA / SFMS)],MATCH($B211,tab_MinKomp[[Stanowisko / Position ]:[Stanowisko / Position ]],0))="n/a","n/a",CG211-INDEX(tab_MinKomp[Systemy MES (HYDRA / SFMS)],MATCH($B211,tab_MinKomp[[Stanowisko / Position ]:[Stanowisko / Position ]],0)))</f>
        <v>1</v>
      </c>
      <c r="CH212" s="313" t="str">
        <f>IF(INDEX(tab_MinKomp[HTML / CSS],MATCH($B211,tab_MinKomp[[Stanowisko / Position ]:[Stanowisko / Position ]],0))="n/a","n/a",CH211-INDEX(tab_MinKomp[HTML / CSS],MATCH($B211,tab_MinKomp[[Stanowisko / Position ]:[Stanowisko / Position ]],0)))</f>
        <v>n/a</v>
      </c>
      <c r="CI212" s="313">
        <f>IF(INDEX(tab_MinKomp[SYSTEM PR],MATCH($B211,tab_MinKomp[[Stanowisko / Position ]:[Stanowisko / Position ]],0))="n/a","n/a",CI211-INDEX(tab_MinKomp[SYSTEM PR],MATCH($B211,tab_MinKomp[[Stanowisko / Position ]:[Stanowisko / Position ]],0)))</f>
        <v>0</v>
      </c>
      <c r="CJ212" s="313">
        <f>IF(INDEX(tab_MinKomp[System Einkauf XP / EBA],MATCH($B211,tab_MinKomp[[Stanowisko / Position ]:[Stanowisko / Position ]],0))="n/a","n/a",CJ211-INDEX(tab_MinKomp[System Einkauf XP / EBA],MATCH($B211,tab_MinKomp[[Stanowisko / Position ]:[Stanowisko / Position ]],0)))</f>
        <v>0</v>
      </c>
      <c r="CK212" s="313" t="str">
        <f>IF(INDEX(tab_MinKomp[Techniki negocjacyjne / Verhandlungstechniken],MATCH($B211,tab_MinKomp[[Stanowisko / Position ]:[Stanowisko / Position ]],0))="n/a","n/a",CK211-INDEX(tab_MinKomp[Techniki negocjacyjne / Verhandlungstechniken],MATCH($B211,tab_MinKomp[[Stanowisko / Position ]:[Stanowisko / Position ]],0)))</f>
        <v>n/a</v>
      </c>
      <c r="CL212" s="313" t="str">
        <f>IF(INDEX(tab_MinKomp[Znajomość rynku branżowego / Kenntnis des Industrie Marktes],MATCH($B211,tab_MinKomp[[Stanowisko / Position ]:[Stanowisko / Position ]],0))="n/a","n/a",CL211-INDEX(tab_MinKomp[Znajomość rynku branżowego / Kenntnis des Industrie Marktes],MATCH($B211,tab_MinKomp[[Stanowisko / Position ]:[Stanowisko / Position ]],0)))</f>
        <v>n/a</v>
      </c>
      <c r="CM212" s="313">
        <f>IF(INDEX(tab_MinKomp[RAPORTY 8D / 8D Berichten],MATCH($B211,tab_MinKomp[[Stanowisko / Position ]:[Stanowisko / Position ]],0))="n/a","n/a",CM211-INDEX(tab_MinKomp[RAPORTY 8D / 8D Berichten],MATCH($B211,tab_MinKomp[[Stanowisko / Position ]:[Stanowisko / Position ]],0)))</f>
        <v>1</v>
      </c>
      <c r="CN212" s="313">
        <f>IF(INDEX(tab_MinKomp[NARZĘDZIA JAKOŚCIOWE (5WHY, Ishikawa, etc) / QS-Werkzeuge],MATCH($B211,tab_MinKomp[[Stanowisko / Position ]:[Stanowisko / Position ]],0))="n/a","n/a",CN211-INDEX(tab_MinKomp[NARZĘDZIA JAKOŚCIOWE (5WHY, Ishikawa, etc) / QS-Werkzeuge],MATCH($B211,tab_MinKomp[[Stanowisko / Position ]:[Stanowisko / Position ]],0)))</f>
        <v>0</v>
      </c>
      <c r="CO212" s="313">
        <f>IF(INDEX(tab_MinKomp[PDCA],MATCH($B211,tab_MinKomp[[Stanowisko / Position ]:[Stanowisko / Position ]],0))="n/a","n/a",CO211-INDEX(tab_MinKomp[PDCA],MATCH($B211,tab_MinKomp[[Stanowisko / Position ]:[Stanowisko / Position ]],0)))</f>
        <v>0</v>
      </c>
      <c r="CP212" s="313">
        <f>IF(INDEX(tab_MinKomp[Pareto],MATCH($B211,tab_MinKomp[[Stanowisko / Position ]:[Stanowisko / Position ]],0))="n/a","n/a",CP211-INDEX(tab_MinKomp[Pareto],MATCH($B211,tab_MinKomp[[Stanowisko / Position ]:[Stanowisko / Position ]],0)))</f>
        <v>0</v>
      </c>
      <c r="CQ212" s="313" t="str">
        <f>IF(INDEX(tab_MinKomp[PPAP/PSW],MATCH($B211,tab_MinKomp[[Stanowisko / Position ]:[Stanowisko / Position ]],0))="n/a","n/a",CQ211-INDEX(tab_MinKomp[PPAP/PSW],MATCH($B211,tab_MinKomp[[Stanowisko / Position ]:[Stanowisko / Position ]],0)))</f>
        <v>n/a</v>
      </c>
      <c r="CR212" s="313" t="str">
        <f>IF(INDEX(tab_MinKomp[SUPPLIER MANAGEMENT],MATCH($B211,tab_MinKomp[[Stanowisko / Position ]:[Stanowisko / Position ]],0))="n/a","n/a",CR211-INDEX(tab_MinKomp[SUPPLIER MANAGEMENT],MATCH($B211,tab_MinKomp[[Stanowisko / Position ]:[Stanowisko / Position ]],0)))</f>
        <v>n/a</v>
      </c>
      <c r="CS212" s="313" t="str">
        <f>IF(INDEX(tab_MinKomp[OBSŁUGA PORTALI KLIENTA / Kundenportale],MATCH($B211,tab_MinKomp[[Stanowisko / Position ]:[Stanowisko / Position ]],0))="n/a","n/a",CS211-INDEX(tab_MinKomp[OBSŁUGA PORTALI KLIENTA / Kundenportale],MATCH($B211,tab_MinKomp[[Stanowisko / Position ]:[Stanowisko / Position ]],0)))</f>
        <v>n/a</v>
      </c>
      <c r="CT212" s="313" t="str">
        <f>IF(INDEX(tab_MinKomp[Obsługa systemu BABTECQ / BABTECQ System],MATCH($B211,tab_MinKomp[[Stanowisko / Position ]:[Stanowisko / Position ]],0))="n/a","n/a",CT211-INDEX(tab_MinKomp[Obsługa systemu BABTECQ / BABTECQ System],MATCH($B211,tab_MinKomp[[Stanowisko / Position ]:[Stanowisko / Position ]],0)))</f>
        <v>n/a</v>
      </c>
      <c r="CU212" s="313">
        <f>IF(INDEX(tab_MinKomp[Rysunek techniczny / technische Zeichnung],MATCH($B211,tab_MinKomp[[Stanowisko / Position ]:[Stanowisko / Position ]],0))="n/a","n/a",CU211-INDEX(tab_MinKomp[Rysunek techniczny / technische Zeichnung],MATCH($B211,tab_MinKomp[[Stanowisko / Position ]:[Stanowisko / Position ]],0)))</f>
        <v>0</v>
      </c>
      <c r="CV212" s="313" t="str">
        <f>IF(INDEX(tab_MinKomp[Kalibracja / Kalibrierung],MATCH($B211,tab_MinKomp[[Stanowisko / Position ]:[Stanowisko / Position ]],0))="n/a","n/a",CV211-INDEX(tab_MinKomp[Kalibracja / Kalibrierung],MATCH($B211,tab_MinKomp[[Stanowisko / Position ]:[Stanowisko / Position ]],0)))</f>
        <v>n/a</v>
      </c>
      <c r="CW212" s="313" t="str">
        <f>IF(INDEX(tab_MinKomp[Rekwalifikacja / Requalifizierung],MATCH($B211,tab_MinKomp[[Stanowisko / Position ]:[Stanowisko / Position ]],0))="n/a","n/a",CW211-INDEX(tab_MinKomp[Rekwalifikacja / Requalifizierung],MATCH($B211,tab_MinKomp[[Stanowisko / Position ]:[Stanowisko / Position ]],0)))</f>
        <v>n/a</v>
      </c>
      <c r="CX212" s="313" t="str">
        <f>IF(INDEX(tab_MinKomp[Obsługa mikroskopu optycznego / Bedienung eines optischen Mikroskops],MATCH($B211,tab_MinKomp[[Stanowisko / Position ]:[Stanowisko / Position ]],0))="n/a","n/a",CX211-INDEX(tab_MinKomp[Obsługa mikroskopu optycznego / Bedienung eines optischen Mikroskops],MATCH($B211,tab_MinKomp[[Stanowisko / Position ]:[Stanowisko / Position ]],0)))</f>
        <v>n/a</v>
      </c>
      <c r="CY212" s="313" t="str">
        <f>IF(INDEX(tab_MinKomp[Wykonywanie pomiarów optycznych - ocena wizualna / Optische Messungen durchführen – visuelle Beurteilung],MATCH($B211,tab_MinKomp[[Stanowisko / Position ]:[Stanowisko / Position ]],0))="n/a","n/a",CY211-INDEX(tab_MinKomp[Wykonywanie pomiarów optycznych - ocena wizualna / Optische Messungen durchführen – visuelle Beurteilung],MATCH($B211,tab_MinKomp[[Stanowisko / Position ]:[Stanowisko / Position ]],0)))</f>
        <v>n/a</v>
      </c>
      <c r="CZ212" s="313" t="str">
        <f>IF(INDEX(tab_MinKomp[Obsługa Rheometra / Rheometra-Unterstützung],MATCH($B211,tab_MinKomp[[Stanowisko / Position ]:[Stanowisko / Position ]],0))="n/a","n/a",CZ211-INDEX(tab_MinKomp[Obsługa Rheometra / Rheometra-Unterstützung],MATCH($B211,tab_MinKomp[[Stanowisko / Position ]:[Stanowisko / Position ]],0)))</f>
        <v>n/a</v>
      </c>
      <c r="DA212" s="313" t="str">
        <f>IF(INDEX(tab_MinKomp[Testy właściwości Rheometra mieszanki gumy],MATCH($B211,tab_MinKomp[[Stanowisko / Position ]:[Stanowisko / Position ]],0))="n/a","n/a",DA211-INDEX(tab_MinKomp[Testy właściwości Rheometra mieszanki gumy],MATCH($B211,tab_MinKomp[[Stanowisko / Position ]:[Stanowisko / Position ]],0)))</f>
        <v>n/a</v>
      </c>
      <c r="DB212" s="313" t="str">
        <f>IF(INDEX(tab_MinKomp[CMM - Contura Zeiss],MATCH($B211,tab_MinKomp[[Stanowisko / Position ]:[Stanowisko / Position ]],0))="n/a","n/a",DB211-INDEX(tab_MinKomp[CMM - Contura Zeiss],MATCH($B211,tab_MinKomp[[Stanowisko / Position ]:[Stanowisko / Position ]],0)))</f>
        <v>n/a</v>
      </c>
      <c r="DC212" s="313" t="str">
        <f>IF(INDEX(tab_MinKomp[Wykonywanie precyzyjnych pomiarów metrycznych, pomiary 3D],MATCH($B211,tab_MinKomp[[Stanowisko / Position ]:[Stanowisko / Position ]],0))="n/a","n/a",DC211-INDEX(tab_MinKomp[Wykonywanie precyzyjnych pomiarów metrycznych, pomiary 3D],MATCH($B211,tab_MinKomp[[Stanowisko / Position ]:[Stanowisko / Position ]],0)))</f>
        <v>n/a</v>
      </c>
      <c r="DD212" s="313" t="str">
        <f>IF(INDEX(tab_MinKomp[Pisanie programów / Programme schreiben],MATCH($B211,tab_MinKomp[[Stanowisko / Position ]:[Stanowisko / Position ]],0))="n/a","n/a",DD211-INDEX(tab_MinKomp[Pisanie programów / Programme schreiben],MATCH($B211,tab_MinKomp[[Stanowisko / Position ]:[Stanowisko / Position ]],0)))</f>
        <v>n/a</v>
      </c>
      <c r="DE212" s="313" t="str">
        <f>IF(INDEX(tab_MinKomp[Obsługa wyposażenia do testów czystości (myjka + analizator) / Betrieb von Sauberkeitsprüfgeräten (Waschmaschine + Analysegerät)],MATCH($B211,tab_MinKomp[[Stanowisko / Position ]:[Stanowisko / Position ]],0))="n/a","n/a",DE211-INDEX(tab_MinKomp[Obsługa wyposażenia do testów czystości (myjka + analizator) / Betrieb von Sauberkeitsprüfgeräten (Waschmaschine + Analysegerät)],MATCH($B211,tab_MinKomp[[Stanowisko / Position ]:[Stanowisko / Position ]],0)))</f>
        <v>n/a</v>
      </c>
      <c r="DF212" s="313" t="str">
        <f>IF(INDEX(tab_MinKomp[Testy czystości / Reinheitstests],MATCH($B211,tab_MinKomp[[Stanowisko / Position ]:[Stanowisko / Position ]],0))="n/a","n/a",DF211-INDEX(tab_MinKomp[Testy czystości / Reinheitstests],MATCH($B211,tab_MinKomp[[Stanowisko / Position ]:[Stanowisko / Position ]],0)))</f>
        <v>n/a</v>
      </c>
      <c r="DG212" s="313" t="str">
        <f>IF(INDEX(tab_MinKomp[Obsługa wysokościomierza / Unterstützung für Höhenmesser],MATCH($B211,tab_MinKomp[[Stanowisko / Position ]:[Stanowisko / Position ]],0))="n/a","n/a",DG211-INDEX(tab_MinKomp[Obsługa wysokościomierza / Unterstützung für Höhenmesser],MATCH($B211,tab_MinKomp[[Stanowisko / Position ]:[Stanowisko / Position ]],0)))</f>
        <v>n/a</v>
      </c>
      <c r="DH212" s="313" t="str">
        <f>IF(INDEX(tab_MinKomp[Pomiary wysokości materiału / Materialhöhenmessungen],MATCH($B211,tab_MinKomp[[Stanowisko / Position ]:[Stanowisko / Position ]],0))="n/a","n/a",DH211-INDEX(tab_MinKomp[Pomiary wysokości materiału / Materialhöhenmessungen],MATCH($B211,tab_MinKomp[[Stanowisko / Position ]:[Stanowisko / Position ]],0)))</f>
        <v>n/a</v>
      </c>
      <c r="DI212" s="313" t="str">
        <f>IF(INDEX(tab_MinKomp[Obsługa okrągłościomierza / Unterstützung für Rundheitsmessgeräte],MATCH($B211,tab_MinKomp[[Stanowisko / Position ]:[Stanowisko / Position ]],0))="n/a","n/a",DI211-INDEX(tab_MinKomp[Obsługa okrągłościomierza / Unterstützung für Rundheitsmessgeräte],MATCH($B211,tab_MinKomp[[Stanowisko / Position ]:[Stanowisko / Position ]],0)))</f>
        <v>n/a</v>
      </c>
      <c r="DJ212" s="313" t="str">
        <f>IF(INDEX(tab_MinKomp[Wykonywania pomiarów owalności, srednicy materiału / Messung der Ovalität und des Durchmessers des Materials],MATCH($B211,tab_MinKomp[[Stanowisko / Position ]:[Stanowisko / Position ]],0))="n/a","n/a",DJ211-INDEX(tab_MinKomp[Wykonywania pomiarów owalności, srednicy materiału / Messung der Ovalität und des Durchmessers des Materials],MATCH($B211,tab_MinKomp[[Stanowisko / Position ]:[Stanowisko / Position ]],0)))</f>
        <v>n/a</v>
      </c>
      <c r="DK212" s="313" t="str">
        <f>IF(INDEX(tab_MinKomp[Obsługa urządzenia do pomiarów chropowoatości powierzchni materiału],MATCH($B211,tab_MinKomp[[Stanowisko / Position ]:[Stanowisko / Position ]],0))="n/a","n/a",DK211-INDEX(tab_MinKomp[Obsługa urządzenia do pomiarów chropowoatości powierzchni materiału],MATCH($B211,tab_MinKomp[[Stanowisko / Position ]:[Stanowisko / Position ]],0)))</f>
        <v>n/a</v>
      </c>
      <c r="DL212" s="313" t="str">
        <f>IF(INDEX(tab_MinKomp[Wykonywanie pomiarów chropowatości powierzchni materiału / Durchführung von Messungen der Materialoberflächenrauheit],MATCH($B211,tab_MinKomp[[Stanowisko / Position ]:[Stanowisko / Position ]],0))="n/a","n/a",DL211-INDEX(tab_MinKomp[Wykonywanie pomiarów chropowatości powierzchni materiału / Durchführung von Messungen der Materialoberflächenrauheit],MATCH($B211,tab_MinKomp[[Stanowisko / Position ]:[Stanowisko / Position ]],0)))</f>
        <v>n/a</v>
      </c>
      <c r="DM212" s="313" t="str">
        <f>IF(INDEX(tab_MinKomp[Obsługa urządzenia do pomiaru siły radialnej części - postępowanie z trzpieniami. / Funktionsweise des Geräts zur Messung der Radialkraft von Teilen – Handhabungsstifte.],MATCH($B211,tab_MinKomp[[Stanowisko / Position ]:[Stanowisko / Position ]],0))="n/a","n/a",DM211-INDEX(tab_MinKomp[Obsługa urządzenia do pomiaru siły radialnej części - postępowanie z trzpieniami. / Funktionsweise des Geräts zur Messung der Radialkraft von Teilen – Handhabungsstifte.],MATCH($B211,tab_MinKomp[[Stanowisko / Position ]:[Stanowisko / Position ]],0)))</f>
        <v>n/a</v>
      </c>
      <c r="DN212" s="313" t="str">
        <f>IF(INDEX(tab_MinKomp[Wykonywanie pomiarów siły radialnej części / Führen Sie Radialkraftmessungen an Teilen durch],MATCH($B211,tab_MinKomp[[Stanowisko / Position ]:[Stanowisko / Position ]],0))="n/a","n/a",DN211-INDEX(tab_MinKomp[Wykonywanie pomiarów siły radialnej części / Führen Sie Radialkraftmessungen an Teilen durch],MATCH($B211,tab_MinKomp[[Stanowisko / Position ]:[Stanowisko / Position ]],0)))</f>
        <v>n/a</v>
      </c>
      <c r="DO212" s="313" t="str">
        <f>IF(INDEX(tab_MinKomp[Obsługa komory do testów wybuchwych / Betrieb einer Explosionsprüfkammer],MATCH($B211,tab_MinKomp[[Stanowisko / Position ]:[Stanowisko / Position ]],0))="n/a","n/a",DO211-INDEX(tab_MinKomp[Obsługa komory do testów wybuchwych / Betrieb einer Explosionsprüfkammer],MATCH($B211,tab_MinKomp[[Stanowisko / Position ]:[Stanowisko / Position ]],0)))</f>
        <v>n/a</v>
      </c>
      <c r="DP212" s="313" t="str">
        <f>IF(INDEX(tab_MinKomp[Wykonywanie testów wybuchowych części / Durchführung von Explosionstests an Teilen],MATCH($B211,tab_MinKomp[[Stanowisko / Position ]:[Stanowisko / Position ]],0))="n/a","n/a",DP211-INDEX(tab_MinKomp[Wykonywanie testów wybuchowych części / Durchführung von Explosionstests an Teilen],MATCH($B211,tab_MinKomp[[Stanowisko / Position ]:[Stanowisko / Position ]],0)))</f>
        <v>n/a</v>
      </c>
      <c r="DQ212" s="313" t="str">
        <f>IF(INDEX(tab_MinKomp[Obsługa urządzeń do mierzenia siły trzymania i/lub rozciągania / Betrieb von Geräten zur Messung der Halte- und/oder Dehnkraft],MATCH($B211,tab_MinKomp[[Stanowisko / Position ]:[Stanowisko / Position ]],0))="n/a","n/a",DQ211-INDEX(tab_MinKomp[Obsługa urządzeń do mierzenia siły trzymania i/lub rozciągania / Betrieb von Geräten zur Messung der Halte- und/oder Dehnkraft],MATCH($B211,tab_MinKomp[[Stanowisko / Position ]:[Stanowisko / Position ]],0)))</f>
        <v>n/a</v>
      </c>
      <c r="DR212" s="313" t="str">
        <f>IF(INDEX(tab_MinKomp[Wykonywanie testów mierzenia siły trzymania i/lub rozciągania / Durchführung von Tests zur Messung der Halte- und/oder Streckkraft],MATCH($B211,tab_MinKomp[[Stanowisko / Position ]:[Stanowisko / Position ]],0))="n/a","n/a",DR211-INDEX(tab_MinKomp[Wykonywanie testów mierzenia siły trzymania i/lub rozciągania / Durchführung von Tests zur Messung der Halte- und/oder Streckkraft],MATCH($B211,tab_MinKomp[[Stanowisko / Position ]:[Stanowisko / Position ]],0)))</f>
        <v>n/a</v>
      </c>
      <c r="DS212" s="313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Luftstrom)],MATCH($B211,tab_MinKomp[[Stanowisko / Position ]:[Stanowisko / Position ]],0))="n/a","n/a",DS211-INDEX(tab_MinKomp[Obsługa multimetru do pomiarów środowiskowych (temperatura, wilgotność, hałas, oświetlenie, przepływ powietrza) / Betrieb eines Multimeters für Umweltmessungen (Temperatur, Luftfeuchtigkeit, Lärm, Beleuchtung, Luftstrom)],MATCH($B211,tab_MinKomp[[Stanowisko / Position ]:[Stanowisko / Position ]],0)))</f>
        <v>n/a</v>
      </c>
      <c r="DT212" s="313" t="str">
        <f>IF(INDEX(tab_MinKomp[Kontrola warunków środowiskowych pracy (temperatura, wilgotność, hałas, oświetlenie, przepływ powietrza) / Kontrolle der Arbeitsumgebungsbedingungen (Temperatur, Luftfeuchtigkeit, Lärm, Beleuchtung, Luftstrom)],MATCH($B211,tab_MinKomp[[Stanowisko / Position ]:[Stanowisko / Position ]],0))="n/a","n/a",DT211-INDEX(tab_MinKomp[Kontrola warunków środowiskowych pracy (temperatura, wilgotność, hałas, oświetlenie, przepływ powietrza) / Kontrolle der Arbeitsumgebungsbedingungen (Temperatur, Luftfeuchtigkeit, Lärm, Beleuchtung, Luftstrom)],MATCH($B211,tab_MinKomp[[Stanowisko / Position ]:[Stanowisko / Position ]],0)))</f>
        <v>n/a</v>
      </c>
      <c r="DU212" s="313" t="str">
        <f>IF(INDEX(tab_MinKomp[MSA i SPC],MATCH($B211,tab_MinKomp[[Stanowisko / Position ]:[Stanowisko / Position ]],0))="n/a","n/a",DU211-INDEX(tab_MinKomp[MSA i SPC],MATCH($B211,tab_MinKomp[[Stanowisko / Position ]:[Stanowisko / Position ]],0)))</f>
        <v>n/a</v>
      </c>
      <c r="DV212" s="313" t="str">
        <f>IF(INDEX(tab_MinKomp[Kontrola wejściowa komponentów/ Eingangskontrolle],MATCH($B211,tab_MinKomp[[Stanowisko / Position ]:[Stanowisko / Position ]],0))="n/a","n/a",DV211-INDEX(tab_MinKomp[Kontrola wejściowa komponentów/ Eingangskontrolle],MATCH($B211,tab_MinKomp[[Stanowisko / Position ]:[Stanowisko / Position ]],0)))</f>
        <v>n/a</v>
      </c>
      <c r="DW212" s="313" t="str">
        <f>IF(INDEX(tab_MinKomp[Kontrola wyjściowa produktu / Ausgangskontrolle],MATCH($B211,tab_MinKomp[[Stanowisko / Position ]:[Stanowisko / Position ]],0))="n/a","n/a",DW211-INDEX(tab_MinKomp[Kontrola wyjściowa produktu / Ausgangskontrolle],MATCH($B211,tab_MinKomp[[Stanowisko / Position ]:[Stanowisko / Position ]],0)))</f>
        <v>n/a</v>
      </c>
      <c r="DX212" s="313" t="str">
        <f>IF(INDEX(tab_MinKomp[Kontrola codzienna produkcji / Tägliche Produktionskontrolle],MATCH($B211,tab_MinKomp[[Stanowisko / Position ]:[Stanowisko / Position ]],0))="n/a","n/a",DX211-INDEX(tab_MinKomp[Kontrola codzienna produkcji / Tägliche Produktionskontrolle],MATCH($B211,tab_MinKomp[[Stanowisko / Position ]:[Stanowisko / Position ]],0)))</f>
        <v>n/a</v>
      </c>
      <c r="DY212" s="313" t="str">
        <f>IF(INDEX(tab_MinKomp[Konserwacja Rep],MATCH($B211,tab_MinKomp[[Stanowisko / Position ]:[Stanowisko / Position ]],0))="n/a","n/a",DY211-INDEX(tab_MinKomp[Konserwacja Rep],MATCH($B211,tab_MinKomp[[Stanowisko / Position ]:[Stanowisko / Position ]],0)))</f>
        <v>n/a</v>
      </c>
      <c r="DZ212" s="313" t="str">
        <f>IF(INDEX(tab_MinKomp[[Konserwacja Engel ]],MATCH($B211,tab_MinKomp[[Stanowisko / Position ]:[Stanowisko / Position ]],0))="n/a","n/a",DZ211-INDEX(tab_MinKomp[[Konserwacja Engel ]],MATCH($B211,tab_MinKomp[[Stanowisko / Position ]:[Stanowisko / Position ]],0)))</f>
        <v>n/a</v>
      </c>
      <c r="EA212" s="313" t="str">
        <f>IF(INDEX(tab_MinKomp[Konserwacja B 50],MATCH($B211,tab_MinKomp[[Stanowisko / Position ]:[Stanowisko / Position ]],0))="n/a","n/a",EA211-INDEX(tab_MinKomp[Konserwacja B 50],MATCH($B211,tab_MinKomp[[Stanowisko / Position ]:[Stanowisko / Position ]],0)))</f>
        <v>n/a</v>
      </c>
      <c r="EB212" s="313" t="str">
        <f>IF(INDEX(tab_MinKomp[[Konserwacja EOL ]],MATCH($B211,tab_MinKomp[[Stanowisko / Position ]:[Stanowisko / Position ]],0))="n/a","n/a",EB211-INDEX(tab_MinKomp[[Konserwacja EOL ]],MATCH($B211,tab_MinKomp[[Stanowisko / Position ]:[Stanowisko / Position ]],0)))</f>
        <v>n/a</v>
      </c>
      <c r="EC212" s="313" t="str">
        <f>IF(INDEX(tab_MinKomp[Konserwacja Branson],MATCH($B211,tab_MinKomp[[Stanowisko / Position ]:[Stanowisko / Position ]],0))="n/a","n/a",EC211-INDEX(tab_MinKomp[Konserwacja Branson],MATCH($B211,tab_MinKomp[[Stanowisko / Position ]:[Stanowisko / Position ]],0)))</f>
        <v>n/a</v>
      </c>
      <c r="ED212" s="313" t="str">
        <f>IF(INDEX(tab_MinKomp[Konserwacja coolery],MATCH($B211,tab_MinKomp[[Stanowisko / Position ]:[Stanowisko / Position ]],0))="n/a","n/a",ED211-INDEX(tab_MinKomp[Konserwacja coolery],MATCH($B211,tab_MinKomp[[Stanowisko / Position ]:[Stanowisko / Position ]],0)))</f>
        <v>n/a</v>
      </c>
      <c r="EE212" s="313" t="str">
        <f>IF(INDEX(tab_MinKomp[Konserwacja piecy],MATCH($B211,tab_MinKomp[[Stanowisko / Position ]:[Stanowisko / Position ]],0))="n/a","n/a",EE211-INDEX(tab_MinKomp[Konserwacja piecy],MATCH($B211,tab_MinKomp[[Stanowisko / Position ]:[Stanowisko / Position ]],0)))</f>
        <v>n/a</v>
      </c>
      <c r="EF212" s="313" t="str">
        <f>IF(INDEX(tab_MinKomp[Rysunek techniczny- czytanie],MATCH($B211,tab_MinKomp[[Stanowisko / Position ]:[Stanowisko / Position ]],0))="n/a","n/a",EF211-INDEX(tab_MinKomp[Rysunek techniczny- czytanie],MATCH($B211,tab_MinKomp[[Stanowisko / Position ]:[Stanowisko / Position ]],0)))</f>
        <v>n/a</v>
      </c>
      <c r="EG212" s="313" t="str">
        <f>IF(INDEX(tab_MinKomp[Elektryka],MATCH($B211,tab_MinKomp[[Stanowisko / Position ]:[Stanowisko / Position ]],0))="n/a","n/a",EG211-INDEX(tab_MinKomp[Elektryka],MATCH($B211,tab_MinKomp[[Stanowisko / Position ]:[Stanowisko / Position ]],0)))</f>
        <v>n/a</v>
      </c>
      <c r="EH212" s="313" t="str">
        <f>IF(INDEX(tab_MinKomp[Pneumatyka],MATCH($B211,tab_MinKomp[[Stanowisko / Position ]:[Stanowisko / Position ]],0))="n/a","n/a",EH211-INDEX(tab_MinKomp[Pneumatyka],MATCH($B211,tab_MinKomp[[Stanowisko / Position ]:[Stanowisko / Position ]],0)))</f>
        <v>n/a</v>
      </c>
      <c r="EI212" s="313" t="str">
        <f>IF(INDEX(tab_MinKomp[[Hydraulika ]],MATCH($B211,tab_MinKomp[[Stanowisko / Position ]:[Stanowisko / Position ]],0))="n/a","n/a",EI211-INDEX(tab_MinKomp[[Hydraulika ]],MATCH($B211,tab_MinKomp[[Stanowisko / Position ]:[Stanowisko / Position ]],0)))</f>
        <v>n/a</v>
      </c>
      <c r="EJ212" s="313" t="str">
        <f>IF(INDEX(tab_MinKomp[Podciśnienie],MATCH($B211,tab_MinKomp[[Stanowisko / Position ]:[Stanowisko / Position ]],0))="n/a","n/a",EJ211-INDEX(tab_MinKomp[Podciśnienie],MATCH($B211,tab_MinKomp[[Stanowisko / Position ]:[Stanowisko / Position ]],0)))</f>
        <v>n/a</v>
      </c>
      <c r="EK212" s="313" t="str">
        <f>IF(INDEX(tab_MinKomp[Usuwanie awarii],MATCH($B211,tab_MinKomp[[Stanowisko / Position ]:[Stanowisko / Position ]],0))="n/a","n/a",EK211-INDEX(tab_MinKomp[Usuwanie awarii],MATCH($B211,tab_MinKomp[[Stanowisko / Position ]:[Stanowisko / Position ]],0)))</f>
        <v>n/a</v>
      </c>
      <c r="EL212" s="313" t="str">
        <f>IF(INDEX(tab_MinKomp[Obsługa robotów],MATCH($B211,tab_MinKomp[[Stanowisko / Position ]:[Stanowisko / Position ]],0))="n/a","n/a",EL211-INDEX(tab_MinKomp[Obsługa robotów],MATCH($B211,tab_MinKomp[[Stanowisko / Position ]:[Stanowisko / Position ]],0)))</f>
        <v>n/a</v>
      </c>
      <c r="EM212" s="313" t="str">
        <f>IF(INDEX(tab_MinKomp[Obsługa sterowania maszyny],MATCH($B211,tab_MinKomp[[Stanowisko / Position ]:[Stanowisko / Position ]],0))="n/a","n/a",EM211-INDEX(tab_MinKomp[Obsługa sterowania maszyny],MATCH($B211,tab_MinKomp[[Stanowisko / Position ]:[Stanowisko / Position ]],0)))</f>
        <v>n/a</v>
      </c>
      <c r="EN212" s="313" t="str">
        <f>IF(INDEX(tab_MinKomp[Usuwanie przyczyn żródłowych],MATCH($B211,tab_MinKomp[[Stanowisko / Position ]:[Stanowisko / Position ]],0))="n/a","n/a",EN211-INDEX(tab_MinKomp[Usuwanie przyczyn żródłowych],MATCH($B211,tab_MinKomp[[Stanowisko / Position ]:[Stanowisko / Position ]],0)))</f>
        <v>n/a</v>
      </c>
      <c r="EO212" s="313" t="str">
        <f>IF(INDEX(tab_MinKomp[Cmms stosowanie],MATCH($B211,tab_MinKomp[[Stanowisko / Position ]:[Stanowisko / Position ]],0))="n/a","n/a",EO211-INDEX(tab_MinKomp[Cmms stosowanie],MATCH($B211,tab_MinKomp[[Stanowisko / Position ]:[Stanowisko / Position ]],0)))</f>
        <v>n/a</v>
      </c>
      <c r="EP212" s="313" t="str">
        <f>IF(INDEX(tab_MinKomp[[Czyszczenie form gumowych ]],MATCH($B211,tab_MinKomp[[Stanowisko / Position ]:[Stanowisko / Position ]],0))="n/a","n/a",EP211-INDEX(tab_MinKomp[[Czyszczenie form gumowych ]],MATCH($B211,tab_MinKomp[[Stanowisko / Position ]:[Stanowisko / Position ]],0)))</f>
        <v>n/a</v>
      </c>
      <c r="EQ212" s="313" t="str">
        <f>IF(INDEX(tab_MinKomp[Czyszczenie form plastikowych],MATCH($B211,tab_MinKomp[[Stanowisko / Position ]:[Stanowisko / Position ]],0))="n/a","n/a",EQ211-INDEX(tab_MinKomp[Czyszczenie form plastikowych],MATCH($B211,tab_MinKomp[[Stanowisko / Position ]:[Stanowisko / Position ]],0)))</f>
        <v>n/a</v>
      </c>
      <c r="ER212" s="313" t="str">
        <f>IF(INDEX(tab_MinKomp[Wymiana form plastik],MATCH($B211,tab_MinKomp[[Stanowisko / Position ]:[Stanowisko / Position ]],0))="n/a","n/a",ER211-INDEX(tab_MinKomp[Wymiana form plastik],MATCH($B211,tab_MinKomp[[Stanowisko / Position ]:[Stanowisko / Position ]],0)))</f>
        <v>n/a</v>
      </c>
      <c r="ES212" s="313" t="str">
        <f>IF(INDEX(tab_MinKomp[Wymiana form guma],MATCH($B211,tab_MinKomp[[Stanowisko / Position ]:[Stanowisko / Position ]],0))="n/a","n/a",ES211-INDEX(tab_MinKomp[Wymiana form guma],MATCH($B211,tab_MinKomp[[Stanowisko / Position ]:[Stanowisko / Position ]],0)))</f>
        <v>n/a</v>
      </c>
      <c r="ET212" s="313" t="str">
        <f>IF(INDEX(tab_MinKomp[Konserwacja KK],MATCH($B211,tab_MinKomp[[Stanowisko / Position ]:[Stanowisko / Position ]],0))="n/a","n/a",ET211-INDEX(tab_MinKomp[Konserwacja KK],MATCH($B211,tab_MinKomp[[Stanowisko / Position ]:[Stanowisko / Position ]],0)))</f>
        <v>n/a</v>
      </c>
      <c r="EU212" s="313" t="str">
        <f>IF(INDEX(tab_MinKomp[Konserwacja form guma],MATCH($B211,tab_MinKomp[[Stanowisko / Position ]:[Stanowisko / Position ]],0))="n/a","n/a",EU211-INDEX(tab_MinKomp[Konserwacja form guma],MATCH($B211,tab_MinKomp[[Stanowisko / Position ]:[Stanowisko / Position ]],0)))</f>
        <v>n/a</v>
      </c>
      <c r="EV212" s="313" t="str">
        <f>IF(INDEX(tab_MinKomp[Konserwacja form plastiki],MATCH($B211,tab_MinKomp[[Stanowisko / Position ]:[Stanowisko / Position ]],0))="n/a","n/a",EV211-INDEX(tab_MinKomp[Konserwacja form plastiki],MATCH($B211,tab_MinKomp[[Stanowisko / Position ]:[Stanowisko / Position ]],0)))</f>
        <v>n/a</v>
      </c>
      <c r="EW212" s="330" t="str">
        <f>IF(INDEX(tab_MinKomp[Konserwacja form plastiki],MATCH($B211,tab_MinKomp[[Stanowisko / Position ]:[Stanowisko / Position ]],0))="n/a","n/a",EW211-INDEX(tab_MinKomp[Konserwacja form plastiki],MATCH($B211,tab_MinKomp[[Stanowisko / Position ]:[Stanowisko / Position ]],0)))</f>
        <v>n/a</v>
      </c>
      <c r="EX212" s="313" t="str">
        <f>IF(INDEX(tab_MinKomp[Konserwacja Gorącego Kanału],MATCH($B211,tab_MinKomp[[Stanowisko / Position ]:[Stanowisko / Position ]],0))="n/a","n/a",EX211-INDEX(tab_MinKomp[Konserwacja Gorącego Kanału],MATCH($B211,tab_MinKomp[[Stanowisko / Position ]:[Stanowisko / Position ]],0)))</f>
        <v>n/a</v>
      </c>
      <c r="EY212" s="315">
        <f>IF(INDEX(tab_MinKomp[MS Office (Excel)],MATCH($B211,tab_MinKomp[[Stanowisko / Position ]:[Stanowisko / Position ]],0))="n/a","n/a",EY211-INDEX(tab_MinKomp[MS Office (Excel)],MATCH($B211,tab_MinKomp[[Stanowisko / Position ]:[Stanowisko / Position ]],0)))</f>
        <v>0</v>
      </c>
      <c r="EZ212" s="315">
        <f>IF(INDEX(tab_MinKomp[MS Office (Word)],MATCH($B211,tab_MinKomp[[Stanowisko / Position ]:[Stanowisko / Position ]],0))="n/a","n/a",EZ211-INDEX(tab_MinKomp[MS Office (Word)],MATCH($B211,tab_MinKomp[[Stanowisko / Position ]:[Stanowisko / Position ]],0)))</f>
        <v>0</v>
      </c>
      <c r="FA212" s="315">
        <f>IF(INDEX(tab_MinKomp[MS Office (Power Point)],MATCH($B211,tab_MinKomp[[Stanowisko / Position ]:[Stanowisko / Position ]],0))="n/a","n/a",FA211-INDEX(tab_MinKomp[MS Office (Power Point)],MATCH($B211,tab_MinKomp[[Stanowisko / Position ]:[Stanowisko / Position ]],0)))</f>
        <v>0</v>
      </c>
      <c r="FB212" s="315">
        <f>IF(INDEX(tab_MinKomp[Język angielski / Englisch],MATCH($B211,tab_MinKomp[[Stanowisko / Position ]:[Stanowisko / Position ]],0))="n/a","n/a",FB211-INDEX(tab_MinKomp[Język angielski / Englisch],MATCH($B211,tab_MinKomp[[Stanowisko / Position ]:[Stanowisko / Position ]],0)))</f>
        <v>0</v>
      </c>
      <c r="FC212" s="315" t="str">
        <f>IF(INDEX(tab_MinKomp[Język niemiecki / Deutsch],MATCH($B211,tab_MinKomp[[Stanowisko / Position ]:[Stanowisko / Position ]],0))="n/a","n/a",FC211-INDEX(tab_MinKomp[Język niemiecki / Deutsch],MATCH($B211,tab_MinKomp[[Stanowisko / Position ]:[Stanowisko / Position ]],0)))</f>
        <v>n/a</v>
      </c>
      <c r="FD212" s="315">
        <f>IF(INDEX(tab_MinKomp[Zarządzanie dokumentacją procesową / Process dokumentation management],MATCH($B211,tab_MinKomp[[Stanowisko / Position ]:[Stanowisko / Position ]],0))="n/a","n/a",FD211-INDEX(tab_MinKomp[Zarządzanie dokumentacją procesową / Process dokumentation management],MATCH($B211,tab_MinKomp[[Stanowisko / Position ]:[Stanowisko / Position ]],0)))</f>
        <v>0</v>
      </c>
      <c r="FE212" s="315">
        <f>IF(INDEX(tab_MinKomp[Znajomość procesów z obszaru / Kenntiss der prozesse in dem Bereich],MATCH($B211,tab_MinKomp[[Stanowisko / Position ]:[Stanowisko / Position ]],0))="n/a","n/a",FE211-INDEX(tab_MinKomp[Znajomość procesów z obszaru / Kenntiss der prozesse in dem Bereich],MATCH($B211,tab_MinKomp[[Stanowisko / Position ]:[Stanowisko / Position ]],0)))</f>
        <v>0</v>
      </c>
      <c r="FF212" s="315">
        <f>IF(INDEX(tab_MinKomp[optymalizacja procesów / Prozessoptymalisierung],MATCH($B211,tab_MinKomp[[Stanowisko / Position ]:[Stanowisko / Position ]],0))="n/a","n/a",FF211-INDEX(tab_MinKomp[optymalizacja procesów / Prozessoptymalisierung],MATCH($B211,tab_MinKomp[[Stanowisko / Position ]:[Stanowisko / Position ]],0)))</f>
        <v>0</v>
      </c>
      <c r="FG212" s="315">
        <f>IF(INDEX(tab_MinKomp[Umiejętności szkoleniowe / Trainingsfähigkeiten],MATCH($B211,tab_MinKomp[[Stanowisko / Position ]:[Stanowisko / Position ]],0))="n/a","n/a",FG211-INDEX(tab_MinKomp[Umiejętności szkoleniowe / Trainingsfähigkeiten],MATCH($B211,tab_MinKomp[[Stanowisko / Position ]:[Stanowisko / Position ]],0)))</f>
        <v>0</v>
      </c>
      <c r="FH212" s="315">
        <f>IF(INDEX(tab_MinKomp[Analityczne myślenie, podejście / Analitysches Denken, Einstellung],MATCH($B211,tab_MinKomp[[Stanowisko / Position ]:[Stanowisko / Position ]],0))="n/a","n/a",FH211-INDEX(tab_MinKomp[Analityczne myślenie, podejście / Analitysches Denken, Einstellung],MATCH($B211,tab_MinKomp[[Stanowisko / Position ]:[Stanowisko / Position ]],0)))</f>
        <v>0</v>
      </c>
      <c r="FI212" s="315">
        <f>IF(INDEX(tab_MinKomp[Dokładność, precyzja w dzialaniu / Genauigkeit, Präzision in die Arbeit],MATCH($B211,tab_MinKomp[[Stanowisko / Position ]:[Stanowisko / Position ]],0))="n/a","n/a",FI211-INDEX(tab_MinKomp[Dokładność, precyzja w dzialaniu / Genauigkeit, Präzision in die Arbeit],MATCH($B211,tab_MinKomp[[Stanowisko / Position ]:[Stanowisko / Position ]],0)))</f>
        <v>0</v>
      </c>
      <c r="FJ212" s="315">
        <f>IF(INDEX(tab_MinKomp[Dyspozycyjność / Verfügbarkeit],MATCH($B211,tab_MinKomp[[Stanowisko / Position ]:[Stanowisko / Position ]],0))="n/a","n/a",FJ211-INDEX(tab_MinKomp[Dyspozycyjność / Verfügbarkeit],MATCH($B211,tab_MinKomp[[Stanowisko / Position ]:[Stanowisko / Position ]],0)))</f>
        <v>0</v>
      </c>
      <c r="FK212" s="315">
        <f>IF(INDEX(tab_MinKomp[Zaangażowanie / 
Engagement],MATCH($B211,tab_MinKomp[[Stanowisko / Position ]:[Stanowisko / Position ]],0))="n/a","n/a",FK211-INDEX(tab_MinKomp[Zaangażowanie / 
Engagement],MATCH($B211,tab_MinKomp[[Stanowisko / Position ]:[Stanowisko / Position ]],0)))</f>
        <v>0</v>
      </c>
      <c r="FL212" s="315">
        <f>IF(INDEX(tab_MinKomp[Planowanie strategiczne / Strategische Planung],MATCH($B211,tab_MinKomp[[Stanowisko / Position ]:[Stanowisko / Position ]],0))="n/a","n/a",FL211-INDEX(tab_MinKomp[Planowanie strategiczne / Strategische Planung],MATCH($B211,tab_MinKomp[[Stanowisko / Position ]:[Stanowisko / Position ]],0)))</f>
        <v>0</v>
      </c>
      <c r="FM212" s="315">
        <f>IF(INDEX(tab_MinKomp[Konsekwentne i dynamiczne działanie],MATCH($B211,tab_MinKomp[[Stanowisko / Position ]:[Stanowisko / Position ]],0))="n/a","n/a",FM211-INDEX(tab_MinKomp[Konsekwentne i dynamiczne działanie],MATCH($B211,tab_MinKomp[[Stanowisko / Position ]:[Stanowisko / Position ]],0)))</f>
        <v>0</v>
      </c>
      <c r="FN212" s="315">
        <f>IF(INDEX(tab_MinKomp[Elastyczność w działaniu],MATCH($B211,tab_MinKomp[[Stanowisko / Position ]:[Stanowisko / Position ]],0))="n/a","n/a",FN211-INDEX(tab_MinKomp[Elastyczność w działaniu],MATCH($B211,tab_MinKomp[[Stanowisko / Position ]:[Stanowisko / Position ]],0)))</f>
        <v>0</v>
      </c>
      <c r="FO212" s="315">
        <f>IF(INDEX(tab_MinKomp[Komunikatywność],MATCH($B211,tab_MinKomp[[Stanowisko / Position ]:[Stanowisko / Position ]],0))="n/a","n/a",FO211-INDEX(tab_MinKomp[Komunikatywność],MATCH($B211,tab_MinKomp[[Stanowisko / Position ]:[Stanowisko / Position ]],0)))</f>
        <v>-2</v>
      </c>
      <c r="FP212" s="315">
        <f>IF(INDEX(tab_MinKomp[Motywowanie i budowanie zaangażowania zespołu],MATCH($B211,tab_MinKomp[[Stanowisko / Position ]:[Stanowisko / Position ]],0))="n/a","n/a",FP211-INDEX(tab_MinKomp[Motywowanie i budowanie zaangażowania zespołu],MATCH($B211,tab_MinKomp[[Stanowisko / Position ]:[Stanowisko / Position ]],0)))</f>
        <v>-2</v>
      </c>
      <c r="FQ212" s="318" t="str">
        <f>IFERROR(IF(INDEX(tab_MinKomp[BRAK / Keine],MATCH($B211,tab_MinKomp[[Stanowisko / Position ]:[Stanowisko / Position ]],0))="n/a","n/a",INDEX(tab_MinKomp[BRAK / Keine],MATCH($B211,tab_MinKomp[[Stanowisko / Position ]:[Stanowisko / Position ]],0))-FQ211),"")</f>
        <v>n/a</v>
      </c>
      <c r="FR212" s="315" t="str">
        <f>IF(INDEX(tab_MinKomp[MINIMUM 1 ROK / min. 1 Jahr],MATCH($B211,tab_MinKomp[[Stanowisko / Position ]:[Stanowisko / Position ]],0))="n/a","n/a",INDEX(tab_MinKomp[MINIMUM 1 ROK / min. 1 Jahr],MATCH($B211,tab_MinKomp[[Stanowisko / Position ]:[Stanowisko / Position ]],0)))</f>
        <v>n/a</v>
      </c>
      <c r="FS212" s="315" t="str">
        <f>IF(INDEX(tab_MinKomp[MINIMUM 2 LATA / min. 2 Jahre],MATCH($B211,tab_MinKomp[[Stanowisko / Position ]:[Stanowisko / Position ]],0))="n/a","n/a",INDEX(tab_MinKomp[MINIMUM 2 LATA / min. 2 Jahre],MATCH($B211,tab_MinKomp[[Stanowisko / Position ]:[Stanowisko / Position ]],0)))</f>
        <v>x</v>
      </c>
      <c r="FT212" s="315" t="str">
        <f>IF(INDEX(tab_MinKomp[MINIMUM 3 LATA / min. 3 Jahre],MATCH($B211,tab_MinKomp[[Stanowisko / Position ]:[Stanowisko / Position ]],0))="n/a","n/a",INDEX(tab_MinKomp[MINIMUM 3 LATA / min. 3 Jahre],MATCH($B211,tab_MinKomp[[Stanowisko / Position ]:[Stanowisko / Position ]],0)))</f>
        <v>n/a</v>
      </c>
      <c r="FU212" s="315" t="str">
        <f>IF(INDEX(tab_MinKomp[MINIMUM 4 LATA / min. 4 Jahre],MATCH($B211,tab_MinKomp[[Stanowisko / Position ]:[Stanowisko / Position ]],0))="n/a","n/a",INDEX(tab_MinKomp[MINIMUM 4 LATA / min. 4 Jahre],MATCH($B211,tab_MinKomp[[Stanowisko / Position ]:[Stanowisko / Position ]],0)))</f>
        <v>n/a</v>
      </c>
      <c r="FV212" s="319" t="str">
        <f>IF(INDEX(tab_MinKomp[MINIMUM 5 LAT / min. 5 Jahre],MATCH($B211,tab_MinKomp[[Stanowisko / Position ]:[Stanowisko / Position ]],0))="n/a","n/a",INDEX(tab_MinKomp[MINIMUM 5 LAT / min. 5 Jahre],MATCH($B211,tab_MinKomp[[Stanowisko / Position ]:[Stanowisko / Position ]],0)))</f>
        <v>n/a</v>
      </c>
      <c r="FW212" s="318" t="str">
        <f>IF(INDEX(tab_MinKomp[BRAK / Keine9],MATCH($B211,tab_MinKomp[[Stanowisko / Position ]:[Stanowisko / Position ]],0))="n/a","n/a",INDEX(tab_MinKomp[BRAK / Keine9],MATCH($B211,tab_MinKomp[[Stanowisko / Position ]:[Stanowisko / Position ]],0)))</f>
        <v>n/a</v>
      </c>
      <c r="FX212" s="315" t="str">
        <f>IF(INDEX(tab_MinKomp[ŚREDNIE OGÓLNE / Abitur allgemeine],MATCH($B211,tab_MinKomp[[Stanowisko / Position ]:[Stanowisko / Position ]],0))="n/a","n/a",INDEX(tab_MinKomp[ŚREDNIE OGÓLNE / Abitur allgemeine],MATCH($B211,tab_MinKomp[[Stanowisko / Position ]:[Stanowisko / Position ]],0)))</f>
        <v>n/a</v>
      </c>
      <c r="FY212" s="315" t="str">
        <f>IF(INDEX(tab_MinKomp[ŚREDNIE KIERUNKOWE / berufliches Gymnasium],MATCH($B211,tab_MinKomp[[Stanowisko / Position ]:[Stanowisko / Position ]],0))="n/a","n/a",INDEX(tab_MinKomp[ŚREDNIE KIERUNKOWE / berufliches Gymnasium],MATCH($B211,tab_MinKomp[[Stanowisko / Position ]:[Stanowisko / Position ]],0)))</f>
        <v>n/a</v>
      </c>
      <c r="FZ212" s="315" t="str">
        <f>IF(INDEX(tab_MinKomp[WYŻSZE OGÓLNE / Hochschule allgemeine],MATCH($B211,tab_MinKomp[[Stanowisko / Position ]:[Stanowisko / Position ]],0))="n/a","n/a",INDEX(tab_MinKomp[WYŻSZE OGÓLNE / Hochschule allgemeine],MATCH($B211,tab_MinKomp[[Stanowisko / Position ]:[Stanowisko / Position ]],0)))</f>
        <v>n/a</v>
      </c>
      <c r="GA212" s="319" t="str">
        <f>IF(INDEX(tab_MinKomp[WYŻSZE KIERUNKOWE / Hochschule berufliche],MATCH($B211,tab_MinKomp[[Stanowisko / Position ]:[Stanowisko / Position ]],0))="n/a","n/a",INDEX(tab_MinKomp[WYŻSZE KIERUNKOWE / Hochschule berufliche],MATCH($B211,tab_MinKomp[[Stanowisko / Position ]:[Stanowisko / Position ]],0)))</f>
        <v>n/a</v>
      </c>
      <c r="GB212" s="319" t="str">
        <f>IF(INDEX(tab_MinKomp[WYŻSZE KIERUNKOWE / Hochschule berufliche],MATCH($B211,tab_MinKomp[[Stanowisko / Position ]:[Stanowisko / Position ]],0))="n/a","n/a",INDEX(tab_MinKomp[WYŻSZE KIERUNKOWE / Hochschule berufliche],MATCH($B211,tab_MinKomp[[Stanowisko / Position ]:[Stanowisko / Position ]],0)))</f>
        <v>n/a</v>
      </c>
      <c r="GC212" s="315" t="str">
        <f>IF(INDEX(tab_MinKomp[Specjalista BHP / BHP Spezialist],MATCH($B211,tab_MinKomp[[Stanowisko / Position ]:[Stanowisko / Position ]],0))="n/a","n/a",INDEX(tab_MinKomp[Specjalista BHP / BHP Spezialist],MATCH($B211,tab_MinKomp[[Stanowisko / Position ]:[Stanowisko / Position ]],0)))</f>
        <v>n/a</v>
      </c>
      <c r="GD212" s="315" t="str">
        <f>IF(INDEX(tab_MinKomp[Inspektor ochrony PPOŻ / Brandschutzinspektor],MATCH($B211,tab_MinKomp[[Stanowisko / Position ]:[Stanowisko / Position ]],0))="n/a","n/a",INDEX(tab_MinKomp[Inspektor ochrony PPOŻ / Brandschutzinspektor],MATCH($B211,tab_MinKomp[[Stanowisko / Position ]:[Stanowisko / Position ]],0)))</f>
        <v>n/a</v>
      </c>
      <c r="GE212" s="315" t="str">
        <f>IF(INDEX(tab_MinKomp[WÓZKI JEZDNIOWE / Gebelstapler],MATCH($B211,tab_MinKomp[[Stanowisko / Position ]:[Stanowisko / Position ]],0))="n/a","n/a",INDEX(tab_MinKomp[WÓZKI JEZDNIOWE / Gebelstapler],MATCH($B211,tab_MinKomp[[Stanowisko / Position ]:[Stanowisko / Position ]],0)))</f>
        <v>n/a</v>
      </c>
      <c r="GF212" s="315" t="str">
        <f>IF(INDEX(tab_MinKomp[SEP],MATCH($B211,tab_MinKomp[[Stanowisko / Position ]:[Stanowisko / Position ]],0))="n/a","n/a",INDEX(tab_MinKomp[SEP],MATCH($B211,tab_MinKomp[[Stanowisko / Position ]:[Stanowisko / Position ]],0)))</f>
        <v>n/a</v>
      </c>
      <c r="GG212" s="315" t="str">
        <f>IF(INDEX(tab_MinKomp[SEP  DOZÓR / SEP Aufsicht],MATCH($B211,tab_MinKomp[[Stanowisko / Position ]:[Stanowisko / Position ]],0))="n/a","n/a",INDEX(tab_MinKomp[SEP  DOZÓR / SEP Aufsicht],MATCH($B211,tab_MinKomp[[Stanowisko / Position ]:[Stanowisko / Position ]],0)))</f>
        <v>n/a</v>
      </c>
      <c r="GH212" s="315" t="str">
        <f>IF(INDEX(tab_MinKomp[PODNOŚNIKI / Hebevorrichtung],MATCH($B211,tab_MinKomp[[Stanowisko / Position ]:[Stanowisko / Position ]],0))="n/a","n/a",INDEX(tab_MinKomp[PODNOŚNIKI / Hebevorrichtung],MATCH($B211,tab_MinKomp[[Stanowisko / Position ]:[Stanowisko / Position ]],0)))</f>
        <v>n/a</v>
      </c>
      <c r="GI212" s="315" t="str">
        <f>IF(INDEX(tab_MinKomp[SUWNICE / Laufkran],MATCH($B211,tab_MinKomp[[Stanowisko / Position ]:[Stanowisko / Position ]],0))="n/a","n/a",INDEX(tab_MinKomp[SUWNICE / Laufkran],MATCH($B211,tab_MinKomp[[Stanowisko / Position ]:[Stanowisko / Position ]],0)))</f>
        <v>n/a</v>
      </c>
      <c r="GJ212" s="315" t="str">
        <f>IF(INDEX(tab_MinKomp[WYSOKOŚCIOWE / Höhenberechtigungen],MATCH($B211,tab_MinKomp[[Stanowisko / Position ]:[Stanowisko / Position ]],0))="n/a","n/a",INDEX(tab_MinKomp[WYSOKOŚCIOWE / Höhenberechtigungen],MATCH($B211,tab_MinKomp[[Stanowisko / Position ]:[Stanowisko / Position ]],0)))</f>
        <v>n/a</v>
      </c>
      <c r="GK212" s="315">
        <f>IF(INDEX(tab_MinKomp[Kwalifikacje w pkt / Qualifikationen in Pkt],MATCH($B211,tab_MinKomp[[Stanowisko / Position ]:[Stanowisko / Position ]],0))="n/a","n/a",INDEX(tab_MinKomp[Kwalifikacje w pkt / Qualifikationen in Pkt],MATCH($B211,tab_MinKomp[[Stanowisko / Position ]:[Stanowisko / Position ]],0)))</f>
        <v>119</v>
      </c>
      <c r="GL212" s="320">
        <f>SUM(G212:FP212)/(GL211-(SUM(G212:FP212)))</f>
        <v>1.4084507042253521E-2</v>
      </c>
      <c r="GM212" s="132"/>
    </row>
    <row r="213" spans="1:195" s="133" customFormat="1" ht="28.35" customHeight="1" x14ac:dyDescent="0.25">
      <c r="A213" s="152" t="s">
        <v>227</v>
      </c>
      <c r="B213" s="152" t="s">
        <v>198</v>
      </c>
      <c r="C213" s="135" t="s">
        <v>766</v>
      </c>
      <c r="D213" s="152">
        <v>2144</v>
      </c>
      <c r="E213" s="563" t="s">
        <v>762</v>
      </c>
      <c r="F213" s="307" t="s">
        <v>165</v>
      </c>
      <c r="G213" s="308">
        <v>2</v>
      </c>
      <c r="H213" s="308">
        <v>2</v>
      </c>
      <c r="I213" s="308">
        <v>3</v>
      </c>
      <c r="J213" s="308">
        <v>2</v>
      </c>
      <c r="K213" s="308">
        <v>2</v>
      </c>
      <c r="L213" s="308">
        <v>2</v>
      </c>
      <c r="M213" s="308" t="s">
        <v>176</v>
      </c>
      <c r="N213" s="308" t="s">
        <v>176</v>
      </c>
      <c r="O213" s="308">
        <v>2</v>
      </c>
      <c r="P213" s="308">
        <v>2</v>
      </c>
      <c r="Q213" s="308" t="s">
        <v>176</v>
      </c>
      <c r="R213" s="308" t="s">
        <v>176</v>
      </c>
      <c r="S213" s="308">
        <v>2</v>
      </c>
      <c r="T213" s="308">
        <v>2</v>
      </c>
      <c r="U213" s="308" t="s">
        <v>176</v>
      </c>
      <c r="V213" s="308" t="s">
        <v>176</v>
      </c>
      <c r="W213" s="308" t="s">
        <v>176</v>
      </c>
      <c r="X213" s="308">
        <v>0</v>
      </c>
      <c r="Y213" s="308" t="s">
        <v>176</v>
      </c>
      <c r="Z213" s="308" t="s">
        <v>176</v>
      </c>
      <c r="AA213" s="308">
        <v>2</v>
      </c>
      <c r="AB213" s="308">
        <v>2</v>
      </c>
      <c r="AC213" s="308">
        <v>2</v>
      </c>
      <c r="AD213" s="308">
        <v>2</v>
      </c>
      <c r="AE213" s="308">
        <v>2</v>
      </c>
      <c r="AF213" s="308">
        <v>2</v>
      </c>
      <c r="AG213" s="308">
        <v>2</v>
      </c>
      <c r="AH213" s="308">
        <v>2</v>
      </c>
      <c r="AI213" s="308" t="s">
        <v>176</v>
      </c>
      <c r="AJ213" s="308">
        <v>1</v>
      </c>
      <c r="AK213" s="308">
        <v>1</v>
      </c>
      <c r="AL213" s="308">
        <v>3</v>
      </c>
      <c r="AM213" s="308">
        <v>1</v>
      </c>
      <c r="AN213" s="308" t="s">
        <v>176</v>
      </c>
      <c r="AO213" s="308">
        <v>2</v>
      </c>
      <c r="AP213" s="308">
        <v>2</v>
      </c>
      <c r="AQ213" s="308">
        <v>2</v>
      </c>
      <c r="AR213" s="308" t="s">
        <v>176</v>
      </c>
      <c r="AS213" s="308">
        <v>2</v>
      </c>
      <c r="AT213" s="308">
        <v>2</v>
      </c>
      <c r="AU213" s="308">
        <v>2</v>
      </c>
      <c r="AV213" s="308">
        <v>3</v>
      </c>
      <c r="AW213" s="308">
        <v>3</v>
      </c>
      <c r="AX213" s="308">
        <v>3</v>
      </c>
      <c r="AY213" s="308">
        <v>2</v>
      </c>
      <c r="AZ213" s="308">
        <v>3</v>
      </c>
      <c r="BA213" s="308">
        <v>3</v>
      </c>
      <c r="BB213" s="308">
        <v>3</v>
      </c>
      <c r="BC213" s="308">
        <v>1</v>
      </c>
      <c r="BD213" s="308">
        <v>1</v>
      </c>
      <c r="BE213" s="308">
        <v>2</v>
      </c>
      <c r="BF213" s="308" t="s">
        <v>176</v>
      </c>
      <c r="BG213" s="308" t="s">
        <v>176</v>
      </c>
      <c r="BH213" s="308" t="s">
        <v>176</v>
      </c>
      <c r="BI213" s="308" t="s">
        <v>176</v>
      </c>
      <c r="BJ213" s="308" t="s">
        <v>176</v>
      </c>
      <c r="BK213" s="308" t="s">
        <v>176</v>
      </c>
      <c r="BL213" s="308" t="s">
        <v>176</v>
      </c>
      <c r="BM213" s="308">
        <v>1</v>
      </c>
      <c r="BN213" s="308">
        <v>1</v>
      </c>
      <c r="BO213" s="308">
        <v>1</v>
      </c>
      <c r="BP213" s="308">
        <v>1</v>
      </c>
      <c r="BQ213" s="308">
        <v>1</v>
      </c>
      <c r="BR213" s="308">
        <v>1</v>
      </c>
      <c r="BS213" s="308">
        <v>1</v>
      </c>
      <c r="BT213" s="308">
        <v>1</v>
      </c>
      <c r="BU213" s="308">
        <v>1</v>
      </c>
      <c r="BV213" s="308">
        <v>1</v>
      </c>
      <c r="BW213" s="308" t="s">
        <v>176</v>
      </c>
      <c r="BX213" s="308" t="s">
        <v>176</v>
      </c>
      <c r="BY213" s="308" t="s">
        <v>176</v>
      </c>
      <c r="BZ213" s="308" t="s">
        <v>176</v>
      </c>
      <c r="CA213" s="308" t="s">
        <v>176</v>
      </c>
      <c r="CB213" s="308" t="s">
        <v>176</v>
      </c>
      <c r="CC213" s="308" t="s">
        <v>176</v>
      </c>
      <c r="CD213" s="308" t="s">
        <v>176</v>
      </c>
      <c r="CE213" s="308" t="s">
        <v>176</v>
      </c>
      <c r="CF213" s="308" t="s">
        <v>176</v>
      </c>
      <c r="CG213" s="308">
        <v>2</v>
      </c>
      <c r="CH213" s="308" t="s">
        <v>176</v>
      </c>
      <c r="CI213" s="308">
        <v>2</v>
      </c>
      <c r="CJ213" s="308">
        <v>2</v>
      </c>
      <c r="CK213" s="308" t="s">
        <v>176</v>
      </c>
      <c r="CL213" s="308" t="s">
        <v>176</v>
      </c>
      <c r="CM213" s="308">
        <v>3</v>
      </c>
      <c r="CN213" s="308">
        <v>3</v>
      </c>
      <c r="CO213" s="308">
        <v>3</v>
      </c>
      <c r="CP213" s="308">
        <v>3</v>
      </c>
      <c r="CQ213" s="308">
        <v>2</v>
      </c>
      <c r="CR213" s="308">
        <v>2</v>
      </c>
      <c r="CS213" s="308">
        <v>2</v>
      </c>
      <c r="CT213" s="308">
        <v>2</v>
      </c>
      <c r="CU213" s="308">
        <v>2</v>
      </c>
      <c r="CV213" s="308" t="s">
        <v>176</v>
      </c>
      <c r="CW213" s="308" t="s">
        <v>176</v>
      </c>
      <c r="CX213" s="308" t="s">
        <v>176</v>
      </c>
      <c r="CY213" s="308" t="s">
        <v>176</v>
      </c>
      <c r="CZ213" s="308" t="s">
        <v>176</v>
      </c>
      <c r="DA213" s="308" t="s">
        <v>176</v>
      </c>
      <c r="DB213" s="308" t="s">
        <v>176</v>
      </c>
      <c r="DC213" s="308" t="s">
        <v>176</v>
      </c>
      <c r="DD213" s="308" t="s">
        <v>176</v>
      </c>
      <c r="DE213" s="308" t="s">
        <v>176</v>
      </c>
      <c r="DF213" s="308" t="s">
        <v>176</v>
      </c>
      <c r="DG213" s="308" t="s">
        <v>176</v>
      </c>
      <c r="DH213" s="308" t="s">
        <v>176</v>
      </c>
      <c r="DI213" s="308" t="s">
        <v>176</v>
      </c>
      <c r="DJ213" s="308" t="s">
        <v>176</v>
      </c>
      <c r="DK213" s="308" t="s">
        <v>176</v>
      </c>
      <c r="DL213" s="308" t="s">
        <v>176</v>
      </c>
      <c r="DM213" s="308" t="s">
        <v>176</v>
      </c>
      <c r="DN213" s="308" t="s">
        <v>176</v>
      </c>
      <c r="DO213" s="308" t="s">
        <v>176</v>
      </c>
      <c r="DP213" s="308" t="s">
        <v>176</v>
      </c>
      <c r="DQ213" s="308" t="s">
        <v>176</v>
      </c>
      <c r="DR213" s="308" t="s">
        <v>176</v>
      </c>
      <c r="DS213" s="308" t="s">
        <v>176</v>
      </c>
      <c r="DT213" s="308" t="s">
        <v>176</v>
      </c>
      <c r="DU213" s="308" t="s">
        <v>176</v>
      </c>
      <c r="DV213" s="308" t="s">
        <v>176</v>
      </c>
      <c r="DW213" s="308" t="s">
        <v>176</v>
      </c>
      <c r="DX213" s="308" t="s">
        <v>176</v>
      </c>
      <c r="DY213" s="308" t="s">
        <v>176</v>
      </c>
      <c r="DZ213" s="308" t="s">
        <v>176</v>
      </c>
      <c r="EA213" s="308" t="s">
        <v>176</v>
      </c>
      <c r="EB213" s="308" t="s">
        <v>176</v>
      </c>
      <c r="EC213" s="308" t="s">
        <v>176</v>
      </c>
      <c r="ED213" s="308" t="s">
        <v>176</v>
      </c>
      <c r="EE213" s="308" t="s">
        <v>176</v>
      </c>
      <c r="EF213" s="308" t="s">
        <v>176</v>
      </c>
      <c r="EG213" s="308" t="s">
        <v>176</v>
      </c>
      <c r="EH213" s="308" t="s">
        <v>176</v>
      </c>
      <c r="EI213" s="308" t="s">
        <v>176</v>
      </c>
      <c r="EJ213" s="308" t="s">
        <v>176</v>
      </c>
      <c r="EK213" s="308" t="s">
        <v>176</v>
      </c>
      <c r="EL213" s="308" t="s">
        <v>176</v>
      </c>
      <c r="EM213" s="308" t="s">
        <v>176</v>
      </c>
      <c r="EN213" s="308" t="s">
        <v>176</v>
      </c>
      <c r="EO213" s="308" t="s">
        <v>176</v>
      </c>
      <c r="EP213" s="308" t="s">
        <v>176</v>
      </c>
      <c r="EQ213" s="308" t="s">
        <v>176</v>
      </c>
      <c r="ER213" s="308" t="s">
        <v>176</v>
      </c>
      <c r="ES213" s="308" t="s">
        <v>176</v>
      </c>
      <c r="ET213" s="308" t="s">
        <v>176</v>
      </c>
      <c r="EU213" s="308" t="s">
        <v>176</v>
      </c>
      <c r="EV213" s="308" t="s">
        <v>176</v>
      </c>
      <c r="EW213" s="308" t="s">
        <v>176</v>
      </c>
      <c r="EX213" s="308" t="s">
        <v>176</v>
      </c>
      <c r="EY213" s="308">
        <v>2</v>
      </c>
      <c r="EZ213" s="308">
        <v>2</v>
      </c>
      <c r="FA213" s="308">
        <v>2</v>
      </c>
      <c r="FB213" s="308">
        <v>2</v>
      </c>
      <c r="FC213" s="308" t="s">
        <v>176</v>
      </c>
      <c r="FD213" s="308">
        <v>3</v>
      </c>
      <c r="FE213" s="308">
        <v>3</v>
      </c>
      <c r="FF213" s="308">
        <v>3</v>
      </c>
      <c r="FG213" s="308">
        <v>3</v>
      </c>
      <c r="FH213" s="308">
        <v>3</v>
      </c>
      <c r="FI213" s="308">
        <v>3</v>
      </c>
      <c r="FJ213" s="308">
        <v>3</v>
      </c>
      <c r="FK213" s="308">
        <v>3</v>
      </c>
      <c r="FL213" s="308">
        <v>3</v>
      </c>
      <c r="FM213" s="308">
        <v>3</v>
      </c>
      <c r="FN213" s="308">
        <v>3</v>
      </c>
      <c r="FO213" s="308">
        <v>2</v>
      </c>
      <c r="FP213" s="308">
        <v>2</v>
      </c>
      <c r="FQ213" s="308" t="s">
        <v>176</v>
      </c>
      <c r="FR213" s="308" t="s">
        <v>176</v>
      </c>
      <c r="FS213" s="308" t="s">
        <v>160</v>
      </c>
      <c r="FT213" s="308" t="s">
        <v>176</v>
      </c>
      <c r="FU213" s="308" t="s">
        <v>176</v>
      </c>
      <c r="FV213" s="308" t="s">
        <v>176</v>
      </c>
      <c r="FW213" s="308" t="s">
        <v>176</v>
      </c>
      <c r="FX213" s="308" t="s">
        <v>160</v>
      </c>
      <c r="FY213" s="308" t="s">
        <v>176</v>
      </c>
      <c r="FZ213" s="308" t="s">
        <v>176</v>
      </c>
      <c r="GA213" s="308" t="s">
        <v>176</v>
      </c>
      <c r="GB213" s="308" t="s">
        <v>176</v>
      </c>
      <c r="GC213" s="308" t="s">
        <v>176</v>
      </c>
      <c r="GD213" s="308" t="s">
        <v>176</v>
      </c>
      <c r="GE213" s="308" t="s">
        <v>176</v>
      </c>
      <c r="GF213" s="308" t="s">
        <v>176</v>
      </c>
      <c r="GG213" s="308" t="s">
        <v>176</v>
      </c>
      <c r="GH213" s="308" t="s">
        <v>176</v>
      </c>
      <c r="GI213" s="308" t="s">
        <v>176</v>
      </c>
      <c r="GJ213" s="308" t="s">
        <v>176</v>
      </c>
      <c r="GK213" s="308" t="s">
        <v>176</v>
      </c>
      <c r="GL213" s="311">
        <f>SUM(G213:GK213)</f>
        <v>162</v>
      </c>
      <c r="GM213" s="132"/>
    </row>
    <row r="214" spans="1:195" s="133" customFormat="1" ht="28.35" customHeight="1" thickBot="1" x14ac:dyDescent="0.3">
      <c r="A214" s="152" t="s">
        <v>227</v>
      </c>
      <c r="B214" s="152" t="s">
        <v>198</v>
      </c>
      <c r="C214" s="135" t="s">
        <v>766</v>
      </c>
      <c r="D214" s="152">
        <v>2144</v>
      </c>
      <c r="E214" s="564"/>
      <c r="F214" s="312" t="s">
        <v>166</v>
      </c>
      <c r="G214" s="313">
        <f>IF(INDEX(tab_MinKomp[Przepisy BHP / BHP Vorschriften],MATCH($B213,tab_MinKomp[[Stanowisko / Position ]:[Stanowisko / Position ]],0))="n/a","n/a",G213-INDEX(tab_MinKomp[Przepisy BHP / BHP Vorschriften],MATCH($B213,tab_MinKomp[[Stanowisko / Position ]:[Stanowisko / Position ]],0)))</f>
        <v>0</v>
      </c>
      <c r="H214" s="313">
        <f>IF(INDEX(tab_MinKomp[Przepisy PPOŻ / Brandschutzbestimmungen],MATCH($B213,tab_MinKomp[[Stanowisko / Position ]:[Stanowisko / Position ]],0))="n/a","n/a",H213-INDEX(tab_MinKomp[Przepisy PPOŻ / Brandschutzbestimmungen],MATCH($B213,tab_MinKomp[[Stanowisko / Position ]:[Stanowisko / Position ]],0)))</f>
        <v>0</v>
      </c>
      <c r="I214" s="313">
        <f>IF(INDEX(tab_MinKomp[Ryzyko zawodowe na stanowiskach pracyv/ Berufliche Risiken an Arbeitsstellen],MATCH($B213,tab_MinKomp[[Stanowisko / Position ]:[Stanowisko / Position ]],0))="n/a","n/a",I213-INDEX(tab_MinKomp[Ryzyko zawodowe na stanowiskach pracyv/ Berufliche Risiken an Arbeitsstellen],MATCH($B213,tab_MinKomp[[Stanowisko / Position ]:[Stanowisko / Position ]],0)))</f>
        <v>0</v>
      </c>
      <c r="J214" s="313">
        <f>IF(INDEX(tab_MinKomp[Gospodarka substancjami niebezpiecznymi / Gefahrstoffmanagement],MATCH($B213,tab_MinKomp[[Stanowisko / Position ]:[Stanowisko / Position ]],0))="n/a","n/a",J213-INDEX(tab_MinKomp[Gospodarka substancjami niebezpiecznymi / Gefahrstoffmanagement],MATCH($B213,tab_MinKomp[[Stanowisko / Position ]:[Stanowisko / Position ]],0)))</f>
        <v>0</v>
      </c>
      <c r="K214" s="313">
        <f>IF(INDEX(tab_MinKomp[Gospodarka odpadami / Abfallwirtschaft],MATCH($B213,tab_MinKomp[[Stanowisko / Position ]:[Stanowisko / Position ]],0))="n/a","n/a",K213-INDEX(tab_MinKomp[Gospodarka odpadami / Abfallwirtschaft],MATCH($B213,tab_MinKomp[[Stanowisko / Position ]:[Stanowisko / Position ]],0)))</f>
        <v>0</v>
      </c>
      <c r="L214" s="313">
        <f>IF(INDEX(tab_MinKomp[Przepisy kodeksu pracy / Bestimmungen des Arbeitsgesetzes],MATCH($B213,tab_MinKomp[[Stanowisko / Position ]:[Stanowisko / Position ]],0))="n/a","n/a",L213-INDEX(tab_MinKomp[Przepisy kodeksu pracy / Bestimmungen des Arbeitsgesetzes],MATCH($B213,tab_MinKomp[[Stanowisko / Position ]:[Stanowisko / Position ]],0)))</f>
        <v>1</v>
      </c>
      <c r="M214" s="313" t="str">
        <f>IF(INDEX(tab_MinKomp[Przepisy o ub.społ. ZUS  / Sozialversicherungsvorschriften],MATCH($B213,tab_MinKomp[[Stanowisko / Position ]:[Stanowisko / Position ]],0))="n/a","n/a",M213-INDEX(tab_MinKomp[Przepisy o ub.społ. ZUS  / Sozialversicherungsvorschriften],MATCH($B213,tab_MinKomp[[Stanowisko / Position ]:[Stanowisko / Position ]],0)))</f>
        <v>n/a</v>
      </c>
      <c r="N214" s="313" t="str">
        <f>IF(INDEX(tab_MinKomp[PRZEPISY O PDOF /persönlich Einkommensteuergesetz ],MATCH($B213,tab_MinKomp[[Stanowisko / Position ]:[Stanowisko / Position ]],0))="n/a","n/a",N213-INDEX(tab_MinKomp[PRZEPISY O PDOF /persönlich Einkommensteuergesetz ],MATCH($B213,tab_MinKomp[[Stanowisko / Position ]:[Stanowisko / Position ]],0)))</f>
        <v>n/a</v>
      </c>
      <c r="O214" s="313">
        <f>IF(INDEX(tab_MinKomp[Regulamin pracy / Arbeitsordnung],MATCH($B213,tab_MinKomp[[Stanowisko / Position ]:[Stanowisko / Position ]],0))="n/a","n/a",O213-INDEX(tab_MinKomp[Regulamin pracy / Arbeitsordnung],MATCH($B213,tab_MinKomp[[Stanowisko / Position ]:[Stanowisko / Position ]],0)))</f>
        <v>0</v>
      </c>
      <c r="P214" s="313">
        <f>IF(INDEX(tab_MinKomp[Regulamin wynagradzania / Vergütungsordnung],MATCH($B213,tab_MinKomp[[Stanowisko / Position ]:[Stanowisko / Position ]],0))="n/a","n/a",P213-INDEX(tab_MinKomp[Regulamin wynagradzania / Vergütungsordnung],MATCH($B213,tab_MinKomp[[Stanowisko / Position ]:[Stanowisko / Position ]],0)))</f>
        <v>0</v>
      </c>
      <c r="Q214" s="313" t="str">
        <f>IF(INDEX(tab_MinKomp[System R2PŁATNIK PRO: Płace / Lohnabrechnung],MATCH($B213,tab_MinKomp[[Stanowisko / Position ]:[Stanowisko / Position ]],0))="n/a","n/a",Q213-INDEX(tab_MinKomp[System R2PŁATNIK PRO: Płace / Lohnabrechnung],MATCH($B213,tab_MinKomp[[Stanowisko / Position ]:[Stanowisko / Position ]],0)))</f>
        <v>n/a</v>
      </c>
      <c r="R214" s="313" t="str">
        <f>IF(INDEX(tab_MinKomp[SystemR2PŁATNIK PRO: KADRY / Personaldaten],MATCH($B213,tab_MinKomp[[Stanowisko / Position ]:[Stanowisko / Position ]],0))="n/a","n/a",R213-INDEX(tab_MinKomp[SystemR2PŁATNIK PRO: KADRY / Personaldaten],MATCH($B213,tab_MinKomp[[Stanowisko / Position ]:[Stanowisko / Position ]],0)))</f>
        <v>n/a</v>
      </c>
      <c r="S214" s="313">
        <f>IF(INDEX(tab_MinKomp[SYSTEM R2PŁATNIK PRO: zarządzanie pracownikami / Arbeitsverwaltung],MATCH($B213,tab_MinKomp[[Stanowisko / Position ]:[Stanowisko / Position ]],0))="n/a","n/a",S213-INDEX(tab_MinKomp[SYSTEM R2PŁATNIK PRO: zarządzanie pracownikami / Arbeitsverwaltung],MATCH($B213,tab_MinKomp[[Stanowisko / Position ]:[Stanowisko / Position ]],0)))</f>
        <v>0</v>
      </c>
      <c r="T214" s="313">
        <f>IF(INDEX(tab_MinKomp[Doradztwo, wsparcie personalne / Personalberatung und Unterstützung],MATCH($B213,tab_MinKomp[[Stanowisko / Position ]:[Stanowisko / Position ]],0))="n/a","n/a",T213-INDEX(tab_MinKomp[Doradztwo, wsparcie personalne / Personalberatung und Unterstützung],MATCH($B213,tab_MinKomp[[Stanowisko / Position ]:[Stanowisko / Position ]],0)))</f>
        <v>0</v>
      </c>
      <c r="U214" s="313" t="str">
        <f>IF(INDEX(tab_MinKomp[Przepisy o podatku VAT / MwSt.- Gesetz],MATCH($B213,tab_MinKomp[[Stanowisko / Position ]:[Stanowisko / Position ]],0))="n/a","n/a",U213-INDEX(tab_MinKomp[Przepisy o podatku VAT / MwSt.- Gesetz],MATCH($B213,tab_MinKomp[[Stanowisko / Position ]:[Stanowisko / Position ]],0)))</f>
        <v>n/a</v>
      </c>
      <c r="V214" s="313" t="str">
        <f>IF(INDEX(tab_MinKomp[PrzepisyPDOP / geschäftlich Einkommensteuergesetz],MATCH($B213,tab_MinKomp[[Stanowisko / Position ]:[Stanowisko / Position ]],0))="n/a","n/a",V213-INDEX(tab_MinKomp[PrzepisyPDOP / geschäftlich Einkommensteuergesetz],MATCH($B213,tab_MinKomp[[Stanowisko / Position ]:[Stanowisko / Position ]],0)))</f>
        <v>n/a</v>
      </c>
      <c r="W214" s="313" t="str">
        <f>IF(INDEX(tab_MinKomp[System BAAN / FINANSE (FIBU)],MATCH($B213,tab_MinKomp[[Stanowisko / Position ]:[Stanowisko / Position ]],0))="n/a","n/a",W213-INDEX(tab_MinKomp[System BAAN / FINANSE (FIBU)],MATCH($B213,tab_MinKomp[[Stanowisko / Position ]:[Stanowisko / Position ]],0)))</f>
        <v>n/a</v>
      </c>
      <c r="X214" s="313">
        <f>IF(INDEX(tab_MinKomp[Systemy pomocnicze / Hilfssysteme(STOCKPROGRAM, KALK2000 etc.)],MATCH($B213,tab_MinKomp[[Stanowisko / Position ]:[Stanowisko / Position ]],0))="n/a","n/a",X213-INDEX(tab_MinKomp[Systemy pomocnicze / Hilfssysteme(STOCKPROGRAM, KALK2000 etc.)],MATCH($B213,tab_MinKomp[[Stanowisko / Position ]:[Stanowisko / Position ]],0)))</f>
        <v>-1</v>
      </c>
      <c r="Y214" s="313" t="str">
        <f>IF(INDEX(tab_MinKomp[Polityka rachunkowości / Buchführungspolitik],MATCH($B213,tab_MinKomp[[Stanowisko / Position ]:[Stanowisko / Position ]],0))="n/a","n/a",Y213-INDEX(tab_MinKomp[Polityka rachunkowości / Buchführungspolitik],MATCH($B213,tab_MinKomp[[Stanowisko / Position ]:[Stanowisko / Position ]],0)))</f>
        <v>n/a</v>
      </c>
      <c r="Z214" s="313" t="str">
        <f>IF(INDEX(tab_MinKomp[Ustawa o rachunkowości / Rechnungslegungsgesetz],MATCH($B213,tab_MinKomp[[Stanowisko / Position ]:[Stanowisko / Position ]],0))="n/a","n/a",Z213-INDEX(tab_MinKomp[Ustawa o rachunkowości / Rechnungslegungsgesetz],MATCH($B213,tab_MinKomp[[Stanowisko / Position ]:[Stanowisko / Position ]],0)))</f>
        <v>n/a</v>
      </c>
      <c r="AA214" s="313">
        <f>IF(INDEX(tab_MinKomp[WORKFLOW - TS-100],MATCH($B213,tab_MinKomp[[Stanowisko / Position ]:[Stanowisko / Position ]],0))="n/a","n/a",AA213-INDEX(tab_MinKomp[WORKFLOW - TS-100],MATCH($B213,tab_MinKomp[[Stanowisko / Position ]:[Stanowisko / Position ]],0)))</f>
        <v>1</v>
      </c>
      <c r="AB214" s="313">
        <f>IF(INDEX(tab_MinKomp[WORKFLOW - SFMS],MATCH($B213,tab_MinKomp[[Stanowisko / Position ]:[Stanowisko / Position ]],0))="n/a","n/a",AB213-INDEX(tab_MinKomp[WORKFLOW - SFMS],MATCH($B213,tab_MinKomp[[Stanowisko / Position ]:[Stanowisko / Position ]],0)))</f>
        <v>0</v>
      </c>
      <c r="AC214" s="313">
        <f>IF(INDEX(tab_MinKomp[System ISO 9001:2015],MATCH($B213,tab_MinKomp[[Stanowisko / Position ]:[Stanowisko / Position ]],0))="n/a","n/a",AC213-INDEX(tab_MinKomp[System ISO 9001:2015],MATCH($B213,tab_MinKomp[[Stanowisko / Position ]:[Stanowisko / Position ]],0)))</f>
        <v>1</v>
      </c>
      <c r="AD214" s="313">
        <f>IF(INDEX(tab_MinKomp[System IATF 16949:2016],MATCH($B213,tab_MinKomp[[Stanowisko / Position ]:[Stanowisko / Position ]],0))="n/a","n/a",AD213-INDEX(tab_MinKomp[System IATF 16949:2016],MATCH($B213,tab_MinKomp[[Stanowisko / Position ]:[Stanowisko / Position ]],0)))</f>
        <v>1</v>
      </c>
      <c r="AE214" s="313">
        <f>IF(INDEX(tab_MinKomp[System ISO 14001:2015],MATCH($B213,tab_MinKomp[[Stanowisko / Position ]:[Stanowisko / Position ]],0))="n/a","n/a",AE213-INDEX(tab_MinKomp[System ISO 14001:2015],MATCH($B213,tab_MinKomp[[Stanowisko / Position ]:[Stanowisko / Position ]],0)))</f>
        <v>0</v>
      </c>
      <c r="AF214" s="313">
        <f>IF(INDEX(tab_MinKomp[System PN-N 18001:2004 / ISO 45001:2018],MATCH($B213,tab_MinKomp[[Stanowisko / Position ]:[Stanowisko / Position ]],0))="n/a","n/a",AF213-INDEX(tab_MinKomp[System PN-N 18001:2004 / ISO 45001:2018],MATCH($B213,tab_MinKomp[[Stanowisko / Position ]:[Stanowisko / Position ]],0)))</f>
        <v>0</v>
      </c>
      <c r="AG214" s="313">
        <f>IF(INDEX(tab_MinKomp[Wymagania VDA 6.3 Process / Forderungen],MATCH($B213,tab_MinKomp[[Stanowisko / Position ]:[Stanowisko / Position ]],0))="n/a","n/a",AG213-INDEX(tab_MinKomp[Wymagania VDA 6.3 Process / Forderungen],MATCH($B213,tab_MinKomp[[Stanowisko / Position ]:[Stanowisko / Position ]],0)))</f>
        <v>1</v>
      </c>
      <c r="AH214" s="313">
        <f>IF(INDEX(tab_MinKomp[Wymagania VDA 6.5 Product / Forderungen],MATCH($B213,tab_MinKomp[[Stanowisko / Position ]:[Stanowisko / Position ]],0))="n/a","n/a",AH213-INDEX(tab_MinKomp[Wymagania VDA 6.5 Product / Forderungen],MATCH($B213,tab_MinKomp[[Stanowisko / Position ]:[Stanowisko / Position ]],0)))</f>
        <v>1</v>
      </c>
      <c r="AI214" s="313" t="str">
        <f>IF(INDEX(tab_MinKomp[PSCR (VW Product Safety &amp; Conformity Representative)],MATCH($B213,tab_MinKomp[[Stanowisko / Position ]:[Stanowisko / Position ]],0))="n/a","n/a",AI213-INDEX(tab_MinKomp[PSCR (VW Product Safety &amp; Conformity Representative)],MATCH($B213,tab_MinKomp[[Stanowisko / Position ]:[Stanowisko / Position ]],0)))</f>
        <v>n/a</v>
      </c>
      <c r="AJ214" s="313">
        <f>IF(INDEX(tab_MinKomp[Auditor systemu ISO 17025:2018],MATCH($B213,tab_MinKomp[[Stanowisko / Position ]:[Stanowisko / Position ]],0))="n/a","n/a",AJ213-INDEX(tab_MinKomp[Auditor systemu ISO 17025:2018],MATCH($B213,tab_MinKomp[[Stanowisko / Position ]:[Stanowisko / Position ]],0)))</f>
        <v>0</v>
      </c>
      <c r="AK214" s="313">
        <f>IF(INDEX(tab_MinKomp[Pełnomocnik systemu / Systemvertreter],MATCH($B213,tab_MinKomp[[Stanowisko / Position ]:[Stanowisko / Position ]],0))="n/a","n/a",AK213-INDEX(tab_MinKomp[Pełnomocnik systemu / Systemvertreter],MATCH($B213,tab_MinKomp[[Stanowisko / Position ]:[Stanowisko / Position ]],0)))</f>
        <v>0</v>
      </c>
      <c r="AL214" s="313">
        <f>IF(INDEX(tab_MinKomp[Polityka Etyczna - Compliance],MATCH($B213,tab_MinKomp[[Stanowisko / Position ]:[Stanowisko / Position ]],0))="n/a","n/a",AL213-INDEX(tab_MinKomp[Polityka Etyczna - Compliance],MATCH($B213,tab_MinKomp[[Stanowisko / Position ]:[Stanowisko / Position ]],0)))</f>
        <v>0</v>
      </c>
      <c r="AM214" s="313">
        <f>IF(INDEX(tab_MinKomp[WDRAŻANIE NOWYCH PROJEKTÓW/ PROCEDURA CTM],MATCH($B213,tab_MinKomp[[Stanowisko / Position ]:[Stanowisko / Position ]],0))="n/a","n/a",AM213-INDEX(tab_MinKomp[WDRAŻANIE NOWYCH PROJEKTÓW/ PROCEDURA CTM],MATCH($B213,tab_MinKomp[[Stanowisko / Position ]:[Stanowisko / Position ]],0)))</f>
        <v>0</v>
      </c>
      <c r="AN214" s="313" t="str">
        <f>IF(INDEX(tab_MinKomp[KAMIENIE MILOWE MSL/PIFF],MATCH($B213,tab_MinKomp[[Stanowisko / Position ]:[Stanowisko / Position ]],0))="n/a","n/a",AN213-INDEX(tab_MinKomp[KAMIENIE MILOWE MSL/PIFF],MATCH($B213,tab_MinKomp[[Stanowisko / Position ]:[Stanowisko / Position ]],0)))</f>
        <v>n/a</v>
      </c>
      <c r="AO214" s="313">
        <f>IF(INDEX(tab_MinKomp[CP],MATCH($B213,tab_MinKomp[[Stanowisko / Position ]:[Stanowisko / Position ]],0))="n/a","n/a",AO213-INDEX(tab_MinKomp[CP],MATCH($B213,tab_MinKomp[[Stanowisko / Position ]:[Stanowisko / Position ]],0)))</f>
        <v>0</v>
      </c>
      <c r="AP214" s="313">
        <f>IF(INDEX(tab_MinKomp[FMEA],MATCH($B213,tab_MinKomp[[Stanowisko / Position ]:[Stanowisko / Position ]],0))="n/a","n/a",AP213-INDEX(tab_MinKomp[FMEA],MATCH($B213,tab_MinKomp[[Stanowisko / Position ]:[Stanowisko / Position ]],0)))</f>
        <v>0</v>
      </c>
      <c r="AQ214" s="313">
        <f>IF(INDEX(tab_MinKomp[FLOW CHART],MATCH($B213,tab_MinKomp[[Stanowisko / Position ]:[Stanowisko / Position ]],0))="n/a","n/a",AQ213-INDEX(tab_MinKomp[FLOW CHART],MATCH($B213,tab_MinKomp[[Stanowisko / Position ]:[Stanowisko / Position ]],0)))</f>
        <v>0</v>
      </c>
      <c r="AR214" s="313" t="str">
        <f>IF(INDEX(tab_MinKomp[APQP],MATCH($B213,tab_MinKomp[[Stanowisko / Position ]:[Stanowisko / Position ]],0))="n/a","n/a",AR213-INDEX(tab_MinKomp[APQP],MATCH($B213,tab_MinKomp[[Stanowisko / Position ]:[Stanowisko / Position ]],0)))</f>
        <v>n/a</v>
      </c>
      <c r="AS214" s="313">
        <f>IF(INDEX(tab_MinKomp[MSA],MATCH($B213,tab_MinKomp[[Stanowisko / Position ]:[Stanowisko / Position ]],0))="n/a","n/a",AS213-INDEX(tab_MinKomp[MSA],MATCH($B213,tab_MinKomp[[Stanowisko / Position ]:[Stanowisko / Position ]],0)))</f>
        <v>1</v>
      </c>
      <c r="AT214" s="313">
        <f>IF(INDEX(tab_MinKomp[SPC],MATCH($B213,tab_MinKomp[[Stanowisko / Position ]:[Stanowisko / Position ]],0))="n/a","n/a",AT213-INDEX(tab_MinKomp[SPC],MATCH($B213,tab_MinKomp[[Stanowisko / Position ]:[Stanowisko / Position ]],0)))</f>
        <v>1</v>
      </c>
      <c r="AU214" s="313">
        <f>IF(INDEX(tab_MinKomp[CSR (SPECYFICZNE WYMAGANIA KLIENTA)],MATCH($B213,tab_MinKomp[[Stanowisko / Position ]:[Stanowisko / Position ]],0))="n/a","n/a",AU213-INDEX(tab_MinKomp[CSR (SPECYFICZNE WYMAGANIA KLIENTA)],MATCH($B213,tab_MinKomp[[Stanowisko / Position ]:[Stanowisko / Position ]],0)))</f>
        <v>0</v>
      </c>
      <c r="AV214" s="313">
        <f>IF(INDEX(tab_MinKomp[5S],MATCH($B213,tab_MinKomp[[Stanowisko / Position ]:[Stanowisko / Position ]],0))="n/a","n/a",AV213-INDEX(tab_MinKomp[5S],MATCH($B213,tab_MinKomp[[Stanowisko / Position ]:[Stanowisko / Position ]],0)))</f>
        <v>0</v>
      </c>
      <c r="AW214" s="313">
        <f>IF(INDEX(tab_MinKomp[LEAN MANAGEMENT],MATCH($B213,tab_MinKomp[[Stanowisko / Position ]:[Stanowisko / Position ]],0))="n/a","n/a",AW213-INDEX(tab_MinKomp[LEAN MANAGEMENT],MATCH($B213,tab_MinKomp[[Stanowisko / Position ]:[Stanowisko / Position ]],0)))</f>
        <v>0</v>
      </c>
      <c r="AX214" s="313">
        <f>IF(INDEX(tab_MinKomp[5R],MATCH($B213,tab_MinKomp[[Stanowisko / Position ]:[Stanowisko / Position ]],0))="n/a","n/a",AX213-INDEX(tab_MinKomp[5R],MATCH($B213,tab_MinKomp[[Stanowisko / Position ]:[Stanowisko / Position ]],0)))</f>
        <v>0</v>
      </c>
      <c r="AY214" s="313">
        <f>IF(INDEX(tab_MinKomp[Six Sigma],MATCH($B213,tab_MinKomp[[Stanowisko / Position ]:[Stanowisko / Position ]],0))="n/a","n/a",AY213-INDEX(tab_MinKomp[Six Sigma],MATCH($B213,tab_MinKomp[[Stanowisko / Position ]:[Stanowisko / Position ]],0)))</f>
        <v>1</v>
      </c>
      <c r="AZ214" s="313">
        <f>IF(INDEX(tab_MinKomp[System BAAN / Distribution &amp; Supply Chain],MATCH($B213,tab_MinKomp[[Stanowisko / Position ]:[Stanowisko / Position ]],0))="n/a","n/a",AZ213-INDEX(tab_MinKomp[System BAAN / Distribution &amp; Supply Chain],MATCH($B213,tab_MinKomp[[Stanowisko / Position ]:[Stanowisko / Position ]],0)))</f>
        <v>0</v>
      </c>
      <c r="BA214" s="313">
        <f>IF(INDEX(tab_MinKomp[Gospodarka magazynowa / Lagerverwaltung],MATCH($B213,tab_MinKomp[[Stanowisko / Position ]:[Stanowisko / Position ]],0))="n/a","n/a",BA213-INDEX(tab_MinKomp[Gospodarka magazynowa / Lagerverwaltung],MATCH($B213,tab_MinKomp[[Stanowisko / Position ]:[Stanowisko / Position ]],0)))</f>
        <v>0</v>
      </c>
      <c r="BB214" s="313">
        <f>IF(INDEX(tab_MinKomp[Inwentaryzacja - organizacja i przebieg / Inventurprozess],MATCH($B213,tab_MinKomp[[Stanowisko / Position ]:[Stanowisko / Position ]],0))="n/a","n/a",BB213-INDEX(tab_MinKomp[Inwentaryzacja - organizacja i przebieg / Inventurprozess],MATCH($B213,tab_MinKomp[[Stanowisko / Position ]:[Stanowisko / Position ]],0)))</f>
        <v>0</v>
      </c>
      <c r="BC214" s="313">
        <f>IF(INDEX(tab_MinKomp[Organizacja dostaw / Versorgungsorganisation],MATCH($B213,tab_MinKomp[[Stanowisko / Position ]:[Stanowisko / Position ]],0))="n/a","n/a",BC213-INDEX(tab_MinKomp[Organizacja dostaw / Versorgungsorganisation],MATCH($B213,tab_MinKomp[[Stanowisko / Position ]:[Stanowisko / Position ]],0)))</f>
        <v>0</v>
      </c>
      <c r="BD214" s="313">
        <f>IF(INDEX(tab_MinKomp[Organizacja wysyłek / Organisation von Lieferungen],MATCH($B213,tab_MinKomp[[Stanowisko / Position ]:[Stanowisko / Position ]],0))="n/a","n/a",BD213-INDEX(tab_MinKomp[Organizacja wysyłek / Organisation von Lieferungen],MATCH($B213,tab_MinKomp[[Stanowisko / Position ]:[Stanowisko / Position ]],0)))</f>
        <v>0</v>
      </c>
      <c r="BE214" s="313">
        <f>IF(INDEX(tab_MinKomp[Analiza magazynowa - Program Polen.mdb / Inventuranalyse],MATCH($B213,tab_MinKomp[[Stanowisko / Position ]:[Stanowisko / Position ]],0))="n/a","n/a",BE213-INDEX(tab_MinKomp[Analiza magazynowa - Program Polen.mdb / Inventuranalyse],MATCH($B213,tab_MinKomp[[Stanowisko / Position ]:[Stanowisko / Position ]],0)))</f>
        <v>-1</v>
      </c>
      <c r="BF214" s="313" t="str">
        <f>IF(INDEX(tab_MinKomp[MMOG (Materials Management Operations Guidelines)],MATCH($B213,tab_MinKomp[[Stanowisko / Position ]:[Stanowisko / Position ]],0))="n/a","n/a",BF213-INDEX(tab_MinKomp[MMOG (Materials Management Operations Guidelines)],MATCH($B213,tab_MinKomp[[Stanowisko / Position ]:[Stanowisko / Position ]],0)))</f>
        <v>n/a</v>
      </c>
      <c r="BG214" s="313" t="str">
        <f>IF(INDEX(tab_MinKomp[DETC],MATCH($B213,tab_MinKomp[[Stanowisko / Position ]:[Stanowisko / Position ]],0))="n/a","n/a",BG213-INDEX(tab_MinKomp[DETC],MATCH($B213,tab_MinKomp[[Stanowisko / Position ]:[Stanowisko / Position ]],0)))</f>
        <v>n/a</v>
      </c>
      <c r="BH214" s="313" t="str">
        <f>IF(INDEX(tab_MinKomp[GPP],MATCH($B213,tab_MinKomp[[Stanowisko / Position ]:[Stanowisko / Position ]],0))="n/a","n/a",BH213-INDEX(tab_MinKomp[GPP],MATCH($B213,tab_MinKomp[[Stanowisko / Position ]:[Stanowisko / Position ]],0)))</f>
        <v>n/a</v>
      </c>
      <c r="BI214" s="313" t="str">
        <f>IF(INDEX(tab_MinKomp[AIAG (Automotive Industry Action Group)],MATCH($B213,tab_MinKomp[[Stanowisko / Position ]:[Stanowisko / Position ]],0))="n/a","n/a",BI213-INDEX(tab_MinKomp[AIAG (Automotive Industry Action Group)],MATCH($B213,tab_MinKomp[[Stanowisko / Position ]:[Stanowisko / Position ]],0)))</f>
        <v>n/a</v>
      </c>
      <c r="BJ214" s="313" t="str">
        <f>IF(INDEX(tab_MinKomp[Super-G disputes],MATCH($B213,tab_MinKomp[[Stanowisko / Position ]:[Stanowisko / Position ]],0))="n/a","n/a",BJ213-INDEX(tab_MinKomp[Super-G disputes],MATCH($B213,tab_MinKomp[[Stanowisko / Position ]:[Stanowisko / Position ]],0)))</f>
        <v>n/a</v>
      </c>
      <c r="BK214" s="313" t="str">
        <f>IF(INDEX(tab_MinKomp[CMMS3/eDDL (Direct Data Link)],MATCH($B213,tab_MinKomp[[Stanowisko / Position ]:[Stanowisko / Position ]],0))="n/a","n/a",BK213-INDEX(tab_MinKomp[CMMS3/eDDL (Direct Data Link)],MATCH($B213,tab_MinKomp[[Stanowisko / Position ]:[Stanowisko / Position ]],0)))</f>
        <v>n/a</v>
      </c>
      <c r="BL214" s="313" t="str">
        <f>IF(INDEX(tab_MinKomp[MP&amp;L (Material Planning and Logistics)],MATCH($B213,tab_MinKomp[[Stanowisko / Position ]:[Stanowisko / Position ]],0))="n/a","n/a",BL213-INDEX(tab_MinKomp[MP&amp;L (Material Planning and Logistics)],MATCH($B213,tab_MinKomp[[Stanowisko / Position ]:[Stanowisko / Position ]],0)))</f>
        <v>n/a</v>
      </c>
      <c r="BM214" s="313" t="str">
        <f>IF(INDEX(tab_MinKomp[Supplier delivery rating],MATCH($B213,tab_MinKomp[[Stanowisko / Position ]:[Stanowisko / Position ]],0))="n/a","n/a",BM213-INDEX(tab_MinKomp[Supplier delivery rating],MATCH($B213,tab_MinKomp[[Stanowisko / Position ]:[Stanowisko / Position ]],0)))</f>
        <v>n/a</v>
      </c>
      <c r="BN214" s="313">
        <f>IF(INDEX(tab_MinKomp[Planowanie produkcji / Produktionsplanung],MATCH($B213,tab_MinKomp[[Stanowisko / Position ]:[Stanowisko / Position ]],0))="n/a","n/a",BN213-INDEX(tab_MinKomp[Planowanie produkcji / Produktionsplanung],MATCH($B213,tab_MinKomp[[Stanowisko / Position ]:[Stanowisko / Position ]],0)))</f>
        <v>-2</v>
      </c>
      <c r="BO214" s="313">
        <f>IF(INDEX(tab_MinKomp[Obsługa maszyn Engel / Engel Maschinenbedienung],MATCH($B213,tab_MinKomp[[Stanowisko / Position ]:[Stanowisko / Position ]],0))="n/a","n/a",BO213-INDEX(tab_MinKomp[Obsługa maszyn Engel / Engel Maschinenbedienung],MATCH($B213,tab_MinKomp[[Stanowisko / Position ]:[Stanowisko / Position ]],0)))</f>
        <v>-1</v>
      </c>
      <c r="BP214" s="313">
        <f>IF(INDEX(tab_MinKomp[Obsługa maszyn Novapax / Novapax Maschinenbedienung],MATCH($B213,tab_MinKomp[[Stanowisko / Position ]:[Stanowisko / Position ]],0))="n/a","n/a",BP213-INDEX(tab_MinKomp[Obsługa maszyn Novapax / Novapax Maschinenbedienung],MATCH($B213,tab_MinKomp[[Stanowisko / Position ]:[Stanowisko / Position ]],0)))</f>
        <v>-1</v>
      </c>
      <c r="BQ214" s="313">
        <f>IF(INDEX(tab_MinKomp[Obsługa maszyn KVT / KVT Maschinenbedienung],MATCH($B213,tab_MinKomp[[Stanowisko / Position ]:[Stanowisko / Position ]],0))="n/a","n/a",BQ213-INDEX(tab_MinKomp[Obsługa maszyn KVT / KVT Maschinenbedienung],MATCH($B213,tab_MinKomp[[Stanowisko / Position ]:[Stanowisko / Position ]],0)))</f>
        <v>-1</v>
      </c>
      <c r="BR214" s="313">
        <f>IF(INDEX(tab_MinKomp[Obsługa maszyn ASL / ASL Maschinenbedienung],MATCH($B213,tab_MinKomp[[Stanowisko / Position ]:[Stanowisko / Position ]],0))="n/a","n/a",BR213-INDEX(tab_MinKomp[Obsługa maszyn ASL / ASL Maschinenbedienung],MATCH($B213,tab_MinKomp[[Stanowisko / Position ]:[Stanowisko / Position ]],0)))</f>
        <v>-1</v>
      </c>
      <c r="BS214" s="313">
        <f>IF(INDEX(tab_MinKomp[Obsługa maszyn Branson / Branson Maschinenbedienung],MATCH($B213,tab_MinKomp[[Stanowisko / Position ]:[Stanowisko / Position ]],0))="n/a","n/a",BS213-INDEX(tab_MinKomp[Obsługa maszyn Branson / Branson Maschinenbedienung],MATCH($B213,tab_MinKomp[[Stanowisko / Position ]:[Stanowisko / Position ]],0)))</f>
        <v>-1</v>
      </c>
      <c r="BT214" s="313">
        <f>IF(INDEX(tab_MinKomp[Obsługa maszyn Kamtec / Kamtec Maschinenbedienung],MATCH($B213,tab_MinKomp[[Stanowisko / Position ]:[Stanowisko / Position ]],0))="n/a","n/a",BT213-INDEX(tab_MinKomp[Obsługa maszyn Kamtec / Kamtec Maschinenbedienung],MATCH($B213,tab_MinKomp[[Stanowisko / Position ]:[Stanowisko / Position ]],0)))</f>
        <v>-1</v>
      </c>
      <c r="BU214" s="313">
        <f>IF(INDEX(tab_MinKomp[Obsługa maszyn Piovan / Piovan Maschinenbedienung],MATCH($B213,tab_MinKomp[[Stanowisko / Position ]:[Stanowisko / Position ]],0))="n/a","n/a",BU213-INDEX(tab_MinKomp[Obsługa maszyn Piovan / Piovan Maschinenbedienung],MATCH($B213,tab_MinKomp[[Stanowisko / Position ]:[Stanowisko / Position ]],0)))</f>
        <v>-1</v>
      </c>
      <c r="BV214" s="313">
        <f>IF(INDEX(tab_MinKomp[Eliminacja awarii / Beseitigung von Ausfällen],MATCH($B213,tab_MinKomp[[Stanowisko / Position ]:[Stanowisko / Position ]],0))="n/a","n/a",BV213-INDEX(tab_MinKomp[Eliminacja awarii / Beseitigung von Ausfällen],MATCH($B213,tab_MinKomp[[Stanowisko / Position ]:[Stanowisko / Position ]],0)))</f>
        <v>-1</v>
      </c>
      <c r="BW214" s="313" t="str">
        <f>IF(INDEX(tab_MinKomp[Informatyka ogólna (techniczne i systemowe) / Allgemeine IT (Technik und System)],MATCH($B213,tab_MinKomp[[Stanowisko / Position ]:[Stanowisko / Position ]],0))="n/a","n/a",BW213-INDEX(tab_MinKomp[Informatyka ogólna (techniczne i systemowe) / Allgemeine IT (Technik und System)],MATCH($B213,tab_MinKomp[[Stanowisko / Position ]:[Stanowisko / Position ]],0)))</f>
        <v>n/a</v>
      </c>
      <c r="BX214" s="313" t="str">
        <f>IF(INDEX(tab_MinKomp[Sieci komputerowe / Computernetzwerke],MATCH($B213,tab_MinKomp[[Stanowisko / Position ]:[Stanowisko / Position ]],0))="n/a","n/a",BX213-INDEX(tab_MinKomp[Sieci komputerowe / Computernetzwerke],MATCH($B213,tab_MinKomp[[Stanowisko / Position ]:[Stanowisko / Position ]],0)))</f>
        <v>n/a</v>
      </c>
      <c r="BY214" s="313" t="str">
        <f>IF(INDEX(tab_MinKomp[Hardware (komputery PC, drukarki biurowe i etykietowe, telefonia stacjonarna i mobilna) (PC, Drucker, Telefpne, Handys)],MATCH($B213,tab_MinKomp[[Stanowisko / Position ]:[Stanowisko / Position ]],0))="n/a","n/a",BY213-INDEX(tab_MinKomp[Hardware (komputery PC, drukarki biurowe i etykietowe, telefonia stacjonarna i mobilna) (PC, Drucker, Telefpne, Handys)],MATCH($B213,tab_MinKomp[[Stanowisko / Position ]:[Stanowisko / Position ]],0)))</f>
        <v>n/a</v>
      </c>
      <c r="BZ214" s="313" t="str">
        <f>IF(INDEX(tab_MinKomp[Software &amp; Systems (MS Office, MS Remote Desktop)],MATCH($B213,tab_MinKomp[[Stanowisko / Position ]:[Stanowisko / Position ]],0))="n/a","n/a",BZ213-INDEX(tab_MinKomp[Software &amp; Systems (MS Office, MS Remote Desktop)],MATCH($B213,tab_MinKomp[[Stanowisko / Position ]:[Stanowisko / Position ]],0)))</f>
        <v>n/a</v>
      </c>
      <c r="CA214" s="313" t="str">
        <f>IF(INDEX(tab_MinKomp[Programowanie obiektowe (PHP) / Objektprogrammierung],MATCH($B213,tab_MinKomp[[Stanowisko / Position ]:[Stanowisko / Position ]],0))="n/a","n/a",CA213-INDEX(tab_MinKomp[Programowanie obiektowe (PHP) / Objektprogrammierung],MATCH($B213,tab_MinKomp[[Stanowisko / Position ]:[Stanowisko / Position ]],0)))</f>
        <v>n/a</v>
      </c>
      <c r="CB214" s="313" t="str">
        <f>IF(INDEX(tab_MinKomp[Scrum],MATCH($B213,tab_MinKomp[[Stanowisko / Position ]:[Stanowisko / Position ]],0))="n/a","n/a",CB213-INDEX(tab_MinKomp[Scrum],MATCH($B213,tab_MinKomp[[Stanowisko / Position ]:[Stanowisko / Position ]],0)))</f>
        <v>n/a</v>
      </c>
      <c r="CC214" s="313" t="str">
        <f>IF(INDEX(tab_MinKomp[SQL (MySQL)],MATCH($B213,tab_MinKomp[[Stanowisko / Position ]:[Stanowisko / Position ]],0))="n/a","n/a",CC213-INDEX(tab_MinKomp[SQL (MySQL)],MATCH($B213,tab_MinKomp[[Stanowisko / Position ]:[Stanowisko / Position ]],0)))</f>
        <v>n/a</v>
      </c>
      <c r="CD214" s="313" t="str">
        <f>IF(INDEX(tab_MinKomp[Javascript],MATCH($B213,tab_MinKomp[[Stanowisko / Position ]:[Stanowisko / Position ]],0))="n/a","n/a",CD213-INDEX(tab_MinKomp[Javascript],MATCH($B213,tab_MinKomp[[Stanowisko / Position ]:[Stanowisko / Position ]],0)))</f>
        <v>n/a</v>
      </c>
      <c r="CE214" s="313" t="str">
        <f>IF(INDEX(tab_MinKomp[Joomla],MATCH($B213,tab_MinKomp[[Stanowisko / Position ]:[Stanowisko / Position ]],0))="n/a","n/a",CE213-INDEX(tab_MinKomp[Joomla],MATCH($B213,tab_MinKomp[[Stanowisko / Position ]:[Stanowisko / Position ]],0)))</f>
        <v>n/a</v>
      </c>
      <c r="CF214" s="313" t="str">
        <f>IF(INDEX(tab_MinKomp[Bash],MATCH($B213,tab_MinKomp[[Stanowisko / Position ]:[Stanowisko / Position ]],0))="n/a","n/a",CF213-INDEX(tab_MinKomp[Bash],MATCH($B213,tab_MinKomp[[Stanowisko / Position ]:[Stanowisko / Position ]],0)))</f>
        <v>n/a</v>
      </c>
      <c r="CG214" s="313">
        <f>IF(INDEX(tab_MinKomp[Systemy MES (HYDRA / SFMS)],MATCH($B213,tab_MinKomp[[Stanowisko / Position ]:[Stanowisko / Position ]],0))="n/a","n/a",CG213-INDEX(tab_MinKomp[Systemy MES (HYDRA / SFMS)],MATCH($B213,tab_MinKomp[[Stanowisko / Position ]:[Stanowisko / Position ]],0)))</f>
        <v>0</v>
      </c>
      <c r="CH214" s="313" t="str">
        <f>IF(INDEX(tab_MinKomp[HTML / CSS],MATCH($B213,tab_MinKomp[[Stanowisko / Position ]:[Stanowisko / Position ]],0))="n/a","n/a",CH213-INDEX(tab_MinKomp[HTML / CSS],MATCH($B213,tab_MinKomp[[Stanowisko / Position ]:[Stanowisko / Position ]],0)))</f>
        <v>n/a</v>
      </c>
      <c r="CI214" s="313">
        <f>IF(INDEX(tab_MinKomp[SYSTEM PR],MATCH($B213,tab_MinKomp[[Stanowisko / Position ]:[Stanowisko / Position ]],0))="n/a","n/a",CI213-INDEX(tab_MinKomp[SYSTEM PR],MATCH($B213,tab_MinKomp[[Stanowisko / Position ]:[Stanowisko / Position ]],0)))</f>
        <v>0</v>
      </c>
      <c r="CJ214" s="313">
        <f>IF(INDEX(tab_MinKomp[System Einkauf XP / EBA],MATCH($B213,tab_MinKomp[[Stanowisko / Position ]:[Stanowisko / Position ]],0))="n/a","n/a",CJ213-INDEX(tab_MinKomp[System Einkauf XP / EBA],MATCH($B213,tab_MinKomp[[Stanowisko / Position ]:[Stanowisko / Position ]],0)))</f>
        <v>0</v>
      </c>
      <c r="CK214" s="313" t="str">
        <f>IF(INDEX(tab_MinKomp[Techniki negocjacyjne / Verhandlungstechniken],MATCH($B213,tab_MinKomp[[Stanowisko / Position ]:[Stanowisko / Position ]],0))="n/a","n/a",CK213-INDEX(tab_MinKomp[Techniki negocjacyjne / Verhandlungstechniken],MATCH($B213,tab_MinKomp[[Stanowisko / Position ]:[Stanowisko / Position ]],0)))</f>
        <v>n/a</v>
      </c>
      <c r="CL214" s="313" t="str">
        <f>IF(INDEX(tab_MinKomp[Znajomość rynku branżowego / Kenntnis des Industrie Marktes],MATCH($B213,tab_MinKomp[[Stanowisko / Position ]:[Stanowisko / Position ]],0))="n/a","n/a",CL213-INDEX(tab_MinKomp[Znajomość rynku branżowego / Kenntnis des Industrie Marktes],MATCH($B213,tab_MinKomp[[Stanowisko / Position ]:[Stanowisko / Position ]],0)))</f>
        <v>n/a</v>
      </c>
      <c r="CM214" s="313">
        <f>IF(INDEX(tab_MinKomp[RAPORTY 8D / 8D Berichten],MATCH($B213,tab_MinKomp[[Stanowisko / Position ]:[Stanowisko / Position ]],0))="n/a","n/a",CM213-INDEX(tab_MinKomp[RAPORTY 8D / 8D Berichten],MATCH($B213,tab_MinKomp[[Stanowisko / Position ]:[Stanowisko / Position ]],0)))</f>
        <v>1</v>
      </c>
      <c r="CN214" s="313">
        <f>IF(INDEX(tab_MinKomp[NARZĘDZIA JAKOŚCIOWE (5WHY, Ishikawa, etc) / QS-Werkzeuge],MATCH($B213,tab_MinKomp[[Stanowisko / Position ]:[Stanowisko / Position ]],0))="n/a","n/a",CN213-INDEX(tab_MinKomp[NARZĘDZIA JAKOŚCIOWE (5WHY, Ishikawa, etc) / QS-Werkzeuge],MATCH($B213,tab_MinKomp[[Stanowisko / Position ]:[Stanowisko / Position ]],0)))</f>
        <v>0</v>
      </c>
      <c r="CO214" s="313">
        <f>IF(INDEX(tab_MinKomp[PDCA],MATCH($B213,tab_MinKomp[[Stanowisko / Position ]:[Stanowisko / Position ]],0))="n/a","n/a",CO213-INDEX(tab_MinKomp[PDCA],MATCH($B213,tab_MinKomp[[Stanowisko / Position ]:[Stanowisko / Position ]],0)))</f>
        <v>0</v>
      </c>
      <c r="CP214" s="313">
        <f>IF(INDEX(tab_MinKomp[Pareto],MATCH($B213,tab_MinKomp[[Stanowisko / Position ]:[Stanowisko / Position ]],0))="n/a","n/a",CP213-INDEX(tab_MinKomp[Pareto],MATCH($B213,tab_MinKomp[[Stanowisko / Position ]:[Stanowisko / Position ]],0)))</f>
        <v>0</v>
      </c>
      <c r="CQ214" s="313">
        <f>IF(INDEX(tab_MinKomp[PPAP/PSW],MATCH($B213,tab_MinKomp[[Stanowisko / Position ]:[Stanowisko / Position ]],0))="n/a","n/a",CQ213-INDEX(tab_MinKomp[PPAP/PSW],MATCH($B213,tab_MinKomp[[Stanowisko / Position ]:[Stanowisko / Position ]],0)))</f>
        <v>1</v>
      </c>
      <c r="CR214" s="313">
        <f>IF(INDEX(tab_MinKomp[SUPPLIER MANAGEMENT],MATCH($B213,tab_MinKomp[[Stanowisko / Position ]:[Stanowisko / Position ]],0))="n/a","n/a",CR213-INDEX(tab_MinKomp[SUPPLIER MANAGEMENT],MATCH($B213,tab_MinKomp[[Stanowisko / Position ]:[Stanowisko / Position ]],0)))</f>
        <v>1</v>
      </c>
      <c r="CS214" s="313">
        <f>IF(INDEX(tab_MinKomp[OBSŁUGA PORTALI KLIENTA / Kundenportale],MATCH($B213,tab_MinKomp[[Stanowisko / Position ]:[Stanowisko / Position ]],0))="n/a","n/a",CS213-INDEX(tab_MinKomp[OBSŁUGA PORTALI KLIENTA / Kundenportale],MATCH($B213,tab_MinKomp[[Stanowisko / Position ]:[Stanowisko / Position ]],0)))</f>
        <v>1</v>
      </c>
      <c r="CT214" s="313">
        <f>IF(INDEX(tab_MinKomp[Obsługa systemu BABTECQ / BABTECQ System],MATCH($B213,tab_MinKomp[[Stanowisko / Position ]:[Stanowisko / Position ]],0))="n/a","n/a",CT213-INDEX(tab_MinKomp[Obsługa systemu BABTECQ / BABTECQ System],MATCH($B213,tab_MinKomp[[Stanowisko / Position ]:[Stanowisko / Position ]],0)))</f>
        <v>1</v>
      </c>
      <c r="CU214" s="313">
        <f>IF(INDEX(tab_MinKomp[Rysunek techniczny / technische Zeichnung],MATCH($B213,tab_MinKomp[[Stanowisko / Position ]:[Stanowisko / Position ]],0))="n/a","n/a",CU213-INDEX(tab_MinKomp[Rysunek techniczny / technische Zeichnung],MATCH($B213,tab_MinKomp[[Stanowisko / Position ]:[Stanowisko / Position ]],0)))</f>
        <v>0</v>
      </c>
      <c r="CV214" s="313" t="str">
        <f>IF(INDEX(tab_MinKomp[Kalibracja / Kalibrierung],MATCH($B213,tab_MinKomp[[Stanowisko / Position ]:[Stanowisko / Position ]],0))="n/a","n/a",CV213-INDEX(tab_MinKomp[Kalibracja / Kalibrierung],MATCH($B213,tab_MinKomp[[Stanowisko / Position ]:[Stanowisko / Position ]],0)))</f>
        <v>n/a</v>
      </c>
      <c r="CW214" s="313" t="str">
        <f>IF(INDEX(tab_MinKomp[Rekwalifikacja / Requalifizierung],MATCH($B213,tab_MinKomp[[Stanowisko / Position ]:[Stanowisko / Position ]],0))="n/a","n/a",CW213-INDEX(tab_MinKomp[Rekwalifikacja / Requalifizierung],MATCH($B213,tab_MinKomp[[Stanowisko / Position ]:[Stanowisko / Position ]],0)))</f>
        <v>n/a</v>
      </c>
      <c r="CX214" s="313" t="str">
        <f>IF(INDEX(tab_MinKomp[Obsługa mikroskopu optycznego / Bedienung eines optischen Mikroskops],MATCH($B213,tab_MinKomp[[Stanowisko / Position ]:[Stanowisko / Position ]],0))="n/a","n/a",CX213-INDEX(tab_MinKomp[Obsługa mikroskopu optycznego / Bedienung eines optischen Mikroskops],MATCH($B213,tab_MinKomp[[Stanowisko / Position ]:[Stanowisko / Position ]],0)))</f>
        <v>n/a</v>
      </c>
      <c r="CY214" s="313" t="str">
        <f>IF(INDEX(tab_MinKomp[Wykonywanie pomiarów optycznych - ocena wizualna / Optische Messungen durchführen – visuelle Beurteilung],MATCH($B213,tab_MinKomp[[Stanowisko / Position ]:[Stanowisko / Position ]],0))="n/a","n/a",CY213-INDEX(tab_MinKomp[Wykonywanie pomiarów optycznych - ocena wizualna / Optische Messungen durchführen – visuelle Beurteilung],MATCH($B213,tab_MinKomp[[Stanowisko / Position ]:[Stanowisko / Position ]],0)))</f>
        <v>n/a</v>
      </c>
      <c r="CZ214" s="313" t="str">
        <f>IF(INDEX(tab_MinKomp[Obsługa Rheometra / Rheometra-Unterstützung],MATCH($B213,tab_MinKomp[[Stanowisko / Position ]:[Stanowisko / Position ]],0))="n/a","n/a",CZ213-INDEX(tab_MinKomp[Obsługa Rheometra / Rheometra-Unterstützung],MATCH($B213,tab_MinKomp[[Stanowisko / Position ]:[Stanowisko / Position ]],0)))</f>
        <v>n/a</v>
      </c>
      <c r="DA214" s="313" t="str">
        <f>IF(INDEX(tab_MinKomp[Testy właściwości Rheometra mieszanki gumy],MATCH($B213,tab_MinKomp[[Stanowisko / Position ]:[Stanowisko / Position ]],0))="n/a","n/a",DA213-INDEX(tab_MinKomp[Testy właściwości Rheometra mieszanki gumy],MATCH($B213,tab_MinKomp[[Stanowisko / Position ]:[Stanowisko / Position ]],0)))</f>
        <v>n/a</v>
      </c>
      <c r="DB214" s="313" t="str">
        <f>IF(INDEX(tab_MinKomp[CMM - Contura Zeiss],MATCH($B213,tab_MinKomp[[Stanowisko / Position ]:[Stanowisko / Position ]],0))="n/a","n/a",DB213-INDEX(tab_MinKomp[CMM - Contura Zeiss],MATCH($B213,tab_MinKomp[[Stanowisko / Position ]:[Stanowisko / Position ]],0)))</f>
        <v>n/a</v>
      </c>
      <c r="DC214" s="313" t="str">
        <f>IF(INDEX(tab_MinKomp[Wykonywanie precyzyjnych pomiarów metrycznych, pomiary 3D],MATCH($B213,tab_MinKomp[[Stanowisko / Position ]:[Stanowisko / Position ]],0))="n/a","n/a",DC213-INDEX(tab_MinKomp[Wykonywanie precyzyjnych pomiarów metrycznych, pomiary 3D],MATCH($B213,tab_MinKomp[[Stanowisko / Position ]:[Stanowisko / Position ]],0)))</f>
        <v>n/a</v>
      </c>
      <c r="DD214" s="313" t="str">
        <f>IF(INDEX(tab_MinKomp[Pisanie programów / Programme schreiben],MATCH($B213,tab_MinKomp[[Stanowisko / Position ]:[Stanowisko / Position ]],0))="n/a","n/a",DD213-INDEX(tab_MinKomp[Pisanie programów / Programme schreiben],MATCH($B213,tab_MinKomp[[Stanowisko / Position ]:[Stanowisko / Position ]],0)))</f>
        <v>n/a</v>
      </c>
      <c r="DE214" s="313" t="str">
        <f>IF(INDEX(tab_MinKomp[Obsługa wyposażenia do testów czystości (myjka + analizator) / Betrieb von Sauberkeitsprüfgeräten (Waschmaschine + Analysegerät)],MATCH($B213,tab_MinKomp[[Stanowisko / Position ]:[Stanowisko / Position ]],0))="n/a","n/a",DE213-INDEX(tab_MinKomp[Obsługa wyposażenia do testów czystości (myjka + analizator) / Betrieb von Sauberkeitsprüfgeräten (Waschmaschine + Analysegerät)],MATCH($B213,tab_MinKomp[[Stanowisko / Position ]:[Stanowisko / Position ]],0)))</f>
        <v>n/a</v>
      </c>
      <c r="DF214" s="313" t="str">
        <f>IF(INDEX(tab_MinKomp[Testy czystości / Reinheitstests],MATCH($B213,tab_MinKomp[[Stanowisko / Position ]:[Stanowisko / Position ]],0))="n/a","n/a",DF213-INDEX(tab_MinKomp[Testy czystości / Reinheitstests],MATCH($B213,tab_MinKomp[[Stanowisko / Position ]:[Stanowisko / Position ]],0)))</f>
        <v>n/a</v>
      </c>
      <c r="DG214" s="313" t="str">
        <f>IF(INDEX(tab_MinKomp[Obsługa wysokościomierza / Unterstützung für Höhenmesser],MATCH($B213,tab_MinKomp[[Stanowisko / Position ]:[Stanowisko / Position ]],0))="n/a","n/a",DG213-INDEX(tab_MinKomp[Obsługa wysokościomierza / Unterstützung für Höhenmesser],MATCH($B213,tab_MinKomp[[Stanowisko / Position ]:[Stanowisko / Position ]],0)))</f>
        <v>n/a</v>
      </c>
      <c r="DH214" s="313" t="str">
        <f>IF(INDEX(tab_MinKomp[Pomiary wysokości materiału / Materialhöhenmessungen],MATCH($B213,tab_MinKomp[[Stanowisko / Position ]:[Stanowisko / Position ]],0))="n/a","n/a",DH213-INDEX(tab_MinKomp[Pomiary wysokości materiału / Materialhöhenmessungen],MATCH($B213,tab_MinKomp[[Stanowisko / Position ]:[Stanowisko / Position ]],0)))</f>
        <v>n/a</v>
      </c>
      <c r="DI214" s="313" t="str">
        <f>IF(INDEX(tab_MinKomp[Obsługa okrągłościomierza / Unterstützung für Rundheitsmessgeräte],MATCH($B213,tab_MinKomp[[Stanowisko / Position ]:[Stanowisko / Position ]],0))="n/a","n/a",DI213-INDEX(tab_MinKomp[Obsługa okrągłościomierza / Unterstützung für Rundheitsmessgeräte],MATCH($B213,tab_MinKomp[[Stanowisko / Position ]:[Stanowisko / Position ]],0)))</f>
        <v>n/a</v>
      </c>
      <c r="DJ214" s="313" t="str">
        <f>IF(INDEX(tab_MinKomp[Wykonywania pomiarów owalności, srednicy materiału / Messung der Ovalität und des Durchmessers des Materials],MATCH($B213,tab_MinKomp[[Stanowisko / Position ]:[Stanowisko / Position ]],0))="n/a","n/a",DJ213-INDEX(tab_MinKomp[Wykonywania pomiarów owalności, srednicy materiału / Messung der Ovalität und des Durchmessers des Materials],MATCH($B213,tab_MinKomp[[Stanowisko / Position ]:[Stanowisko / Position ]],0)))</f>
        <v>n/a</v>
      </c>
      <c r="DK214" s="313" t="str">
        <f>IF(INDEX(tab_MinKomp[Obsługa urządzenia do pomiarów chropowoatości powierzchni materiału],MATCH($B213,tab_MinKomp[[Stanowisko / Position ]:[Stanowisko / Position ]],0))="n/a","n/a",DK213-INDEX(tab_MinKomp[Obsługa urządzenia do pomiarów chropowoatości powierzchni materiału],MATCH($B213,tab_MinKomp[[Stanowisko / Position ]:[Stanowisko / Position ]],0)))</f>
        <v>n/a</v>
      </c>
      <c r="DL214" s="313" t="str">
        <f>IF(INDEX(tab_MinKomp[Wykonywanie pomiarów chropowatości powierzchni materiału / Durchführung von Messungen der Materialoberflächenrauheit],MATCH($B213,tab_MinKomp[[Stanowisko / Position ]:[Stanowisko / Position ]],0))="n/a","n/a",DL213-INDEX(tab_MinKomp[Wykonywanie pomiarów chropowatości powierzchni materiału / Durchführung von Messungen der Materialoberflächenrauheit],MATCH($B213,tab_MinKomp[[Stanowisko / Position ]:[Stanowisko / Position ]],0)))</f>
        <v>n/a</v>
      </c>
      <c r="DM214" s="313" t="str">
        <f>IF(INDEX(tab_MinKomp[Obsługa urządzenia do pomiaru siły radialnej części - postępowanie z trzpieniami. / Funktionsweise des Geräts zur Messung der Radialkraft von Teilen – Handhabungsstifte.],MATCH($B213,tab_MinKomp[[Stanowisko / Position ]:[Stanowisko / Position ]],0))="n/a","n/a",DM213-INDEX(tab_MinKomp[Obsługa urządzenia do pomiaru siły radialnej części - postępowanie z trzpieniami. / Funktionsweise des Geräts zur Messung der Radialkraft von Teilen – Handhabungsstifte.],MATCH($B213,tab_MinKomp[[Stanowisko / Position ]:[Stanowisko / Position ]],0)))</f>
        <v>n/a</v>
      </c>
      <c r="DN214" s="313" t="str">
        <f>IF(INDEX(tab_MinKomp[Wykonywanie pomiarów siły radialnej części / Führen Sie Radialkraftmessungen an Teilen durch],MATCH($B213,tab_MinKomp[[Stanowisko / Position ]:[Stanowisko / Position ]],0))="n/a","n/a",DN213-INDEX(tab_MinKomp[Wykonywanie pomiarów siły radialnej części / Führen Sie Radialkraftmessungen an Teilen durch],MATCH($B213,tab_MinKomp[[Stanowisko / Position ]:[Stanowisko / Position ]],0)))</f>
        <v>n/a</v>
      </c>
      <c r="DO214" s="313" t="str">
        <f>IF(INDEX(tab_MinKomp[Obsługa komory do testów wybuchwych / Betrieb einer Explosionsprüfkammer],MATCH($B213,tab_MinKomp[[Stanowisko / Position ]:[Stanowisko / Position ]],0))="n/a","n/a",DO213-INDEX(tab_MinKomp[Obsługa komory do testów wybuchwych / Betrieb einer Explosionsprüfkammer],MATCH($B213,tab_MinKomp[[Stanowisko / Position ]:[Stanowisko / Position ]],0)))</f>
        <v>n/a</v>
      </c>
      <c r="DP214" s="313" t="str">
        <f>IF(INDEX(tab_MinKomp[Wykonywanie testów wybuchowych części / Durchführung von Explosionstests an Teilen],MATCH($B213,tab_MinKomp[[Stanowisko / Position ]:[Stanowisko / Position ]],0))="n/a","n/a",DP213-INDEX(tab_MinKomp[Wykonywanie testów wybuchowych części / Durchführung von Explosionstests an Teilen],MATCH($B213,tab_MinKomp[[Stanowisko / Position ]:[Stanowisko / Position ]],0)))</f>
        <v>n/a</v>
      </c>
      <c r="DQ214" s="313" t="str">
        <f>IF(INDEX(tab_MinKomp[Obsługa urządzeń do mierzenia siły trzymania i/lub rozciągania / Betrieb von Geräten zur Messung der Halte- und/oder Dehnkraft],MATCH($B213,tab_MinKomp[[Stanowisko / Position ]:[Stanowisko / Position ]],0))="n/a","n/a",DQ213-INDEX(tab_MinKomp[Obsługa urządzeń do mierzenia siły trzymania i/lub rozciągania / Betrieb von Geräten zur Messung der Halte- und/oder Dehnkraft],MATCH($B213,tab_MinKomp[[Stanowisko / Position ]:[Stanowisko / Position ]],0)))</f>
        <v>n/a</v>
      </c>
      <c r="DR214" s="313" t="str">
        <f>IF(INDEX(tab_MinKomp[Wykonywanie testów mierzenia siły trzymania i/lub rozciągania / Durchführung von Tests zur Messung der Halte- und/oder Streckkraft],MATCH($B213,tab_MinKomp[[Stanowisko / Position ]:[Stanowisko / Position ]],0))="n/a","n/a",DR213-INDEX(tab_MinKomp[Wykonywanie testów mierzenia siły trzymania i/lub rozciągania / Durchführung von Tests zur Messung der Halte- und/oder Streckkraft],MATCH($B213,tab_MinKomp[[Stanowisko / Position ]:[Stanowisko / Position ]],0)))</f>
        <v>n/a</v>
      </c>
      <c r="DS214" s="313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Luftstrom)],MATCH($B213,tab_MinKomp[[Stanowisko / Position ]:[Stanowisko / Position ]],0))="n/a","n/a",DS213-INDEX(tab_MinKomp[Obsługa multimetru do pomiarów środowiskowych (temperatura, wilgotność, hałas, oświetlenie, przepływ powietrza) / Betrieb eines Multimeters für Umweltmessungen (Temperatur, Luftfeuchtigkeit, Lärm, Beleuchtung, Luftstrom)],MATCH($B213,tab_MinKomp[[Stanowisko / Position ]:[Stanowisko / Position ]],0)))</f>
        <v>n/a</v>
      </c>
      <c r="DT214" s="313" t="str">
        <f>IF(INDEX(tab_MinKomp[Kontrola warunków środowiskowych pracy (temperatura, wilgotność, hałas, oświetlenie, przepływ powietrza) / Kontrolle der Arbeitsumgebungsbedingungen (Temperatur, Luftfeuchtigkeit, Lärm, Beleuchtung, Luftstrom)],MATCH($B213,tab_MinKomp[[Stanowisko / Position ]:[Stanowisko / Position ]],0))="n/a","n/a",DT213-INDEX(tab_MinKomp[Kontrola warunków środowiskowych pracy (temperatura, wilgotność, hałas, oświetlenie, przepływ powietrza) / Kontrolle der Arbeitsumgebungsbedingungen (Temperatur, Luftfeuchtigkeit, Lärm, Beleuchtung, Luftstrom)],MATCH($B213,tab_MinKomp[[Stanowisko / Position ]:[Stanowisko / Position ]],0)))</f>
        <v>n/a</v>
      </c>
      <c r="DU214" s="313" t="str">
        <f>IF(INDEX(tab_MinKomp[MSA i SPC],MATCH($B213,tab_MinKomp[[Stanowisko / Position ]:[Stanowisko / Position ]],0))="n/a","n/a",DU213-INDEX(tab_MinKomp[MSA i SPC],MATCH($B213,tab_MinKomp[[Stanowisko / Position ]:[Stanowisko / Position ]],0)))</f>
        <v>n/a</v>
      </c>
      <c r="DV214" s="313" t="str">
        <f>IF(INDEX(tab_MinKomp[Kontrola wejściowa komponentów/ Eingangskontrolle],MATCH($B213,tab_MinKomp[[Stanowisko / Position ]:[Stanowisko / Position ]],0))="n/a","n/a",DV213-INDEX(tab_MinKomp[Kontrola wejściowa komponentów/ Eingangskontrolle],MATCH($B213,tab_MinKomp[[Stanowisko / Position ]:[Stanowisko / Position ]],0)))</f>
        <v>n/a</v>
      </c>
      <c r="DW214" s="313" t="str">
        <f>IF(INDEX(tab_MinKomp[Kontrola wyjściowa produktu / Ausgangskontrolle],MATCH($B213,tab_MinKomp[[Stanowisko / Position ]:[Stanowisko / Position ]],0))="n/a","n/a",DW213-INDEX(tab_MinKomp[Kontrola wyjściowa produktu / Ausgangskontrolle],MATCH($B213,tab_MinKomp[[Stanowisko / Position ]:[Stanowisko / Position ]],0)))</f>
        <v>n/a</v>
      </c>
      <c r="DX214" s="313" t="str">
        <f>IF(INDEX(tab_MinKomp[Kontrola codzienna produkcji / Tägliche Produktionskontrolle],MATCH($B213,tab_MinKomp[[Stanowisko / Position ]:[Stanowisko / Position ]],0))="n/a","n/a",DX213-INDEX(tab_MinKomp[Kontrola codzienna produkcji / Tägliche Produktionskontrolle],MATCH($B213,tab_MinKomp[[Stanowisko / Position ]:[Stanowisko / Position ]],0)))</f>
        <v>n/a</v>
      </c>
      <c r="DY214" s="313" t="str">
        <f>IF(INDEX(tab_MinKomp[Konserwacja Rep],MATCH($B213,tab_MinKomp[[Stanowisko / Position ]:[Stanowisko / Position ]],0))="n/a","n/a",DY213-INDEX(tab_MinKomp[Konserwacja Rep],MATCH($B213,tab_MinKomp[[Stanowisko / Position ]:[Stanowisko / Position ]],0)))</f>
        <v>n/a</v>
      </c>
      <c r="DZ214" s="313" t="str">
        <f>IF(INDEX(tab_MinKomp[[Konserwacja Engel ]],MATCH($B213,tab_MinKomp[[Stanowisko / Position ]:[Stanowisko / Position ]],0))="n/a","n/a",DZ213-INDEX(tab_MinKomp[[Konserwacja Engel ]],MATCH($B213,tab_MinKomp[[Stanowisko / Position ]:[Stanowisko / Position ]],0)))</f>
        <v>n/a</v>
      </c>
      <c r="EA214" s="313" t="str">
        <f>IF(INDEX(tab_MinKomp[Konserwacja B 50],MATCH($B213,tab_MinKomp[[Stanowisko / Position ]:[Stanowisko / Position ]],0))="n/a","n/a",EA213-INDEX(tab_MinKomp[Konserwacja B 50],MATCH($B213,tab_MinKomp[[Stanowisko / Position ]:[Stanowisko / Position ]],0)))</f>
        <v>n/a</v>
      </c>
      <c r="EB214" s="313" t="str">
        <f>IF(INDEX(tab_MinKomp[[Konserwacja EOL ]],MATCH($B213,tab_MinKomp[[Stanowisko / Position ]:[Stanowisko / Position ]],0))="n/a","n/a",EB213-INDEX(tab_MinKomp[[Konserwacja EOL ]],MATCH($B213,tab_MinKomp[[Stanowisko / Position ]:[Stanowisko / Position ]],0)))</f>
        <v>n/a</v>
      </c>
      <c r="EC214" s="313" t="str">
        <f>IF(INDEX(tab_MinKomp[Konserwacja Branson],MATCH($B213,tab_MinKomp[[Stanowisko / Position ]:[Stanowisko / Position ]],0))="n/a","n/a",EC213-INDEX(tab_MinKomp[Konserwacja Branson],MATCH($B213,tab_MinKomp[[Stanowisko / Position ]:[Stanowisko / Position ]],0)))</f>
        <v>n/a</v>
      </c>
      <c r="ED214" s="313" t="str">
        <f>IF(INDEX(tab_MinKomp[Konserwacja coolery],MATCH($B213,tab_MinKomp[[Stanowisko / Position ]:[Stanowisko / Position ]],0))="n/a","n/a",ED213-INDEX(tab_MinKomp[Konserwacja coolery],MATCH($B213,tab_MinKomp[[Stanowisko / Position ]:[Stanowisko / Position ]],0)))</f>
        <v>n/a</v>
      </c>
      <c r="EE214" s="313" t="str">
        <f>IF(INDEX(tab_MinKomp[Konserwacja piecy],MATCH($B213,tab_MinKomp[[Stanowisko / Position ]:[Stanowisko / Position ]],0))="n/a","n/a",EE213-INDEX(tab_MinKomp[Konserwacja piecy],MATCH($B213,tab_MinKomp[[Stanowisko / Position ]:[Stanowisko / Position ]],0)))</f>
        <v>n/a</v>
      </c>
      <c r="EF214" s="313" t="str">
        <f>IF(INDEX(tab_MinKomp[Rysunek techniczny- czytanie],MATCH($B213,tab_MinKomp[[Stanowisko / Position ]:[Stanowisko / Position ]],0))="n/a","n/a",EF213-INDEX(tab_MinKomp[Rysunek techniczny- czytanie],MATCH($B213,tab_MinKomp[[Stanowisko / Position ]:[Stanowisko / Position ]],0)))</f>
        <v>n/a</v>
      </c>
      <c r="EG214" s="313" t="str">
        <f>IF(INDEX(tab_MinKomp[Elektryka],MATCH($B213,tab_MinKomp[[Stanowisko / Position ]:[Stanowisko / Position ]],0))="n/a","n/a",EG213-INDEX(tab_MinKomp[Elektryka],MATCH($B213,tab_MinKomp[[Stanowisko / Position ]:[Stanowisko / Position ]],0)))</f>
        <v>n/a</v>
      </c>
      <c r="EH214" s="313" t="str">
        <f>IF(INDEX(tab_MinKomp[Pneumatyka],MATCH($B213,tab_MinKomp[[Stanowisko / Position ]:[Stanowisko / Position ]],0))="n/a","n/a",EH213-INDEX(tab_MinKomp[Pneumatyka],MATCH($B213,tab_MinKomp[[Stanowisko / Position ]:[Stanowisko / Position ]],0)))</f>
        <v>n/a</v>
      </c>
      <c r="EI214" s="313" t="str">
        <f>IF(INDEX(tab_MinKomp[[Hydraulika ]],MATCH($B213,tab_MinKomp[[Stanowisko / Position ]:[Stanowisko / Position ]],0))="n/a","n/a",EI213-INDEX(tab_MinKomp[[Hydraulika ]],MATCH($B213,tab_MinKomp[[Stanowisko / Position ]:[Stanowisko / Position ]],0)))</f>
        <v>n/a</v>
      </c>
      <c r="EJ214" s="313" t="str">
        <f>IF(INDEX(tab_MinKomp[Podciśnienie],MATCH($B213,tab_MinKomp[[Stanowisko / Position ]:[Stanowisko / Position ]],0))="n/a","n/a",EJ213-INDEX(tab_MinKomp[Podciśnienie],MATCH($B213,tab_MinKomp[[Stanowisko / Position ]:[Stanowisko / Position ]],0)))</f>
        <v>n/a</v>
      </c>
      <c r="EK214" s="313" t="str">
        <f>IF(INDEX(tab_MinKomp[Usuwanie awarii],MATCH($B213,tab_MinKomp[[Stanowisko / Position ]:[Stanowisko / Position ]],0))="n/a","n/a",EK213-INDEX(tab_MinKomp[Usuwanie awarii],MATCH($B213,tab_MinKomp[[Stanowisko / Position ]:[Stanowisko / Position ]],0)))</f>
        <v>n/a</v>
      </c>
      <c r="EL214" s="313" t="str">
        <f>IF(INDEX(tab_MinKomp[Obsługa robotów],MATCH($B213,tab_MinKomp[[Stanowisko / Position ]:[Stanowisko / Position ]],0))="n/a","n/a",EL213-INDEX(tab_MinKomp[Obsługa robotów],MATCH($B213,tab_MinKomp[[Stanowisko / Position ]:[Stanowisko / Position ]],0)))</f>
        <v>n/a</v>
      </c>
      <c r="EM214" s="313" t="str">
        <f>IF(INDEX(tab_MinKomp[Obsługa sterowania maszyny],MATCH($B213,tab_MinKomp[[Stanowisko / Position ]:[Stanowisko / Position ]],0))="n/a","n/a",EM213-INDEX(tab_MinKomp[Obsługa sterowania maszyny],MATCH($B213,tab_MinKomp[[Stanowisko / Position ]:[Stanowisko / Position ]],0)))</f>
        <v>n/a</v>
      </c>
      <c r="EN214" s="313" t="str">
        <f>IF(INDEX(tab_MinKomp[Usuwanie przyczyn żródłowych],MATCH($B213,tab_MinKomp[[Stanowisko / Position ]:[Stanowisko / Position ]],0))="n/a","n/a",EN213-INDEX(tab_MinKomp[Usuwanie przyczyn żródłowych],MATCH($B213,tab_MinKomp[[Stanowisko / Position ]:[Stanowisko / Position ]],0)))</f>
        <v>n/a</v>
      </c>
      <c r="EO214" s="313" t="str">
        <f>IF(INDEX(tab_MinKomp[Cmms stosowanie],MATCH($B213,tab_MinKomp[[Stanowisko / Position ]:[Stanowisko / Position ]],0))="n/a","n/a",EO213-INDEX(tab_MinKomp[Cmms stosowanie],MATCH($B213,tab_MinKomp[[Stanowisko / Position ]:[Stanowisko / Position ]],0)))</f>
        <v>n/a</v>
      </c>
      <c r="EP214" s="313" t="str">
        <f>IF(INDEX(tab_MinKomp[[Czyszczenie form gumowych ]],MATCH($B213,tab_MinKomp[[Stanowisko / Position ]:[Stanowisko / Position ]],0))="n/a","n/a",EP213-INDEX(tab_MinKomp[[Czyszczenie form gumowych ]],MATCH($B213,tab_MinKomp[[Stanowisko / Position ]:[Stanowisko / Position ]],0)))</f>
        <v>n/a</v>
      </c>
      <c r="EQ214" s="313" t="str">
        <f>IF(INDEX(tab_MinKomp[Czyszczenie form plastikowych],MATCH($B213,tab_MinKomp[[Stanowisko / Position ]:[Stanowisko / Position ]],0))="n/a","n/a",EQ213-INDEX(tab_MinKomp[Czyszczenie form plastikowych],MATCH($B213,tab_MinKomp[[Stanowisko / Position ]:[Stanowisko / Position ]],0)))</f>
        <v>n/a</v>
      </c>
      <c r="ER214" s="313" t="str">
        <f>IF(INDEX(tab_MinKomp[Wymiana form plastik],MATCH($B213,tab_MinKomp[[Stanowisko / Position ]:[Stanowisko / Position ]],0))="n/a","n/a",ER213-INDEX(tab_MinKomp[Wymiana form plastik],MATCH($B213,tab_MinKomp[[Stanowisko / Position ]:[Stanowisko / Position ]],0)))</f>
        <v>n/a</v>
      </c>
      <c r="ES214" s="313" t="str">
        <f>IF(INDEX(tab_MinKomp[Wymiana form guma],MATCH($B213,tab_MinKomp[[Stanowisko / Position ]:[Stanowisko / Position ]],0))="n/a","n/a",ES213-INDEX(tab_MinKomp[Wymiana form guma],MATCH($B213,tab_MinKomp[[Stanowisko / Position ]:[Stanowisko / Position ]],0)))</f>
        <v>n/a</v>
      </c>
      <c r="ET214" s="313" t="str">
        <f>IF(INDEX(tab_MinKomp[Konserwacja KK],MATCH($B213,tab_MinKomp[[Stanowisko / Position ]:[Stanowisko / Position ]],0))="n/a","n/a",ET213-INDEX(tab_MinKomp[Konserwacja KK],MATCH($B213,tab_MinKomp[[Stanowisko / Position ]:[Stanowisko / Position ]],0)))</f>
        <v>n/a</v>
      </c>
      <c r="EU214" s="313" t="str">
        <f>IF(INDEX(tab_MinKomp[Konserwacja form guma],MATCH($B213,tab_MinKomp[[Stanowisko / Position ]:[Stanowisko / Position ]],0))="n/a","n/a",EU213-INDEX(tab_MinKomp[Konserwacja form guma],MATCH($B213,tab_MinKomp[[Stanowisko / Position ]:[Stanowisko / Position ]],0)))</f>
        <v>n/a</v>
      </c>
      <c r="EV214" s="313" t="str">
        <f>IF(INDEX(tab_MinKomp[Konserwacja form plastiki],MATCH($B213,tab_MinKomp[[Stanowisko / Position ]:[Stanowisko / Position ]],0))="n/a","n/a",EV213-INDEX(tab_MinKomp[Konserwacja form plastiki],MATCH($B213,tab_MinKomp[[Stanowisko / Position ]:[Stanowisko / Position ]],0)))</f>
        <v>n/a</v>
      </c>
      <c r="EW214" s="330" t="str">
        <f>IF(INDEX(tab_MinKomp[Konserwacja form plastiki],MATCH($B213,tab_MinKomp[[Stanowisko / Position ]:[Stanowisko / Position ]],0))="n/a","n/a",EW213-INDEX(tab_MinKomp[Konserwacja form plastiki],MATCH($B213,tab_MinKomp[[Stanowisko / Position ]:[Stanowisko / Position ]],0)))</f>
        <v>n/a</v>
      </c>
      <c r="EX214" s="313" t="str">
        <f>IF(INDEX(tab_MinKomp[Konserwacja Gorącego Kanału],MATCH($B213,tab_MinKomp[[Stanowisko / Position ]:[Stanowisko / Position ]],0))="n/a","n/a",EX213-INDEX(tab_MinKomp[Konserwacja Gorącego Kanału],MATCH($B213,tab_MinKomp[[Stanowisko / Position ]:[Stanowisko / Position ]],0)))</f>
        <v>n/a</v>
      </c>
      <c r="EY214" s="315">
        <f>IF(INDEX(tab_MinKomp[MS Office (Excel)],MATCH($B213,tab_MinKomp[[Stanowisko / Position ]:[Stanowisko / Position ]],0))="n/a","n/a",EY213-INDEX(tab_MinKomp[MS Office (Excel)],MATCH($B213,tab_MinKomp[[Stanowisko / Position ]:[Stanowisko / Position ]],0)))</f>
        <v>0</v>
      </c>
      <c r="EZ214" s="315">
        <f>IF(INDEX(tab_MinKomp[MS Office (Word)],MATCH($B213,tab_MinKomp[[Stanowisko / Position ]:[Stanowisko / Position ]],0))="n/a","n/a",EZ213-INDEX(tab_MinKomp[MS Office (Word)],MATCH($B213,tab_MinKomp[[Stanowisko / Position ]:[Stanowisko / Position ]],0)))</f>
        <v>0</v>
      </c>
      <c r="FA214" s="315">
        <f>IF(INDEX(tab_MinKomp[MS Office (Power Point)],MATCH($B213,tab_MinKomp[[Stanowisko / Position ]:[Stanowisko / Position ]],0))="n/a","n/a",FA213-INDEX(tab_MinKomp[MS Office (Power Point)],MATCH($B213,tab_MinKomp[[Stanowisko / Position ]:[Stanowisko / Position ]],0)))</f>
        <v>0</v>
      </c>
      <c r="FB214" s="315">
        <f>IF(INDEX(tab_MinKomp[Język angielski / Englisch],MATCH($B213,tab_MinKomp[[Stanowisko / Position ]:[Stanowisko / Position ]],0))="n/a","n/a",FB213-INDEX(tab_MinKomp[Język angielski / Englisch],MATCH($B213,tab_MinKomp[[Stanowisko / Position ]:[Stanowisko / Position ]],0)))</f>
        <v>0</v>
      </c>
      <c r="FC214" s="315" t="str">
        <f>IF(INDEX(tab_MinKomp[Język niemiecki / Deutsch],MATCH($B213,tab_MinKomp[[Stanowisko / Position ]:[Stanowisko / Position ]],0))="n/a","n/a",FC213-INDEX(tab_MinKomp[Język niemiecki / Deutsch],MATCH($B213,tab_MinKomp[[Stanowisko / Position ]:[Stanowisko / Position ]],0)))</f>
        <v>n/a</v>
      </c>
      <c r="FD214" s="315">
        <f>IF(INDEX(tab_MinKomp[Zarządzanie dokumentacją procesową / Process dokumentation management],MATCH($B213,tab_MinKomp[[Stanowisko / Position ]:[Stanowisko / Position ]],0))="n/a","n/a",FD213-INDEX(tab_MinKomp[Zarządzanie dokumentacją procesową / Process dokumentation management],MATCH($B213,tab_MinKomp[[Stanowisko / Position ]:[Stanowisko / Position ]],0)))</f>
        <v>0</v>
      </c>
      <c r="FE214" s="315">
        <f>IF(INDEX(tab_MinKomp[Znajomość procesów z obszaru / Kenntiss der prozesse in dem Bereich],MATCH($B213,tab_MinKomp[[Stanowisko / Position ]:[Stanowisko / Position ]],0))="n/a","n/a",FE213-INDEX(tab_MinKomp[Znajomość procesów z obszaru / Kenntiss der prozesse in dem Bereich],MATCH($B213,tab_MinKomp[[Stanowisko / Position ]:[Stanowisko / Position ]],0)))</f>
        <v>0</v>
      </c>
      <c r="FF214" s="315">
        <f>IF(INDEX(tab_MinKomp[optymalizacja procesów / Prozessoptymalisierung],MATCH($B213,tab_MinKomp[[Stanowisko / Position ]:[Stanowisko / Position ]],0))="n/a","n/a",FF213-INDEX(tab_MinKomp[optymalizacja procesów / Prozessoptymalisierung],MATCH($B213,tab_MinKomp[[Stanowisko / Position ]:[Stanowisko / Position ]],0)))</f>
        <v>0</v>
      </c>
      <c r="FG214" s="315">
        <f>IF(INDEX(tab_MinKomp[Umiejętności szkoleniowe / Trainingsfähigkeiten],MATCH($B213,tab_MinKomp[[Stanowisko / Position ]:[Stanowisko / Position ]],0))="n/a","n/a",FG213-INDEX(tab_MinKomp[Umiejętności szkoleniowe / Trainingsfähigkeiten],MATCH($B213,tab_MinKomp[[Stanowisko / Position ]:[Stanowisko / Position ]],0)))</f>
        <v>0</v>
      </c>
      <c r="FH214" s="315">
        <f>IF(INDEX(tab_MinKomp[Analityczne myślenie, podejście / Analitysches Denken, Einstellung],MATCH($B213,tab_MinKomp[[Stanowisko / Position ]:[Stanowisko / Position ]],0))="n/a","n/a",FH213-INDEX(tab_MinKomp[Analityczne myślenie, podejście / Analitysches Denken, Einstellung],MATCH($B213,tab_MinKomp[[Stanowisko / Position ]:[Stanowisko / Position ]],0)))</f>
        <v>0</v>
      </c>
      <c r="FI214" s="315">
        <f>IF(INDEX(tab_MinKomp[Dokładność, precyzja w dzialaniu / Genauigkeit, Präzision in die Arbeit],MATCH($B213,tab_MinKomp[[Stanowisko / Position ]:[Stanowisko / Position ]],0))="n/a","n/a",FI213-INDEX(tab_MinKomp[Dokładność, precyzja w dzialaniu / Genauigkeit, Präzision in die Arbeit],MATCH($B213,tab_MinKomp[[Stanowisko / Position ]:[Stanowisko / Position ]],0)))</f>
        <v>0</v>
      </c>
      <c r="FJ214" s="315">
        <f>IF(INDEX(tab_MinKomp[Dyspozycyjność / Verfügbarkeit],MATCH($B213,tab_MinKomp[[Stanowisko / Position ]:[Stanowisko / Position ]],0))="n/a","n/a",FJ213-INDEX(tab_MinKomp[Dyspozycyjność / Verfügbarkeit],MATCH($B213,tab_MinKomp[[Stanowisko / Position ]:[Stanowisko / Position ]],0)))</f>
        <v>0</v>
      </c>
      <c r="FK214" s="315">
        <f>IF(INDEX(tab_MinKomp[Zaangażowanie / 
Engagement],MATCH($B213,tab_MinKomp[[Stanowisko / Position ]:[Stanowisko / Position ]],0))="n/a","n/a",FK213-INDEX(tab_MinKomp[Zaangażowanie / 
Engagement],MATCH($B213,tab_MinKomp[[Stanowisko / Position ]:[Stanowisko / Position ]],0)))</f>
        <v>0</v>
      </c>
      <c r="FL214" s="315">
        <f>IF(INDEX(tab_MinKomp[Planowanie strategiczne / Strategische Planung],MATCH($B213,tab_MinKomp[[Stanowisko / Position ]:[Stanowisko / Position ]],0))="n/a","n/a",FL213-INDEX(tab_MinKomp[Planowanie strategiczne / Strategische Planung],MATCH($B213,tab_MinKomp[[Stanowisko / Position ]:[Stanowisko / Position ]],0)))</f>
        <v>0</v>
      </c>
      <c r="FM214" s="315">
        <f>IF(INDEX(tab_MinKomp[Konsekwentne i dynamiczne działanie],MATCH($B213,tab_MinKomp[[Stanowisko / Position ]:[Stanowisko / Position ]],0))="n/a","n/a",FM213-INDEX(tab_MinKomp[Konsekwentne i dynamiczne działanie],MATCH($B213,tab_MinKomp[[Stanowisko / Position ]:[Stanowisko / Position ]],0)))</f>
        <v>0</v>
      </c>
      <c r="FN214" s="315">
        <f>IF(INDEX(tab_MinKomp[Elastyczność w działaniu],MATCH($B213,tab_MinKomp[[Stanowisko / Position ]:[Stanowisko / Position ]],0))="n/a","n/a",FN213-INDEX(tab_MinKomp[Elastyczność w działaniu],MATCH($B213,tab_MinKomp[[Stanowisko / Position ]:[Stanowisko / Position ]],0)))</f>
        <v>0</v>
      </c>
      <c r="FO214" s="315">
        <f>IF(INDEX(tab_MinKomp[Komunikatywność],MATCH($B213,tab_MinKomp[[Stanowisko / Position ]:[Stanowisko / Position ]],0))="n/a","n/a",FO213-INDEX(tab_MinKomp[Komunikatywność],MATCH($B213,tab_MinKomp[[Stanowisko / Position ]:[Stanowisko / Position ]],0)))</f>
        <v>-1</v>
      </c>
      <c r="FP214" s="315">
        <f>IF(INDEX(tab_MinKomp[Motywowanie i budowanie zaangażowania zespołu],MATCH($B213,tab_MinKomp[[Stanowisko / Position ]:[Stanowisko / Position ]],0))="n/a","n/a",FP213-INDEX(tab_MinKomp[Motywowanie i budowanie zaangażowania zespołu],MATCH($B213,tab_MinKomp[[Stanowisko / Position ]:[Stanowisko / Position ]],0)))</f>
        <v>-1</v>
      </c>
      <c r="FQ214" s="318" t="str">
        <f>IFERROR(IF(INDEX(tab_MinKomp[BRAK / Keine],MATCH($B213,tab_MinKomp[[Stanowisko / Position ]:[Stanowisko / Position ]],0))="n/a","n/a",INDEX(tab_MinKomp[BRAK / Keine],MATCH($B213,tab_MinKomp[[Stanowisko / Position ]:[Stanowisko / Position ]],0))-FQ213),"")</f>
        <v>n/a</v>
      </c>
      <c r="FR214" s="315" t="str">
        <f>IF(INDEX(tab_MinKomp[MINIMUM 1 ROK / min. 1 Jahr],MATCH($B213,tab_MinKomp[[Stanowisko / Position ]:[Stanowisko / Position ]],0))="n/a","n/a",INDEX(tab_MinKomp[MINIMUM 1 ROK / min. 1 Jahr],MATCH($B213,tab_MinKomp[[Stanowisko / Position ]:[Stanowisko / Position ]],0)))</f>
        <v>n/a</v>
      </c>
      <c r="FS214" s="315" t="str">
        <f>IF(INDEX(tab_MinKomp[MINIMUM 2 LATA / min. 2 Jahre],MATCH($B213,tab_MinKomp[[Stanowisko / Position ]:[Stanowisko / Position ]],0))="n/a","n/a",INDEX(tab_MinKomp[MINIMUM 2 LATA / min. 2 Jahre],MATCH($B213,tab_MinKomp[[Stanowisko / Position ]:[Stanowisko / Position ]],0)))</f>
        <v>x</v>
      </c>
      <c r="FT214" s="315" t="str">
        <f>IF(INDEX(tab_MinKomp[MINIMUM 3 LATA / min. 3 Jahre],MATCH($B213,tab_MinKomp[[Stanowisko / Position ]:[Stanowisko / Position ]],0))="n/a","n/a",INDEX(tab_MinKomp[MINIMUM 3 LATA / min. 3 Jahre],MATCH($B213,tab_MinKomp[[Stanowisko / Position ]:[Stanowisko / Position ]],0)))</f>
        <v>n/a</v>
      </c>
      <c r="FU214" s="315" t="str">
        <f>IF(INDEX(tab_MinKomp[MINIMUM 4 LATA / min. 4 Jahre],MATCH($B213,tab_MinKomp[[Stanowisko / Position ]:[Stanowisko / Position ]],0))="n/a","n/a",INDEX(tab_MinKomp[MINIMUM 4 LATA / min. 4 Jahre],MATCH($B213,tab_MinKomp[[Stanowisko / Position ]:[Stanowisko / Position ]],0)))</f>
        <v>n/a</v>
      </c>
      <c r="FV214" s="319" t="str">
        <f>IF(INDEX(tab_MinKomp[MINIMUM 5 LAT / min. 5 Jahre],MATCH($B213,tab_MinKomp[[Stanowisko / Position ]:[Stanowisko / Position ]],0))="n/a","n/a",INDEX(tab_MinKomp[MINIMUM 5 LAT / min. 5 Jahre],MATCH($B213,tab_MinKomp[[Stanowisko / Position ]:[Stanowisko / Position ]],0)))</f>
        <v>n/a</v>
      </c>
      <c r="FW214" s="318" t="str">
        <f>IF(INDEX(tab_MinKomp[BRAK / Keine9],MATCH($B213,tab_MinKomp[[Stanowisko / Position ]:[Stanowisko / Position ]],0))="n/a","n/a",INDEX(tab_MinKomp[BRAK / Keine9],MATCH($B213,tab_MinKomp[[Stanowisko / Position ]:[Stanowisko / Position ]],0)))</f>
        <v>n/a</v>
      </c>
      <c r="FX214" s="315" t="str">
        <f>IF(INDEX(tab_MinKomp[ŚREDNIE OGÓLNE / Abitur allgemeine],MATCH($B213,tab_MinKomp[[Stanowisko / Position ]:[Stanowisko / Position ]],0))="n/a","n/a",INDEX(tab_MinKomp[ŚREDNIE OGÓLNE / Abitur allgemeine],MATCH($B213,tab_MinKomp[[Stanowisko / Position ]:[Stanowisko / Position ]],0)))</f>
        <v>n/a</v>
      </c>
      <c r="FY214" s="315" t="str">
        <f>IF(INDEX(tab_MinKomp[ŚREDNIE KIERUNKOWE / berufliches Gymnasium],MATCH($B213,tab_MinKomp[[Stanowisko / Position ]:[Stanowisko / Position ]],0))="n/a","n/a",INDEX(tab_MinKomp[ŚREDNIE KIERUNKOWE / berufliches Gymnasium],MATCH($B213,tab_MinKomp[[Stanowisko / Position ]:[Stanowisko / Position ]],0)))</f>
        <v>n/a</v>
      </c>
      <c r="FZ214" s="315" t="str">
        <f>IF(INDEX(tab_MinKomp[WYŻSZE OGÓLNE / Hochschule allgemeine],MATCH($B213,tab_MinKomp[[Stanowisko / Position ]:[Stanowisko / Position ]],0))="n/a","n/a",INDEX(tab_MinKomp[WYŻSZE OGÓLNE / Hochschule allgemeine],MATCH($B213,tab_MinKomp[[Stanowisko / Position ]:[Stanowisko / Position ]],0)))</f>
        <v>n/a</v>
      </c>
      <c r="GA214" s="319" t="str">
        <f>IF(INDEX(tab_MinKomp[WYŻSZE KIERUNKOWE / Hochschule berufliche],MATCH($B213,tab_MinKomp[[Stanowisko / Position ]:[Stanowisko / Position ]],0))="n/a","n/a",INDEX(tab_MinKomp[WYŻSZE KIERUNKOWE / Hochschule berufliche],MATCH($B213,tab_MinKomp[[Stanowisko / Position ]:[Stanowisko / Position ]],0)))</f>
        <v>n/a</v>
      </c>
      <c r="GB214" s="319" t="str">
        <f>IF(INDEX(tab_MinKomp[WYŻSZE KIERUNKOWE / Hochschule berufliche],MATCH($B213,tab_MinKomp[[Stanowisko / Position ]:[Stanowisko / Position ]],0))="n/a","n/a",INDEX(tab_MinKomp[WYŻSZE KIERUNKOWE / Hochschule berufliche],MATCH($B213,tab_MinKomp[[Stanowisko / Position ]:[Stanowisko / Position ]],0)))</f>
        <v>n/a</v>
      </c>
      <c r="GC214" s="315" t="str">
        <f>IF(INDEX(tab_MinKomp[Specjalista BHP / BHP Spezialist],MATCH($B213,tab_MinKomp[[Stanowisko / Position ]:[Stanowisko / Position ]],0))="n/a","n/a",INDEX(tab_MinKomp[Specjalista BHP / BHP Spezialist],MATCH($B213,tab_MinKomp[[Stanowisko / Position ]:[Stanowisko / Position ]],0)))</f>
        <v>n/a</v>
      </c>
      <c r="GD214" s="315" t="str">
        <f>IF(INDEX(tab_MinKomp[Inspektor ochrony PPOŻ / Brandschutzinspektor],MATCH($B213,tab_MinKomp[[Stanowisko / Position ]:[Stanowisko / Position ]],0))="n/a","n/a",INDEX(tab_MinKomp[Inspektor ochrony PPOŻ / Brandschutzinspektor],MATCH($B213,tab_MinKomp[[Stanowisko / Position ]:[Stanowisko / Position ]],0)))</f>
        <v>n/a</v>
      </c>
      <c r="GE214" s="315" t="str">
        <f>IF(INDEX(tab_MinKomp[WÓZKI JEZDNIOWE / Gebelstapler],MATCH($B213,tab_MinKomp[[Stanowisko / Position ]:[Stanowisko / Position ]],0))="n/a","n/a",INDEX(tab_MinKomp[WÓZKI JEZDNIOWE / Gebelstapler],MATCH($B213,tab_MinKomp[[Stanowisko / Position ]:[Stanowisko / Position ]],0)))</f>
        <v>n/a</v>
      </c>
      <c r="GF214" s="315" t="str">
        <f>IF(INDEX(tab_MinKomp[SEP],MATCH($B213,tab_MinKomp[[Stanowisko / Position ]:[Stanowisko / Position ]],0))="n/a","n/a",INDEX(tab_MinKomp[SEP],MATCH($B213,tab_MinKomp[[Stanowisko / Position ]:[Stanowisko / Position ]],0)))</f>
        <v>n/a</v>
      </c>
      <c r="GG214" s="315" t="str">
        <f>IF(INDEX(tab_MinKomp[SEP  DOZÓR / SEP Aufsicht],MATCH($B213,tab_MinKomp[[Stanowisko / Position ]:[Stanowisko / Position ]],0))="n/a","n/a",INDEX(tab_MinKomp[SEP  DOZÓR / SEP Aufsicht],MATCH($B213,tab_MinKomp[[Stanowisko / Position ]:[Stanowisko / Position ]],0)))</f>
        <v>n/a</v>
      </c>
      <c r="GH214" s="315" t="str">
        <f>IF(INDEX(tab_MinKomp[PODNOŚNIKI / Hebevorrichtung],MATCH($B213,tab_MinKomp[[Stanowisko / Position ]:[Stanowisko / Position ]],0))="n/a","n/a",INDEX(tab_MinKomp[PODNOŚNIKI / Hebevorrichtung],MATCH($B213,tab_MinKomp[[Stanowisko / Position ]:[Stanowisko / Position ]],0)))</f>
        <v>n/a</v>
      </c>
      <c r="GI214" s="315" t="str">
        <f>IF(INDEX(tab_MinKomp[SUWNICE / Laufkran],MATCH($B213,tab_MinKomp[[Stanowisko / Position ]:[Stanowisko / Position ]],0))="n/a","n/a",INDEX(tab_MinKomp[SUWNICE / Laufkran],MATCH($B213,tab_MinKomp[[Stanowisko / Position ]:[Stanowisko / Position ]],0)))</f>
        <v>n/a</v>
      </c>
      <c r="GJ214" s="315" t="str">
        <f>IF(INDEX(tab_MinKomp[WYSOKOŚCIOWE / Höhenberechtigungen],MATCH($B213,tab_MinKomp[[Stanowisko / Position ]:[Stanowisko / Position ]],0))="n/a","n/a",INDEX(tab_MinKomp[WYSOKOŚCIOWE / Höhenberechtigungen],MATCH($B213,tab_MinKomp[[Stanowisko / Position ]:[Stanowisko / Position ]],0)))</f>
        <v>n/a</v>
      </c>
      <c r="GK214" s="315">
        <f>IF(INDEX(tab_MinKomp[Kwalifikacje w pkt / Qualifikationen in Pkt],MATCH($B213,tab_MinKomp[[Stanowisko / Position ]:[Stanowisko / Position ]],0))="n/a","n/a",INDEX(tab_MinKomp[Kwalifikacje w pkt / Qualifikationen in Pkt],MATCH($B213,tab_MinKomp[[Stanowisko / Position ]:[Stanowisko / Position ]],0)))</f>
        <v>163</v>
      </c>
      <c r="GL214" s="320">
        <f>SUM(G214:FP214)/(GL213-(SUM(G214:FP214)))</f>
        <v>0</v>
      </c>
      <c r="GM214" s="132"/>
    </row>
    <row r="215" spans="1:195" s="133" customFormat="1" ht="28.35" customHeight="1" x14ac:dyDescent="0.25">
      <c r="A215" s="135" t="s">
        <v>14</v>
      </c>
      <c r="B215" s="135" t="s">
        <v>675</v>
      </c>
      <c r="C215" s="135" t="s">
        <v>732</v>
      </c>
      <c r="D215" s="135">
        <v>1712</v>
      </c>
      <c r="E215" s="572" t="s">
        <v>660</v>
      </c>
      <c r="F215" s="307" t="s">
        <v>165</v>
      </c>
      <c r="G215" s="352">
        <v>2</v>
      </c>
      <c r="H215" s="352">
        <v>1</v>
      </c>
      <c r="I215" s="352">
        <v>3</v>
      </c>
      <c r="J215" s="352">
        <v>2</v>
      </c>
      <c r="K215" s="352">
        <v>1</v>
      </c>
      <c r="L215" s="352">
        <v>1</v>
      </c>
      <c r="M215" s="352" t="s">
        <v>176</v>
      </c>
      <c r="N215" s="352" t="s">
        <v>176</v>
      </c>
      <c r="O215" s="352">
        <v>1</v>
      </c>
      <c r="P215" s="352">
        <v>1</v>
      </c>
      <c r="Q215" s="352" t="s">
        <v>176</v>
      </c>
      <c r="R215" s="352" t="s">
        <v>176</v>
      </c>
      <c r="S215" s="352" t="s">
        <v>176</v>
      </c>
      <c r="T215" s="352" t="s">
        <v>176</v>
      </c>
      <c r="U215" s="352" t="s">
        <v>176</v>
      </c>
      <c r="V215" s="323" t="s">
        <v>176</v>
      </c>
      <c r="W215" s="323" t="s">
        <v>176</v>
      </c>
      <c r="X215" s="323" t="s">
        <v>176</v>
      </c>
      <c r="Y215" s="323" t="s">
        <v>176</v>
      </c>
      <c r="Z215" s="323" t="s">
        <v>176</v>
      </c>
      <c r="AA215" s="323" t="s">
        <v>176</v>
      </c>
      <c r="AB215" s="323">
        <v>2</v>
      </c>
      <c r="AC215" s="323">
        <v>1</v>
      </c>
      <c r="AD215" s="323">
        <v>1</v>
      </c>
      <c r="AE215" s="323">
        <v>1</v>
      </c>
      <c r="AF215" s="323">
        <v>1</v>
      </c>
      <c r="AG215" s="323" t="s">
        <v>176</v>
      </c>
      <c r="AH215" s="323" t="s">
        <v>176</v>
      </c>
      <c r="AI215" s="323" t="s">
        <v>176</v>
      </c>
      <c r="AJ215" s="352" t="s">
        <v>176</v>
      </c>
      <c r="AK215" s="323" t="s">
        <v>176</v>
      </c>
      <c r="AL215" s="323">
        <v>2</v>
      </c>
      <c r="AM215" s="323">
        <v>1</v>
      </c>
      <c r="AN215" s="323" t="s">
        <v>176</v>
      </c>
      <c r="AO215" s="323" t="s">
        <v>176</v>
      </c>
      <c r="AP215" s="323">
        <v>1</v>
      </c>
      <c r="AQ215" s="323">
        <v>2</v>
      </c>
      <c r="AR215" s="323" t="s">
        <v>176</v>
      </c>
      <c r="AS215" s="323" t="s">
        <v>176</v>
      </c>
      <c r="AT215" s="323" t="s">
        <v>176</v>
      </c>
      <c r="AU215" s="323" t="s">
        <v>176</v>
      </c>
      <c r="AV215" s="323">
        <v>2</v>
      </c>
      <c r="AW215" s="323" t="s">
        <v>176</v>
      </c>
      <c r="AX215" s="323" t="s">
        <v>176</v>
      </c>
      <c r="AY215" s="323" t="s">
        <v>176</v>
      </c>
      <c r="AZ215" s="323" t="s">
        <v>176</v>
      </c>
      <c r="BA215" s="323" t="s">
        <v>176</v>
      </c>
      <c r="BB215" s="323" t="s">
        <v>176</v>
      </c>
      <c r="BC215" s="323" t="s">
        <v>176</v>
      </c>
      <c r="BD215" s="323" t="s">
        <v>176</v>
      </c>
      <c r="BE215" s="323" t="s">
        <v>176</v>
      </c>
      <c r="BF215" s="323" t="s">
        <v>176</v>
      </c>
      <c r="BG215" s="323" t="s">
        <v>176</v>
      </c>
      <c r="BH215" s="323" t="s">
        <v>176</v>
      </c>
      <c r="BI215" s="323" t="s">
        <v>176</v>
      </c>
      <c r="BJ215" s="323" t="s">
        <v>176</v>
      </c>
      <c r="BK215" s="323" t="s">
        <v>176</v>
      </c>
      <c r="BL215" s="323" t="s">
        <v>176</v>
      </c>
      <c r="BM215" s="323" t="s">
        <v>176</v>
      </c>
      <c r="BN215" s="323" t="s">
        <v>176</v>
      </c>
      <c r="BO215" s="323" t="s">
        <v>176</v>
      </c>
      <c r="BP215" s="323" t="s">
        <v>176</v>
      </c>
      <c r="BQ215" s="323" t="s">
        <v>176</v>
      </c>
      <c r="BR215" s="323" t="s">
        <v>176</v>
      </c>
      <c r="BS215" s="323" t="s">
        <v>176</v>
      </c>
      <c r="BT215" s="323" t="s">
        <v>176</v>
      </c>
      <c r="BU215" s="323" t="s">
        <v>176</v>
      </c>
      <c r="BV215" s="323" t="s">
        <v>176</v>
      </c>
      <c r="BW215" s="323" t="s">
        <v>176</v>
      </c>
      <c r="BX215" s="323" t="s">
        <v>176</v>
      </c>
      <c r="BY215" s="323" t="s">
        <v>176</v>
      </c>
      <c r="BZ215" s="323" t="s">
        <v>176</v>
      </c>
      <c r="CA215" s="323" t="s">
        <v>176</v>
      </c>
      <c r="CB215" s="323" t="s">
        <v>176</v>
      </c>
      <c r="CC215" s="323" t="s">
        <v>176</v>
      </c>
      <c r="CD215" s="323" t="s">
        <v>176</v>
      </c>
      <c r="CE215" s="323" t="s">
        <v>176</v>
      </c>
      <c r="CF215" s="323" t="s">
        <v>176</v>
      </c>
      <c r="CG215" s="323" t="s">
        <v>176</v>
      </c>
      <c r="CH215" s="323" t="s">
        <v>176</v>
      </c>
      <c r="CI215" s="323">
        <v>3</v>
      </c>
      <c r="CJ215" s="323" t="s">
        <v>176</v>
      </c>
      <c r="CK215" s="323" t="s">
        <v>176</v>
      </c>
      <c r="CL215" s="323" t="s">
        <v>176</v>
      </c>
      <c r="CM215" s="323" t="s">
        <v>176</v>
      </c>
      <c r="CN215" s="323">
        <v>2</v>
      </c>
      <c r="CO215" s="323" t="s">
        <v>176</v>
      </c>
      <c r="CP215" s="323" t="s">
        <v>176</v>
      </c>
      <c r="CQ215" s="323" t="s">
        <v>176</v>
      </c>
      <c r="CR215" s="323" t="s">
        <v>176</v>
      </c>
      <c r="CS215" s="323" t="s">
        <v>176</v>
      </c>
      <c r="CT215" s="323" t="s">
        <v>176</v>
      </c>
      <c r="CU215" s="323" t="s">
        <v>176</v>
      </c>
      <c r="CV215" s="323" t="s">
        <v>176</v>
      </c>
      <c r="CW215" s="323" t="s">
        <v>176</v>
      </c>
      <c r="CX215" s="308" t="s">
        <v>176</v>
      </c>
      <c r="CY215" s="308" t="s">
        <v>176</v>
      </c>
      <c r="CZ215" s="308" t="s">
        <v>176</v>
      </c>
      <c r="DA215" s="308" t="s">
        <v>176</v>
      </c>
      <c r="DB215" s="308" t="s">
        <v>176</v>
      </c>
      <c r="DC215" s="308" t="s">
        <v>176</v>
      </c>
      <c r="DD215" s="308" t="s">
        <v>176</v>
      </c>
      <c r="DE215" s="308" t="s">
        <v>176</v>
      </c>
      <c r="DF215" s="308" t="s">
        <v>176</v>
      </c>
      <c r="DG215" s="308" t="s">
        <v>176</v>
      </c>
      <c r="DH215" s="308" t="s">
        <v>176</v>
      </c>
      <c r="DI215" s="308" t="s">
        <v>176</v>
      </c>
      <c r="DJ215" s="308" t="s">
        <v>176</v>
      </c>
      <c r="DK215" s="308" t="s">
        <v>176</v>
      </c>
      <c r="DL215" s="308" t="s">
        <v>176</v>
      </c>
      <c r="DM215" s="308" t="s">
        <v>176</v>
      </c>
      <c r="DN215" s="308" t="s">
        <v>176</v>
      </c>
      <c r="DO215" s="308" t="s">
        <v>176</v>
      </c>
      <c r="DP215" s="308" t="s">
        <v>176</v>
      </c>
      <c r="DQ215" s="308" t="s">
        <v>176</v>
      </c>
      <c r="DR215" s="308" t="s">
        <v>176</v>
      </c>
      <c r="DS215" s="308" t="s">
        <v>176</v>
      </c>
      <c r="DT215" s="308" t="s">
        <v>176</v>
      </c>
      <c r="DU215" s="323" t="s">
        <v>176</v>
      </c>
      <c r="DV215" s="323" t="s">
        <v>176</v>
      </c>
      <c r="DW215" s="323" t="s">
        <v>176</v>
      </c>
      <c r="DX215" s="323" t="s">
        <v>176</v>
      </c>
      <c r="DY215" s="323" t="s">
        <v>176</v>
      </c>
      <c r="DZ215" s="323" t="s">
        <v>176</v>
      </c>
      <c r="EA215" s="323" t="s">
        <v>176</v>
      </c>
      <c r="EB215" s="323" t="s">
        <v>176</v>
      </c>
      <c r="EC215" s="323" t="s">
        <v>176</v>
      </c>
      <c r="ED215" s="323" t="s">
        <v>176</v>
      </c>
      <c r="EE215" s="323" t="s">
        <v>176</v>
      </c>
      <c r="EF215" s="352" t="s">
        <v>176</v>
      </c>
      <c r="EG215" s="352" t="s">
        <v>176</v>
      </c>
      <c r="EH215" s="352" t="s">
        <v>176</v>
      </c>
      <c r="EI215" s="352" t="s">
        <v>176</v>
      </c>
      <c r="EJ215" s="323" t="s">
        <v>176</v>
      </c>
      <c r="EK215" s="352" t="s">
        <v>176</v>
      </c>
      <c r="EL215" s="323" t="s">
        <v>176</v>
      </c>
      <c r="EM215" s="323" t="s">
        <v>176</v>
      </c>
      <c r="EN215" s="323" t="s">
        <v>176</v>
      </c>
      <c r="EO215" s="323" t="s">
        <v>176</v>
      </c>
      <c r="EP215" s="323" t="s">
        <v>176</v>
      </c>
      <c r="EQ215" s="323" t="s">
        <v>176</v>
      </c>
      <c r="ER215" s="323" t="s">
        <v>176</v>
      </c>
      <c r="ES215" s="323" t="s">
        <v>176</v>
      </c>
      <c r="ET215" s="323" t="s">
        <v>176</v>
      </c>
      <c r="EU215" s="323" t="s">
        <v>176</v>
      </c>
      <c r="EV215" s="323" t="s">
        <v>176</v>
      </c>
      <c r="EW215" s="308" t="s">
        <v>176</v>
      </c>
      <c r="EX215" s="352" t="s">
        <v>176</v>
      </c>
      <c r="EY215" s="323">
        <v>3</v>
      </c>
      <c r="EZ215" s="323">
        <v>2</v>
      </c>
      <c r="FA215" s="323">
        <v>2</v>
      </c>
      <c r="FB215" s="323">
        <v>1</v>
      </c>
      <c r="FC215" s="323">
        <v>1</v>
      </c>
      <c r="FD215" s="352"/>
      <c r="FE215" s="323">
        <v>2</v>
      </c>
      <c r="FF215" s="323">
        <v>2</v>
      </c>
      <c r="FG215" s="323">
        <v>2</v>
      </c>
      <c r="FH215" s="323">
        <v>2</v>
      </c>
      <c r="FI215" s="323">
        <v>2</v>
      </c>
      <c r="FJ215" s="323">
        <v>2</v>
      </c>
      <c r="FK215" s="323">
        <v>2</v>
      </c>
      <c r="FL215" s="323">
        <v>3</v>
      </c>
      <c r="FM215" s="323">
        <v>2</v>
      </c>
      <c r="FN215" s="323">
        <v>2</v>
      </c>
      <c r="FO215" s="323">
        <v>2</v>
      </c>
      <c r="FP215" s="323">
        <v>2</v>
      </c>
      <c r="FQ215" s="353" t="s">
        <v>176</v>
      </c>
      <c r="FR215" s="353" t="s">
        <v>176</v>
      </c>
      <c r="FS215" s="352"/>
      <c r="FT215" s="353" t="s">
        <v>176</v>
      </c>
      <c r="FU215" s="353" t="s">
        <v>176</v>
      </c>
      <c r="FV215" s="353" t="s">
        <v>176</v>
      </c>
      <c r="FW215" s="353" t="s">
        <v>176</v>
      </c>
      <c r="FX215" s="353" t="s">
        <v>176</v>
      </c>
      <c r="FY215" s="353"/>
      <c r="FZ215" s="353" t="s">
        <v>176</v>
      </c>
      <c r="GA215" s="353" t="s">
        <v>176</v>
      </c>
      <c r="GB215" s="353" t="s">
        <v>176</v>
      </c>
      <c r="GC215" s="353"/>
      <c r="GD215" s="353" t="s">
        <v>176</v>
      </c>
      <c r="GE215" s="353" t="s">
        <v>176</v>
      </c>
      <c r="GF215" s="353" t="s">
        <v>176</v>
      </c>
      <c r="GG215" s="353" t="s">
        <v>176</v>
      </c>
      <c r="GH215" s="353" t="s">
        <v>176</v>
      </c>
      <c r="GI215" s="353" t="s">
        <v>176</v>
      </c>
      <c r="GJ215" s="353" t="s">
        <v>176</v>
      </c>
      <c r="GK215" s="353" t="s">
        <v>176</v>
      </c>
      <c r="GL215" s="311">
        <f>SUM(G215:FP215)</f>
        <v>65</v>
      </c>
      <c r="GM215" s="132"/>
    </row>
    <row r="216" spans="1:195" s="133" customFormat="1" ht="28.35" customHeight="1" thickBot="1" x14ac:dyDescent="0.3">
      <c r="A216" s="138" t="str">
        <f>A215</f>
        <v>BHP</v>
      </c>
      <c r="B216" s="138" t="str">
        <f>B215</f>
        <v>Asystent ds.BHP</v>
      </c>
      <c r="C216" s="138" t="str">
        <f>C215</f>
        <v>KN</v>
      </c>
      <c r="D216" s="138">
        <f>D215</f>
        <v>1712</v>
      </c>
      <c r="E216" s="573"/>
      <c r="F216" s="312" t="s">
        <v>166</v>
      </c>
      <c r="G216" s="313">
        <f>IF(INDEX(tab_MinKomp[Przepisy BHP / BHP Vorschriften],MATCH($B215,tab_MinKomp[[Stanowisko / Position ]:[Stanowisko / Position ]],0))="n/a","n/a",G215-INDEX(tab_MinKomp[Przepisy BHP / BHP Vorschriften],MATCH($B215,tab_MinKomp[[Stanowisko / Position ]:[Stanowisko / Position ]],0)))</f>
        <v>-1</v>
      </c>
      <c r="H216" s="313">
        <f>IF(INDEX(tab_MinKomp[Przepisy PPOŻ / Brandschutzbestimmungen],MATCH($B215,tab_MinKomp[[Stanowisko / Position ]:[Stanowisko / Position ]],0))="n/a","n/a",H215-INDEX(tab_MinKomp[Przepisy PPOŻ / Brandschutzbestimmungen],MATCH($B215,tab_MinKomp[[Stanowisko / Position ]:[Stanowisko / Position ]],0)))</f>
        <v>-2</v>
      </c>
      <c r="I216" s="313">
        <f>IF(INDEX(tab_MinKomp[Ryzyko zawodowe na stanowiskach pracyv/ Berufliche Risiken an Arbeitsstellen],MATCH($B215,tab_MinKomp[[Stanowisko / Position ]:[Stanowisko / Position ]],0))="n/a","n/a",I215-INDEX(tab_MinKomp[Ryzyko zawodowe na stanowiskach pracyv/ Berufliche Risiken an Arbeitsstellen],MATCH($B215,tab_MinKomp[[Stanowisko / Position ]:[Stanowisko / Position ]],0)))</f>
        <v>0</v>
      </c>
      <c r="J216" s="313">
        <f>IF(INDEX(tab_MinKomp[Gospodarka substancjami niebezpiecznymi / Gefahrstoffmanagement],MATCH($B215,tab_MinKomp[[Stanowisko / Position ]:[Stanowisko / Position ]],0))="n/a","n/a",J215-INDEX(tab_MinKomp[Gospodarka substancjami niebezpiecznymi / Gefahrstoffmanagement],MATCH($B215,tab_MinKomp[[Stanowisko / Position ]:[Stanowisko / Position ]],0)))</f>
        <v>0</v>
      </c>
      <c r="K216" s="313">
        <f>IF(INDEX(tab_MinKomp[Gospodarka odpadami / Abfallwirtschaft],MATCH($B215,tab_MinKomp[[Stanowisko / Position ]:[Stanowisko / Position ]],0))="n/a","n/a",K215-INDEX(tab_MinKomp[Gospodarka odpadami / Abfallwirtschaft],MATCH($B215,tab_MinKomp[[Stanowisko / Position ]:[Stanowisko / Position ]],0)))</f>
        <v>0</v>
      </c>
      <c r="L216" s="313">
        <f>IF(INDEX(tab_MinKomp[Przepisy kodeksu pracy / Bestimmungen des Arbeitsgesetzes],MATCH($B215,tab_MinKomp[[Stanowisko / Position ]:[Stanowisko / Position ]],0))="n/a","n/a",L215-INDEX(tab_MinKomp[Przepisy kodeksu pracy / Bestimmungen des Arbeitsgesetzes],MATCH($B215,tab_MinKomp[[Stanowisko / Position ]:[Stanowisko / Position ]],0)))</f>
        <v>-1</v>
      </c>
      <c r="M216" s="313" t="str">
        <f>IF(INDEX(tab_MinKomp[Przepisy o ub.społ. ZUS  / Sozialversicherungsvorschriften],MATCH($B215,tab_MinKomp[[Stanowisko / Position ]:[Stanowisko / Position ]],0))="n/a","n/a",M215-INDEX(tab_MinKomp[Przepisy o ub.społ. ZUS  / Sozialversicherungsvorschriften],MATCH($B215,tab_MinKomp[[Stanowisko / Position ]:[Stanowisko / Position ]],0)))</f>
        <v>n/a</v>
      </c>
      <c r="N216" s="313" t="str">
        <f>IF(INDEX(tab_MinKomp[PRZEPISY O PDOF /persönlich Einkommensteuergesetz ],MATCH($B215,tab_MinKomp[[Stanowisko / Position ]:[Stanowisko / Position ]],0))="n/a","n/a",N215-INDEX(tab_MinKomp[PRZEPISY O PDOF /persönlich Einkommensteuergesetz ],MATCH($B215,tab_MinKomp[[Stanowisko / Position ]:[Stanowisko / Position ]],0)))</f>
        <v>n/a</v>
      </c>
      <c r="O216" s="313">
        <f>IF(INDEX(tab_MinKomp[Regulamin pracy / Arbeitsordnung],MATCH($B215,tab_MinKomp[[Stanowisko / Position ]:[Stanowisko / Position ]],0))="n/a","n/a",O215-INDEX(tab_MinKomp[Regulamin pracy / Arbeitsordnung],MATCH($B215,tab_MinKomp[[Stanowisko / Position ]:[Stanowisko / Position ]],0)))</f>
        <v>-1</v>
      </c>
      <c r="P216" s="313">
        <f>IF(INDEX(tab_MinKomp[Regulamin wynagradzania / Vergütungsordnung],MATCH($B215,tab_MinKomp[[Stanowisko / Position ]:[Stanowisko / Position ]],0))="n/a","n/a",P215-INDEX(tab_MinKomp[Regulamin wynagradzania / Vergütungsordnung],MATCH($B215,tab_MinKomp[[Stanowisko / Position ]:[Stanowisko / Position ]],0)))</f>
        <v>-1</v>
      </c>
      <c r="Q216" s="313" t="str">
        <f>IF(INDEX(tab_MinKomp[System R2PŁATNIK PRO: Płace / Lohnabrechnung],MATCH($B215,tab_MinKomp[[Stanowisko / Position ]:[Stanowisko / Position ]],0))="n/a","n/a",Q215-INDEX(tab_MinKomp[System R2PŁATNIK PRO: Płace / Lohnabrechnung],MATCH($B215,tab_MinKomp[[Stanowisko / Position ]:[Stanowisko / Position ]],0)))</f>
        <v>n/a</v>
      </c>
      <c r="R216" s="313" t="str">
        <f>IF(INDEX(tab_MinKomp[SystemR2PŁATNIK PRO: KADRY / Personaldaten],MATCH($B215,tab_MinKomp[[Stanowisko / Position ]:[Stanowisko / Position ]],0))="n/a","n/a",R215-INDEX(tab_MinKomp[SystemR2PŁATNIK PRO: KADRY / Personaldaten],MATCH($B215,tab_MinKomp[[Stanowisko / Position ]:[Stanowisko / Position ]],0)))</f>
        <v>n/a</v>
      </c>
      <c r="S216" s="313" t="str">
        <f>IF(INDEX(tab_MinKomp[SYSTEM R2PŁATNIK PRO: zarządzanie pracownikami / Arbeitsverwaltung],MATCH($B215,tab_MinKomp[[Stanowisko / Position ]:[Stanowisko / Position ]],0))="n/a","n/a",S215-INDEX(tab_MinKomp[SYSTEM R2PŁATNIK PRO: zarządzanie pracownikami / Arbeitsverwaltung],MATCH($B215,tab_MinKomp[[Stanowisko / Position ]:[Stanowisko / Position ]],0)))</f>
        <v>n/a</v>
      </c>
      <c r="T216" s="313" t="str">
        <f>IF(INDEX(tab_MinKomp[Doradztwo, wsparcie personalne / Personalberatung und Unterstützung],MATCH($B215,tab_MinKomp[[Stanowisko / Position ]:[Stanowisko / Position ]],0))="n/a","n/a",T215-INDEX(tab_MinKomp[Doradztwo, wsparcie personalne / Personalberatung und Unterstützung],MATCH($B215,tab_MinKomp[[Stanowisko / Position ]:[Stanowisko / Position ]],0)))</f>
        <v>n/a</v>
      </c>
      <c r="U216" s="313" t="str">
        <f>IF(INDEX(tab_MinKomp[Przepisy o podatku VAT / MwSt.- Gesetz],MATCH($B215,tab_MinKomp[[Stanowisko / Position ]:[Stanowisko / Position ]],0))="n/a","n/a",U215-INDEX(tab_MinKomp[Przepisy o podatku VAT / MwSt.- Gesetz],MATCH($B215,tab_MinKomp[[Stanowisko / Position ]:[Stanowisko / Position ]],0)))</f>
        <v>n/a</v>
      </c>
      <c r="V216" s="313" t="str">
        <f>IF(INDEX(tab_MinKomp[PrzepisyPDOP / geschäftlich Einkommensteuergesetz],MATCH($B215,tab_MinKomp[[Stanowisko / Position ]:[Stanowisko / Position ]],0))="n/a","n/a",V215-INDEX(tab_MinKomp[PrzepisyPDOP / geschäftlich Einkommensteuergesetz],MATCH($B215,tab_MinKomp[[Stanowisko / Position ]:[Stanowisko / Position ]],0)))</f>
        <v>n/a</v>
      </c>
      <c r="W216" s="313" t="str">
        <f>IF(INDEX(tab_MinKomp[System BAAN / FINANSE (FIBU)],MATCH($B215,tab_MinKomp[[Stanowisko / Position ]:[Stanowisko / Position ]],0))="n/a","n/a",W215-INDEX(tab_MinKomp[System BAAN / FINANSE (FIBU)],MATCH($B215,tab_MinKomp[[Stanowisko / Position ]:[Stanowisko / Position ]],0)))</f>
        <v>n/a</v>
      </c>
      <c r="X216" s="313" t="str">
        <f>IF(INDEX(tab_MinKomp[Systemy pomocnicze / Hilfssysteme(STOCKPROGRAM, KALK2000 etc.)],MATCH($B215,tab_MinKomp[[Stanowisko / Position ]:[Stanowisko / Position ]],0))="n/a","n/a",X215-INDEX(tab_MinKomp[Systemy pomocnicze / Hilfssysteme(STOCKPROGRAM, KALK2000 etc.)],MATCH($B215,tab_MinKomp[[Stanowisko / Position ]:[Stanowisko / Position ]],0)))</f>
        <v>n/a</v>
      </c>
      <c r="Y216" s="313" t="str">
        <f>IF(INDEX(tab_MinKomp[Polityka rachunkowości / Buchführungspolitik],MATCH($B215,tab_MinKomp[[Stanowisko / Position ]:[Stanowisko / Position ]],0))="n/a","n/a",Y215-INDEX(tab_MinKomp[Polityka rachunkowości / Buchführungspolitik],MATCH($B215,tab_MinKomp[[Stanowisko / Position ]:[Stanowisko / Position ]],0)))</f>
        <v>n/a</v>
      </c>
      <c r="Z216" s="313" t="str">
        <f>IF(INDEX(tab_MinKomp[Ustawa o rachunkowości / Rechnungslegungsgesetz],MATCH($B215,tab_MinKomp[[Stanowisko / Position ]:[Stanowisko / Position ]],0))="n/a","n/a",Z215-INDEX(tab_MinKomp[Ustawa o rachunkowości / Rechnungslegungsgesetz],MATCH($B215,tab_MinKomp[[Stanowisko / Position ]:[Stanowisko / Position ]],0)))</f>
        <v>n/a</v>
      </c>
      <c r="AA216" s="313" t="str">
        <f>IF(INDEX(tab_MinKomp[WORKFLOW - TS-100],MATCH($B215,tab_MinKomp[[Stanowisko / Position ]:[Stanowisko / Position ]],0))="n/a","n/a",AA215-INDEX(tab_MinKomp[WORKFLOW - TS-100],MATCH($B215,tab_MinKomp[[Stanowisko / Position ]:[Stanowisko / Position ]],0)))</f>
        <v>n/a</v>
      </c>
      <c r="AB216" s="313">
        <f>IF(INDEX(tab_MinKomp[WORKFLOW - SFMS],MATCH($B215,tab_MinKomp[[Stanowisko / Position ]:[Stanowisko / Position ]],0))="n/a","n/a",AB215-INDEX(tab_MinKomp[WORKFLOW - SFMS],MATCH($B215,tab_MinKomp[[Stanowisko / Position ]:[Stanowisko / Position ]],0)))</f>
        <v>1</v>
      </c>
      <c r="AC216" s="313">
        <f>IF(INDEX(tab_MinKomp[System ISO 9001:2015],MATCH($B215,tab_MinKomp[[Stanowisko / Position ]:[Stanowisko / Position ]],0))="n/a","n/a",AC215-INDEX(tab_MinKomp[System ISO 9001:2015],MATCH($B215,tab_MinKomp[[Stanowisko / Position ]:[Stanowisko / Position ]],0)))</f>
        <v>0</v>
      </c>
      <c r="AD216" s="313">
        <f>IF(INDEX(tab_MinKomp[System IATF 16949:2016],MATCH($B215,tab_MinKomp[[Stanowisko / Position ]:[Stanowisko / Position ]],0))="n/a","n/a",AD215-INDEX(tab_MinKomp[System IATF 16949:2016],MATCH($B215,tab_MinKomp[[Stanowisko / Position ]:[Stanowisko / Position ]],0)))</f>
        <v>-1</v>
      </c>
      <c r="AE216" s="313">
        <f>IF(INDEX(tab_MinKomp[System ISO 14001:2015],MATCH($B215,tab_MinKomp[[Stanowisko / Position ]:[Stanowisko / Position ]],0))="n/a","n/a",AE215-INDEX(tab_MinKomp[System ISO 14001:2015],MATCH($B215,tab_MinKomp[[Stanowisko / Position ]:[Stanowisko / Position ]],0)))</f>
        <v>0</v>
      </c>
      <c r="AF216" s="313">
        <f>IF(INDEX(tab_MinKomp[System PN-N 18001:2004 / ISO 45001:2018],MATCH($B215,tab_MinKomp[[Stanowisko / Position ]:[Stanowisko / Position ]],0))="n/a","n/a",AF215-INDEX(tab_MinKomp[System PN-N 18001:2004 / ISO 45001:2018],MATCH($B215,tab_MinKomp[[Stanowisko / Position ]:[Stanowisko / Position ]],0)))</f>
        <v>0</v>
      </c>
      <c r="AG216" s="313" t="str">
        <f>IF(INDEX(tab_MinKomp[Wymagania VDA 6.3 Process / Forderungen],MATCH($B215,tab_MinKomp[[Stanowisko / Position ]:[Stanowisko / Position ]],0))="n/a","n/a",AG215-INDEX(tab_MinKomp[Wymagania VDA 6.3 Process / Forderungen],MATCH($B215,tab_MinKomp[[Stanowisko / Position ]:[Stanowisko / Position ]],0)))</f>
        <v>n/a</v>
      </c>
      <c r="AH216" s="313" t="str">
        <f>IF(INDEX(tab_MinKomp[Wymagania VDA 6.5 Product / Forderungen],MATCH($B215,tab_MinKomp[[Stanowisko / Position ]:[Stanowisko / Position ]],0))="n/a","n/a",AH215-INDEX(tab_MinKomp[Wymagania VDA 6.5 Product / Forderungen],MATCH($B215,tab_MinKomp[[Stanowisko / Position ]:[Stanowisko / Position ]],0)))</f>
        <v>n/a</v>
      </c>
      <c r="AI216" s="313" t="str">
        <f>IF(INDEX(tab_MinKomp[PSCR (VW Product Safety &amp; Conformity Representative)],MATCH($B215,tab_MinKomp[[Stanowisko / Position ]:[Stanowisko / Position ]],0))="n/a","n/a",AI215-INDEX(tab_MinKomp[PSCR (VW Product Safety &amp; Conformity Representative)],MATCH($B215,tab_MinKomp[[Stanowisko / Position ]:[Stanowisko / Position ]],0)))</f>
        <v>n/a</v>
      </c>
      <c r="AJ216" s="313" t="str">
        <f>IF(INDEX(tab_MinKomp[Auditor systemu ISO 17025:2018],MATCH($B215,tab_MinKomp[[Stanowisko / Position ]:[Stanowisko / Position ]],0))="n/a","n/a",AJ215-INDEX(tab_MinKomp[Auditor systemu ISO 17025:2018],MATCH($B215,tab_MinKomp[[Stanowisko / Position ]:[Stanowisko / Position ]],0)))</f>
        <v>n/a</v>
      </c>
      <c r="AK216" s="313" t="str">
        <f>IF(INDEX(tab_MinKomp[Pełnomocnik systemu / Systemvertreter],MATCH($B215,tab_MinKomp[[Stanowisko / Position ]:[Stanowisko / Position ]],0))="n/a","n/a",AK215-INDEX(tab_MinKomp[Pełnomocnik systemu / Systemvertreter],MATCH($B215,tab_MinKomp[[Stanowisko / Position ]:[Stanowisko / Position ]],0)))</f>
        <v>n/a</v>
      </c>
      <c r="AL216" s="313">
        <f>IF(INDEX(tab_MinKomp[Polityka Etyczna - Compliance],MATCH($B215,tab_MinKomp[[Stanowisko / Position ]:[Stanowisko / Position ]],0))="n/a","n/a",AL215-INDEX(tab_MinKomp[Polityka Etyczna - Compliance],MATCH($B215,tab_MinKomp[[Stanowisko / Position ]:[Stanowisko / Position ]],0)))</f>
        <v>1</v>
      </c>
      <c r="AM216" s="313">
        <f>IF(INDEX(tab_MinKomp[WDRAŻANIE NOWYCH PROJEKTÓW/ PROCEDURA CTM],MATCH($B215,tab_MinKomp[[Stanowisko / Position ]:[Stanowisko / Position ]],0))="n/a","n/a",AM215-INDEX(tab_MinKomp[WDRAŻANIE NOWYCH PROJEKTÓW/ PROCEDURA CTM],MATCH($B215,tab_MinKomp[[Stanowisko / Position ]:[Stanowisko / Position ]],0)))</f>
        <v>0</v>
      </c>
      <c r="AN216" s="313" t="str">
        <f>IF(INDEX(tab_MinKomp[KAMIENIE MILOWE MSL/PIFF],MATCH($B215,tab_MinKomp[[Stanowisko / Position ]:[Stanowisko / Position ]],0))="n/a","n/a",AN215-INDEX(tab_MinKomp[KAMIENIE MILOWE MSL/PIFF],MATCH($B215,tab_MinKomp[[Stanowisko / Position ]:[Stanowisko / Position ]],0)))</f>
        <v>n/a</v>
      </c>
      <c r="AO216" s="313" t="str">
        <f>IF(INDEX(tab_MinKomp[CP],MATCH($B215,tab_MinKomp[[Stanowisko / Position ]:[Stanowisko / Position ]],0))="n/a","n/a",AO215-INDEX(tab_MinKomp[CP],MATCH($B215,tab_MinKomp[[Stanowisko / Position ]:[Stanowisko / Position ]],0)))</f>
        <v>n/a</v>
      </c>
      <c r="AP216" s="313">
        <f>IF(INDEX(tab_MinKomp[FMEA],MATCH($B215,tab_MinKomp[[Stanowisko / Position ]:[Stanowisko / Position ]],0))="n/a","n/a",AP215-INDEX(tab_MinKomp[FMEA],MATCH($B215,tab_MinKomp[[Stanowisko / Position ]:[Stanowisko / Position ]],0)))</f>
        <v>-1</v>
      </c>
      <c r="AQ216" s="313">
        <f>IF(INDEX(tab_MinKomp[FLOW CHART],MATCH($B215,tab_MinKomp[[Stanowisko / Position ]:[Stanowisko / Position ]],0))="n/a","n/a",AQ215-INDEX(tab_MinKomp[FLOW CHART],MATCH($B215,tab_MinKomp[[Stanowisko / Position ]:[Stanowisko / Position ]],0)))</f>
        <v>1</v>
      </c>
      <c r="AR216" s="313" t="str">
        <f>IF(INDEX(tab_MinKomp[APQP],MATCH($B215,tab_MinKomp[[Stanowisko / Position ]:[Stanowisko / Position ]],0))="n/a","n/a",AR215-INDEX(tab_MinKomp[APQP],MATCH($B215,tab_MinKomp[[Stanowisko / Position ]:[Stanowisko / Position ]],0)))</f>
        <v>n/a</v>
      </c>
      <c r="AS216" s="313" t="str">
        <f>IF(INDEX(tab_MinKomp[MSA],MATCH($B215,tab_MinKomp[[Stanowisko / Position ]:[Stanowisko / Position ]],0))="n/a","n/a",AS215-INDEX(tab_MinKomp[MSA],MATCH($B215,tab_MinKomp[[Stanowisko / Position ]:[Stanowisko / Position ]],0)))</f>
        <v>n/a</v>
      </c>
      <c r="AT216" s="313" t="str">
        <f>IF(INDEX(tab_MinKomp[SPC],MATCH($B215,tab_MinKomp[[Stanowisko / Position ]:[Stanowisko / Position ]],0))="n/a","n/a",AT215-INDEX(tab_MinKomp[SPC],MATCH($B215,tab_MinKomp[[Stanowisko / Position ]:[Stanowisko / Position ]],0)))</f>
        <v>n/a</v>
      </c>
      <c r="AU216" s="313" t="str">
        <f>IF(INDEX(tab_MinKomp[CSR (SPECYFICZNE WYMAGANIA KLIENTA)],MATCH($B215,tab_MinKomp[[Stanowisko / Position ]:[Stanowisko / Position ]],0))="n/a","n/a",AU215-INDEX(tab_MinKomp[CSR (SPECYFICZNE WYMAGANIA KLIENTA)],MATCH($B215,tab_MinKomp[[Stanowisko / Position ]:[Stanowisko / Position ]],0)))</f>
        <v>n/a</v>
      </c>
      <c r="AV216" s="313">
        <f>IF(INDEX(tab_MinKomp[5S],MATCH($B215,tab_MinKomp[[Stanowisko / Position ]:[Stanowisko / Position ]],0))="n/a","n/a",AV215-INDEX(tab_MinKomp[5S],MATCH($B215,tab_MinKomp[[Stanowisko / Position ]:[Stanowisko / Position ]],0)))</f>
        <v>0</v>
      </c>
      <c r="AW216" s="313" t="str">
        <f>IF(INDEX(tab_MinKomp[LEAN MANAGEMENT],MATCH($B215,tab_MinKomp[[Stanowisko / Position ]:[Stanowisko / Position ]],0))="n/a","n/a",AW215-INDEX(tab_MinKomp[LEAN MANAGEMENT],MATCH($B215,tab_MinKomp[[Stanowisko / Position ]:[Stanowisko / Position ]],0)))</f>
        <v>n/a</v>
      </c>
      <c r="AX216" s="313" t="str">
        <f>IF(INDEX(tab_MinKomp[5R],MATCH($B215,tab_MinKomp[[Stanowisko / Position ]:[Stanowisko / Position ]],0))="n/a","n/a",AX215-INDEX(tab_MinKomp[5R],MATCH($B215,tab_MinKomp[[Stanowisko / Position ]:[Stanowisko / Position ]],0)))</f>
        <v>n/a</v>
      </c>
      <c r="AY216" s="313" t="str">
        <f>IF(INDEX(tab_MinKomp[Six Sigma],MATCH($B215,tab_MinKomp[[Stanowisko / Position ]:[Stanowisko / Position ]],0))="n/a","n/a",AY215-INDEX(tab_MinKomp[Six Sigma],MATCH($B215,tab_MinKomp[[Stanowisko / Position ]:[Stanowisko / Position ]],0)))</f>
        <v>n/a</v>
      </c>
      <c r="AZ216" s="313" t="str">
        <f>IF(INDEX(tab_MinKomp[System BAAN / Distribution &amp; Supply Chain],MATCH($B215,tab_MinKomp[[Stanowisko / Position ]:[Stanowisko / Position ]],0))="n/a","n/a",AZ215-INDEX(tab_MinKomp[System BAAN / Distribution &amp; Supply Chain],MATCH($B215,tab_MinKomp[[Stanowisko / Position ]:[Stanowisko / Position ]],0)))</f>
        <v>n/a</v>
      </c>
      <c r="BA216" s="313" t="str">
        <f>IF(INDEX(tab_MinKomp[Gospodarka magazynowa / Lagerverwaltung],MATCH($B215,tab_MinKomp[[Stanowisko / Position ]:[Stanowisko / Position ]],0))="n/a","n/a",BA215-INDEX(tab_MinKomp[Gospodarka magazynowa / Lagerverwaltung],MATCH($B215,tab_MinKomp[[Stanowisko / Position ]:[Stanowisko / Position ]],0)))</f>
        <v>n/a</v>
      </c>
      <c r="BB216" s="313" t="str">
        <f>IF(INDEX(tab_MinKomp[Inwentaryzacja - organizacja i przebieg / Inventurprozess],MATCH($B215,tab_MinKomp[[Stanowisko / Position ]:[Stanowisko / Position ]],0))="n/a","n/a",BB215-INDEX(tab_MinKomp[Inwentaryzacja - organizacja i przebieg / Inventurprozess],MATCH($B215,tab_MinKomp[[Stanowisko / Position ]:[Stanowisko / Position ]],0)))</f>
        <v>n/a</v>
      </c>
      <c r="BC216" s="313" t="str">
        <f>IF(INDEX(tab_MinKomp[Organizacja dostaw / Versorgungsorganisation],MATCH($B215,tab_MinKomp[[Stanowisko / Position ]:[Stanowisko / Position ]],0))="n/a","n/a",BC215-INDEX(tab_MinKomp[Organizacja dostaw / Versorgungsorganisation],MATCH($B215,tab_MinKomp[[Stanowisko / Position ]:[Stanowisko / Position ]],0)))</f>
        <v>n/a</v>
      </c>
      <c r="BD216" s="313" t="str">
        <f>IF(INDEX(tab_MinKomp[Organizacja wysyłek / Organisation von Lieferungen],MATCH($B215,tab_MinKomp[[Stanowisko / Position ]:[Stanowisko / Position ]],0))="n/a","n/a",BD215-INDEX(tab_MinKomp[Organizacja wysyłek / Organisation von Lieferungen],MATCH($B215,tab_MinKomp[[Stanowisko / Position ]:[Stanowisko / Position ]],0)))</f>
        <v>n/a</v>
      </c>
      <c r="BE216" s="313" t="str">
        <f>IF(INDEX(tab_MinKomp[Analiza magazynowa - Program Polen.mdb / Inventuranalyse],MATCH($B215,tab_MinKomp[[Stanowisko / Position ]:[Stanowisko / Position ]],0))="n/a","n/a",BE215-INDEX(tab_MinKomp[Analiza magazynowa - Program Polen.mdb / Inventuranalyse],MATCH($B215,tab_MinKomp[[Stanowisko / Position ]:[Stanowisko / Position ]],0)))</f>
        <v>n/a</v>
      </c>
      <c r="BF216" s="313" t="str">
        <f>IF(INDEX(tab_MinKomp[MMOG (Materials Management Operations Guidelines)],MATCH($B215,tab_MinKomp[[Stanowisko / Position ]:[Stanowisko / Position ]],0))="n/a","n/a",BF215-INDEX(tab_MinKomp[MMOG (Materials Management Operations Guidelines)],MATCH($B215,tab_MinKomp[[Stanowisko / Position ]:[Stanowisko / Position ]],0)))</f>
        <v>n/a</v>
      </c>
      <c r="BG216" s="313" t="str">
        <f>IF(INDEX(tab_MinKomp[DETC],MATCH($B215,tab_MinKomp[[Stanowisko / Position ]:[Stanowisko / Position ]],0))="n/a","n/a",BG215-INDEX(tab_MinKomp[DETC],MATCH($B215,tab_MinKomp[[Stanowisko / Position ]:[Stanowisko / Position ]],0)))</f>
        <v>n/a</v>
      </c>
      <c r="BH216" s="313" t="str">
        <f>IF(INDEX(tab_MinKomp[GPP],MATCH($B215,tab_MinKomp[[Stanowisko / Position ]:[Stanowisko / Position ]],0))="n/a","n/a",BH215-INDEX(tab_MinKomp[GPP],MATCH($B215,tab_MinKomp[[Stanowisko / Position ]:[Stanowisko / Position ]],0)))</f>
        <v>n/a</v>
      </c>
      <c r="BI216" s="313" t="str">
        <f>IF(INDEX(tab_MinKomp[AIAG (Automotive Industry Action Group)],MATCH($B215,tab_MinKomp[[Stanowisko / Position ]:[Stanowisko / Position ]],0))="n/a","n/a",BI215-INDEX(tab_MinKomp[AIAG (Automotive Industry Action Group)],MATCH($B215,tab_MinKomp[[Stanowisko / Position ]:[Stanowisko / Position ]],0)))</f>
        <v>n/a</v>
      </c>
      <c r="BJ216" s="313" t="str">
        <f>IF(INDEX(tab_MinKomp[Super-G disputes],MATCH($B215,tab_MinKomp[[Stanowisko / Position ]:[Stanowisko / Position ]],0))="n/a","n/a",BJ215-INDEX(tab_MinKomp[Super-G disputes],MATCH($B215,tab_MinKomp[[Stanowisko / Position ]:[Stanowisko / Position ]],0)))</f>
        <v>n/a</v>
      </c>
      <c r="BK216" s="313" t="str">
        <f>IF(INDEX(tab_MinKomp[CMMS3/eDDL (Direct Data Link)],MATCH($B215,tab_MinKomp[[Stanowisko / Position ]:[Stanowisko / Position ]],0))="n/a","n/a",BK215-INDEX(tab_MinKomp[CMMS3/eDDL (Direct Data Link)],MATCH($B215,tab_MinKomp[[Stanowisko / Position ]:[Stanowisko / Position ]],0)))</f>
        <v>n/a</v>
      </c>
      <c r="BL216" s="313" t="str">
        <f>IF(INDEX(tab_MinKomp[Supplier delivery rating],MATCH($B215,tab_MinKomp[[Stanowisko / Position ]:[Stanowisko / Position ]],0))="n/a","n/a",BL215-INDEX(tab_MinKomp[Supplier delivery rating],MATCH($B215,tab_MinKomp[[Stanowisko / Position ]:[Stanowisko / Position ]],0)))</f>
        <v>n/a</v>
      </c>
      <c r="BM216" s="313" t="str">
        <f>IF(INDEX(tab_MinKomp[Planowanie produkcji / Produktionsplanung],MATCH($B215,tab_MinKomp[[Stanowisko / Position ]:[Stanowisko / Position ]],0))="n/a","n/a",BM215-INDEX(tab_MinKomp[Planowanie produkcji / Produktionsplanung],MATCH($B215,tab_MinKomp[[Stanowisko / Position ]:[Stanowisko / Position ]],0)))</f>
        <v>n/a</v>
      </c>
      <c r="BN216" s="313" t="str">
        <f>IF(INDEX(tab_MinKomp[Obsługa maszyn Engel / Engel Maschinenbedienung],MATCH($B215,tab_MinKomp[[Stanowisko / Position ]:[Stanowisko / Position ]],0))="n/a","n/a",BN215-INDEX(tab_MinKomp[Obsługa maszyn Engel / Engel Maschinenbedienung],MATCH($B215,tab_MinKomp[[Stanowisko / Position ]:[Stanowisko / Position ]],0)))</f>
        <v>n/a</v>
      </c>
      <c r="BO216" s="313" t="str">
        <f>IF(INDEX(tab_MinKomp[Obsługa maszyn Novapax / Novapax Maschinenbedienung],MATCH($B215,tab_MinKomp[[Stanowisko / Position ]:[Stanowisko / Position ]],0))="n/a","n/a",BO215-INDEX(tab_MinKomp[Obsługa maszyn Novapax / Novapax Maschinenbedienung],MATCH($B215,tab_MinKomp[[Stanowisko / Position ]:[Stanowisko / Position ]],0)))</f>
        <v>n/a</v>
      </c>
      <c r="BP216" s="313" t="str">
        <f>IF(INDEX(tab_MinKomp[Obsługa maszyn KVT / KVT Maschinenbedienung],MATCH($B215,tab_MinKomp[[Stanowisko / Position ]:[Stanowisko / Position ]],0))="n/a","n/a",BP215-INDEX(tab_MinKomp[Obsługa maszyn KVT / KVT Maschinenbedienung],MATCH($B215,tab_MinKomp[[Stanowisko / Position ]:[Stanowisko / Position ]],0)))</f>
        <v>n/a</v>
      </c>
      <c r="BQ216" s="313" t="str">
        <f>IF(INDEX(tab_MinKomp[Obsługa maszyn ASL / ASL Maschinenbedienung],MATCH($B215,tab_MinKomp[[Stanowisko / Position ]:[Stanowisko / Position ]],0))="n/a","n/a",BQ215-INDEX(tab_MinKomp[Obsługa maszyn ASL / ASL Maschinenbedienung],MATCH($B215,tab_MinKomp[[Stanowisko / Position ]:[Stanowisko / Position ]],0)))</f>
        <v>n/a</v>
      </c>
      <c r="BR216" s="313" t="str">
        <f>IF(INDEX(tab_MinKomp[Obsługa maszyn Branson / Branson Maschinenbedienung],MATCH($B215,tab_MinKomp[[Stanowisko / Position ]:[Stanowisko / Position ]],0))="n/a","n/a",BR215-INDEX(tab_MinKomp[Obsługa maszyn Branson / Branson Maschinenbedienung],MATCH($B215,tab_MinKomp[[Stanowisko / Position ]:[Stanowisko / Position ]],0)))</f>
        <v>n/a</v>
      </c>
      <c r="BS216" s="313" t="str">
        <f>IF(INDEX(tab_MinKomp[Obsługa maszyn Kamtec / Kamtec Maschinenbedienung],MATCH($B215,tab_MinKomp[[Stanowisko / Position ]:[Stanowisko / Position ]],0))="n/a","n/a",BS215-INDEX(tab_MinKomp[Obsługa maszyn Kamtec / Kamtec Maschinenbedienung],MATCH($B215,tab_MinKomp[[Stanowisko / Position ]:[Stanowisko / Position ]],0)))</f>
        <v>n/a</v>
      </c>
      <c r="BT216" s="313" t="str">
        <f>IF(INDEX(tab_MinKomp[Obsługa maszyn Piovan / Piovan Maschinenbedienung],MATCH($B215,tab_MinKomp[[Stanowisko / Position ]:[Stanowisko / Position ]],0))="n/a","n/a",BT215-INDEX(tab_MinKomp[Obsługa maszyn Piovan / Piovan Maschinenbedienung],MATCH($B215,tab_MinKomp[[Stanowisko / Position ]:[Stanowisko / Position ]],0)))</f>
        <v>n/a</v>
      </c>
      <c r="BU216" s="313" t="str">
        <f>IF(INDEX(tab_MinKomp[Obsługa maszyn REP / REP Maschinenbedienung],MATCH($B215,tab_MinKomp[[Stanowisko / Position ]:[Stanowisko / Position ]],0))="n/a","n/a",BU215-INDEX(tab_MinKomp[Obsługa maszyn REP / REP Maschinenbedienung],MATCH($B215,tab_MinKomp[[Stanowisko / Position ]:[Stanowisko / Position ]],0)))</f>
        <v>n/a</v>
      </c>
      <c r="BV216" s="313" t="str">
        <f>IF(INDEX(tab_MinKomp[Eliminacja awarii / Beseitigung von Ausfällen],MATCH($B215,tab_MinKomp[[Stanowisko / Position ]:[Stanowisko / Position ]],0))="n/a","n/a",BV215-INDEX(tab_MinKomp[Eliminacja awarii / Beseitigung von Ausfällen],MATCH($B215,tab_MinKomp[[Stanowisko / Position ]:[Stanowisko / Position ]],0)))</f>
        <v>n/a</v>
      </c>
      <c r="BW216" s="313" t="str">
        <f>IF(INDEX(tab_MinKomp[Informatyka ogólna (techniczne i systemowe) / Allgemeine IT (Technik und System)],MATCH($B215,tab_MinKomp[[Stanowisko / Position ]:[Stanowisko / Position ]],0))="n/a","n/a",BW215-INDEX(tab_MinKomp[Informatyka ogólna (techniczne i systemowe) / Allgemeine IT (Technik und System)],MATCH($B215,tab_MinKomp[[Stanowisko / Position ]:[Stanowisko / Position ]],0)))</f>
        <v>n/a</v>
      </c>
      <c r="BX216" s="313" t="str">
        <f>IF(INDEX(tab_MinKomp[Sieci komputerowe / Computernetzwerke],MATCH($B215,tab_MinKomp[[Stanowisko / Position ]:[Stanowisko / Position ]],0))="n/a","n/a",BX215-INDEX(tab_MinKomp[Sieci komputerowe / Computernetzwerke],MATCH($B215,tab_MinKomp[[Stanowisko / Position ]:[Stanowisko / Position ]],0)))</f>
        <v>n/a</v>
      </c>
      <c r="BY216" s="313" t="str">
        <f>IF(INDEX(tab_MinKomp[Hardware (komputery PC, drukarki biurowe i etykietowe, telefonia stacjonarna i mobilna) (PC, Drucker, Telefpne, Handys)],MATCH($B215,tab_MinKomp[[Stanowisko / Position ]:[Stanowisko / Position ]],0))="n/a","n/a",BY215-INDEX(tab_MinKomp[Hardware (komputery PC, drukarki biurowe i etykietowe, telefonia stacjonarna i mobilna) (PC, Drucker, Telefpne, Handys)],MATCH($B215,tab_MinKomp[[Stanowisko / Position ]:[Stanowisko / Position ]],0)))</f>
        <v>n/a</v>
      </c>
      <c r="BZ216" s="313" t="str">
        <f>IF(INDEX(tab_MinKomp[Software &amp; Systems (MS Office, MS Remote Desktop)],MATCH($B215,tab_MinKomp[[Stanowisko / Position ]:[Stanowisko / Position ]],0))="n/a","n/a",BZ215-INDEX(tab_MinKomp[Software &amp; Systems (MS Office, MS Remote Desktop)],MATCH($B215,tab_MinKomp[[Stanowisko / Position ]:[Stanowisko / Position ]],0)))</f>
        <v>n/a</v>
      </c>
      <c r="CA216" s="313" t="str">
        <f>IF(INDEX(tab_MinKomp[Programowanie obiektowe (PHP) / Objektprogrammierung],MATCH($B215,tab_MinKomp[[Stanowisko / Position ]:[Stanowisko / Position ]],0))="n/a","n/a",CA215-INDEX(tab_MinKomp[Programowanie obiektowe (PHP) / Objektprogrammierung],MATCH($B215,tab_MinKomp[[Stanowisko / Position ]:[Stanowisko / Position ]],0)))</f>
        <v>n/a</v>
      </c>
      <c r="CB216" s="313" t="str">
        <f>IF(INDEX(tab_MinKomp[Scrum],MATCH($B215,tab_MinKomp[[Stanowisko / Position ]:[Stanowisko / Position ]],0))="n/a","n/a",CB215-INDEX(tab_MinKomp[Scrum],MATCH($B215,tab_MinKomp[[Stanowisko / Position ]:[Stanowisko / Position ]],0)))</f>
        <v>n/a</v>
      </c>
      <c r="CC216" s="313" t="str">
        <f>IF(INDEX(tab_MinKomp[SQL (MySQL)],MATCH($B215,tab_MinKomp[[Stanowisko / Position ]:[Stanowisko / Position ]],0))="n/a","n/a",CC215-INDEX(tab_MinKomp[SQL (MySQL)],MATCH($B215,tab_MinKomp[[Stanowisko / Position ]:[Stanowisko / Position ]],0)))</f>
        <v>n/a</v>
      </c>
      <c r="CD216" s="313" t="str">
        <f>IF(INDEX(tab_MinKomp[Javascript],MATCH($B215,tab_MinKomp[[Stanowisko / Position ]:[Stanowisko / Position ]],0))="n/a","n/a",CD215-INDEX(tab_MinKomp[Javascript],MATCH($B215,tab_MinKomp[[Stanowisko / Position ]:[Stanowisko / Position ]],0)))</f>
        <v>n/a</v>
      </c>
      <c r="CE216" s="313" t="str">
        <f>IF(INDEX(tab_MinKomp[Joomla],MATCH($B215,tab_MinKomp[[Stanowisko / Position ]:[Stanowisko / Position ]],0))="n/a","n/a",CE215-INDEX(tab_MinKomp[Joomla],MATCH($B215,tab_MinKomp[[Stanowisko / Position ]:[Stanowisko / Position ]],0)))</f>
        <v>n/a</v>
      </c>
      <c r="CF216" s="313" t="str">
        <f>IF(INDEX(tab_MinKomp[Bash],MATCH($B215,tab_MinKomp[[Stanowisko / Position ]:[Stanowisko / Position ]],0))="n/a","n/a",CF215-INDEX(tab_MinKomp[Bash],MATCH($B215,tab_MinKomp[[Stanowisko / Position ]:[Stanowisko / Position ]],0)))</f>
        <v>n/a</v>
      </c>
      <c r="CG216" s="313" t="str">
        <f>IF(INDEX(tab_MinKomp[Systemy MES (HYDRA / SFMS)],MATCH($B215,tab_MinKomp[[Stanowisko / Position ]:[Stanowisko / Position ]],0))="n/a","n/a",CG215-INDEX(tab_MinKomp[Systemy MES (HYDRA / SFMS)],MATCH($B215,tab_MinKomp[[Stanowisko / Position ]:[Stanowisko / Position ]],0)))</f>
        <v>n/a</v>
      </c>
      <c r="CH216" s="313" t="str">
        <f>IF(INDEX(tab_MinKomp[HTML / CSS],MATCH($B215,tab_MinKomp[[Stanowisko / Position ]:[Stanowisko / Position ]],0))="n/a","n/a",CH215-INDEX(tab_MinKomp[HTML / CSS],MATCH($B215,tab_MinKomp[[Stanowisko / Position ]:[Stanowisko / Position ]],0)))</f>
        <v>n/a</v>
      </c>
      <c r="CI216" s="313">
        <f>IF(INDEX(tab_MinKomp[SYSTEM PR],MATCH($B215,tab_MinKomp[[Stanowisko / Position ]:[Stanowisko / Position ]],0))="n/a","n/a",CI215-INDEX(tab_MinKomp[SYSTEM PR],MATCH($B215,tab_MinKomp[[Stanowisko / Position ]:[Stanowisko / Position ]],0)))</f>
        <v>1</v>
      </c>
      <c r="CJ216" s="313" t="str">
        <f>IF(INDEX(tab_MinKomp[System Einkauf XP / EBA],MATCH($B215,tab_MinKomp[[Stanowisko / Position ]:[Stanowisko / Position ]],0))="n/a","n/a",CJ215-INDEX(tab_MinKomp[System Einkauf XP / EBA],MATCH($B215,tab_MinKomp[[Stanowisko / Position ]:[Stanowisko / Position ]],0)))</f>
        <v>n/a</v>
      </c>
      <c r="CK216" s="313" t="str">
        <f>IF(INDEX(tab_MinKomp[Techniki negocjacyjne / Verhandlungstechniken],MATCH($B215,tab_MinKomp[[Stanowisko / Position ]:[Stanowisko / Position ]],0))="n/a","n/a",CK215-INDEX(tab_MinKomp[Techniki negocjacyjne / Verhandlungstechniken],MATCH($B215,tab_MinKomp[[Stanowisko / Position ]:[Stanowisko / Position ]],0)))</f>
        <v>n/a</v>
      </c>
      <c r="CL216" s="313" t="str">
        <f>IF(INDEX(tab_MinKomp[Znajomość rynku branżowego / Kenntnis des Industrie Marktes],MATCH($B215,tab_MinKomp[[Stanowisko / Position ]:[Stanowisko / Position ]],0))="n/a","n/a",CL215-INDEX(tab_MinKomp[Znajomość rynku branżowego / Kenntnis des Industrie Marktes],MATCH($B215,tab_MinKomp[[Stanowisko / Position ]:[Stanowisko / Position ]],0)))</f>
        <v>n/a</v>
      </c>
      <c r="CM216" s="313" t="str">
        <f>IF(INDEX(tab_MinKomp[RAPORTY 8D / 8D Berichten],MATCH($B215,tab_MinKomp[[Stanowisko / Position ]:[Stanowisko / Position ]],0))="n/a","n/a",CM215-INDEX(tab_MinKomp[RAPORTY 8D / 8D Berichten],MATCH($B215,tab_MinKomp[[Stanowisko / Position ]:[Stanowisko / Position ]],0)))</f>
        <v>n/a</v>
      </c>
      <c r="CN216" s="313">
        <f>IF(INDEX(tab_MinKomp[NARZĘDZIA JAKOŚCIOWE (5WHY, Ishikawa, etc) / QS-Werkzeuge],MATCH($B215,tab_MinKomp[[Stanowisko / Position ]:[Stanowisko / Position ]],0))="n/a","n/a",CN215-INDEX(tab_MinKomp[NARZĘDZIA JAKOŚCIOWE (5WHY, Ishikawa, etc) / QS-Werkzeuge],MATCH($B215,tab_MinKomp[[Stanowisko / Position ]:[Stanowisko / Position ]],0)))</f>
        <v>1</v>
      </c>
      <c r="CO216" s="313" t="str">
        <f>IF(INDEX(tab_MinKomp[PDCA],MATCH($B215,tab_MinKomp[[Stanowisko / Position ]:[Stanowisko / Position ]],0))="n/a","n/a",CO215-INDEX(tab_MinKomp[PDCA],MATCH($B215,tab_MinKomp[[Stanowisko / Position ]:[Stanowisko / Position ]],0)))</f>
        <v>n/a</v>
      </c>
      <c r="CP216" s="313" t="str">
        <f>IF(INDEX(tab_MinKomp[Pareto],MATCH($B215,tab_MinKomp[[Stanowisko / Position ]:[Stanowisko / Position ]],0))="n/a","n/a",CP215-INDEX(tab_MinKomp[Pareto],MATCH($B215,tab_MinKomp[[Stanowisko / Position ]:[Stanowisko / Position ]],0)))</f>
        <v>n/a</v>
      </c>
      <c r="CQ216" s="313" t="str">
        <f>IF(INDEX(tab_MinKomp[PPAP/PSW],MATCH($B215,tab_MinKomp[[Stanowisko / Position ]:[Stanowisko / Position ]],0))="n/a","n/a",CQ215-INDEX(tab_MinKomp[PPAP/PSW],MATCH($B215,tab_MinKomp[[Stanowisko / Position ]:[Stanowisko / Position ]],0)))</f>
        <v>n/a</v>
      </c>
      <c r="CR216" s="313" t="str">
        <f>IF(INDEX(tab_MinKomp[SUPPLIER MANAGEMENT],MATCH($B215,tab_MinKomp[[Stanowisko / Position ]:[Stanowisko / Position ]],0))="n/a","n/a",CR215-INDEX(tab_MinKomp[SUPPLIER MANAGEMENT],MATCH($B215,tab_MinKomp[[Stanowisko / Position ]:[Stanowisko / Position ]],0)))</f>
        <v>n/a</v>
      </c>
      <c r="CS216" s="313" t="str">
        <f>IF(INDEX(tab_MinKomp[OBSŁUGA PORTALI KLIENTA / Kundenportale],MATCH($B215,tab_MinKomp[[Stanowisko / Position ]:[Stanowisko / Position ]],0))="n/a","n/a",CS215-INDEX(tab_MinKomp[OBSŁUGA PORTALI KLIENTA / Kundenportale],MATCH($B215,tab_MinKomp[[Stanowisko / Position ]:[Stanowisko / Position ]],0)))</f>
        <v>n/a</v>
      </c>
      <c r="CT216" s="313" t="str">
        <f>IF(INDEX(tab_MinKomp[Obsługa systemu BABTECQ / BABTECQ System],MATCH($B215,tab_MinKomp[[Stanowisko / Position ]:[Stanowisko / Position ]],0))="n/a","n/a",CT215-INDEX(tab_MinKomp[Obsługa systemu BABTECQ / BABTECQ System],MATCH($B215,tab_MinKomp[[Stanowisko / Position ]:[Stanowisko / Position ]],0)))</f>
        <v>n/a</v>
      </c>
      <c r="CU216" s="313" t="str">
        <f>IF(INDEX(tab_MinKomp[Rysunek techniczny / technische Zeichnung],MATCH($B215,tab_MinKomp[[Stanowisko / Position ]:[Stanowisko / Position ]],0))="n/a","n/a",CU215-INDEX(tab_MinKomp[Rysunek techniczny / technische Zeichnung],MATCH($B215,tab_MinKomp[[Stanowisko / Position ]:[Stanowisko / Position ]],0)))</f>
        <v>n/a</v>
      </c>
      <c r="CV216" s="313" t="str">
        <f>IF(INDEX(tab_MinKomp[Kalibracja / Kalibrierung],MATCH($B215,tab_MinKomp[[Stanowisko / Position ]:[Stanowisko / Position ]],0))="n/a","n/a",CV215-INDEX(tab_MinKomp[Kalibracja / Kalibrierung],MATCH($B215,tab_MinKomp[[Stanowisko / Position ]:[Stanowisko / Position ]],0)))</f>
        <v>n/a</v>
      </c>
      <c r="CW216" s="313" t="str">
        <f>IF(INDEX(tab_MinKomp[Rekwalifikacja / Requalifizierung],MATCH($B215,tab_MinKomp[[Stanowisko / Position ]:[Stanowisko / Position ]],0))="n/a","n/a",CW215-INDEX(tab_MinKomp[Rekwalifikacja / Requalifizierung],MATCH($B215,tab_MinKomp[[Stanowisko / Position ]:[Stanowisko / Position ]],0)))</f>
        <v>n/a</v>
      </c>
      <c r="CX216" s="313" t="str">
        <f>IF(INDEX(tab_MinKomp[Obsługa mikroskopu optycznego / Bedienung eines optischen Mikroskops],MATCH($B215,tab_MinKomp[[Stanowisko / Position ]:[Stanowisko / Position ]],0))="n/a","n/a",CX215-INDEX(tab_MinKomp[Obsługa mikroskopu optycznego / Bedienung eines optischen Mikroskops],MATCH($B215,tab_MinKomp[[Stanowisko / Position ]:[Stanowisko / Position ]],0)))</f>
        <v>n/a</v>
      </c>
      <c r="CY216" s="313" t="str">
        <f>IF(INDEX(tab_MinKomp[Wykonywanie pomiarów optycznych - ocena wizualna / Optische Messungen durchführen – visuelle Beurteilung],MATCH($B215,tab_MinKomp[[Stanowisko / Position ]:[Stanowisko / Position ]],0))="n/a","n/a",CY215-INDEX(tab_MinKomp[Wykonywanie pomiarów optycznych - ocena wizualna / Optische Messungen durchführen – visuelle Beurteilung],MATCH($B215,tab_MinKomp[[Stanowisko / Position ]:[Stanowisko / Position ]],0)))</f>
        <v>n/a</v>
      </c>
      <c r="CZ216" s="313" t="str">
        <f>IF(INDEX(tab_MinKomp[Obsługa Rheometra / Rheometra-Unterstützung],MATCH($B215,tab_MinKomp[[Stanowisko / Position ]:[Stanowisko / Position ]],0))="n/a","n/a",CZ215-INDEX(tab_MinKomp[Obsługa Rheometra / Rheometra-Unterstützung],MATCH($B215,tab_MinKomp[[Stanowisko / Position ]:[Stanowisko / Position ]],0)))</f>
        <v>n/a</v>
      </c>
      <c r="DA216" s="313" t="str">
        <f>IF(INDEX(tab_MinKomp[Testy właściwości Rheometra mieszanki gumy],MATCH($B215,tab_MinKomp[[Stanowisko / Position ]:[Stanowisko / Position ]],0))="n/a","n/a",DA215-INDEX(tab_MinKomp[Testy właściwości Rheometra mieszanki gumy],MATCH($B215,tab_MinKomp[[Stanowisko / Position ]:[Stanowisko / Position ]],0)))</f>
        <v>n/a</v>
      </c>
      <c r="DB216" s="313" t="str">
        <f>IF(INDEX(tab_MinKomp[CMM - Contura Zeiss],MATCH($B215,tab_MinKomp[[Stanowisko / Position ]:[Stanowisko / Position ]],0))="n/a","n/a",DB215-INDEX(tab_MinKomp[CMM - Contura Zeiss],MATCH($B215,tab_MinKomp[[Stanowisko / Position ]:[Stanowisko / Position ]],0)))</f>
        <v>n/a</v>
      </c>
      <c r="DC216" s="313" t="str">
        <f>IF(INDEX(tab_MinKomp[Wykonywanie precyzyjnych pomiarów metrycznych, pomiary 3D],MATCH($B215,tab_MinKomp[[Stanowisko / Position ]:[Stanowisko / Position ]],0))="n/a","n/a",DC215-INDEX(tab_MinKomp[Wykonywanie precyzyjnych pomiarów metrycznych, pomiary 3D],MATCH($B215,tab_MinKomp[[Stanowisko / Position ]:[Stanowisko / Position ]],0)))</f>
        <v>n/a</v>
      </c>
      <c r="DD216" s="313" t="str">
        <f>IF(INDEX(tab_MinKomp[Pisanie programów / Programme schreiben],MATCH($B215,tab_MinKomp[[Stanowisko / Position ]:[Stanowisko / Position ]],0))="n/a","n/a",DD215-INDEX(tab_MinKomp[Pisanie programów / Programme schreiben],MATCH($B215,tab_MinKomp[[Stanowisko / Position ]:[Stanowisko / Position ]],0)))</f>
        <v>n/a</v>
      </c>
      <c r="DE216" s="313" t="str">
        <f>IF(INDEX(tab_MinKomp[Obsługa wyposażenia do testów czystości (myjka + analizator) / Betrieb von Sauberkeitsprüfgeräten (Waschmaschine + Analysegerät)],MATCH($B215,tab_MinKomp[[Stanowisko / Position ]:[Stanowisko / Position ]],0))="n/a","n/a",DE215-INDEX(tab_MinKomp[Obsługa wyposażenia do testów czystości (myjka + analizator) / Betrieb von Sauberkeitsprüfgeräten (Waschmaschine + Analysegerät)],MATCH($B215,tab_MinKomp[[Stanowisko / Position ]:[Stanowisko / Position ]],0)))</f>
        <v>n/a</v>
      </c>
      <c r="DF216" s="313" t="str">
        <f>IF(INDEX(tab_MinKomp[Testy czystości / Reinheitstests],MATCH($B215,tab_MinKomp[[Stanowisko / Position ]:[Stanowisko / Position ]],0))="n/a","n/a",DF215-INDEX(tab_MinKomp[Testy czystości / Reinheitstests],MATCH($B215,tab_MinKomp[[Stanowisko / Position ]:[Stanowisko / Position ]],0)))</f>
        <v>n/a</v>
      </c>
      <c r="DG216" s="313" t="str">
        <f>IF(INDEX(tab_MinKomp[Obsługa wysokościomierza / Unterstützung für Höhenmesser],MATCH($B215,tab_MinKomp[[Stanowisko / Position ]:[Stanowisko / Position ]],0))="n/a","n/a",DG215-INDEX(tab_MinKomp[Obsługa wysokościomierza / Unterstützung für Höhenmesser],MATCH($B215,tab_MinKomp[[Stanowisko / Position ]:[Stanowisko / Position ]],0)))</f>
        <v>n/a</v>
      </c>
      <c r="DH216" s="313" t="str">
        <f>IF(INDEX(tab_MinKomp[Pomiary wysokości materiału / Materialhöhenmessungen],MATCH($B215,tab_MinKomp[[Stanowisko / Position ]:[Stanowisko / Position ]],0))="n/a","n/a",DH215-INDEX(tab_MinKomp[Pomiary wysokości materiału / Materialhöhenmessungen],MATCH($B215,tab_MinKomp[[Stanowisko / Position ]:[Stanowisko / Position ]],0)))</f>
        <v>n/a</v>
      </c>
      <c r="DI216" s="313" t="str">
        <f>IF(INDEX(tab_MinKomp[Obsługa okrągłościomierza / Unterstützung für Rundheitsmessgeräte],MATCH($B215,tab_MinKomp[[Stanowisko / Position ]:[Stanowisko / Position ]],0))="n/a","n/a",DI215-INDEX(tab_MinKomp[Obsługa okrągłościomierza / Unterstützung für Rundheitsmessgeräte],MATCH($B215,tab_MinKomp[[Stanowisko / Position ]:[Stanowisko / Position ]],0)))</f>
        <v>n/a</v>
      </c>
      <c r="DJ216" s="313" t="str">
        <f>IF(INDEX(tab_MinKomp[Wykonywania pomiarów owalności, srednicy materiału / Messung der Ovalität und des Durchmessers des Materials],MATCH($B215,tab_MinKomp[[Stanowisko / Position ]:[Stanowisko / Position ]],0))="n/a","n/a",DJ215-INDEX(tab_MinKomp[Wykonywania pomiarów owalności, srednicy materiału / Messung der Ovalität und des Durchmessers des Materials],MATCH($B215,tab_MinKomp[[Stanowisko / Position ]:[Stanowisko / Position ]],0)))</f>
        <v>n/a</v>
      </c>
      <c r="DK216" s="313" t="str">
        <f>IF(INDEX(tab_MinKomp[Obsługa urządzenia do pomiarów chropowoatości powierzchni materiału],MATCH($B215,tab_MinKomp[[Stanowisko / Position ]:[Stanowisko / Position ]],0))="n/a","n/a",DK215-INDEX(tab_MinKomp[Obsługa urządzenia do pomiarów chropowoatości powierzchni materiału],MATCH($B215,tab_MinKomp[[Stanowisko / Position ]:[Stanowisko / Position ]],0)))</f>
        <v>n/a</v>
      </c>
      <c r="DL216" s="313" t="str">
        <f>IF(INDEX(tab_MinKomp[Wykonywanie pomiarów chropowatości powierzchni materiału / Durchführung von Messungen der Materialoberflächenrauheit],MATCH($B215,tab_MinKomp[[Stanowisko / Position ]:[Stanowisko / Position ]],0))="n/a","n/a",DL215-INDEX(tab_MinKomp[Wykonywanie pomiarów chropowatości powierzchni materiału / Durchführung von Messungen der Materialoberflächenrauheit],MATCH($B215,tab_MinKomp[[Stanowisko / Position ]:[Stanowisko / Position ]],0)))</f>
        <v>n/a</v>
      </c>
      <c r="DM216" s="313" t="str">
        <f>IF(INDEX(tab_MinKomp[Obsługa urządzenia do pomiaru siły radialnej części - postępowanie z trzpieniami. / Funktionsweise des Geräts zur Messung der Radialkraft von Teilen – Handhabungsstifte.],MATCH($B215,tab_MinKomp[[Stanowisko / Position ]:[Stanowisko / Position ]],0))="n/a","n/a",DM215-INDEX(tab_MinKomp[Obsługa urządzenia do pomiaru siły radialnej części - postępowanie z trzpieniami. / Funktionsweise des Geräts zur Messung der Radialkraft von Teilen – Handhabungsstifte.],MATCH($B215,tab_MinKomp[[Stanowisko / Position ]:[Stanowisko / Position ]],0)))</f>
        <v>n/a</v>
      </c>
      <c r="DN216" s="313" t="str">
        <f>IF(INDEX(tab_MinKomp[Wykonywanie pomiarów siły radialnej części / Führen Sie Radialkraftmessungen an Teilen durch],MATCH($B215,tab_MinKomp[[Stanowisko / Position ]:[Stanowisko / Position ]],0))="n/a","n/a",DN215-INDEX(tab_MinKomp[Wykonywanie pomiarów siły radialnej części / Führen Sie Radialkraftmessungen an Teilen durch],MATCH($B215,tab_MinKomp[[Stanowisko / Position ]:[Stanowisko / Position ]],0)))</f>
        <v>n/a</v>
      </c>
      <c r="DO216" s="313" t="str">
        <f>IF(INDEX(tab_MinKomp[Obsługa komory do testów wybuchwych / Betrieb einer Explosionsprüfkammer],MATCH($B215,tab_MinKomp[[Stanowisko / Position ]:[Stanowisko / Position ]],0))="n/a","n/a",DO215-INDEX(tab_MinKomp[Obsługa komory do testów wybuchwych / Betrieb einer Explosionsprüfkammer],MATCH($B215,tab_MinKomp[[Stanowisko / Position ]:[Stanowisko / Position ]],0)))</f>
        <v>n/a</v>
      </c>
      <c r="DP216" s="313" t="str">
        <f>IF(INDEX(tab_MinKomp[Wykonywanie testów wybuchowych części / Durchführung von Explosionstests an Teilen],MATCH($B215,tab_MinKomp[[Stanowisko / Position ]:[Stanowisko / Position ]],0))="n/a","n/a",DP215-INDEX(tab_MinKomp[Wykonywanie testów wybuchowych części / Durchführung von Explosionstests an Teilen],MATCH($B215,tab_MinKomp[[Stanowisko / Position ]:[Stanowisko / Position ]],0)))</f>
        <v>n/a</v>
      </c>
      <c r="DQ216" s="313" t="str">
        <f>IF(INDEX(tab_MinKomp[Obsługa urządzeń do mierzenia siły trzymania i/lub rozciągania / Betrieb von Geräten zur Messung der Halte- und/oder Dehnkraft],MATCH($B215,tab_MinKomp[[Stanowisko / Position ]:[Stanowisko / Position ]],0))="n/a","n/a",DQ215-INDEX(tab_MinKomp[Obsługa urządzeń do mierzenia siły trzymania i/lub rozciągania / Betrieb von Geräten zur Messung der Halte- und/oder Dehnkraft],MATCH($B215,tab_MinKomp[[Stanowisko / Position ]:[Stanowisko / Position ]],0)))</f>
        <v>n/a</v>
      </c>
      <c r="DR216" s="313" t="str">
        <f>IF(INDEX(tab_MinKomp[Wykonywanie testów mierzenia siły trzymania i/lub rozciągania / Durchführung von Tests zur Messung der Halte- und/oder Streckkraft],MATCH($B215,tab_MinKomp[[Stanowisko / Position ]:[Stanowisko / Position ]],0))="n/a","n/a",DR215-INDEX(tab_MinKomp[Wykonywanie testów mierzenia siły trzymania i/lub rozciągania / Durchführung von Tests zur Messung der Halte- und/oder Streckkraft],MATCH($B215,tab_MinKomp[[Stanowisko / Position ]:[Stanowisko / Position ]],0)))</f>
        <v>n/a</v>
      </c>
      <c r="DS216" s="313" t="str">
        <f>IF(INDEX(tab_MinKomp[Obsługa multimetru do pomiarów środowiskowych (temperatura, wilgotność, hałas, oświetlenie, przepływ powietrza) / Betrieb eines Multimeters für Umweltmessungen (Temperatur, Luftfeuchtigkeit, Lärm, Beleuchtung, Luftstrom)],MATCH($B215,tab_MinKomp[[Stanowisko / Position ]:[Stanowisko / Position ]],0))="n/a","n/a",DS215-INDEX(tab_MinKomp[Obsługa multimetru do pomiarów środowiskowych (temperatura, wilgotność, hałas, oświetlenie, przepływ powietrza) / Betrieb eines Multimeters für Umweltmessungen (Temperatur, Luftfeuchtigkeit, Lärm, Beleuchtung, Luftstrom)],MATCH($B215,tab_MinKomp[[Stanowisko / Position ]:[Stanowisko / Position ]],0)))</f>
        <v>n/a</v>
      </c>
      <c r="DT216" s="313" t="str">
        <f>IF(INDEX(tab_MinKomp[Kontrola warunków środowiskowych pracy (temperatura, wilgotność, hałas, oświetlenie, przepływ powietrza) / Kontrolle der Arbeitsumgebungsbedingungen (Temperatur, Luftfeuchtigkeit, Lärm, Beleuchtung, Luftstrom)],MATCH($B215,tab_MinKomp[[Stanowisko / Position ]:[Stanowisko / Position ]],0))="n/a","n/a",DT215-INDEX(tab_MinKomp[Kontrola warunków środowiskowych pracy (temperatura, wilgotność, hałas, oświetlenie, przepływ powietrza) / Kontrolle der Arbeitsumgebungsbedingungen (Temperatur, Luftfeuchtigkeit, Lärm, Beleuchtung, Luftstrom)],MATCH($B215,tab_MinKomp[[Stanowisko / Position ]:[Stanowisko / Position ]],0)))</f>
        <v>n/a</v>
      </c>
      <c r="DU216" s="313" t="str">
        <f>IF(INDEX(tab_MinKomp[MSA i SPC],MATCH($B215,tab_MinKomp[[Stanowisko / Position ]:[Stanowisko / Position ]],0))="n/a","n/a",DU215-INDEX(tab_MinKomp[MSA i SPC],MATCH($B215,tab_MinKomp[[Stanowisko / Position ]:[Stanowisko / Position ]],0)))</f>
        <v>n/a</v>
      </c>
      <c r="DV216" s="313" t="str">
        <f>IF(INDEX(tab_MinKomp[Kontrola wejściowa komponentów/ Eingangskontrolle],MATCH($B215,tab_MinKomp[[Stanowisko / Position ]:[Stanowisko / Position ]],0))="n/a","n/a",DV215-INDEX(tab_MinKomp[Kontrola wejściowa komponentów/ Eingangskontrolle],MATCH($B215,tab_MinKomp[[Stanowisko / Position ]:[Stanowisko / Position ]],0)))</f>
        <v>n/a</v>
      </c>
      <c r="DW216" s="313" t="str">
        <f>IF(INDEX(tab_MinKomp[Kontrola wyjściowa produktu / Ausgangskontrolle],MATCH($B215,tab_MinKomp[[Stanowisko / Position ]:[Stanowisko / Position ]],0))="n/a","n/a",DW215-INDEX(tab_MinKomp[Kontrola wyjściowa produktu / Ausgangskontrolle],MATCH($B215,tab_MinKomp[[Stanowisko / Position ]:[Stanowisko / Position ]],0)))</f>
        <v>n/a</v>
      </c>
      <c r="DX216" s="313" t="str">
        <f>IF(INDEX(tab_MinKomp[Kontrola codzienna produkcji / Tägliche Produktionskontrolle],MATCH($B215,tab_MinKomp[[Stanowisko / Position ]:[Stanowisko / Position ]],0))="n/a","n/a",DX215-INDEX(tab_MinKomp[Kontrola codzienna produkcji / Tägliche Produktionskontrolle],MATCH($B215,tab_MinKomp[[Stanowisko / Position ]:[Stanowisko / Position ]],0)))</f>
        <v>n/a</v>
      </c>
      <c r="DY216" s="315" t="str">
        <f>IF(INDEX(tab_MinKomp[Konserwacja Rep],MATCH($B215,tab_MinKomp[[Stanowisko / Position ]:[Stanowisko / Position ]],0))="n/a","n/a",DY215-INDEX(tab_MinKomp[Konserwacja Rep],MATCH($B215,tab_MinKomp[[Stanowisko / Position ]:[Stanowisko / Position ]],0)))</f>
        <v>n/a</v>
      </c>
      <c r="DZ216" s="315" t="str">
        <f>IF(INDEX(tab_MinKomp[[Konserwacja Engel ]],MATCH($B215,tab_MinKomp[[Stanowisko / Position ]:[Stanowisko / Position ]],0))="n/a","n/a",DZ215-INDEX(tab_MinKomp[[Konserwacja Engel ]],MATCH($B215,tab_MinKomp[[Stanowisko / Position ]:[Stanowisko / Position ]],0)))</f>
        <v>n/a</v>
      </c>
      <c r="EA216" s="315" t="str">
        <f>IF(INDEX(tab_MinKomp[Konserwacja B 50],MATCH($B215,tab_MinKomp[[Stanowisko / Position ]:[Stanowisko / Position ]],0))="n/a","n/a",EA215-INDEX(tab_MinKomp[Konserwacja B 50],MATCH($B215,tab_MinKomp[[Stanowisko / Position ]:[Stanowisko / Position ]],0)))</f>
        <v>n/a</v>
      </c>
      <c r="EB216" s="315" t="str">
        <f>IF(INDEX(tab_MinKomp[[Konserwacja EOL ]],MATCH($B215,tab_MinKomp[[Stanowisko / Position ]:[Stanowisko / Position ]],0))="n/a","n/a",EB215-INDEX(tab_MinKomp[[Konserwacja EOL ]],MATCH($B215,tab_MinKomp[[Stanowisko / Position ]:[Stanowisko / Position ]],0)))</f>
        <v>n/a</v>
      </c>
      <c r="EC216" s="315" t="str">
        <f>IF(INDEX(tab_MinKomp[Konserwacja Branson],MATCH($B215,tab_MinKomp[[Stanowisko / Position ]:[Stanowisko / Position ]],0))="n/a","n/a",EC215-INDEX(tab_MinKomp[Konserwacja Branson],MATCH($B215,tab_MinKomp[[Stanowisko / Position ]:[Stanowisko / Position ]],0)))</f>
        <v>n/a</v>
      </c>
      <c r="ED216" s="315" t="str">
        <f>IF(INDEX(tab_MinKomp[Konserwacja coolery],MATCH($B215,tab_MinKomp[[Stanowisko / Position ]:[Stanowisko / Position ]],0))="n/a","n/a",ED215-INDEX(tab_MinKomp[Konserwacja coolery],MATCH($B215,tab_MinKomp[[Stanowisko / Position ]:[Stanowisko / Position ]],0)))</f>
        <v>n/a</v>
      </c>
      <c r="EE216" s="315" t="str">
        <f>IF(INDEX(tab_MinKomp[Konserwacja piecy],MATCH($B215,tab_MinKomp[[Stanowisko / Position ]:[Stanowisko / Position ]],0))="n/a","n/a",EE215-INDEX(tab_MinKomp[Konserwacja piecy],MATCH($B215,tab_MinKomp[[Stanowisko / Position ]:[Stanowisko / Position ]],0)))</f>
        <v>n/a</v>
      </c>
      <c r="EF216" s="315" t="str">
        <f>IF(INDEX(tab_MinKomp[Rysunek techniczny- czytanie],MATCH($B215,tab_MinKomp[[Stanowisko / Position ]:[Stanowisko / Position ]],0))="n/a","n/a",EF215-INDEX(tab_MinKomp[Rysunek techniczny- czytanie],MATCH($B215,tab_MinKomp[[Stanowisko / Position ]:[Stanowisko / Position ]],0)))</f>
        <v>n/a</v>
      </c>
      <c r="EG216" s="315" t="str">
        <f>IF(INDEX(tab_MinKomp[Elektryka],MATCH($B215,tab_MinKomp[[Stanowisko / Position ]:[Stanowisko / Position ]],0))="n/a","n/a",EG215-INDEX(tab_MinKomp[Elektryka],MATCH($B215,tab_MinKomp[[Stanowisko / Position ]:[Stanowisko / Position ]],0)))</f>
        <v>n/a</v>
      </c>
      <c r="EH216" s="315" t="str">
        <f>IF(INDEX(tab_MinKomp[Pneumatyka],MATCH($B215,tab_MinKomp[[Stanowisko / Position ]:[Stanowisko / Position ]],0))="n/a","n/a",EH215-INDEX(tab_MinKomp[Pneumatyka],MATCH($B215,tab_MinKomp[[Stanowisko / Position ]:[Stanowisko / Position ]],0)))</f>
        <v>n/a</v>
      </c>
      <c r="EI216" s="315" t="str">
        <f>IF(INDEX(tab_MinKomp[[Hydraulika ]],MATCH($B215,tab_MinKomp[[Stanowisko / Position ]:[Stanowisko / Position ]],0))="n/a","n/a",EI215-INDEX(tab_MinKomp[[Hydraulika ]],MATCH($B215,tab_MinKomp[[Stanowisko / Position ]:[Stanowisko / Position ]],0)))</f>
        <v>n/a</v>
      </c>
      <c r="EJ216" s="315" t="str">
        <f>IF(INDEX(tab_MinKomp[Podciśnienie],MATCH($B215,tab_MinKomp[[Stanowisko / Position ]:[Stanowisko / Position ]],0))="n/a","n/a",EJ215-INDEX(tab_MinKomp[Podciśnienie],MATCH($B215,tab_MinKomp[[Stanowisko / Position ]:[Stanowisko / Position ]],0)))</f>
        <v>n/a</v>
      </c>
      <c r="EK216" s="315" t="str">
        <f>IF(INDEX(tab_MinKomp[Usuwanie awarii],MATCH($B215,tab_MinKomp[[Stanowisko / Position ]:[Stanowisko / Position ]],0))="n/a","n/a",EK215-INDEX(tab_MinKomp[Usuwanie awarii],MATCH($B215,tab_MinKomp[[Stanowisko / Position ]:[Stanowisko / Position ]],0)))</f>
        <v>n/a</v>
      </c>
      <c r="EL216" s="315" t="str">
        <f>IF(INDEX(tab_MinKomp[Obsługa robotów],MATCH($B215,tab_MinKomp[[Stanowisko / Position ]:[Stanowisko / Position ]],0))="n/a","n/a",EL215-INDEX(tab_MinKomp[Obsługa robotów],MATCH($B215,tab_MinKomp[[Stanowisko / Position ]:[Stanowisko / Position ]],0)))</f>
        <v>n/a</v>
      </c>
      <c r="EM216" s="315" t="str">
        <f>IF(INDEX(tab_MinKomp[Obsługa sterowania maszyny],MATCH($B215,tab_MinKomp[[Stanowisko / Position ]:[Stanowisko / Position ]],0))="n/a","n/a",EM215-INDEX(tab_MinKomp[Obsługa sterowania maszyny],MATCH($B215,tab_MinKomp[[Stanowisko / Position ]:[Stanowisko / Position ]],0)))</f>
        <v>n/a</v>
      </c>
      <c r="EN216" s="315" t="str">
        <f>IF(INDEX(tab_MinKomp[Usuwanie przyczyn żródłowych],MATCH($B215,tab_MinKomp[[Stanowisko / Position ]:[Stanowisko / Position ]],0))="n/a","n/a",EN215-INDEX(tab_MinKomp[Usuwanie przyczyn żródłowych],MATCH($B215,tab_MinKomp[[Stanowisko / Position ]:[Stanowisko / Position ]],0)))</f>
        <v>n/a</v>
      </c>
      <c r="EO216" s="315" t="str">
        <f>IF(INDEX(tab_MinKomp[Cmms stosowanie],MATCH($B215,tab_MinKomp[[Stanowisko / Position ]:[Stanowisko / Position ]],0))="n/a","n/a",EO215-INDEX(tab_MinKomp[Cmms stosowanie],MATCH($B215,tab_MinKomp[[Stanowisko / Position ]:[Stanowisko / Position ]],0)))</f>
        <v>n/a</v>
      </c>
      <c r="EP216" s="315" t="str">
        <f>IF(INDEX(tab_MinKomp[[Czyszczenie form gumowych ]],MATCH($B215,tab_MinKomp[[Stanowisko / Position ]:[Stanowisko / Position ]],0))="n/a","n/a",EP215-INDEX(tab_MinKomp[[Czyszczenie form gumowych ]],MATCH($B215,tab_MinKomp[[Stanowisko / Position ]:[Stanowisko / Position ]],0)))</f>
        <v>n/a</v>
      </c>
      <c r="EQ216" s="315" t="str">
        <f>IF(INDEX(tab_MinKomp[Czyszczenie form plastikowych],MATCH($B215,tab_MinKomp[[Stanowisko / Position ]:[Stanowisko / Position ]],0))="n/a","n/a",EQ215-INDEX(tab_MinKomp[Czyszczenie form plastikowych],MATCH($B215,tab_MinKomp[[Stanowisko / Position ]:[Stanowisko / Position ]],0)))</f>
        <v>n/a</v>
      </c>
      <c r="ER216" s="315" t="str">
        <f>IF(INDEX(tab_MinKomp[Wymiana form plastik],MATCH($B215,tab_MinKomp[[Stanowisko / Position ]:[Stanowisko / Position ]],0))="n/a","n/a",ER215-INDEX(tab_MinKomp[Wymiana form plastik],MATCH($B215,tab_MinKomp[[Stanowisko / Position ]:[Stanowisko / Position ]],0)))</f>
        <v>n/a</v>
      </c>
      <c r="ES216" s="315" t="str">
        <f>IF(INDEX(tab_MinKomp[Wymiana form guma],MATCH($B215,tab_MinKomp[[Stanowisko / Position ]:[Stanowisko / Position ]],0))="n/a","n/a",ES215-INDEX(tab_MinKomp[Wymiana form guma],MATCH($B215,tab_MinKomp[[Stanowisko / Position ]:[Stanowisko / Position ]],0)))</f>
        <v>n/a</v>
      </c>
      <c r="ET216" s="315" t="str">
        <f>IF(INDEX(tab_MinKomp[Konserwacja KK],MATCH($B215,tab_MinKomp[[Stanowisko / Position ]:[Stanowisko / Position ]],0))="n/a","n/a",ET215-INDEX(tab_MinKomp[Konserwacja KK],MATCH($B215,tab_MinKomp[[Stanowisko / Position ]:[Stanowisko / Position ]],0)))</f>
        <v>n/a</v>
      </c>
      <c r="EU216" s="315" t="str">
        <f>IF(INDEX(tab_MinKomp[Konserwacja form guma],MATCH($B215,tab_MinKomp[[Stanowisko / Position ]:[Stanowisko / Position ]],0))="n/a","n/a",EU215-INDEX(tab_MinKomp[Konserwacja form guma],MATCH($B215,tab_MinKomp[[Stanowisko / Position ]:[Stanowisko / Position ]],0)))</f>
        <v>n/a</v>
      </c>
      <c r="EV216" s="315" t="str">
        <f>IF(INDEX(tab_MinKomp[Konserwacja form plastiki],MATCH($B215,tab_MinKomp[[Stanowisko / Position ]:[Stanowisko / Position ]],0))="n/a","n/a",EV215-INDEX(tab_MinKomp[Konserwacja form plastiki],MATCH($B215,tab_MinKomp[[Stanowisko / Position ]:[Stanowisko / Position ]],0)))</f>
        <v>n/a</v>
      </c>
      <c r="EW216" s="330" t="str">
        <f>IF(INDEX(tab_MinKomp[Konserwacja form plastiki],MATCH($B215,tab_MinKomp[[Stanowisko / Position ]:[Stanowisko / Position ]],0))="n/a","n/a",EW215-INDEX(tab_MinKomp[Konserwacja form plastiki],MATCH($B215,tab_MinKomp[[Stanowisko / Position ]:[Stanowisko / Position ]],0)))</f>
        <v>n/a</v>
      </c>
      <c r="EX216" s="315" t="str">
        <f>IF(INDEX(tab_MinKomp[Konserwacja Gorącego Kanału],MATCH($B215,tab_MinKomp[[Stanowisko / Position ]:[Stanowisko / Position ]],0))="n/a","n/a",EX215-INDEX(tab_MinKomp[Konserwacja Gorącego Kanału],MATCH($B215,tab_MinKomp[[Stanowisko / Position ]:[Stanowisko / Position ]],0)))</f>
        <v>n/a</v>
      </c>
      <c r="EY216" s="313">
        <f>IF(INDEX(tab_MinKomp[MS Office (Excel)],MATCH($B215,tab_MinKomp[[Stanowisko / Position ]:[Stanowisko / Position ]],0))="n/a","n/a",EY215-INDEX(tab_MinKomp[MS Office (Excel)],MATCH($B215,tab_MinKomp[[Stanowisko / Position ]:[Stanowisko / Position ]],0)))</f>
        <v>1</v>
      </c>
      <c r="EZ216" s="313">
        <f>IF(INDEX(tab_MinKomp[MS Office (Word)],MATCH($B215,tab_MinKomp[[Stanowisko / Position ]:[Stanowisko / Position ]],0))="n/a","n/a",EZ215-INDEX(tab_MinKomp[MS Office (Word)],MATCH($B215,tab_MinKomp[[Stanowisko / Position ]:[Stanowisko / Position ]],0)))</f>
        <v>0</v>
      </c>
      <c r="FA216" s="313">
        <f>IF(INDEX(tab_MinKomp[MS Office (Power Point)],MATCH($B215,tab_MinKomp[[Stanowisko / Position ]:[Stanowisko / Position ]],0))="n/a","n/a",FA215-INDEX(tab_MinKomp[MS Office (Power Point)],MATCH($B215,tab_MinKomp[[Stanowisko / Position ]:[Stanowisko / Position ]],0)))</f>
        <v>0</v>
      </c>
      <c r="FB216" s="313">
        <f>IF(INDEX(tab_MinKomp[Język angielski / Englisch],MATCH($B215,tab_MinKomp[[Stanowisko / Position ]:[Stanowisko / Position ]],0))="n/a","n/a",FB215-INDEX(tab_MinKomp[Język angielski / Englisch],MATCH($B215,tab_MinKomp[[Stanowisko / Position ]:[Stanowisko / Position ]],0)))</f>
        <v>-1</v>
      </c>
      <c r="FC216" s="313" t="str">
        <f>IF(INDEX(tab_MinKomp[Język niemiecki / Deutsch],MATCH($B215,tab_MinKomp[[Stanowisko / Position ]:[Stanowisko / Position ]],0))="n/a","n/a",FC215-INDEX(tab_MinKomp[Język niemiecki / Deutsch],MATCH($B215,tab_MinKomp[[Stanowisko / Position ]:[Stanowisko / Position ]],0)))</f>
        <v>n/a</v>
      </c>
      <c r="FD216" s="313">
        <f>IF(INDEX(tab_MinKomp[Zarządzanie dokumentacją procesową / Process dokumentation management],MATCH($B215,tab_MinKomp[[Stanowisko / Position ]:[Stanowisko / Position ]],0))="n/a","n/a",FD215-INDEX(tab_MinKomp[Zarządzanie dokumentacją procesową / Process dokumentation management],MATCH($B215,tab_MinKomp[[Stanowisko / Position ]:[Stanowisko / Position ]],0)))</f>
        <v>-2</v>
      </c>
      <c r="FE216" s="313">
        <f>IF(INDEX(tab_MinKomp[Znajomość procesów z obszaru / Kenntiss der prozesse in dem Bereich],MATCH($B215,tab_MinKomp[[Stanowisko / Position ]:[Stanowisko / Position ]],0))="n/a","n/a",FE215-INDEX(tab_MinKomp[Znajomość procesów z obszaru / Kenntiss der prozesse in dem Bereich],MATCH($B215,tab_MinKomp[[Stanowisko / Position ]:[Stanowisko / Position ]],0)))</f>
        <v>0</v>
      </c>
      <c r="FF216" s="313">
        <f>IF(INDEX(tab_MinKomp[optymalizacja procesów / Prozessoptymalisierung],MATCH($B215,tab_MinKomp[[Stanowisko / Position ]:[Stanowisko / Position ]],0))="n/a","n/a",FF215-INDEX(tab_MinKomp[optymalizacja procesów / Prozessoptymalisierung],MATCH($B215,tab_MinKomp[[Stanowisko / Position ]:[Stanowisko / Position ]],0)))</f>
        <v>0</v>
      </c>
      <c r="FG216" s="313">
        <f>IF(INDEX(tab_MinKomp[Umiejętności szkoleniowe / Trainingsfähigkeiten],MATCH($B215,tab_MinKomp[[Stanowisko / Position ]:[Stanowisko / Position ]],0))="n/a","n/a",FG215-INDEX(tab_MinKomp[Umiejętności szkoleniowe / Trainingsfähigkeiten],MATCH($B215,tab_MinKomp[[Stanowisko / Position ]:[Stanowisko / Position ]],0)))</f>
        <v>1</v>
      </c>
      <c r="FH216" s="313">
        <f>IF(INDEX(tab_MinKomp[Analityczne myślenie, podejście / Analitysches Denken, Einstellung],MATCH($B215,tab_MinKomp[[Stanowisko / Position ]:[Stanowisko / Position ]],0))="n/a","n/a",FH215-INDEX(tab_MinKomp[Analityczne myślenie, podejście / Analitysches Denken, Einstellung],MATCH($B215,tab_MinKomp[[Stanowisko / Position ]:[Stanowisko / Position ]],0)))</f>
        <v>0</v>
      </c>
      <c r="FI216" s="313">
        <f>IF(INDEX(tab_MinKomp[Dokładność, precyzja w dzialaniu / Genauigkeit, Präzision in die Arbeit],MATCH($B215,tab_MinKomp[[Stanowisko / Position ]:[Stanowisko / Position ]],0))="n/a","n/a",FI215-INDEX(tab_MinKomp[Dokładność, precyzja w dzialaniu / Genauigkeit, Präzision in die Arbeit],MATCH($B215,tab_MinKomp[[Stanowisko / Position ]:[Stanowisko / Position ]],0)))</f>
        <v>0</v>
      </c>
      <c r="FJ216" s="313">
        <f>IF(INDEX(tab_MinKomp[Dyspozycyjność / Verfügbarkeit],MATCH($B215,tab_MinKomp[[Stanowisko / Position ]:[Stanowisko / Position ]],0))="n/a","n/a",FJ215-INDEX(tab_MinKomp[Dyspozycyjność / Verfügbarkeit],MATCH($B215,tab_MinKomp[[Stanowisko / Position ]:[Stanowisko / Position ]],0)))</f>
        <v>0</v>
      </c>
      <c r="FK216" s="313">
        <f>IF(INDEX(tab_MinKomp[Zaangażowanie / 
Engagement],MATCH($B215,tab_MinKomp[[Stanowisko / Position ]:[Stanowisko / Position ]],0))="n/a","n/a",FK215-INDEX(tab_MinKomp[Zaangażowanie / 
Engagement],MATCH($B215,tab_MinKomp[[Stanowisko / Position ]:[Stanowisko / Position ]],0)))</f>
        <v>-1</v>
      </c>
      <c r="FL216" s="313">
        <f>IF(INDEX(tab_MinKomp[Planowanie strategiczne / Strategische Planung],MATCH($B215,tab_MinKomp[[Stanowisko / Position ]:[Stanowisko / Position ]],0))="n/a","n/a",FL215-INDEX(tab_MinKomp[Planowanie strategiczne / Strategische Planung],MATCH($B215,tab_MinKomp[[Stanowisko / Position ]:[Stanowisko / Position ]],0)))</f>
        <v>2</v>
      </c>
      <c r="FM216" s="313">
        <f>IF(INDEX(tab_MinKomp[Konsekwentne i dynamiczne działanie],MATCH($B215,tab_MinKomp[[Stanowisko / Position ]:[Stanowisko / Position ]],0))="n/a","n/a",FM215-INDEX(tab_MinKomp[Konsekwentne i dynamiczne działanie],MATCH($B215,tab_MinKomp[[Stanowisko / Position ]:[Stanowisko / Position ]],0)))</f>
        <v>0</v>
      </c>
      <c r="FN216" s="313">
        <f>IF(INDEX(tab_MinKomp[Elastyczność w działaniu],MATCH($B215,tab_MinKomp[[Stanowisko / Position ]:[Stanowisko / Position ]],0))="n/a","n/a",FN215-INDEX(tab_MinKomp[Elastyczność w działaniu],MATCH($B215,tab_MinKomp[[Stanowisko / Position ]:[Stanowisko / Position ]],0)))</f>
        <v>1</v>
      </c>
      <c r="FO216" s="313">
        <f>IF(INDEX(tab_MinKomp[Komunikatywność],MATCH($B215,tab_MinKomp[[Stanowisko / Position ]:[Stanowisko / Position ]],0))="n/a","n/a",FO215-INDEX(tab_MinKomp[Komunikatywność],MATCH($B215,tab_MinKomp[[Stanowisko / Position ]:[Stanowisko / Position ]],0)))</f>
        <v>0</v>
      </c>
      <c r="FP216" s="313">
        <f>IF(INDEX(tab_MinKomp[Motywowanie i budowanie zaangażowania zespołu],MATCH($B215,tab_MinKomp[[Stanowisko / Position ]:[Stanowisko / Position ]],0))="n/a","n/a",FP215-INDEX(tab_MinKomp[Motywowanie i budowanie zaangażowania zespołu],MATCH($B215,tab_MinKomp[[Stanowisko / Position ]:[Stanowisko / Position ]],0)))</f>
        <v>0</v>
      </c>
      <c r="FQ216" s="313" t="str">
        <f>IF(INDEX(tab_MinKomp[BRAK / Keine],MATCH($B215,tab_MinKomp[[Stanowisko / Position ]:[Stanowisko / Position ]],0))="n/a","n/a",FQ215-INDEX(tab_MinKomp[BRAK / Keine],MATCH($B215,tab_MinKomp[[Stanowisko / Position ]:[Stanowisko / Position ]],0)))</f>
        <v>n/a</v>
      </c>
      <c r="FR216" s="313" t="str">
        <f>IF(INDEX(tab_MinKomp[BRAK / Keine],MATCH($B215,tab_MinKomp[[Stanowisko / Position ]:[Stanowisko / Position ]],0))="n/a","n/a",FR215-INDEX(tab_MinKomp[BRAK / Keine],MATCH($B215,tab_MinKomp[[Stanowisko / Position ]:[Stanowisko / Position ]],0)))</f>
        <v>n/a</v>
      </c>
      <c r="FS216" s="346" t="str">
        <f>IF(INDEX(tab_MinKomp[PIERWSZA POMOC / Erste Hilfe],MATCH($B215,tab_MinKomp[[Stanowisko / Position ]:[Stanowisko / Position ]],0))="n/a","n/a",INDEX(tab_MinKomp[PIERWSZA POMOC / Erste Hilfe],MATCH($B215,tab_MinKomp[[Stanowisko / Position ]:[Stanowisko / Position ]],0)))</f>
        <v>X</v>
      </c>
      <c r="FT216" s="313" t="str">
        <f>IF(INDEX(tab_MinKomp[MINIMUM 3 LATA / min. 3 Jahre],MATCH($B215,tab_MinKomp[[Stanowisko / Position ]:[Stanowisko / Position ]],0))="n/a","n/a",FT215-INDEX(tab_MinKomp[MINIMUM 3 LATA / min. 3 Jahre],MATCH($B215,tab_MinKomp[[Stanowisko / Position ]:[Stanowisko / Position ]],0)))</f>
        <v>n/a</v>
      </c>
      <c r="FU216" s="313" t="str">
        <f>IF(INDEX(tab_MinKomp[MINIMUM 3 LATA / min. 3 Jahre],MATCH($B215,tab_MinKomp[[Stanowisko / Position ]:[Stanowisko / Position ]],0))="n/a","n/a",FU215-INDEX(tab_MinKomp[MINIMUM 3 LATA / min. 3 Jahre],MATCH($B215,tab_MinKomp[[Stanowisko / Position ]:[Stanowisko / Position ]],0)))</f>
        <v>n/a</v>
      </c>
      <c r="FV216" s="313" t="str">
        <f>IF(INDEX(tab_MinKomp[MINIMUM 4 LATA / min. 4 Jahre],MATCH($B215,tab_MinKomp[[Stanowisko / Position ]:[Stanowisko / Position ]],0))="n/a","n/a",FV215-INDEX(tab_MinKomp[MINIMUM 4 LATA / min. 4 Jahre],MATCH($B215,tab_MinKomp[[Stanowisko / Position ]:[Stanowisko / Position ]],0)))</f>
        <v>n/a</v>
      </c>
      <c r="FW216" s="313" t="str">
        <f>IF(INDEX(tab_MinKomp[MINIMUM 5 LAT / min. 5 Jahre],MATCH($B215,tab_MinKomp[[Stanowisko / Position ]:[Stanowisko / Position ]],0))="n/a","n/a",FW215-INDEX(tab_MinKomp[MINIMUM 5 LAT / min. 5 Jahre],MATCH($B215,tab_MinKomp[[Stanowisko / Position ]:[Stanowisko / Position ]],0)))</f>
        <v>n/a</v>
      </c>
      <c r="FX216" s="313" t="str">
        <f>IF(INDEX(tab_MinKomp[BRAK / Keine9],MATCH($B215,tab_MinKomp[[Stanowisko / Position ]:[Stanowisko / Position ]],0))="n/a","n/a",FX215-INDEX(tab_MinKomp[BRAK / Keine9],MATCH($B215,tab_MinKomp[[Stanowisko / Position ]:[Stanowisko / Position ]],0)))</f>
        <v>n/a</v>
      </c>
      <c r="FY216" s="313" t="s">
        <v>160</v>
      </c>
      <c r="FZ216" s="313" t="str">
        <f>IF(INDEX(tab_MinKomp[ŚREDNIE KIERUNKOWE / berufliches Gymnasium],MATCH($B215,tab_MinKomp[[Stanowisko / Position ]:[Stanowisko / Position ]],0))="n/a","n/a",FZ215-INDEX(tab_MinKomp[ŚREDNIE KIERUNKOWE / berufliches Gymnasium],MATCH($B215,tab_MinKomp[[Stanowisko / Position ]:[Stanowisko / Position ]],0)))</f>
        <v>n/a</v>
      </c>
      <c r="GA216" s="313" t="str">
        <f>IF(INDEX(tab_MinKomp[ŚREDNIE KIERUNKOWE / berufliches Gymnasium],MATCH($B215,tab_MinKomp[[Stanowisko / Position ]:[Stanowisko / Position ]],0))="n/a","n/a",GA215-INDEX(tab_MinKomp[ŚREDNIE KIERUNKOWE / berufliches Gymnasium],MATCH($B215,tab_MinKomp[[Stanowisko / Position ]:[Stanowisko / Position ]],0)))</f>
        <v>n/a</v>
      </c>
      <c r="GB216" s="313" t="str">
        <f>IF(INDEX(tab_MinKomp[WYŻSZE OGÓLNE / Hochschule allgemeine],MATCH($B215,tab_MinKomp[[Stanowisko / Position ]:[Stanowisko / Position ]],0))="n/a","n/a",GB215-INDEX(tab_MinKomp[WYŻSZE OGÓLNE / Hochschule allgemeine],MATCH($B215,tab_MinKomp[[Stanowisko / Position ]:[Stanowisko / Position ]],0)))</f>
        <v>n/a</v>
      </c>
      <c r="GC216" s="313" t="s">
        <v>160</v>
      </c>
      <c r="GD216" s="313" t="str">
        <f>IF(INDEX(tab_MinKomp[Specjalista BHP / BHP Spezialist],MATCH($B215,tab_MinKomp[[Stanowisko / Position ]:[Stanowisko / Position ]],0))="n/a","n/a",GD215-INDEX(tab_MinKomp[Specjalista BHP / BHP Spezialist],MATCH($B215,tab_MinKomp[[Stanowisko / Position ]:[Stanowisko / Position ]],0)))</f>
        <v>n/a</v>
      </c>
      <c r="GE216" s="313" t="str">
        <f>IF(INDEX(tab_MinKomp[Specjalista BHP / BHP Spezialist],MATCH($B215,tab_MinKomp[[Stanowisko / Position ]:[Stanowisko / Position ]],0))="n/a","n/a",GE215-INDEX(tab_MinKomp[Specjalista BHP / BHP Spezialist],MATCH($B215,tab_MinKomp[[Stanowisko / Position ]:[Stanowisko / Position ]],0)))</f>
        <v>n/a</v>
      </c>
      <c r="GF216" s="313" t="str">
        <f>IF(INDEX(tab_MinKomp[Inspektor ochrony PPOŻ / Brandschutzinspektor],MATCH($B215,tab_MinKomp[[Stanowisko / Position ]:[Stanowisko / Position ]],0))="n/a","n/a",GF215-INDEX(tab_MinKomp[Inspektor ochrony PPOŻ / Brandschutzinspektor],MATCH($B215,tab_MinKomp[[Stanowisko / Position ]:[Stanowisko / Position ]],0)))</f>
        <v>n/a</v>
      </c>
      <c r="GG216" s="313" t="str">
        <f>IF(INDEX(tab_MinKomp[WÓZKI JEZDNIOWE / Gebelstapler],MATCH($B215,tab_MinKomp[[Stanowisko / Position ]:[Stanowisko / Position ]],0))="n/a","n/a",GG215-INDEX(tab_MinKomp[WÓZKI JEZDNIOWE / Gebelstapler],MATCH($B215,tab_MinKomp[[Stanowisko / Position ]:[Stanowisko / Position ]],0)))</f>
        <v>n/a</v>
      </c>
      <c r="GH216" s="313" t="str">
        <f>IF(INDEX(tab_MinKomp[SEP],MATCH($B215,tab_MinKomp[[Stanowisko / Position ]:[Stanowisko / Position ]],0))="n/a","n/a",GH215-INDEX(tab_MinKomp[SEP],MATCH($B215,tab_MinKomp[[Stanowisko / Position ]:[Stanowisko / Position ]],0)))</f>
        <v>n/a</v>
      </c>
      <c r="GI216" s="313" t="str">
        <f>IF(INDEX(tab_MinKomp[SEP  DOZÓR / SEP Aufsicht],MATCH($B215,tab_MinKomp[[Stanowisko / Position ]:[Stanowisko / Position ]],0))="n/a","n/a",GI215-INDEX(tab_MinKomp[SEP  DOZÓR / SEP Aufsicht],MATCH($B215,tab_MinKomp[[Stanowisko / Position ]:[Stanowisko / Position ]],0)))</f>
        <v>n/a</v>
      </c>
      <c r="GJ216" s="313" t="str">
        <f>IF(INDEX(tab_MinKomp[PODNOŚNIKI / Hebevorrichtung],MATCH($B215,tab_MinKomp[[Stanowisko / Position ]:[Stanowisko / Position ]],0))="n/a","n/a",GJ215-INDEX(tab_MinKomp[PODNOŚNIKI / Hebevorrichtung],MATCH($B215,tab_MinKomp[[Stanowisko / Position ]:[Stanowisko / Position ]],0)))</f>
        <v>n/a</v>
      </c>
      <c r="GK216" s="313" t="str">
        <f>IF(INDEX(tab_MinKomp[SUWNICE / Laufkran],MATCH($B215,tab_MinKomp[[Stanowisko / Position ]:[Stanowisko / Position ]],0))="n/a","n/a",GK215-INDEX(tab_MinKomp[SUWNICE / Laufkran],MATCH($B215,tab_MinKomp[[Stanowisko / Position ]:[Stanowisko / Position ]],0)))</f>
        <v>n/a</v>
      </c>
      <c r="GL216" s="320">
        <f>SUM(G216:FP216)/(GL215-(SUM(G216:FP216)))</f>
        <v>-2.9850746268656716E-2</v>
      </c>
      <c r="GM216" s="132"/>
    </row>
    <row r="217" spans="1:195" ht="28.35" customHeight="1" x14ac:dyDescent="0.25">
      <c r="A217" s="135" t="s">
        <v>179</v>
      </c>
      <c r="B217" s="135" t="s">
        <v>581</v>
      </c>
      <c r="C217" s="135" t="s">
        <v>558</v>
      </c>
      <c r="D217" s="135">
        <v>768</v>
      </c>
      <c r="E217" s="565" t="s">
        <v>668</v>
      </c>
      <c r="F217" s="307" t="s">
        <v>165</v>
      </c>
      <c r="G217" s="308">
        <v>2</v>
      </c>
      <c r="H217" s="308">
        <v>2</v>
      </c>
      <c r="I217" s="308">
        <v>1</v>
      </c>
      <c r="J217" s="308">
        <v>1</v>
      </c>
      <c r="K217" s="308">
        <v>1</v>
      </c>
      <c r="L217" s="308">
        <v>1</v>
      </c>
      <c r="M217" s="308" t="s">
        <v>176</v>
      </c>
      <c r="N217" s="308" t="s">
        <v>176</v>
      </c>
      <c r="O217" s="308">
        <v>1</v>
      </c>
      <c r="P217" s="308">
        <v>1</v>
      </c>
      <c r="Q217" s="308" t="s">
        <v>176</v>
      </c>
      <c r="R217" s="308" t="s">
        <v>176</v>
      </c>
      <c r="S217" s="308" t="s">
        <v>176</v>
      </c>
      <c r="T217" s="308">
        <v>1</v>
      </c>
      <c r="U217" s="308" t="s">
        <v>176</v>
      </c>
      <c r="V217" s="308" t="s">
        <v>176</v>
      </c>
      <c r="W217" s="308" t="s">
        <v>176</v>
      </c>
      <c r="X217" s="308" t="s">
        <v>176</v>
      </c>
      <c r="Y217" s="308" t="s">
        <v>176</v>
      </c>
      <c r="Z217" s="308" t="s">
        <v>176</v>
      </c>
      <c r="AA217" s="308" t="s">
        <v>176</v>
      </c>
      <c r="AB217" s="308" t="s">
        <v>176</v>
      </c>
      <c r="AC217" s="308" t="s">
        <v>176</v>
      </c>
      <c r="AD217" s="308" t="s">
        <v>176</v>
      </c>
      <c r="AE217" s="308" t="s">
        <v>176</v>
      </c>
      <c r="AF217" s="308" t="s">
        <v>176</v>
      </c>
      <c r="AG217" s="308" t="s">
        <v>176</v>
      </c>
      <c r="AH217" s="308" t="s">
        <v>176</v>
      </c>
      <c r="AI217" s="308" t="s">
        <v>176</v>
      </c>
      <c r="AJ217" s="308" t="s">
        <v>176</v>
      </c>
      <c r="AK217" s="308" t="s">
        <v>176</v>
      </c>
      <c r="AL217" s="308"/>
      <c r="AM217" s="308" t="s">
        <v>176</v>
      </c>
      <c r="AN217" s="308" t="s">
        <v>176</v>
      </c>
      <c r="AO217" s="308">
        <v>2</v>
      </c>
      <c r="AP217" s="308" t="s">
        <v>176</v>
      </c>
      <c r="AQ217" s="308">
        <v>1</v>
      </c>
      <c r="AR217" s="308" t="s">
        <v>176</v>
      </c>
      <c r="AS217" s="308" t="s">
        <v>176</v>
      </c>
      <c r="AT217" s="308" t="s">
        <v>176</v>
      </c>
      <c r="AU217" s="308">
        <v>1</v>
      </c>
      <c r="AV217" s="308">
        <v>1</v>
      </c>
      <c r="AW217" s="308">
        <v>1</v>
      </c>
      <c r="AX217" s="308" t="s">
        <v>176</v>
      </c>
      <c r="AY217" s="308" t="s">
        <v>176</v>
      </c>
      <c r="AZ217" s="308" t="s">
        <v>176</v>
      </c>
      <c r="BA217" s="308">
        <v>1</v>
      </c>
      <c r="BB217" s="308">
        <v>2</v>
      </c>
      <c r="BC217" s="308" t="s">
        <v>176</v>
      </c>
      <c r="BD217" s="308" t="s">
        <v>176</v>
      </c>
      <c r="BE217" s="308" t="s">
        <v>176</v>
      </c>
      <c r="BF217" s="308" t="s">
        <v>176</v>
      </c>
      <c r="BG217" s="308" t="s">
        <v>176</v>
      </c>
      <c r="BH217" s="308" t="s">
        <v>176</v>
      </c>
      <c r="BI217" s="308" t="s">
        <v>176</v>
      </c>
      <c r="BJ217" s="308" t="s">
        <v>176</v>
      </c>
      <c r="BK217" s="308" t="s">
        <v>176</v>
      </c>
      <c r="BL217" s="308" t="s">
        <v>176</v>
      </c>
      <c r="BM217" s="308">
        <v>2</v>
      </c>
      <c r="BN217" s="308">
        <v>2</v>
      </c>
      <c r="BO217" s="308" t="s">
        <v>176</v>
      </c>
      <c r="BP217" s="308">
        <v>1</v>
      </c>
      <c r="BQ217" s="308" t="s">
        <v>176</v>
      </c>
      <c r="BR217" s="308">
        <v>1</v>
      </c>
      <c r="BS217" s="308">
        <v>1</v>
      </c>
      <c r="BT217" s="308">
        <v>1</v>
      </c>
      <c r="BU217" s="308"/>
      <c r="BV217" s="308"/>
      <c r="BW217" s="308" t="s">
        <v>176</v>
      </c>
      <c r="BX217" s="308" t="s">
        <v>176</v>
      </c>
      <c r="BY217" s="308" t="s">
        <v>176</v>
      </c>
      <c r="BZ217" s="308" t="s">
        <v>176</v>
      </c>
      <c r="CA217" s="308" t="s">
        <v>176</v>
      </c>
      <c r="CB217" s="308" t="s">
        <v>176</v>
      </c>
      <c r="CC217" s="308" t="s">
        <v>176</v>
      </c>
      <c r="CD217" s="308" t="s">
        <v>176</v>
      </c>
      <c r="CE217" s="308" t="s">
        <v>176</v>
      </c>
      <c r="CF217" s="308" t="s">
        <v>176</v>
      </c>
      <c r="CG217" s="308">
        <v>2</v>
      </c>
      <c r="CH217" s="308" t="s">
        <v>176</v>
      </c>
      <c r="CI217" s="308" t="s">
        <v>176</v>
      </c>
      <c r="CJ217" s="308" t="s">
        <v>176</v>
      </c>
      <c r="CK217" s="308" t="s">
        <v>176</v>
      </c>
      <c r="CL217" s="308" t="s">
        <v>176</v>
      </c>
      <c r="CM217" s="308">
        <v>1</v>
      </c>
      <c r="CN217" s="308">
        <v>1</v>
      </c>
      <c r="CO217" s="308">
        <v>1</v>
      </c>
      <c r="CP217" s="308">
        <v>1</v>
      </c>
      <c r="CQ217" s="308" t="s">
        <v>176</v>
      </c>
      <c r="CR217" s="308" t="s">
        <v>176</v>
      </c>
      <c r="CS217" s="308" t="s">
        <v>176</v>
      </c>
      <c r="CT217" s="308" t="s">
        <v>176</v>
      </c>
      <c r="CU217" s="308" t="s">
        <v>176</v>
      </c>
      <c r="CV217" s="308" t="s">
        <v>176</v>
      </c>
      <c r="CW217" s="308" t="s">
        <v>176</v>
      </c>
      <c r="CX217" s="308" t="s">
        <v>176</v>
      </c>
      <c r="CY217" s="308" t="s">
        <v>176</v>
      </c>
      <c r="CZ217" s="308" t="s">
        <v>176</v>
      </c>
      <c r="DA217" s="308" t="s">
        <v>176</v>
      </c>
      <c r="DB217" s="308" t="s">
        <v>176</v>
      </c>
      <c r="DC217" s="308" t="s">
        <v>176</v>
      </c>
      <c r="DD217" s="308" t="s">
        <v>176</v>
      </c>
      <c r="DE217" s="308" t="s">
        <v>176</v>
      </c>
      <c r="DF217" s="308" t="s">
        <v>176</v>
      </c>
      <c r="DG217" s="308" t="s">
        <v>176</v>
      </c>
      <c r="DH217" s="308" t="s">
        <v>176</v>
      </c>
      <c r="DI217" s="308" t="s">
        <v>176</v>
      </c>
      <c r="DJ217" s="308" t="s">
        <v>176</v>
      </c>
      <c r="DK217" s="308" t="s">
        <v>176</v>
      </c>
      <c r="DL217" s="308" t="s">
        <v>176</v>
      </c>
      <c r="DM217" s="308" t="s">
        <v>176</v>
      </c>
      <c r="DN217" s="308" t="s">
        <v>176</v>
      </c>
      <c r="DO217" s="308" t="s">
        <v>176</v>
      </c>
      <c r="DP217" s="308" t="s">
        <v>176</v>
      </c>
      <c r="DQ217" s="308" t="s">
        <v>176</v>
      </c>
      <c r="DR217" s="308" t="s">
        <v>176</v>
      </c>
      <c r="DS217" s="308" t="s">
        <v>176</v>
      </c>
      <c r="DT217" s="308" t="s">
        <v>176</v>
      </c>
      <c r="DU217" s="308" t="s">
        <v>176</v>
      </c>
      <c r="DV217" s="308" t="s">
        <v>176</v>
      </c>
      <c r="DW217" s="308" t="s">
        <v>176</v>
      </c>
      <c r="DX217" s="308" t="s">
        <v>176</v>
      </c>
      <c r="DY217" s="308" t="s">
        <v>176</v>
      </c>
      <c r="DZ217" s="308" t="s">
        <v>176</v>
      </c>
      <c r="EA217" s="308" t="s">
        <v>176</v>
      </c>
      <c r="EB217" s="308" t="s">
        <v>176</v>
      </c>
      <c r="EC217" s="308" t="s">
        <v>176</v>
      </c>
      <c r="ED217" s="308" t="s">
        <v>176</v>
      </c>
      <c r="EE217" s="308" t="s">
        <v>176</v>
      </c>
      <c r="EF217" s="308" t="s">
        <v>176</v>
      </c>
      <c r="EG217" s="308" t="s">
        <v>176</v>
      </c>
      <c r="EH217" s="308" t="s">
        <v>176</v>
      </c>
      <c r="EI217" s="308" t="s">
        <v>176</v>
      </c>
      <c r="EJ217" s="308" t="s">
        <v>176</v>
      </c>
      <c r="EK217" s="308" t="s">
        <v>176</v>
      </c>
      <c r="EL217" s="308" t="s">
        <v>176</v>
      </c>
      <c r="EM217" s="308" t="s">
        <v>176</v>
      </c>
      <c r="EN217" s="308" t="s">
        <v>176</v>
      </c>
      <c r="EO217" s="308" t="s">
        <v>176</v>
      </c>
      <c r="EP217" s="308" t="s">
        <v>176</v>
      </c>
      <c r="EQ217" s="308" t="s">
        <v>176</v>
      </c>
      <c r="ER217" s="308" t="s">
        <v>176</v>
      </c>
      <c r="ES217" s="308" t="s">
        <v>176</v>
      </c>
      <c r="ET217" s="308" t="s">
        <v>176</v>
      </c>
      <c r="EU217" s="308" t="s">
        <v>176</v>
      </c>
      <c r="EV217" s="308" t="s">
        <v>176</v>
      </c>
      <c r="EW217" s="308" t="s">
        <v>176</v>
      </c>
      <c r="EX217" s="308" t="s">
        <v>176</v>
      </c>
      <c r="EY217" s="308">
        <v>2</v>
      </c>
      <c r="EZ217" s="308">
        <v>2</v>
      </c>
      <c r="FA217" s="308">
        <v>2</v>
      </c>
      <c r="FB217" s="308" t="s">
        <v>176</v>
      </c>
      <c r="FC217" s="308" t="s">
        <v>176</v>
      </c>
      <c r="FD217" s="308">
        <v>2</v>
      </c>
      <c r="FE217" s="308">
        <v>2</v>
      </c>
      <c r="FF217" s="308">
        <v>1</v>
      </c>
      <c r="FG217" s="308">
        <v>2</v>
      </c>
      <c r="FH217" s="308">
        <v>2</v>
      </c>
      <c r="FI217" s="308">
        <v>2</v>
      </c>
      <c r="FJ217" s="308">
        <v>2</v>
      </c>
      <c r="FK217" s="308">
        <v>2</v>
      </c>
      <c r="FL217" s="308">
        <v>2</v>
      </c>
      <c r="FM217" s="308">
        <v>2</v>
      </c>
      <c r="FN217" s="308">
        <v>2</v>
      </c>
      <c r="FO217" s="308">
        <v>2</v>
      </c>
      <c r="FP217" s="308">
        <v>1</v>
      </c>
      <c r="FQ217" s="308" t="s">
        <v>176</v>
      </c>
      <c r="FR217" s="308" t="s">
        <v>176</v>
      </c>
      <c r="FS217" s="308" t="s">
        <v>387</v>
      </c>
      <c r="FT217" s="308" t="s">
        <v>176</v>
      </c>
      <c r="FU217" s="308" t="s">
        <v>176</v>
      </c>
      <c r="FV217" s="308" t="s">
        <v>176</v>
      </c>
      <c r="FW217" s="308" t="s">
        <v>176</v>
      </c>
      <c r="FX217" s="308" t="s">
        <v>176</v>
      </c>
      <c r="FY217" s="308" t="s">
        <v>387</v>
      </c>
      <c r="FZ217" s="308" t="s">
        <v>176</v>
      </c>
      <c r="GA217" s="308" t="s">
        <v>176</v>
      </c>
      <c r="GB217" s="308" t="s">
        <v>176</v>
      </c>
      <c r="GC217" s="308" t="s">
        <v>176</v>
      </c>
      <c r="GD217" s="308" t="s">
        <v>387</v>
      </c>
      <c r="GE217" s="308" t="s">
        <v>176</v>
      </c>
      <c r="GF217" s="308" t="s">
        <v>176</v>
      </c>
      <c r="GG217" s="308" t="s">
        <v>387</v>
      </c>
      <c r="GH217" s="308" t="s">
        <v>176</v>
      </c>
      <c r="GI217" s="308" t="s">
        <v>176</v>
      </c>
      <c r="GJ217" s="308" t="s">
        <v>176</v>
      </c>
      <c r="GK217" s="308" t="s">
        <v>176</v>
      </c>
      <c r="GL217" s="311">
        <f>SUM(G217:FP217)</f>
        <v>64</v>
      </c>
    </row>
    <row r="218" spans="1:195" ht="28.35" customHeight="1" thickBot="1" x14ac:dyDescent="0.3">
      <c r="A218" s="138" t="str">
        <f>A217</f>
        <v>Prod.-Q-3</v>
      </c>
      <c r="B218" s="138" t="str">
        <f>B217</f>
        <v>Teamleder zespołu produkcji</v>
      </c>
      <c r="C218" s="135" t="s">
        <v>558</v>
      </c>
      <c r="D218" s="138">
        <f>D217</f>
        <v>768</v>
      </c>
      <c r="E218" s="566" t="str">
        <f>E217</f>
        <v>Banasiak Paweł</v>
      </c>
      <c r="F218" s="312" t="s">
        <v>166</v>
      </c>
      <c r="G218" s="341">
        <f>IF(INDEX(tab_MinKomp[Przepisy BHP / BHP Vorschriften],MATCH($B217,tab_MinKomp[[Stanowisko / Position ]:[Stanowisko / Position ]],0))="n/a","n/a",G217-INDEX(tab_MinKomp[Przepisy BHP / BHP Vorschriften],MATCH($B217,tab_MinKomp[[Stanowisko / Position ]:[Stanowisko / Position ]],0)))</f>
        <v>0</v>
      </c>
      <c r="H218" s="342">
        <f>IF(INDEX(tab_MinKomp[Przepisy PPOŻ / Brandschutzbestimmungen],MATCH($B217,tab_MinKomp[[Stanowisko / Position ]:[Stanowisko / Position ]],0))="n/a","n/a",H217-INDEX(tab_MinKomp[Przepisy PPOŻ / Brandschutzbestimmungen],MATCH($B217,tab_MinKomp[[Stanowisko / Position ]:[Stanowisko / Position ]],0)))</f>
        <v>0</v>
      </c>
      <c r="I218" s="342">
        <f>IF(INDEX(tab_MinKomp[Ryzyko zawodowe na stanowiskach pracyv/ Berufliche Risiken an Arbeitsstellen],MATCH($B217,tab_MinKomp[[Stanowisko / Position ]:[Stanowisko / Position ]],0))="n/a","n/a",I217-INDEX(tab_MinKomp[Ryzyko zawodowe na stanowiskach pracyv/ Berufliche Risiken an Arbeitsstellen],MATCH($B217,tab_MinKomp[[Stanowisko / Position ]:[Stanowisko / Position ]],0)))</f>
        <v>0</v>
      </c>
      <c r="J218" s="342">
        <f>IF(INDEX(tab_MinKomp[Gospodarka substancjami niebezpiecznymi / Gefahrstoffmanagement],MATCH($B217,tab_MinKomp[[Stanowisko / Position ]:[Stanowisko / Position ]],0))="n/a","n/a",J217-INDEX(tab_MinKomp[Gospodarka substancjami niebezpiecznymi / Gefahrstoffmanagement],MATCH($B217,tab_MinKomp[[Stanowisko / Position ]:[Stanowisko / Position ]],0)))</f>
        <v>0</v>
      </c>
      <c r="K218" s="342">
        <f>IF(INDEX(tab_MinKomp[Gospodarka odpadami / Abfallwirtschaft],MATCH($B217,tab_MinKomp[[Stanowisko / Position ]:[Stanowisko / Position ]],0))="n/a","n/a",K217-INDEX(tab_MinKomp[Gospodarka odpadami / Abfallwirtschaft],MATCH($B217,tab_MinKomp[[Stanowisko / Position ]:[Stanowisko / Position ]],0)))</f>
        <v>0</v>
      </c>
      <c r="L218" s="343">
        <f>IF(INDEX(tab_MinKomp[Przepisy kodeksu pracy / Bestimmungen des Arbeitsgesetzes],MATCH($B217,tab_MinKomp[[Stanowisko / Position ]:[Stanowisko / Position ]],0))="n/a","n/a",L217-INDEX(tab_MinKomp[Przepisy kodeksu pracy / Bestimmungen des Arbeitsgesetzes],MATCH($B217,tab_MinKomp[[Stanowisko / Position ]:[Stanowisko / Position ]],0)))</f>
        <v>0</v>
      </c>
      <c r="M218" s="344" t="str">
        <f>IF(INDEX(tab_MinKomp[Przepisy o ub.społ. ZUS  / Sozialversicherungsvorschriften],MATCH($B217,tab_MinKomp[[Stanowisko / Position ]:[Stanowisko / Position ]],0))="n/a","n/a",M217-INDEX(tab_MinKomp[Przepisy o ub.społ. ZUS  / Sozialversicherungsvorschriften],MATCH($B217,tab_MinKomp[[Stanowisko / Position ]:[Stanowisko / Position ]],0)))</f>
        <v>n/a</v>
      </c>
      <c r="N218" s="343" t="str">
        <f>IF(INDEX(tab_MinKomp[PRZEPISY O PDOF /persönlich Einkommensteuergesetz ],MATCH($B217,tab_MinKomp[[Stanowisko / Position ]:[Stanowisko / Position ]],0))="n/a","n/a",N217-INDEX(tab_MinKomp[PRZEPISY O PDOF /persönlich Einkommensteuergesetz ],MATCH($B217,tab_MinKomp[[Stanowisko / Position ]:[Stanowisko / Position ]],0)))</f>
        <v>n/a</v>
      </c>
      <c r="O218" s="343">
        <f>IF(INDEX(tab_MinKomp[Regulamin pracy / Arbeitsordnung],MATCH($B217,tab_MinKomp[[Stanowisko / Position ]:[Stanowisko / Position ]],0))="n/a","n/a",O217-INDEX(tab_MinKomp[Regulamin pracy / Arbeitsordnung],MATCH($B217,tab_MinKomp[[Stanowisko / Position ]:[Stanowisko / Position ]],0)))</f>
        <v>0</v>
      </c>
      <c r="P218" s="343">
        <f>IF(INDEX(tab_MinKomp[Regulamin wynagradzania / Vergütungsordnung],MATCH($B217,tab_MinKomp[[Stanowisko / Position ]:[Stanowisko / Position ]],0))="n/a","n/a",P217-INDEX(tab_MinKomp[Regulamin wynagradzania / Vergütungsordnung],MATCH($B217,tab_MinKomp[[Stanowisko / Position ]:[Stanowisko / Position ]],0)))</f>
        <v>0</v>
      </c>
      <c r="Q218" s="343" t="str">
        <f>IF(INDEX(tab_MinKomp[System R2PŁATNIK PRO: Płace / Lohnabrechnung],MATCH($B217,tab_MinKomp[[Stanowisko / Position ]:[Stanowisko / Position ]],0))="n/a","n/a",Q217-INDEX(tab_MinKomp[System R2PŁATNIK PRO: Płace / Lohnabrechnung],MATCH($B217,tab_MinKomp[[Stanowisko / Position ]:[Stanowisko / Position ]],0)))</f>
        <v>n/a</v>
      </c>
      <c r="R218" s="343" t="str">
        <f>IF(INDEX(tab_MinKomp[SystemR2PŁATNIK PRO: KADRY / Personaldaten],MATCH($B217,tab_MinKomp[[Stanowisko / Position ]:[Stanowisko / Position ]],0))="n/a","n/a",R217-INDEX(tab_MinKomp[SystemR2PŁATNIK PRO: KADRY / Personaldaten],MATCH($B217,tab_MinKomp[[Stanowisko / Position ]:[Stanowisko / Position ]],0)))</f>
        <v>n/a</v>
      </c>
      <c r="S218" s="343" t="str">
        <f>IF(INDEX(tab_MinKomp[SYSTEM R2PŁATNIK PRO: zarządzanie pracownikami / Arbeitsverwaltung],MATCH($B217,tab_MinKomp[[Stanowisko / Position ]:[Stanowisko / Position ]],0))="n/a","n/a",S217-INDEX(tab_MinKomp[SYSTEM R2PŁATNIK PRO: zarządzanie pracownikami / Arbeitsverwaltung],MATCH($B217,tab_MinKomp[[Stanowisko / Position ]:[Stanowisko / Position ]],0)))</f>
        <v>n/a</v>
      </c>
      <c r="T218" s="343">
        <f>IF(INDEX(tab_MinKomp[Doradztwo, wsparcie personalne / Personalberatung und Unterstützung],MATCH($B217,tab_MinKomp[[Stanowisko / Position ]:[Stanowisko / Position ]],0))="n/a","n/a",T217-INDEX(tab_MinKomp[Doradztwo, wsparcie personalne / Personalberatung und Unterstützung],MATCH($B217,tab_MinKomp[[Stanowisko / Position ]:[Stanowisko / Position ]],0)))</f>
        <v>0</v>
      </c>
      <c r="U218" s="343" t="str">
        <f>IF(INDEX(tab_MinKomp[Przepisy o podatku VAT / MwSt.- Gesetz],MATCH($B217,tab_MinKomp[[Stanowisko / Position ]:[Stanowisko / Position ]],0))="n/a","n/a",U217-INDEX(tab_MinKomp[Przepisy o podatku VAT / MwSt.- Gesetz],MATCH($B217,tab_MinKomp[[Stanowisko / Position ]:[Stanowisko / Position ]],0)))</f>
        <v>n/a</v>
      </c>
      <c r="V218" s="343" t="str">
        <f>IF(INDEX(tab_MinKomp[PrzepisyPDOP / geschäftlich Einkommensteuergesetz],MATCH($B217,tab_MinKomp[[Stanowisko / Position ]:[Stanowisko / Position ]],0))="n/a","n/a",V217-INDEX(tab_MinKomp[PrzepisyPDOP / geschäftlich Einkommensteuergesetz],MATCH($B217,tab_MinKomp[[Stanowisko / Position ]:[Stanowisko / Position ]],0)))</f>
        <v>n/a</v>
      </c>
      <c r="W218" s="343" t="str">
        <f>IF(INDEX(tab_MinKomp[System BAAN / FINANSE (FIBU)],MATCH($B217,tab_MinKomp[[Stanowisko / Position ]:[Stanowisko / Position ]],0))="n/a","n/a",W217-INDEX(tab_MinKomp[System BAAN / FINANSE (FIBU)],MATCH($B217,tab_MinKomp[[Stanowisko / Position ]:[Stanowisko / Position ]],0)))</f>
        <v>n/a</v>
      </c>
      <c r="X218" s="343" t="str">
        <f>IF(INDEX(tab_MinKomp[Systemy pomocnicze / Hilfssysteme(STOCKPROGRAM, KALK2000 etc.)],MATCH($B217,tab_MinKomp[[Stanowisko / Position ]:[Stanowisko / Position ]],0))="n/a","n/a",X217-INDEX(tab_MinKomp[Systemy pomocnicze / Hilfssysteme(STOCKPROGRAM, KALK2000 etc.)],MATCH($B217,tab_MinKomp[[Stanowisko / Position ]:[Stanowisko / Position ]],0)))</f>
        <v>n/a</v>
      </c>
      <c r="Y218" s="343" t="str">
        <f>IF(INDEX(tab_MinKomp[Polityka rachunkowości / Buchführungspolitik],MATCH($B217,tab_MinKomp[[Stanowisko / Position ]:[Stanowisko / Position ]],0))="n/a","n/a",Y217-INDEX(tab_MinKomp[Polityka rachunkowości / Buchführungspolitik],MATCH($B217,tab_MinKomp[[Stanowisko / Position ]:[Stanowisko / Position ]],0)))</f>
        <v>n/a</v>
      </c>
      <c r="Z218" s="343" t="str">
        <f>IF(INDEX(tab_MinKomp[Ustawa o rachunkowości / Rechnungslegungsgesetz],MATCH($B217,tab_MinKomp[[Stanowisko / Position ]:[Stanowisko / Position ]],0))="n/a","n/a",Z217-INDEX(tab_MinKomp[Ustawa o rachunkowości / Rechnungslegungsgesetz],MATCH($B217,tab_MinKomp[[Stanowisko / Position ]:[Stanowisko / Position ]],0)))</f>
        <v>n/a</v>
      </c>
      <c r="AA218" s="343" t="str">
        <f>IF(INDEX(tab_MinKomp[WORKFLOW - TS-100],MATCH($B217,tab_MinKomp[[Stanowisko / Position ]:[Stanowisko / Position ]],0))="n/a","n/a",AA217-INDEX(tab_MinKomp[WORKFLOW - TS-100],MATCH($B217,tab_MinKomp[[Stanowisko / Position ]:[Stanowisko / Position ]],0)))</f>
        <v>n/a</v>
      </c>
      <c r="AB218" s="343" t="str">
        <f>IF(INDEX(tab_MinKomp[WORKFLOW - SFMS],MATCH($B217,tab_MinKomp[[Stanowisko / Position ]:[Stanowisko / Position ]],0))="n/a","n/a",AB217-INDEX(tab_MinKomp[WORKFLOW - SFMS],MATCH($B217,tab_MinKomp[[Stanowisko / Position ]:[Stanowisko / Position ]],0)))</f>
        <v>n/a</v>
      </c>
      <c r="AC218" s="343" t="str">
        <f>IF(INDEX(tab_MinKomp[System ISO 9001:2015],MATCH($B217,tab_MinKomp[[Stanowisko / Position ]:[Stanowisko / Position ]],0))="n/a","n/a",AC217-INDEX(tab_MinKomp[System ISO 9001:2015],MATCH($B217,tab_MinKomp[[Stanowisko / Position ]:[Stanowisko / Position ]],0)))</f>
        <v>n/a</v>
      </c>
      <c r="AD218" s="343" t="str">
        <f>IF(INDEX(tab_MinKomp[System IATF 16949:2016],MATCH($B217,tab_MinKomp[[Stanowisko / Position ]:[Stanowisko / Position ]],0))="n/a","n/a",AD217-INDEX(tab_MinKomp[System IATF 16949:2016],MATCH($B217,tab_MinKomp[[Stanowisko / Position ]:[Stanowisko / Position ]],0)))</f>
        <v>n/a</v>
      </c>
      <c r="AE218" s="343" t="str">
        <f>IF(INDEX(tab_MinKomp[System ISO 14001:2015],MATCH($B217,tab_MinKomp[[Stanowisko / Position ]:[Stanowisko / Position ]],0))="n/a","n/a",AE217-INDEX(tab_MinKomp[System ISO 14001:2015],MATCH($B217,tab_MinKomp[[Stanowisko / Position ]:[Stanowisko / Position ]],0)))</f>
        <v>n/a</v>
      </c>
      <c r="AF218" s="343" t="str">
        <f>IF(INDEX(tab_MinKomp[System PN-N 18001:2004 / ISO 45001:2018],MATCH($B217,tab_MinKomp[[Stanowisko / Position ]:[Stanowisko / Position ]],0))="n/a","n/a",AF217-INDEX(tab_MinKomp[System PN-N 18001:2004 / ISO 45001:2018],MATCH($B217,tab_MinKomp[[Stanowisko / Position ]:[Stanowisko / Position ]],0)))</f>
        <v>n/a</v>
      </c>
      <c r="AG218" s="343" t="str">
        <f>IF(INDEX(tab_MinKomp[Wymagania VDA 6.3 Process / Forderungen],MATCH($B217,tab_MinKomp[[Stanowisko / Position ]:[Stanowisko / Position ]],0))="n/a","n/a",AG217-INDEX(tab_MinKomp[Wymagania VDA 6.3 Process / Forderungen],MATCH($B217,tab_MinKomp[[Stanowisko / Position ]:[Stanowisko / Position ]],0)))</f>
        <v>n/a</v>
      </c>
      <c r="AH218" s="343" t="str">
        <f>IF(INDEX(tab_MinKomp[Wymagania VDA 6.5 Product / Forderungen],MATCH($B217,tab_MinKomp[[Stanowisko / Position ]:[Stanowisko / Position ]],0))="n/a","n/a",AH217-INDEX(tab_MinKomp[Wymagania VDA 6.5 Product / Forderungen],MATCH($B217,tab_MinKomp[[Stanowisko / Position ]:[Stanowisko / Position ]],0)))</f>
        <v>n/a</v>
      </c>
      <c r="AI218" s="343" t="str">
        <f>IF(INDEX(tab_MinKomp[PSCR (VW Product Safety &amp; Conformity Representative)],MATCH($B217,tab_MinKomp[[Stanowisko / Position ]:[Stanowisko / Position ]],0))="n/a","n/a",AI217-INDEX(tab_MinKomp[PSCR (VW Product Safety &amp; Conformity Representative)],MATCH($B217,tab_MinKomp[[Stanowisko / Position ]:[Stanowisko / Position ]],0)))</f>
        <v>n/a</v>
      </c>
      <c r="AJ218" s="343" t="str">
        <f>IF(INDEX(tab_MinKomp[Auditor systemu ISO 17025:2018],MATCH($B217,tab_MinKomp[[Stanowisko / Position ]:[Stanowisko / Position ]],0))="n/a","n/a",AJ217-INDEX(tab_MinKomp[Auditor systemu ISO 17025:2018],MATCH($B217,tab_MinKomp[[Stanowisko / Position ]:[Stanowisko / Position ]],0)))</f>
        <v>n/a</v>
      </c>
      <c r="AK218" s="343" t="str">
        <f>IF(INDEX(tab_MinKomp[Pełnomocnik systemu / Systemvertreter],MATCH($B217,tab_MinKomp[[Stanowisko / Position ]:[Stanowisko / Position ]],0))="n/a","n/a",AK217-INDEX(tab_MinKomp[Pełnomocnik systemu / Systemvertreter],MATCH($B217,tab_MinKomp[[Stanowisko / Position ]:[Stanowisko / Position ]],0)))</f>
        <v>n/a</v>
      </c>
      <c r="AL218" s="343" t="str">
        <f>IF(INDEX(tab_MinKomp[Polityka Etyczna - Compliance],MATCH($B217,tab_MinKomp[[Stanowisko / Position ]:[Stanowisko / Position ]],0))="n/a","n/a",AL217-INDEX(tab_MinKomp[Polityka Etyczna - Compliance],MATCH($B217,tab_MinKomp[[Stanowisko / Position ]:[Stanowisko / Position ]],0)))</f>
        <v>n/a</v>
      </c>
      <c r="AM218" s="343" t="str">
        <f>IF(INDEX(tab_MinKomp[WDRAŻANIE NOWYCH PROJEKTÓW/ PROCEDURA CTM],MATCH($B217,tab_MinKomp[[Stanowisko / Position ]:[Stanowisko / Position ]],0))="n/a","n/a",AM217-INDEX(tab_MinKomp[WDRAŻANIE NOWYCH PROJEKTÓW/ PROCEDURA CTM],MATCH($B217,tab_MinKomp[[Stanowisko / Position ]:[Stanowisko / Position ]],0)))</f>
        <v>n/a</v>
      </c>
      <c r="AN218" s="343" t="str">
        <f>IF(INDEX(tab_MinKomp[KAMIENIE MILOWE MSL/PIFF],MATCH($B217,tab_MinKomp[[Stanowisko / Position ]:[Stanowisko / Position ]],0))="n/a","n/a",AN217-INDEX(tab_MinKomp[KAMIENIE MILOWE MSL/PIFF],MATCH($B217,tab_MinKomp[[Stanowisko / Position ]:[Stanowisko / Position ]],0)))</f>
        <v>n/a</v>
      </c>
      <c r="AO218" s="343">
        <f>IF(INDEX(tab_MinKomp[CP],MATCH($B217,tab_MinKomp[[Stanowisko / Position ]:[Stanowisko / Position ]],0))="n/a","n/a",AO217-INDEX(tab_MinKomp[CP],MATCH($B217,tab_MinKomp[[Stanowisko / Position ]:[Stanowisko / Position ]],0)))</f>
        <v>0</v>
      </c>
      <c r="AP218" s="343" t="str">
        <f>IF(INDEX(tab_MinKomp[FMEA],MATCH($B217,tab_MinKomp[[Stanowisko / Position ]:[Stanowisko / Position ]],0))="n/a","n/a",AP217-INDEX(tab_MinKomp[FMEA],MATCH($B217,tab_MinKomp[[Stanowisko / Position ]:[Stanowisko / Position ]],0)))</f>
        <v>n/a</v>
      </c>
      <c r="AQ218" s="343">
        <f>IF(INDEX(tab_MinKomp[FLOW CHART],MATCH($B217,tab_MinKomp[[Stanowisko / Position ]:[Stanowisko / Position ]],0))="n/a","n/a",AQ217-INDEX(tab_MinKomp[FLOW CHART],MATCH($B217,tab_MinKomp[[Stanowisko / Position ]:[Stanowisko / Position ]],0)))</f>
        <v>0</v>
      </c>
      <c r="AR218" s="343" t="str">
        <f>IF(INDEX(tab_MinKomp[APQP],MATCH($B217,tab_MinKomp[[Stanowisko / Position ]:[Stanowisko / Position ]],0))="n/a","n/a",AR217-INDEX(tab_MinKomp[APQP],MATCH($B217,tab_MinKomp[[Stanowisko / Position ]:[Stanowisko / Position ]],0)))</f>
        <v>n/a</v>
      </c>
      <c r="AS218" s="343" t="str">
        <f>IF(INDEX(tab_MinKomp[MSA],MATCH($B217,tab_MinKomp[[Stanowisko / Position ]:[Stanowisko / Position ]],0))="n/a","n/a",AS217-INDEX(tab_MinKomp[MSA],MATCH($B217,tab_MinKomp[[Stanowisko / Position ]:[Stanowisko / Position ]],0)))</f>
        <v>n/a</v>
      </c>
      <c r="AT218" s="343" t="str">
        <f>IF(INDEX(tab_MinKomp[SPC],MATCH($B217,tab_MinKomp[[Stanowisko / Position ]:[Stanowisko / Position ]],0))="n/a","n/a",AT217-INDEX(tab_MinKomp[SPC],MATCH($B217,tab_MinKomp[[Stanowisko / Position ]:[Stanowisko / Position ]],0)))</f>
        <v>n/a</v>
      </c>
      <c r="AU218" s="343">
        <f>IF(INDEX(tab_MinKomp[CSR (SPECYFICZNE WYMAGANIA KLIENTA)],MATCH($B217,tab_MinKomp[[Stanowisko / Position ]:[Stanowisko / Position ]],0))="n/a","n/a",AU217-INDEX(tab_MinKomp[CSR (SPECYFICZNE WYMAGANIA KLIENTA)],MATCH($B217,tab_MinKomp[[Stanowisko / Position ]:[Stanowisko / Position ]],0)))</f>
        <v>0</v>
      </c>
      <c r="AV218" s="343">
        <f>IF(INDEX(tab_MinKomp[5S],MATCH($B217,tab_MinKomp[[Stanowisko / Position ]:[Stanowisko / Position ]],0))="n/a","n/a",AV217-INDEX(tab_MinKomp[5S],MATCH($B217,tab_MinKomp[[Stanowisko / Position ]:[Stanowisko / Position ]],0)))</f>
        <v>0</v>
      </c>
      <c r="AW218" s="343">
        <f>IF(INDEX(tab_MinKomp[LEAN MANAGEMENT],MATCH($B217,tab_MinKomp[[Stanowisko / Position ]:[Stanowisko / Position ]],0))="n/a","n/a",AW217-INDEX(tab_MinKomp[LEAN MANAGEMENT],MATCH($B217,tab_MinKomp[[Stanowisko / Position ]:[Stanowisko / Position ]],0)))</f>
        <v>0</v>
      </c>
      <c r="AX218" s="343" t="str">
        <f>IF(INDEX(tab_MinKomp[5R],MATCH($B217,tab_MinKomp[[Stanowisko / Position ]:[Stanowisko / Position ]],0))="n/a","n/a",AX217-INDEX(tab_MinKomp[5R],MATCH($B217,tab_MinKomp[[Stanowisko / Position ]:[Stanowisko / Position ]],0)))</f>
        <v>n/a</v>
      </c>
      <c r="AY218" s="343" t="str">
        <f>IF(INDEX(tab_MinKomp[Six Sigma],MATCH($B217,tab_MinKomp[[Stanowisko / Position ]:[Stanowisko / Position ]],0))="n/a","n/a",AY217-INDEX(tab_MinKomp[Six Sigma],MATCH($B217,tab_MinKomp[[Stanowisko / Position ]:[Stanowisko / Position ]],0)))</f>
        <v>n/a</v>
      </c>
      <c r="AZ218" s="343" t="str">
        <f>IF(INDEX(tab_MinKomp[System BAAN / Distribution &amp; Supply Chain],MATCH($B217,tab_MinKomp[[Stanowisko / Position ]:[Stanowisko / Position ]],0))="n/a","n/a",AZ217-INDEX(tab_MinKomp[System BAAN / Distribution &amp; Supply Chain],MATCH($B217,tab_MinKomp[[Stanowisko / Position ]:[Stanowisko / Position ]],0)))</f>
        <v>n/a</v>
      </c>
      <c r="BA218" s="343">
        <f>IF(INDEX(tab_MinKomp[Gospodarka magazynowa / Lagerverwaltung],MATCH($B217,tab_MinKomp[[Stanowisko / Position ]:[Stanowisko / Position ]],0))="n/a","n/a",BA217-INDEX(tab_MinKomp[Gospodarka magazynowa / Lagerverwaltung],MATCH($B217,tab_MinKomp[[Stanowisko / Position ]:[Stanowisko / Position ]],0)))</f>
        <v>0</v>
      </c>
      <c r="BB218" s="343">
        <f>IF(INDEX(tab_MinKomp[Inwentaryzacja - organizacja i przebieg / Inventurprozess],MATCH($B217,tab_MinKomp[[Stanowisko / Position ]:[Stanowisko / Position ]],0))="n/a","n/a",BB217-INDEX(tab_MinKomp[Inwentaryzacja - organizacja i przebieg / Inventurprozess],MATCH($B217,tab_MinKomp[[Stanowisko / Position ]:[Stanowisko / Position ]],0)))</f>
        <v>1</v>
      </c>
      <c r="BC218" s="343" t="str">
        <f>IF(INDEX(tab_MinKomp[Organizacja dostaw / Versorgungsorganisation],MATCH($B217,tab_MinKomp[[Stanowisko / Position ]:[Stanowisko / Position ]],0))="n/a","n/a",BC217-INDEX(tab_MinKomp[Organizacja dostaw / Versorgungsorganisation],MATCH($B217,tab_MinKomp[[Stanowisko / Position ]:[Stanowisko / Position ]],0)))</f>
        <v>n/a</v>
      </c>
      <c r="BD218" s="343" t="str">
        <f>IF(INDEX(tab_MinKomp[Organizacja wysyłek / Organisation von Lieferungen],MATCH($B217,tab_MinKomp[[Stanowisko / Position ]:[Stanowisko / Position ]],0))="n/a","n/a",BD217-INDEX(tab_MinKomp[Organizacja wysyłek / Organisation von Lieferungen],MATCH($B217,tab_MinKomp[[Stanowisko / Position ]:[Stanowisko / Position ]],0)))</f>
        <v>n/a</v>
      </c>
      <c r="BE218" s="343" t="str">
        <f>IF(INDEX(tab_MinKomp[Analiza magazynowa - Program Polen.mdb / Inventuranalyse],MATCH($B217,tab_MinKomp[[Stanowisko / Position ]:[Stanowisko / Position ]],0))="n/a","n/a",BE217-INDEX(tab_MinKomp[Analiza magazynowa - Program Polen.mdb / Inventuranalyse],MATCH($B217,tab_MinKomp[[Stanowisko / Position ]:[Stanowisko / Position ]],0)))</f>
        <v>n/a</v>
      </c>
      <c r="BF218" s="315" t="str">
        <f>IF(INDEX(tab_MinKomp[MMOG (Materials Management Operations Guidelines)],MATCH($B217,tab_MinKomp[[Stanowisko / Position ]:[Stanowisko / Position ]],0))="n/a","n/a",BF217-INDEX(tab_MinKomp[MMOG (Materials Management Operations Guidelines)],MATCH($B217,tab_MinKomp[[Stanowisko / Position ]:[Stanowisko / Position ]],0)))</f>
        <v>n/a</v>
      </c>
      <c r="BG218" s="315" t="str">
        <f>IF(INDEX(tab_MinKomp[GPP],MATCH($B217,tab_MinKomp[[Stanowisko / Position ]:[Stanowisko / Position ]],0))="n/a","n/a",BG217-INDEX(tab_MinKomp[GPP],MATCH($B217,tab_MinKomp[[Stanowisko / Position ]:[Stanowisko / Position ]],0)))</f>
        <v>n/a</v>
      </c>
      <c r="BH218" s="315" t="str">
        <f>IF(INDEX(tab_MinKomp[AIAG (Automotive Industry Action Group)],MATCH($B217,tab_MinKomp[[Stanowisko / Position ]:[Stanowisko / Position ]],0))="n/a","n/a",BH217-INDEX(tab_MinKomp[AIAG (Automotive Industry Action Group)],MATCH($B217,tab_MinKomp[[Stanowisko / Position ]:[Stanowisko / Position ]],0)))</f>
        <v>n/a</v>
      </c>
      <c r="BI218" s="315" t="str">
        <f>IF(INDEX(tab_MinKomp[Super-G disputes],MATCH($B217,tab_MinKomp[[Stanowisko / Position ]:[Stanowisko / Position ]],0))="n/a","n/a",BI217-INDEX(tab_MinKomp[Super-G disputes],MATCH($B217,tab_MinKomp[[Stanowisko / Position ]:[Stanowisko / Position ]],0)))</f>
        <v>n/a</v>
      </c>
      <c r="BJ218" s="315" t="str">
        <f>IF(INDEX(tab_MinKomp[CMMS3/eDDL (Direct Data Link)],MATCH($B217,tab_MinKomp[[Stanowisko / Position ]:[Stanowisko / Position ]],0))="n/a","n/a",BJ217-INDEX(tab_MinKomp[CMMS3/eDDL (Direct Data Link)],MATCH($B217,tab_MinKomp[[Stanowisko / Position ]:[Stanowisko / Position ]],0)))</f>
        <v>n/a</v>
      </c>
      <c r="BK218" s="315" t="str">
        <f>IF(INDEX(tab_MinKomp[MP&amp;L (Material Planning and Logistics)],MATCH($B217,tab_MinKomp[[Stanowisko / Position ]:[Stanowisko / Position ]],0))="n/a","n/a",BK217-INDEX(tab_MinKomp[MP&amp;L (Material Planning and Logistics)],MATCH($B217,tab_MinKomp[[Stanowisko / Position ]:[Stanowisko / Position ]],0)))</f>
        <v>n/a</v>
      </c>
      <c r="BL218" s="315" t="str">
        <f>IF(INDEX(tab_MinKomp[Supplier delivery rating],MATCH($B217,tab_MinKomp[[Stanowisko / Position ]:[Stanowisko / Position ]],0))="n/a","n/a",BL217-INDEX(tab_MinKomp[Supplier delivery rating],MATCH($B217,tab_MinKomp[[Stanowisko / Position ]:[Stanowisko / Position ]],0)))</f>
        <v>n/a</v>
      </c>
      <c r="BM218" s="343">
        <f>IF(INDEX(tab_MinKomp[Planowanie produkcji / Produktionsplanung],MATCH($B217,tab_MinKomp[[Stanowisko / Position ]:[Stanowisko / Position ]],0))="n/a","n/a",BM217-INDEX(tab_MinKomp[Planowanie produkcji / Produktionsplanung],MATCH($B217,tab_MinKomp[[Stanowisko / Position ]:[Stanowisko / Position ]],0)))</f>
        <v>-1</v>
      </c>
      <c r="BN218" s="343" t="str">
        <f>IF(INDEX(tab_MinKomp[Obsługa maszyn Engel / Engel Maschinenbedienung],MATCH($B217,tab_MinKomp[[Stanowisko / Position ]:[Stanowisko / Position ]],0))="n/a","n/a",BN217-INDEX(tab_MinKomp[Obsługa maszyn Engel / Engel Maschinenbedienung],MATCH($B217,tab_MinKomp[[Stanowisko / Position ]:[Stanowisko / Position ]],0)))</f>
        <v>n/a</v>
      </c>
      <c r="BO218" s="343" t="str">
        <f>IF(INDEX(tab_MinKomp[Obsługa maszyn KVT / KVT Maschinenbedienung],MATCH($B217,tab_MinKomp[[Stanowisko / Position ]:[Stanowisko / Position ]],0))="n/a","n/a",BO217-INDEX(tab_MinKomp[Obsługa maszyn KVT / KVT Maschinenbedienung],MATCH($B217,tab_MinKomp[[Stanowisko / Position ]:[Stanowisko / Position ]],0)))</f>
        <v>n/a</v>
      </c>
      <c r="BP218" s="343" t="str">
        <f>IF(INDEX(tab_MinKomp[Obsługa maszyn KVT / KVT Maschinenbedienung],MATCH($B217,tab_MinKomp[[Stanowisko / Position ]:[Stanowisko / Position ]],0))="n/a","n/a",BP217-INDEX(tab_MinKomp[Obsługa maszyn KVT / KVT Maschinenbedienung],MATCH($B217,tab_MinKomp[[Stanowisko / Position ]:[Stanowisko / Position ]],0)))</f>
        <v>n/a</v>
      </c>
      <c r="BQ218" s="343" t="str">
        <f>IF(INDEX(tab_MinKomp[Obsługa maszyn ASL / ASL Maschinenbedienung],MATCH($B217,tab_MinKomp[[Stanowisko / Position ]:[Stanowisko / Position ]],0))="n/a","n/a",BQ217-INDEX(tab_MinKomp[Obsługa maszyn ASL / ASL Maschinenbedienung],MATCH($B217,tab_MinKomp[[Stanowisko / Position ]:[Stanowisko / Position ]],0)))</f>
        <v>n/a</v>
      </c>
      <c r="BR218" s="343" t="str">
        <f>IF(INDEX(tab_MinKomp[Obsługa maszyn Branson / Branson Maschinenbedienung],MATCH($B217,tab_MinKomp[[Stanowisko / Position ]:[Stanowisko / Position ]],0))="n/a","n/a",BR217-INDEX(tab_MinKomp[Obsługa maszyn Branson / Branson Maschinenbedienung],MATCH($B217,tab_MinKomp[[Stanowisko / Position ]:[Stanowisko / Position ]],0)))</f>
        <v>n/a</v>
      </c>
      <c r="BS218" s="343">
        <f>IF(INDEX(tab_MinKomp[Obsługa maszyn Novapax / Novapax Maschinenbedienung],MATCH($B217,tab_MinKomp[[Stanowisko / Position ]:[Stanowisko / Position ]],0))="n/a","n/a",BS217-INDEX(tab_MinKomp[Obsługa maszyn Novapax / Novapax Maschinenbedienung],MATCH($B217,tab_MinKomp[[Stanowisko / Position ]:[Stanowisko / Position ]],0)))</f>
        <v>-2</v>
      </c>
      <c r="BT218" s="343" t="str">
        <f>IF(INDEX(tab_MinKomp[Obsługa maszyn Piovan / Piovan Maschinenbedienung],MATCH($B217,tab_MinKomp[[Stanowisko / Position ]:[Stanowisko / Position ]],0))="n/a","n/a",BT217-INDEX(tab_MinKomp[Obsługa maszyn Piovan / Piovan Maschinenbedienung],MATCH($B217,tab_MinKomp[[Stanowisko / Position ]:[Stanowisko / Position ]],0)))</f>
        <v>n/a</v>
      </c>
      <c r="BU218" s="343">
        <f>IF(INDEX(tab_MinKomp[Obsługa maszyn Novapax / Novapax Maschinenbedienung],MATCH($B217,tab_MinKomp[[Stanowisko / Position ]:[Stanowisko / Position ]],0))="n/a","n/a",BU217-INDEX(tab_MinKomp[Obsługa maszyn Novapax / Novapax Maschinenbedienung],MATCH($B217,tab_MinKomp[[Stanowisko / Position ]:[Stanowisko / Position ]],0)))</f>
        <v>-3</v>
      </c>
      <c r="BV218" s="343">
        <f>IF(INDEX(tab_MinKomp[Eliminacja awarii / Beseitigung von Ausfällen],MATCH($B217,tab_MinKomp[[Stanowisko / Position ]:[Stanowisko / Position ]],0))="n/a","n/a",BV217-INDEX(tab_MinKomp[Eliminacja awarii / Beseitigung von Ausfällen],MATCH($B217,tab_MinKomp[[Stanowisko / Position ]:[Stanowisko / Position ]],0)))</f>
        <v>-3</v>
      </c>
      <c r="BW218" s="343" t="str">
        <f>IF(INDEX(tab_MinKomp[Informatyka ogólna (techniczne i systemowe) / Allgemeine IT (Technik und System)],MATCH($B217,tab_MinKomp[[Stanowisko / Position ]:[Stanowisko / Position ]],0))="n/a","n/a",BW217-INDEX(tab_MinKomp[Informatyka ogólna (techniczne i systemowe) / Allgemeine IT (Technik und System)],MATCH($B217,tab_MinKomp[[Stanowisko / Position ]:[Stanowisko / Position ]],0)))</f>
        <v>n/a</v>
      </c>
      <c r="BX218" s="343" t="str">
        <f>IF(INDEX(tab_MinKomp[Sieci komputerowe / Computernetzwerke],MATCH($B217,tab_MinKomp[[Stanowisko / Position ]:[Stanowisko / Position ]],0))="n/a","n/a",BX217-INDEX(tab_MinKomp[Sieci komputerowe / Computernetzwerke],MATCH($B217,tab_MinKomp[[Stanowisko / Position ]:[Stanowisko / Position ]],0)))</f>
        <v>n/a</v>
      </c>
      <c r="BY218" s="343" t="str">
        <f>IF(INDEX(tab_MinKomp[Hardware (komputery PC, drukarki biurowe i etykietowe, telefonia stacjonarna i mobilna) (PC, Drucker, Telefpne, Handys)],MATCH($B217,tab_MinKomp[[Stanowisko / Position ]:[Stanowisko / Position ]],0))="n/a","n/a",BY217-INDEX(tab_MinKomp[Hardware (komputery PC, drukarki biurowe i etykietowe, telefonia stacjonarna i mobilna) (PC, Drucker, Telefpne, Handys)],MATCH($B217,tab_MinKomp[[Stanowisko / Position ]:[Stanowisko / Position ]],0)))</f>
        <v>n/a</v>
      </c>
      <c r="BZ218" s="343" t="str">
        <f>IF(INDEX(tab_MinKomp[Software &amp; Systems (MS Office, MS Remote Desktop)],MATCH($B217,tab_MinKomp[[Stanowisko / Position ]:[Stanowisko / Position ]],0))="n/a","n/a",BZ217-INDEX(tab_MinKomp[Software &amp; Systems (MS Office, MS Remote Desktop)],MATCH($B217,tab_MinKomp[[Stanowisko / Position ]:[Stanowisko / Position ]],0)))</f>
        <v>n/a</v>
      </c>
      <c r="CA218" s="343" t="str">
        <f>IF(INDEX(tab_MinKomp[Programowanie obiektowe (PHP) / Objektprogrammierung],MATCH($B217,tab_MinKomp[[Stanowisko / Position ]:[Stanowisko / Position ]],0))="n/a","n/a",CA217-INDEX(tab_MinKomp[Programowanie obiektowe (PHP) / Objektprogrammierung],MATCH($B217,tab_MinKomp[[Stanowisko / Position ]:[Stanowisko / Position ]],0)))</f>
        <v>n/a</v>
      </c>
      <c r="CB218" s="343" t="str">
        <f>IF(INDEX(tab_MinKomp[Scrum],MATCH($B217,tab_MinKomp[[Stanowisko / Position ]:[Stanowisko / Position ]],0))="n/a","n/a",CB217-INDEX(tab_MinKomp[Scrum],MATCH($B217,tab_MinKomp[[Stanowisko / Position ]:[Stanowisko / Position ]],0)))</f>
        <v>n/a</v>
      </c>
      <c r="CC218" s="343" t="str">
        <f>IF(INDEX(tab_MinKomp[SQL (MySQL)],MATCH($B217,tab_MinKomp[[Stanowisko / Position ]:[Stanowisko / Position ]],0))="n/a","n/a",CC217-INDEX(tab_MinKomp[SQL (MySQL)],MATCH($B217,tab_MinKomp[[Stanowisko / Position ]:[Stanowisko / Position ]],0)))</f>
        <v>n/a</v>
      </c>
      <c r="CD218" s="343" t="str">
        <f>IF(INDEX(tab_MinKomp[Javascript],MATCH($B217,tab_MinKomp[[Stanowisko / Position ]:[Stanowisko / Position ]],0))="n/a","n/a",CD217-INDEX(tab_MinKomp[Javascript],MATCH($B217,tab_MinKomp[[Stanowisko / Position ]:[Stanowisko / Position ]],0)))</f>
        <v>n/a</v>
      </c>
      <c r="CE218" s="343" t="str">
        <f>IF(INDEX(tab_MinKomp[Joomla],MATCH($B217,tab_MinKomp[[Stanowisko / Position ]:[Stanowisko / Position ]],0))="n/a","n/a",CE217-INDEX(tab_MinKomp[Joomla],MATCH($B217,tab_MinKomp[[Stanowisko / Position ]:[Stanowisko / Position ]],0)))</f>
        <v>n/a</v>
      </c>
      <c r="CF218" s="343" t="str">
        <f>IF(INDEX(tab_MinKomp[Bash],MATCH($B217,tab_MinKomp[[Stanowisko / Position ]:[Stanowisko / Position ]],0))="n/a","n/a",CF217-INDEX(tab_MinKomp[Bash],MATCH($B217,tab_MinKomp[[Stanowisko / Position ]:[Stanowisko / Position ]],0)))</f>
        <v>n/a</v>
      </c>
      <c r="CG218" s="343">
        <f>IF(INDEX(tab_MinKomp[Systemy MES (HYDRA / SFMS)],MATCH($B217,tab_MinKomp[[Stanowisko / Position ]:[Stanowisko / Position ]],0))="n/a","n/a",CG217-INDEX(tab_MinKomp[Systemy MES (HYDRA / SFMS)],MATCH($B217,tab_MinKomp[[Stanowisko / Position ]:[Stanowisko / Position ]],0)))</f>
        <v>0</v>
      </c>
      <c r="CH218" s="343" t="str">
        <f>IF(INDEX(tab_MinKomp[HTML / CSS],MATCH($B217,tab_MinKomp[[Stanowisko / Position ]:[Stanowisko / Position ]],0))="n/a","n/a",CH217-INDEX(tab_MinKomp[HTML / CSS],MATCH($B217,tab_MinKomp[[Stanowisko / Position ]:[Stanowisko / Position ]],0)))</f>
        <v>n/a</v>
      </c>
      <c r="CI218" s="343" t="str">
        <f>IF(INDEX(tab_MinKomp[SYSTEM PR],MATCH($B217,tab_MinKomp[[Stanowisko / Position ]:[Stanowisko / Position ]],0))="n/a","n/a",CI217-INDEX(tab_MinKomp[SYSTEM PR],MATCH($B217,tab_MinKomp[[Stanowisko / Position ]:[Stanowisko / Position ]],0)))</f>
        <v>n/a</v>
      </c>
      <c r="CJ218" s="343" t="str">
        <f>IF(INDEX(tab_MinKomp[System Einkauf XP / EBA],MATCH($B217,tab_MinKomp[[Stanowisko / Position ]:[Stanowisko / Position ]],0))="n/a","n/a",CJ217-INDEX(tab_MinKomp[System Einkauf XP / EBA],MATCH($B217,tab_MinKomp[[Stanowisko / Position ]:[Stanowisko / Position ]],0)))</f>
        <v>n/a</v>
      </c>
      <c r="CK218" s="343" t="str">
        <f>IF(INDEX(tab_MinKomp[Techniki negocjacyjne / Verhandlungstechniken],MATCH($B217,tab_MinKomp[[Stanowisko / Position ]:[Stanowisko / Position ]],0))="n/a","n/a",CK217-INDEX(tab_MinKomp[Techniki negocjacyjne / Verhandlungstechniken],MATCH($B217,tab_MinKomp[[Stanowisko / Position ]:[Stanowisko / Position ]],0)))</f>
        <v>n/a</v>
      </c>
      <c r="CL218" s="343" t="str">
        <f>IF(INDEX(tab_MinKomp[Znajomość rynku branżowego / Kenntnis des Industrie Marktes],MATCH($B217,tab_MinKomp[[Stanowisko / Position ]:[Stanowisko / Position ]],0))="n/a","n/a",CL217-INDEX(tab_MinKomp[Znajomość rynku branżowego / Kenntnis des Industrie Marktes],MATCH($B217,tab_MinKomp[[Stanowisko / Position ]:[Stanowisko / Position ]],0)))</f>
        <v>n/a</v>
      </c>
      <c r="CM218" s="343">
        <f>IF(INDEX(tab_MinKomp[RAPORTY 8D / 8D Berichten],MATCH($B217,tab_MinKomp[[Stanowisko / Position ]:[Stanowisko / Position ]],0))="n/a","n/a",CM217-INDEX(tab_MinKomp[RAPORTY 8D / 8D Berichten],MATCH($B217,tab_MinKomp[[Stanowisko / Position ]:[Stanowisko / Position ]],0)))</f>
        <v>0</v>
      </c>
      <c r="CN218" s="343">
        <f>IF(INDEX(tab_MinKomp[NARZĘDZIA JAKOŚCIOWE (5WHY, Ishikawa, etc) / QS-Werkzeuge],MATCH($B217,tab_MinKomp[[Stanowisko / Position ]:[Stanowisko / Position ]],0))="n/a","n/a",CN217-INDEX(tab_MinKomp[NARZĘDZIA JAKOŚCIOWE (5WHY, Ishikawa, etc) / QS-Werkzeuge],MATCH($B217,tab_MinKomp[[Stanowisko / Position ]:[Stanowisko / Position ]],0)))</f>
        <v>0</v>
      </c>
      <c r="CO218" s="343">
        <f>IF(INDEX(tab_MinKomp[PDCA],MATCH($B217,tab_MinKomp[[Stanowisko / Position ]:[Stanowisko / Position ]],0))="n/a","n/a",CO217-INDEX(tab_MinKomp[PDCA],MATCH($B217,tab_MinKomp[[Stanowisko / Position ]:[Stanowisko / Position ]],0)))</f>
        <v>0</v>
      </c>
      <c r="CP218" s="343">
        <f>IF(INDEX(tab_MinKomp[Pareto],MATCH($B217,tab_MinKomp[[Stanowisko / Position ]:[Stanowisko / Position ]],0))="n/a","n/a",CP217-INDEX(tab_MinKomp[Pareto],MATCH($B217,tab_MinKomp[[Stanowisko / Position ]:[Stanowisko / Position ]],0)))</f>
        <v>-1</v>
      </c>
      <c r="CQ218" s="343" t="str">
        <f>IF(INDEX(tab_MinKomp[PPAP/PSW],MATCH($B217,tab_MinKomp[[Stanowisko / Position ]:[Stanowisko / Position ]],0))="n/a","n/a",CQ217-INDEX(tab_MinKomp[PPAP/PSW],MATCH($B217,tab_MinKomp[[Stanowisko / Position ]:[Stanowisko / Position ]],0)))</f>
        <v>n/a</v>
      </c>
      <c r="CR218" s="343" t="str">
        <f>IF(INDEX(tab_MinKomp[SUPPLIER MANAGEMENT],MATCH($B217,tab_MinKomp[[Stanowisko / Position ]:[Stanowisko / Position ]],0))="n/a","n/a",CR217-INDEX(tab_MinKomp[SUPPLIER MANAGEMENT],MATCH($B217,tab_MinKomp[[Stanowisko / Position ]:[Stanowisko / Position ]],0)))</f>
        <v>n/a</v>
      </c>
      <c r="CS218" s="343" t="str">
        <f>IF(INDEX(tab_MinKomp[OBSŁUGA PORTALI KLIENTA / Kundenportale],MATCH($B217,tab_MinKomp[[Stanowisko / Position ]:[Stanowisko / Position ]],0))="n/a","n/a",CS217-INDEX(tab_MinKomp[OBSŁUGA PORTALI KLIENTA / Kundenportale],MATCH($B217,tab_MinKomp[[Stanowisko / Position ]:[Stanowisko / Position ]],0)))</f>
        <v>n/a</v>
      </c>
      <c r="CT218" s="343" t="str">
        <f>IF(INDEX(tab_MinKomp[Obsługa systemu BABTECQ / BABTECQ System],MATCH($B217,tab_MinKomp[[Stanowisko / Position ]:[Stanowisko / Position ]],0))="n/a","n/a",CT217-INDEX(tab_MinKomp[Obsługa systemu BABTECQ / BABTECQ System],MATCH($B217,tab_MinKomp[[Stanowisko / Position ]:[Stanowisko / Position ]],0)))</f>
        <v>n/a</v>
      </c>
      <c r="CU218" s="343" t="str">
        <f>IF(INDEX(tab_MinKomp[Rysunek techniczny / technische Zeichnung],MATCH($B217,tab_MinKomp[[Stanowisko / Position ]:[Stanowisko / Position ]],0))="n/a","n/a",CU217-INDEX(tab_MinKomp[Rysunek techniczny / technische Zeichnung],MATCH($B217,tab_MinKomp[[Stanowisko / Position ]:[Stanowisko / Position ]],0)))</f>
        <v>n/a</v>
      </c>
      <c r="CV218" s="343" t="str">
        <f>IF(INDEX(tab_MinKomp[Kalibracja / Kalibrierung],MATCH($B217,tab_MinKomp[[Stanowisko / Position ]:[Stanowisko / Position ]],0))="n/a","n/a",CV217-INDEX(tab_MinKomp[Kalibracja / Kalibrierung],MATCH($B217,tab_MinKomp[[Stanowisko / Position ]:[Stanowisko / Position ]],0)))</f>
        <v>n/a</v>
      </c>
      <c r="CW218" s="343" t="str">
        <f>IF(INDEX(tab_MinKomp[Rekwalifikacja / Requalifizierung],MATCH($B217,tab_MinKomp[[Stanowisko / Position ]:[Stanowisko / Position ]],0))="n/a","n/a",CW217-INDEX(tab_MinKomp[Rekwalifikacja / Requalifizierung],MATCH($B217,tab_MinKomp[[Stanowisko / Position ]:[Stanowisko / Position ]],0)))</f>
        <v>n/a</v>
      </c>
      <c r="CX218" s="315" t="s">
        <v>176</v>
      </c>
      <c r="CY218" s="315" t="s">
        <v>176</v>
      </c>
      <c r="CZ218" s="315" t="s">
        <v>176</v>
      </c>
      <c r="DA218" s="315" t="s">
        <v>176</v>
      </c>
      <c r="DB218" s="315" t="s">
        <v>176</v>
      </c>
      <c r="DC218" s="315" t="s">
        <v>176</v>
      </c>
      <c r="DD218" s="315" t="s">
        <v>176</v>
      </c>
      <c r="DE218" s="315" t="s">
        <v>176</v>
      </c>
      <c r="DF218" s="315" t="s">
        <v>176</v>
      </c>
      <c r="DG218" s="315" t="s">
        <v>176</v>
      </c>
      <c r="DH218" s="315" t="s">
        <v>176</v>
      </c>
      <c r="DI218" s="315" t="s">
        <v>176</v>
      </c>
      <c r="DJ218" s="315" t="s">
        <v>176</v>
      </c>
      <c r="DK218" s="315" t="s">
        <v>176</v>
      </c>
      <c r="DL218" s="315" t="s">
        <v>176</v>
      </c>
      <c r="DM218" s="315" t="s">
        <v>176</v>
      </c>
      <c r="DN218" s="315" t="s">
        <v>176</v>
      </c>
      <c r="DO218" s="315" t="s">
        <v>176</v>
      </c>
      <c r="DP218" s="315" t="s">
        <v>176</v>
      </c>
      <c r="DQ218" s="315" t="s">
        <v>176</v>
      </c>
      <c r="DR218" s="315" t="s">
        <v>176</v>
      </c>
      <c r="DS218" s="315" t="s">
        <v>176</v>
      </c>
      <c r="DT218" s="315" t="s">
        <v>176</v>
      </c>
      <c r="DU218" s="343" t="str">
        <f>IF(INDEX(tab_MinKomp[MSA i SPC],MATCH($B217,tab_MinKomp[[Stanowisko / Position ]:[Stanowisko / Position ]],0))="n/a","n/a",DU217-INDEX(tab_MinKomp[MSA i SPC],MATCH($B217,tab_MinKomp[[Stanowisko / Position ]:[Stanowisko / Position ]],0)))</f>
        <v>n/a</v>
      </c>
      <c r="DV218" s="343" t="str">
        <f>IF(INDEX(tab_MinKomp[Kontrola wejściowa komponentów/ Eingangskontrolle],MATCH($B217,tab_MinKomp[[Stanowisko / Position ]:[Stanowisko / Position ]],0))="n/a","n/a",DV217-INDEX(tab_MinKomp[Kontrola wejściowa komponentów/ Eingangskontrolle],MATCH($B217,tab_MinKomp[[Stanowisko / Position ]:[Stanowisko / Position ]],0)))</f>
        <v>n/a</v>
      </c>
      <c r="DW218" s="343" t="str">
        <f>IF(INDEX(tab_MinKomp[Kontrola wyjściowa produktu / Ausgangskontrolle],MATCH($B217,tab_MinKomp[[Stanowisko / Position ]:[Stanowisko / Position ]],0))="n/a","n/a",DW217-INDEX(tab_MinKomp[Kontrola wyjściowa produktu / Ausgangskontrolle],MATCH($B217,tab_MinKomp[[Stanowisko / Position ]:[Stanowisko / Position ]],0)))</f>
        <v>n/a</v>
      </c>
      <c r="DX218" s="343" t="str">
        <f>IF(INDEX(tab_MinKomp[Kontrola codzienna produkcji / Tägliche Produktionskontrolle],MATCH($B217,tab_MinKomp[[Stanowisko / Position ]:[Stanowisko / Position ]],0))="n/a","n/a",DX217-INDEX(tab_MinKomp[Kontrola codzienna produkcji / Tägliche Produktionskontrolle],MATCH($B217,tab_MinKomp[[Stanowisko / Position ]:[Stanowisko / Position ]],0)))</f>
        <v>n/a</v>
      </c>
      <c r="DY218" s="343" t="str">
        <f>IF(INDEX(tab_MinKomp[Konserwacja Rep],MATCH($B217,tab_MinKomp[[Stanowisko / Position ]:[Stanowisko / Position ]],0))="n/a","n/a",DY217-INDEX(tab_MinKomp[Konserwacja Rep],MATCH($B217,tab_MinKomp[[Stanowisko / Position ]:[Stanowisko / Position ]],0)))</f>
        <v>n/a</v>
      </c>
      <c r="DZ218" s="343" t="str">
        <f>IF(INDEX(tab_MinKomp[[Konserwacja Engel ]],MATCH($B217,tab_MinKomp[[Stanowisko / Position ]:[Stanowisko / Position ]],0))="n/a","n/a",DZ217-INDEX(tab_MinKomp[[Konserwacja Engel ]],MATCH($B217,tab_MinKomp[[Stanowisko / Position ]:[Stanowisko / Position ]],0)))</f>
        <v>n/a</v>
      </c>
      <c r="EA218" s="343" t="str">
        <f>IF(INDEX(tab_MinKomp[Konserwacja B 50],MATCH($B217,tab_MinKomp[[Stanowisko / Position ]:[Stanowisko / Position ]],0))="n/a","n/a",EA217-INDEX(tab_MinKomp[Konserwacja B 50],MATCH($B217,tab_MinKomp[[Stanowisko / Position ]:[Stanowisko / Position ]],0)))</f>
        <v>n/a</v>
      </c>
      <c r="EB218" s="343" t="str">
        <f>IF(INDEX(tab_MinKomp[[Konserwacja EOL ]],MATCH($B217,tab_MinKomp[[Stanowisko / Position ]:[Stanowisko / Position ]],0))="n/a","n/a",EB217-INDEX(tab_MinKomp[[Konserwacja EOL ]],MATCH($B217,tab_MinKomp[[Stanowisko / Position ]:[Stanowisko / Position ]],0)))</f>
        <v>n/a</v>
      </c>
      <c r="EC218" s="343" t="str">
        <f>IF(INDEX(tab_MinKomp[Konserwacja Branson],MATCH($B217,tab_MinKomp[[Stanowisko / Position ]:[Stanowisko / Position ]],0))="n/a","n/a",EC217-INDEX(tab_MinKomp[Konserwacja Branson],MATCH($B217,tab_MinKomp[[Stanowisko / Position ]:[Stanowisko / Position ]],0)))</f>
        <v>n/a</v>
      </c>
      <c r="ED218" s="343" t="str">
        <f>IF(INDEX(tab_MinKomp[Konserwacja coolery],MATCH($B217,tab_MinKomp[[Stanowisko / Position ]:[Stanowisko / Position ]],0))="n/a","n/a",ED217-INDEX(tab_MinKomp[Konserwacja coolery],MATCH($B217,tab_MinKomp[[Stanowisko / Position ]:[Stanowisko / Position ]],0)))</f>
        <v>n/a</v>
      </c>
      <c r="EE218" s="343" t="str">
        <f>IF(INDEX(tab_MinKomp[Konserwacja piecy],MATCH($B217,tab_MinKomp[[Stanowisko / Position ]:[Stanowisko / Position ]],0))="n/a","n/a",EE217-INDEX(tab_MinKomp[Konserwacja piecy],MATCH($B217,tab_MinKomp[[Stanowisko / Position ]:[Stanowisko / Position ]],0)))</f>
        <v>n/a</v>
      </c>
      <c r="EF218" s="343" t="str">
        <f>IF(INDEX(tab_MinKomp[Rysunek techniczny- czytanie],MATCH($B217,tab_MinKomp[[Stanowisko / Position ]:[Stanowisko / Position ]],0))="n/a","n/a",EF217-INDEX(tab_MinKomp[Rysunek techniczny- czytanie],MATCH($B217,tab_MinKomp[[Stanowisko / Position ]:[Stanowisko / Position ]],0)))</f>
        <v>n/a</v>
      </c>
      <c r="EG218" s="343" t="str">
        <f>IF(INDEX(tab_MinKomp[Elektryka],MATCH($B217,tab_MinKomp[[Stanowisko / Position ]:[Stanowisko / Position ]],0))="n/a","n/a",EG217-INDEX(tab_MinKomp[Elektryka],MATCH($B217,tab_MinKomp[[Stanowisko / Position ]:[Stanowisko / Position ]],0)))</f>
        <v>n/a</v>
      </c>
      <c r="EH218" s="343" t="str">
        <f>IF(INDEX(tab_MinKomp[Pneumatyka],MATCH($B217,tab_MinKomp[[Stanowisko / Position ]:[Stanowisko / Position ]],0))="n/a","n/a",EH217-INDEX(tab_MinKomp[Pneumatyka],MATCH($B217,tab_MinKomp[[Stanowisko / Position ]:[Stanowisko / Position ]],0)))</f>
        <v>n/a</v>
      </c>
      <c r="EI218" s="343" t="str">
        <f>IF(INDEX(tab_MinKomp[[Hydraulika ]],MATCH($B217,tab_MinKomp[[Stanowisko / Position ]:[Stanowisko / Position ]],0))="n/a","n/a",EI217-INDEX(tab_MinKomp[[Hydraulika ]],MATCH($B217,tab_MinKomp[[Stanowisko / Position ]:[Stanowisko / Position ]],0)))</f>
        <v>n/a</v>
      </c>
      <c r="EJ218" s="343" t="str">
        <f>IF(INDEX(tab_MinKomp[Podciśnienie],MATCH($B217,tab_MinKomp[[Stanowisko / Position ]:[Stanowisko / Position ]],0))="n/a","n/a",EJ217-INDEX(tab_MinKomp[Podciśnienie],MATCH($B217,tab_MinKomp[[Stanowisko / Position ]:[Stanowisko / Position ]],0)))</f>
        <v>n/a</v>
      </c>
      <c r="EK218" s="343" t="str">
        <f>IF(INDEX(tab_MinKomp[Usuwanie awarii],MATCH($B217,tab_MinKomp[[Stanowisko / Position ]:[Stanowisko / Position ]],0))="n/a","n/a",EK217-INDEX(tab_MinKomp[Usuwanie awarii],MATCH($B217,tab_MinKomp[[Stanowisko / Position ]:[Stanowisko / Position ]],0)))</f>
        <v>n/a</v>
      </c>
      <c r="EL218" s="343" t="str">
        <f>IF(INDEX(tab_MinKomp[Obsługa robotów],MATCH($B217,tab_MinKomp[[Stanowisko / Position ]:[Stanowisko / Position ]],0))="n/a","n/a",EL217-INDEX(tab_MinKomp[Obsługa robotów],MATCH($B217,tab_MinKomp[[Stanowisko / Position ]:[Stanowisko / Position ]],0)))</f>
        <v>n/a</v>
      </c>
      <c r="EM218" s="343" t="str">
        <f>IF(INDEX(tab_MinKomp[Obsługa sterowania maszyny],MATCH($B217,tab_MinKomp[[Stanowisko / Position ]:[Stanowisko / Position ]],0))="n/a","n/a",EM217-INDEX(tab_MinKomp[Obsługa sterowania maszyny],MATCH($B217,tab_MinKomp[[Stanowisko / Position ]:[Stanowisko / Position ]],0)))</f>
        <v>n/a</v>
      </c>
      <c r="EN218" s="343" t="str">
        <f>IF(INDEX(tab_MinKomp[Usuwanie przyczyn żródłowych],MATCH($B217,tab_MinKomp[[Stanowisko / Position ]:[Stanowisko / Position ]],0))="n/a","n/a",EN217-INDEX(tab_MinKomp[Usuwanie przyczyn żródłowych],MATCH($B217,tab_MinKomp[[Stanowisko / Position ]:[Stanowisko / Position ]],0)))</f>
        <v>n/a</v>
      </c>
      <c r="EO218" s="343" t="str">
        <f>IF(INDEX(tab_MinKomp[Cmms stosowanie],MATCH($B217,tab_MinKomp[[Stanowisko / Position ]:[Stanowisko / Position ]],0))="n/a","n/a",EO217-INDEX(tab_MinKomp[Cmms stosowanie],MATCH($B217,tab_MinKomp[[Stanowisko / Position ]:[Stanowisko / Position ]],0)))</f>
        <v>n/a</v>
      </c>
      <c r="EP218" s="343" t="str">
        <f>IF(INDEX(tab_MinKomp[[Czyszczenie form gumowych ]],MATCH($B217,tab_MinKomp[[Stanowisko / Position ]:[Stanowisko / Position ]],0))="n/a","n/a",EP217-INDEX(tab_MinKomp[[Czyszczenie form gumowych ]],MATCH($B217,tab_MinKomp[[Stanowisko / Position ]:[Stanowisko / Position ]],0)))</f>
        <v>n/a</v>
      </c>
      <c r="EQ218" s="343" t="str">
        <f>IF(INDEX(tab_MinKomp[Czyszczenie form plastikowych],MATCH($B217,tab_MinKomp[[Stanowisko / Position ]:[Stanowisko / Position ]],0))="n/a","n/a",EQ217-INDEX(tab_MinKomp[Czyszczenie form plastikowych],MATCH($B217,tab_MinKomp[[Stanowisko / Position ]:[Stanowisko / Position ]],0)))</f>
        <v>n/a</v>
      </c>
      <c r="ER218" s="343" t="str">
        <f>IF(INDEX(tab_MinKomp[Wymiana form plastik],MATCH($B217,tab_MinKomp[[Stanowisko / Position ]:[Stanowisko / Position ]],0))="n/a","n/a",ER217-INDEX(tab_MinKomp[Wymiana form plastik],MATCH($B217,tab_MinKomp[[Stanowisko / Position ]:[Stanowisko / Position ]],0)))</f>
        <v>n/a</v>
      </c>
      <c r="ES218" s="343" t="str">
        <f>IF(INDEX(tab_MinKomp[Wymiana form guma],MATCH($B217,tab_MinKomp[[Stanowisko / Position ]:[Stanowisko / Position ]],0))="n/a","n/a",ES217-INDEX(tab_MinKomp[Wymiana form guma],MATCH($B217,tab_MinKomp[[Stanowisko / Position ]:[Stanowisko / Position ]],0)))</f>
        <v>n/a</v>
      </c>
      <c r="ET218" s="343" t="str">
        <f>IF(INDEX(tab_MinKomp[Konserwacja KK],MATCH($B217,tab_MinKomp[[Stanowisko / Position ]:[Stanowisko / Position ]],0))="n/a","n/a",ET217-INDEX(tab_MinKomp[Konserwacja KK],MATCH($B217,tab_MinKomp[[Stanowisko / Position ]:[Stanowisko / Position ]],0)))</f>
        <v>n/a</v>
      </c>
      <c r="EU218" s="343" t="str">
        <f>IF(INDEX(tab_MinKomp[Konserwacja form guma],MATCH($B217,tab_MinKomp[[Stanowisko / Position ]:[Stanowisko / Position ]],0))="n/a","n/a",EU217-INDEX(tab_MinKomp[Konserwacja form guma],MATCH($B217,tab_MinKomp[[Stanowisko / Position ]:[Stanowisko / Position ]],0)))</f>
        <v>n/a</v>
      </c>
      <c r="EV218" s="343" t="str">
        <f>IF(INDEX(tab_MinKomp[Konserwacja form plastiki],MATCH($B217,tab_MinKomp[[Stanowisko / Position ]:[Stanowisko / Position ]],0))="n/a","n/a",EV217-INDEX(tab_MinKomp[Konserwacja form plastiki],MATCH($B217,tab_MinKomp[[Stanowisko / Position ]:[Stanowisko / Position ]],0)))</f>
        <v>n/a</v>
      </c>
      <c r="EW218" s="330" t="str">
        <f>IF(INDEX(tab_MinKomp[Konserwacja form plastiki],MATCH($B217,tab_MinKomp[[Stanowisko / Position ]:[Stanowisko / Position ]],0))="n/a","n/a",EW217-INDEX(tab_MinKomp[Konserwacja form plastiki],MATCH($B217,tab_MinKomp[[Stanowisko / Position ]:[Stanowisko / Position ]],0)))</f>
        <v>n/a</v>
      </c>
      <c r="EX218" s="343" t="str">
        <f>IF(INDEX(tab_MinKomp[Konserwacja Gorącego Kanału],MATCH($B217,tab_MinKomp[[Stanowisko / Position ]:[Stanowisko / Position ]],0))="n/a","n/a",EX217-INDEX(tab_MinKomp[Konserwacja Gorącego Kanału],MATCH($B217,tab_MinKomp[[Stanowisko / Position ]:[Stanowisko / Position ]],0)))</f>
        <v>n/a</v>
      </c>
      <c r="EY218" s="343">
        <f>IF(INDEX(tab_MinKomp[MS Office (Excel)],MATCH($B217,tab_MinKomp[[Stanowisko / Position ]:[Stanowisko / Position ]],0))="n/a","n/a",EY217-INDEX(tab_MinKomp[MS Office (Excel)],MATCH($B217,tab_MinKomp[[Stanowisko / Position ]:[Stanowisko / Position ]],0)))</f>
        <v>1</v>
      </c>
      <c r="EZ218" s="343">
        <f>IF(INDEX(tab_MinKomp[MS Office (Word)],MATCH($B217,tab_MinKomp[[Stanowisko / Position ]:[Stanowisko / Position ]],0))="n/a","n/a",EZ217-INDEX(tab_MinKomp[MS Office (Word)],MATCH($B217,tab_MinKomp[[Stanowisko / Position ]:[Stanowisko / Position ]],0)))</f>
        <v>1</v>
      </c>
      <c r="FA218" s="343">
        <f>IF(INDEX(tab_MinKomp[MS Office (Power Point)],MATCH($B217,tab_MinKomp[[Stanowisko / Position ]:[Stanowisko / Position ]],0))="n/a","n/a",FA217-INDEX(tab_MinKomp[MS Office (Power Point)],MATCH($B217,tab_MinKomp[[Stanowisko / Position ]:[Stanowisko / Position ]],0)))</f>
        <v>1</v>
      </c>
      <c r="FB218" s="343" t="str">
        <f>IF(INDEX(tab_MinKomp[Język angielski / Englisch],MATCH($B217,tab_MinKomp[[Stanowisko / Position ]:[Stanowisko / Position ]],0))="n/a","n/a",FB217-INDEX(tab_MinKomp[Język angielski / Englisch],MATCH($B217,tab_MinKomp[[Stanowisko / Position ]:[Stanowisko / Position ]],0)))</f>
        <v>n/a</v>
      </c>
      <c r="FC218" s="343" t="str">
        <f>IF(INDEX(tab_MinKomp[Język niemiecki / Deutsch],MATCH($B217,tab_MinKomp[[Stanowisko / Position ]:[Stanowisko / Position ]],0))="n/a","n/a",FC217-INDEX(tab_MinKomp[Język niemiecki / Deutsch],MATCH($B217,tab_MinKomp[[Stanowisko / Position ]:[Stanowisko / Position ]],0)))</f>
        <v>n/a</v>
      </c>
      <c r="FD218" s="343">
        <f>IF(INDEX(tab_MinKomp[Zarządzanie dokumentacją procesową / Process dokumentation management],MATCH($B217,tab_MinKomp[[Stanowisko / Position ]:[Stanowisko / Position ]],0))="n/a","n/a",FD217-INDEX(tab_MinKomp[Zarządzanie dokumentacją procesową / Process dokumentation management],MATCH($B217,tab_MinKomp[[Stanowisko / Position ]:[Stanowisko / Position ]],0)))</f>
        <v>0</v>
      </c>
      <c r="FE218" s="343">
        <f>IF(INDEX(tab_MinKomp[Znajomość procesów z obszaru / Kenntiss der prozesse in dem Bereich],MATCH($B217,tab_MinKomp[[Stanowisko / Position ]:[Stanowisko / Position ]],0))="n/a","n/a",FE217-INDEX(tab_MinKomp[Znajomość procesów z obszaru / Kenntiss der prozesse in dem Bereich],MATCH($B217,tab_MinKomp[[Stanowisko / Position ]:[Stanowisko / Position ]],0)))</f>
        <v>0</v>
      </c>
      <c r="FF218" s="343">
        <f>IF(INDEX(tab_MinKomp[optymalizacja procesów / Prozessoptymalisierung],MATCH($B217,tab_MinKomp[[Stanowisko / Position ]:[Stanowisko / Position ]],0))="n/a","n/a",FF217-INDEX(tab_MinKomp[optymalizacja procesów / Prozessoptymalisierung],MATCH($B217,tab_MinKomp[[Stanowisko / Position ]:[Stanowisko / Position ]],0)))</f>
        <v>-1</v>
      </c>
      <c r="FG218" s="343">
        <f>IF(INDEX(tab_MinKomp[Umiejętności szkoleniowe / Trainingsfähigkeiten],MATCH($B217,tab_MinKomp[[Stanowisko / Position ]:[Stanowisko / Position ]],0))="n/a","n/a",FG217-INDEX(tab_MinKomp[Umiejętności szkoleniowe / Trainingsfähigkeiten],MATCH($B217,tab_MinKomp[[Stanowisko / Position ]:[Stanowisko / Position ]],0)))</f>
        <v>0</v>
      </c>
      <c r="FH218" s="343">
        <f>IF(INDEX(tab_MinKomp[Analityczne myślenie, podejście / Analitysches Denken, Einstellung],MATCH($B217,tab_MinKomp[[Stanowisko / Position ]:[Stanowisko / Position ]],0))="n/a","n/a",FH217-INDEX(tab_MinKomp[Analityczne myślenie, podejście / Analitysches Denken, Einstellung],MATCH($B217,tab_MinKomp[[Stanowisko / Position ]:[Stanowisko / Position ]],0)))</f>
        <v>0</v>
      </c>
      <c r="FI218" s="343">
        <f>IF(INDEX(tab_MinKomp[Dokładność, precyzja w dzialaniu / Genauigkeit, Präzision in die Arbeit],MATCH($B217,tab_MinKomp[[Stanowisko / Position ]:[Stanowisko / Position ]],0))="n/a","n/a",FI217-INDEX(tab_MinKomp[Dokładność, precyzja w dzialaniu / Genauigkeit, Präzision in die Arbeit],MATCH($B217,tab_MinKomp[[Stanowisko / Position ]:[Stanowisko / Position ]],0)))</f>
        <v>0</v>
      </c>
      <c r="FJ218" s="343">
        <f>IF(INDEX(tab_MinKomp[Dyspozycyjność / Verfügbarkeit],MATCH($B217,tab_MinKomp[[Stanowisko / Position ]:[Stanowisko / Position ]],0))="n/a","n/a",FJ217-INDEX(tab_MinKomp[Dyspozycyjność / Verfügbarkeit],MATCH($B217,tab_MinKomp[[Stanowisko / Position ]:[Stanowisko / Position ]],0)))</f>
        <v>0</v>
      </c>
      <c r="FK218" s="343">
        <f>IF(INDEX(tab_MinKomp[Zaangażowanie / 
Engagement],MATCH($B217,tab_MinKomp[[Stanowisko / Position ]:[Stanowisko / Position ]],0))="n/a","n/a",FK217-INDEX(tab_MinKomp[Zaangażowanie / 
Engagement],MATCH($B217,tab_MinKomp[[Stanowisko / Position ]:[Stanowisko / Position ]],0)))</f>
        <v>0</v>
      </c>
      <c r="FL218" s="343">
        <f>IF(INDEX(tab_MinKomp[Planowanie strategiczne / Strategische Planung],MATCH($B217,tab_MinKomp[[Stanowisko / Position ]:[Stanowisko / Position ]],0))="n/a","n/a",FL217-INDEX(tab_MinKomp[Planowanie strategiczne / Strategische Planung],MATCH($B217,tab_MinKomp[[Stanowisko / Position ]:[Stanowisko / Position ]],0)))</f>
        <v>0</v>
      </c>
      <c r="FM218" s="343">
        <f>IF(INDEX(tab_MinKomp[Konsekwentne i dynamiczne działanie],MATCH($B217,tab_MinKomp[[Stanowisko / Position ]:[Stanowisko / Position ]],0))="n/a","n/a",FM217-INDEX(tab_MinKomp[Konsekwentne i dynamiczne działanie],MATCH($B217,tab_MinKomp[[Stanowisko / Position ]:[Stanowisko / Position ]],0)))</f>
        <v>0</v>
      </c>
      <c r="FN218" s="343">
        <f>IF(INDEX(tab_MinKomp[Elastyczność w działaniu],MATCH($B217,tab_MinKomp[[Stanowisko / Position ]:[Stanowisko / Position ]],0))="n/a","n/a",FN217-INDEX(tab_MinKomp[Elastyczność w działaniu],MATCH($B217,tab_MinKomp[[Stanowisko / Position ]:[Stanowisko / Position ]],0)))</f>
        <v>0</v>
      </c>
      <c r="FO218" s="343">
        <f>IF(INDEX(tab_MinKomp[Komunikatywność],MATCH($B217,tab_MinKomp[[Stanowisko / Position ]:[Stanowisko / Position ]],0))="n/a","n/a",FO217-INDEX(tab_MinKomp[Komunikatywność],MATCH($B217,tab_MinKomp[[Stanowisko / Position ]:[Stanowisko / Position ]],0)))</f>
        <v>0</v>
      </c>
      <c r="FP218" s="342">
        <f>IF(INDEX(tab_MinKomp[Motywowanie i budowanie zaangażowania zespołu],MATCH($B217,tab_MinKomp[[Stanowisko / Position ]:[Stanowisko / Position ]],0))="n/a","n/a",FP217-INDEX(tab_MinKomp[Motywowanie i budowanie zaangażowania zespołu],MATCH($B217,tab_MinKomp[[Stanowisko / Position ]:[Stanowisko / Position ]],0)))</f>
        <v>-1</v>
      </c>
      <c r="FQ218" s="346" t="str">
        <f>IFERROR(IF(INDEX(tab_MinKomp[BRAK / Keine],MATCH($B217,tab_MinKomp[[Stanowisko / Position ]:[Stanowisko / Position ]],0))="n/a","n/a",INDEX(tab_MinKomp[BRAK / Keine],MATCH($B217,tab_MinKomp[[Stanowisko / Position ]:[Stanowisko / Position ]],0))-FQ217),"")</f>
        <v>n/a</v>
      </c>
      <c r="FR218" s="343" t="str">
        <f>IF(INDEX(tab_MinKomp[MINIMUM 1 ROK / min. 1 Jahr],MATCH($B217,tab_MinKomp[[Stanowisko / Position ]:[Stanowisko / Position ]],0))="n/a","n/a",INDEX(tab_MinKomp[MINIMUM 1 ROK / min. 1 Jahr],MATCH($B217,tab_MinKomp[[Stanowisko / Position ]:[Stanowisko / Position ]],0)))</f>
        <v>x</v>
      </c>
      <c r="FS218" s="343" t="str">
        <f>IF(INDEX(tab_MinKomp[MINIMUM 2 LATA / min. 2 Jahre],MATCH($B217,tab_MinKomp[[Stanowisko / Position ]:[Stanowisko / Position ]],0))="n/a","n/a",INDEX(tab_MinKomp[MINIMUM 2 LATA / min. 2 Jahre],MATCH($B217,tab_MinKomp[[Stanowisko / Position ]:[Stanowisko / Position ]],0)))</f>
        <v>n/a</v>
      </c>
      <c r="FT218" s="343" t="str">
        <f>IF(INDEX(tab_MinKomp[MINIMUM 3 LATA / min. 3 Jahre],MATCH($B217,tab_MinKomp[[Stanowisko / Position ]:[Stanowisko / Position ]],0))="n/a","n/a",INDEX(tab_MinKomp[MINIMUM 3 LATA / min. 3 Jahre],MATCH($B217,tab_MinKomp[[Stanowisko / Position ]:[Stanowisko / Position ]],0)))</f>
        <v>n/a</v>
      </c>
      <c r="FU218" s="343" t="str">
        <f>IF(INDEX(tab_MinKomp[MINIMUM 4 LATA / min. 4 Jahre],MATCH($B217,tab_MinKomp[[Stanowisko / Position ]:[Stanowisko / Position ]],0))="n/a","n/a",INDEX(tab_MinKomp[MINIMUM 4 LATA / min. 4 Jahre],MATCH($B217,tab_MinKomp[[Stanowisko / Position ]:[Stanowisko / Position ]],0)))</f>
        <v>n/a</v>
      </c>
      <c r="FV218" s="347" t="str">
        <f>IF(INDEX(tab_MinKomp[MINIMUM 5 LAT / min. 5 Jahre],MATCH($B217,tab_MinKomp[[Stanowisko / Position ]:[Stanowisko / Position ]],0))="n/a","n/a",INDEX(tab_MinKomp[MINIMUM 5 LAT / min. 5 Jahre],MATCH($B217,tab_MinKomp[[Stanowisko / Position ]:[Stanowisko / Position ]],0)))</f>
        <v>n/a</v>
      </c>
      <c r="FW218" s="346" t="str">
        <f>IF(INDEX(tab_MinKomp[BRAK / Keine9],MATCH($B217,tab_MinKomp[[Stanowisko / Position ]:[Stanowisko / Position ]],0))="n/a","n/a",INDEX(tab_MinKomp[BRAK / Keine9],MATCH($B217,tab_MinKomp[[Stanowisko / Position ]:[Stanowisko / Position ]],0)))</f>
        <v>n/a</v>
      </c>
      <c r="FX218" s="343" t="str">
        <f>IF(INDEX(tab_MinKomp[ZAWODOWE / Berufsausbildung],MATCH($B217,tab_MinKomp[[Stanowisko / Position ]:[Stanowisko / Position ]],0))="n/a","n/a",INDEX(tab_MinKomp[ZAWODOWE / Berufsausbildung],MATCH($B217,tab_MinKomp[[Stanowisko / Position ]:[Stanowisko / Position ]],0)))</f>
        <v>x</v>
      </c>
      <c r="FY218" s="343" t="str">
        <f>IF(INDEX(tab_MinKomp[ŚREDNIE OGÓLNE / Abitur allgemeine],MATCH($B217,tab_MinKomp[[Stanowisko / Position ]:[Stanowisko / Position ]],0))="n/a","n/a",INDEX(tab_MinKomp[ŚREDNIE OGÓLNE / Abitur allgemeine],MATCH($B217,tab_MinKomp[[Stanowisko / Position ]:[Stanowisko / Position ]],0)))</f>
        <v>n/a</v>
      </c>
      <c r="FZ218" s="343" t="str">
        <f>IF(INDEX(tab_MinKomp[ŚREDNIE KIERUNKOWE / berufliches Gymnasium],MATCH($B217,tab_MinKomp[[Stanowisko / Position ]:[Stanowisko / Position ]],0))="n/a","n/a",INDEX(tab_MinKomp[ŚREDNIE KIERUNKOWE / berufliches Gymnasium],MATCH($B217,tab_MinKomp[[Stanowisko / Position ]:[Stanowisko / Position ]],0)))</f>
        <v>n/a</v>
      </c>
      <c r="GA218" s="343" t="str">
        <f>IF(INDEX(tab_MinKomp[WYŻSZE OGÓLNE / Hochschule allgemeine],MATCH($B217,tab_MinKomp[[Stanowisko / Position ]:[Stanowisko / Position ]],0))="n/a","n/a",INDEX(tab_MinKomp[WYŻSZE OGÓLNE / Hochschule allgemeine],MATCH($B217,tab_MinKomp[[Stanowisko / Position ]:[Stanowisko / Position ]],0)))</f>
        <v>n/a</v>
      </c>
      <c r="GB218" s="347" t="str">
        <f>IF(INDEX(tab_MinKomp[WYŻSZE KIERUNKOWE / Hochschule berufliche],MATCH($B217,tab_MinKomp[[Stanowisko / Position ]:[Stanowisko / Position ]],0))="n/a","n/a",INDEX(tab_MinKomp[WYŻSZE KIERUNKOWE / Hochschule berufliche],MATCH($B217,tab_MinKomp[[Stanowisko / Position ]:[Stanowisko / Position ]],0)))</f>
        <v>n/a</v>
      </c>
      <c r="GC218" s="346" t="str">
        <f>IF(INDEX(tab_MinKomp[PIERWSZA POMOC / Erste Hilfe],MATCH($B217,tab_MinKomp[[Stanowisko / Position ]:[Stanowisko / Position ]],0))="n/a","n/a",INDEX(tab_MinKomp[PIERWSZA POMOC / Erste Hilfe],MATCH($B217,tab_MinKomp[[Stanowisko / Position ]:[Stanowisko / Position ]],0)))</f>
        <v>x</v>
      </c>
      <c r="GD218" s="343" t="str">
        <f>IF(INDEX(tab_MinKomp[Specjalista BHP / BHP Spezialist],MATCH($B217,tab_MinKomp[[Stanowisko / Position ]:[Stanowisko / Position ]],0))="n/a","n/a",INDEX(tab_MinKomp[Specjalista BHP / BHP Spezialist],MATCH($B217,tab_MinKomp[[Stanowisko / Position ]:[Stanowisko / Position ]],0)))</f>
        <v>n/a</v>
      </c>
      <c r="GE218" s="343" t="str">
        <f>IF(INDEX(tab_MinKomp[Inspektor ochrony PPOŻ / Brandschutzinspektor],MATCH($B217,tab_MinKomp[[Stanowisko / Position ]:[Stanowisko / Position ]],0))="n/a","n/a",INDEX(tab_MinKomp[Inspektor ochrony PPOŻ / Brandschutzinspektor],MATCH($B217,tab_MinKomp[[Stanowisko / Position ]:[Stanowisko / Position ]],0)))</f>
        <v>n/a</v>
      </c>
      <c r="GF218" s="343" t="str">
        <f>IF(INDEX(tab_MinKomp[WÓZKI JEZDNIOWE / Gebelstapler],MATCH($B217,tab_MinKomp[[Stanowisko / Position ]:[Stanowisko / Position ]],0))="n/a","n/a",INDEX(tab_MinKomp[WÓZKI JEZDNIOWE / Gebelstapler],MATCH($B217,tab_MinKomp[[Stanowisko / Position ]:[Stanowisko / Position ]],0)))</f>
        <v>x</v>
      </c>
      <c r="GG218" s="343" t="str">
        <f>IF(INDEX(tab_MinKomp[SEP],MATCH($B217,tab_MinKomp[[Stanowisko / Position ]:[Stanowisko / Position ]],0))="n/a","n/a",INDEX(tab_MinKomp[SEP],MATCH($B217,tab_MinKomp[[Stanowisko / Position ]:[Stanowisko / Position ]],0)))</f>
        <v>n/a</v>
      </c>
      <c r="GH218" s="343" t="str">
        <f>IF(INDEX(tab_MinKomp[SEP  DOZÓR / SEP Aufsicht],MATCH($B217,tab_MinKomp[[Stanowisko / Position ]:[Stanowisko / Position ]],0))="n/a","n/a",INDEX(tab_MinKomp[SEP  DOZÓR / SEP Aufsicht],MATCH($B217,tab_MinKomp[[Stanowisko / Position ]:[Stanowisko / Position ]],0)))</f>
        <v>n/a</v>
      </c>
      <c r="GI218" s="343" t="str">
        <f>IF(INDEX(tab_MinKomp[PODNOŚNIKI / Hebevorrichtung],MATCH($B217,tab_MinKomp[[Stanowisko / Position ]:[Stanowisko / Position ]],0))="n/a","n/a",INDEX(tab_MinKomp[PODNOŚNIKI / Hebevorrichtung],MATCH($B217,tab_MinKomp[[Stanowisko / Position ]:[Stanowisko / Position ]],0)))</f>
        <v>n/a</v>
      </c>
      <c r="GJ218" s="343" t="str">
        <f>IF(INDEX(tab_MinKomp[SUWNICE / Laufkran],MATCH($B217,tab_MinKomp[[Stanowisko / Position ]:[Stanowisko / Position ]],0))="n/a","n/a",INDEX(tab_MinKomp[SUWNICE / Laufkran],MATCH($B217,tab_MinKomp[[Stanowisko / Position ]:[Stanowisko / Position ]],0)))</f>
        <v>n/a</v>
      </c>
      <c r="GK218" s="347" t="str">
        <f>IF(INDEX(tab_MinKomp[WYSOKOŚCIOWE / Höhenberechtigungen],MATCH($B217,tab_MinKomp[[Stanowisko / Position ]:[Stanowisko / Position ]],0))="n/a","n/a",INDEX(tab_MinKomp[WYSOKOŚCIOWE / Höhenberechtigungen],MATCH($B217,tab_MinKomp[[Stanowisko / Position ]:[Stanowisko / Position ]],0)))</f>
        <v>n/a</v>
      </c>
      <c r="GL218" s="320">
        <f>SUM(G218:FP218)/(GL217-(SUM(G218:FP218)))</f>
        <v>-0.1111111111111111</v>
      </c>
    </row>
    <row r="219" spans="1:195" ht="36.75" customHeight="1" x14ac:dyDescent="0.25">
      <c r="A219" s="135" t="s">
        <v>186</v>
      </c>
      <c r="B219" s="135" t="s">
        <v>581</v>
      </c>
      <c r="C219" s="135" t="s">
        <v>672</v>
      </c>
      <c r="D219" s="135">
        <v>122</v>
      </c>
      <c r="E219" s="565" t="s">
        <v>232</v>
      </c>
      <c r="F219" s="307" t="s">
        <v>165</v>
      </c>
      <c r="G219" s="308">
        <v>2</v>
      </c>
      <c r="H219" s="308">
        <v>2</v>
      </c>
      <c r="I219" s="308">
        <v>1</v>
      </c>
      <c r="J219" s="308">
        <v>1</v>
      </c>
      <c r="K219" s="308">
        <v>1</v>
      </c>
      <c r="L219" s="308">
        <v>1</v>
      </c>
      <c r="M219" s="308" t="s">
        <v>176</v>
      </c>
      <c r="N219" s="308" t="s">
        <v>176</v>
      </c>
      <c r="O219" s="308">
        <v>1</v>
      </c>
      <c r="P219" s="308">
        <v>1</v>
      </c>
      <c r="Q219" s="308" t="s">
        <v>176</v>
      </c>
      <c r="R219" s="308" t="s">
        <v>176</v>
      </c>
      <c r="S219" s="308" t="s">
        <v>176</v>
      </c>
      <c r="T219" s="308">
        <v>2</v>
      </c>
      <c r="U219" s="308" t="s">
        <v>176</v>
      </c>
      <c r="V219" s="308" t="s">
        <v>176</v>
      </c>
      <c r="W219" s="308" t="s">
        <v>176</v>
      </c>
      <c r="X219" s="308" t="s">
        <v>176</v>
      </c>
      <c r="Y219" s="308" t="s">
        <v>176</v>
      </c>
      <c r="Z219" s="308" t="s">
        <v>176</v>
      </c>
      <c r="AA219" s="308" t="s">
        <v>176</v>
      </c>
      <c r="AB219" s="308" t="s">
        <v>176</v>
      </c>
      <c r="AC219" s="308" t="s">
        <v>176</v>
      </c>
      <c r="AD219" s="308" t="s">
        <v>176</v>
      </c>
      <c r="AE219" s="308" t="s">
        <v>176</v>
      </c>
      <c r="AF219" s="308" t="s">
        <v>176</v>
      </c>
      <c r="AG219" s="308" t="s">
        <v>176</v>
      </c>
      <c r="AH219" s="308" t="s">
        <v>176</v>
      </c>
      <c r="AI219" s="308" t="s">
        <v>176</v>
      </c>
      <c r="AJ219" s="308" t="s">
        <v>176</v>
      </c>
      <c r="AK219" s="308" t="s">
        <v>176</v>
      </c>
      <c r="AL219" s="308" t="s">
        <v>176</v>
      </c>
      <c r="AM219" s="308" t="s">
        <v>176</v>
      </c>
      <c r="AN219" s="308" t="s">
        <v>176</v>
      </c>
      <c r="AO219" s="308">
        <v>2</v>
      </c>
      <c r="AP219" s="308" t="s">
        <v>176</v>
      </c>
      <c r="AQ219" s="308">
        <v>2</v>
      </c>
      <c r="AR219" s="308" t="s">
        <v>176</v>
      </c>
      <c r="AS219" s="308" t="s">
        <v>176</v>
      </c>
      <c r="AT219" s="308" t="s">
        <v>176</v>
      </c>
      <c r="AU219" s="308">
        <v>2</v>
      </c>
      <c r="AV219" s="308">
        <v>2</v>
      </c>
      <c r="AW219" s="308">
        <v>1</v>
      </c>
      <c r="AX219" s="308" t="s">
        <v>176</v>
      </c>
      <c r="AY219" s="308" t="s">
        <v>176</v>
      </c>
      <c r="AZ219" s="308" t="s">
        <v>176</v>
      </c>
      <c r="BA219" s="308">
        <v>2</v>
      </c>
      <c r="BB219" s="308">
        <v>2</v>
      </c>
      <c r="BC219" s="308" t="s">
        <v>176</v>
      </c>
      <c r="BD219" s="308" t="s">
        <v>176</v>
      </c>
      <c r="BE219" s="308" t="s">
        <v>176</v>
      </c>
      <c r="BF219" s="308" t="s">
        <v>176</v>
      </c>
      <c r="BG219" s="308" t="s">
        <v>176</v>
      </c>
      <c r="BH219" s="308" t="s">
        <v>176</v>
      </c>
      <c r="BI219" s="308" t="s">
        <v>176</v>
      </c>
      <c r="BJ219" s="308" t="s">
        <v>176</v>
      </c>
      <c r="BK219" s="308" t="s">
        <v>176</v>
      </c>
      <c r="BL219" s="308" t="s">
        <v>176</v>
      </c>
      <c r="BM219" s="308">
        <v>2</v>
      </c>
      <c r="BN219" s="308" t="s">
        <v>176</v>
      </c>
      <c r="BO219" s="308" t="s">
        <v>176</v>
      </c>
      <c r="BP219" s="308" t="s">
        <v>176</v>
      </c>
      <c r="BQ219" s="308" t="s">
        <v>176</v>
      </c>
      <c r="BR219" s="308" t="s">
        <v>176</v>
      </c>
      <c r="BS219" s="308">
        <v>3</v>
      </c>
      <c r="BT219" s="308" t="s">
        <v>176</v>
      </c>
      <c r="BU219" s="308">
        <v>3</v>
      </c>
      <c r="BV219" s="308">
        <v>3</v>
      </c>
      <c r="BW219" s="308" t="s">
        <v>176</v>
      </c>
      <c r="BX219" s="308" t="s">
        <v>176</v>
      </c>
      <c r="BY219" s="308" t="s">
        <v>176</v>
      </c>
      <c r="BZ219" s="308" t="s">
        <v>176</v>
      </c>
      <c r="CA219" s="308" t="s">
        <v>176</v>
      </c>
      <c r="CB219" s="308" t="s">
        <v>176</v>
      </c>
      <c r="CC219" s="308" t="s">
        <v>176</v>
      </c>
      <c r="CD219" s="308" t="s">
        <v>176</v>
      </c>
      <c r="CE219" s="308" t="s">
        <v>176</v>
      </c>
      <c r="CF219" s="308" t="s">
        <v>176</v>
      </c>
      <c r="CG219" s="308">
        <v>2</v>
      </c>
      <c r="CH219" s="308" t="s">
        <v>176</v>
      </c>
      <c r="CI219" s="308" t="s">
        <v>176</v>
      </c>
      <c r="CJ219" s="308" t="s">
        <v>176</v>
      </c>
      <c r="CK219" s="308" t="s">
        <v>176</v>
      </c>
      <c r="CL219" s="308" t="s">
        <v>176</v>
      </c>
      <c r="CM219" s="308">
        <v>1</v>
      </c>
      <c r="CN219" s="308">
        <v>1</v>
      </c>
      <c r="CO219" s="308">
        <v>1</v>
      </c>
      <c r="CP219" s="308">
        <v>2</v>
      </c>
      <c r="CQ219" s="308" t="s">
        <v>176</v>
      </c>
      <c r="CR219" s="308" t="s">
        <v>176</v>
      </c>
      <c r="CS219" s="308" t="s">
        <v>176</v>
      </c>
      <c r="CT219" s="308" t="s">
        <v>176</v>
      </c>
      <c r="CU219" s="308" t="s">
        <v>176</v>
      </c>
      <c r="CV219" s="308" t="s">
        <v>176</v>
      </c>
      <c r="CW219" s="308" t="s">
        <v>176</v>
      </c>
      <c r="CX219" s="308" t="s">
        <v>176</v>
      </c>
      <c r="CY219" s="308" t="s">
        <v>176</v>
      </c>
      <c r="CZ219" s="308" t="s">
        <v>176</v>
      </c>
      <c r="DA219" s="308" t="s">
        <v>176</v>
      </c>
      <c r="DB219" s="308" t="s">
        <v>176</v>
      </c>
      <c r="DC219" s="308" t="s">
        <v>176</v>
      </c>
      <c r="DD219" s="308" t="s">
        <v>176</v>
      </c>
      <c r="DE219" s="308" t="s">
        <v>176</v>
      </c>
      <c r="DF219" s="308" t="s">
        <v>176</v>
      </c>
      <c r="DG219" s="308" t="s">
        <v>176</v>
      </c>
      <c r="DH219" s="308" t="s">
        <v>176</v>
      </c>
      <c r="DI219" s="308" t="s">
        <v>176</v>
      </c>
      <c r="DJ219" s="308" t="s">
        <v>176</v>
      </c>
      <c r="DK219" s="308" t="s">
        <v>176</v>
      </c>
      <c r="DL219" s="308" t="s">
        <v>176</v>
      </c>
      <c r="DM219" s="308" t="s">
        <v>176</v>
      </c>
      <c r="DN219" s="308" t="s">
        <v>176</v>
      </c>
      <c r="DO219" s="308" t="s">
        <v>176</v>
      </c>
      <c r="DP219" s="308" t="s">
        <v>176</v>
      </c>
      <c r="DQ219" s="308" t="s">
        <v>176</v>
      </c>
      <c r="DR219" s="308" t="s">
        <v>176</v>
      </c>
      <c r="DS219" s="308" t="s">
        <v>176</v>
      </c>
      <c r="DT219" s="308" t="s">
        <v>176</v>
      </c>
      <c r="DU219" s="308" t="s">
        <v>176</v>
      </c>
      <c r="DV219" s="308" t="s">
        <v>176</v>
      </c>
      <c r="DW219" s="308" t="s">
        <v>176</v>
      </c>
      <c r="DX219" s="308" t="s">
        <v>176</v>
      </c>
      <c r="DY219" s="308" t="s">
        <v>176</v>
      </c>
      <c r="DZ219" s="308" t="s">
        <v>176</v>
      </c>
      <c r="EA219" s="308" t="s">
        <v>176</v>
      </c>
      <c r="EB219" s="308" t="s">
        <v>176</v>
      </c>
      <c r="EC219" s="308" t="s">
        <v>176</v>
      </c>
      <c r="ED219" s="308" t="s">
        <v>176</v>
      </c>
      <c r="EE219" s="308" t="s">
        <v>176</v>
      </c>
      <c r="EF219" s="308" t="s">
        <v>176</v>
      </c>
      <c r="EG219" s="308" t="s">
        <v>176</v>
      </c>
      <c r="EH219" s="308" t="s">
        <v>176</v>
      </c>
      <c r="EI219" s="308" t="s">
        <v>176</v>
      </c>
      <c r="EJ219" s="308" t="s">
        <v>176</v>
      </c>
      <c r="EK219" s="308" t="s">
        <v>176</v>
      </c>
      <c r="EL219" s="308" t="s">
        <v>176</v>
      </c>
      <c r="EM219" s="308" t="s">
        <v>176</v>
      </c>
      <c r="EN219" s="308" t="s">
        <v>176</v>
      </c>
      <c r="EO219" s="308" t="s">
        <v>176</v>
      </c>
      <c r="EP219" s="308" t="s">
        <v>176</v>
      </c>
      <c r="EQ219" s="308" t="s">
        <v>176</v>
      </c>
      <c r="ER219" s="308" t="s">
        <v>176</v>
      </c>
      <c r="ES219" s="308" t="s">
        <v>176</v>
      </c>
      <c r="ET219" s="308" t="s">
        <v>176</v>
      </c>
      <c r="EU219" s="308" t="s">
        <v>176</v>
      </c>
      <c r="EV219" s="308" t="s">
        <v>176</v>
      </c>
      <c r="EW219" s="308" t="s">
        <v>176</v>
      </c>
      <c r="EX219" s="308" t="s">
        <v>176</v>
      </c>
      <c r="EY219" s="308">
        <v>2</v>
      </c>
      <c r="EZ219" s="308">
        <v>2</v>
      </c>
      <c r="FA219" s="308">
        <v>1</v>
      </c>
      <c r="FB219" s="308" t="s">
        <v>176</v>
      </c>
      <c r="FC219" s="308" t="s">
        <v>176</v>
      </c>
      <c r="FD219" s="308">
        <v>2</v>
      </c>
      <c r="FE219" s="308">
        <v>2</v>
      </c>
      <c r="FF219" s="308">
        <v>1</v>
      </c>
      <c r="FG219" s="308">
        <v>1</v>
      </c>
      <c r="FH219" s="308">
        <v>1</v>
      </c>
      <c r="FI219" s="308">
        <v>2</v>
      </c>
      <c r="FJ219" s="308">
        <v>3</v>
      </c>
      <c r="FK219" s="308">
        <v>3</v>
      </c>
      <c r="FL219" s="308">
        <v>2</v>
      </c>
      <c r="FM219" s="308">
        <v>2</v>
      </c>
      <c r="FN219" s="308">
        <v>2</v>
      </c>
      <c r="FO219" s="308">
        <v>2</v>
      </c>
      <c r="FP219" s="308">
        <v>1</v>
      </c>
      <c r="FQ219" s="308" t="s">
        <v>176</v>
      </c>
      <c r="FR219" s="308"/>
      <c r="FS219" s="308" t="s">
        <v>176</v>
      </c>
      <c r="FT219" s="308" t="s">
        <v>176</v>
      </c>
      <c r="FU219" s="308" t="s">
        <v>176</v>
      </c>
      <c r="FV219" s="308" t="s">
        <v>176</v>
      </c>
      <c r="FW219" s="308" t="s">
        <v>176</v>
      </c>
      <c r="FX219" s="308"/>
      <c r="FY219" s="308" t="s">
        <v>176</v>
      </c>
      <c r="FZ219" s="308" t="s">
        <v>176</v>
      </c>
      <c r="GA219" s="308" t="s">
        <v>176</v>
      </c>
      <c r="GB219" s="308" t="s">
        <v>176</v>
      </c>
      <c r="GC219" s="308"/>
      <c r="GD219" s="308" t="s">
        <v>176</v>
      </c>
      <c r="GE219" s="308" t="s">
        <v>176</v>
      </c>
      <c r="GF219" s="308"/>
      <c r="GG219" s="308" t="s">
        <v>176</v>
      </c>
      <c r="GH219" s="308" t="s">
        <v>176</v>
      </c>
      <c r="GI219" s="308" t="s">
        <v>176</v>
      </c>
      <c r="GJ219" s="308" t="s">
        <v>176</v>
      </c>
      <c r="GK219" s="308" t="s">
        <v>176</v>
      </c>
      <c r="GL219" s="311">
        <f>SUM(G219:FP219)</f>
        <v>72</v>
      </c>
    </row>
    <row r="220" spans="1:195" ht="36" customHeight="1" thickBot="1" x14ac:dyDescent="0.3">
      <c r="A220" s="138" t="str">
        <f>A219</f>
        <v>Prod.-Q-1</v>
      </c>
      <c r="B220" s="138" t="str">
        <f>B219</f>
        <v>Teamleder zespołu produkcji</v>
      </c>
      <c r="C220" s="138" t="str">
        <f>C219</f>
        <v>CS</v>
      </c>
      <c r="D220" s="138">
        <f>D219</f>
        <v>122</v>
      </c>
      <c r="E220" s="566" t="str">
        <f>E219</f>
        <v>Konopka Przemysław</v>
      </c>
      <c r="F220" s="312" t="s">
        <v>166</v>
      </c>
      <c r="G220" s="341">
        <f>IF(INDEX(tab_MinKomp[Przepisy BHP / BHP Vorschriften],MATCH($B219,tab_MinKomp[[Stanowisko / Position ]:[Stanowisko / Position ]],0))="n/a","n/a",G219-INDEX(tab_MinKomp[Przepisy BHP / BHP Vorschriften],MATCH($B219,tab_MinKomp[[Stanowisko / Position ]:[Stanowisko / Position ]],0)))</f>
        <v>0</v>
      </c>
      <c r="H220" s="342">
        <f>IF(INDEX(tab_MinKomp[Przepisy PPOŻ / Brandschutzbestimmungen],MATCH($B219,tab_MinKomp[[Stanowisko / Position ]:[Stanowisko / Position ]],0))="n/a","n/a",H219-INDEX(tab_MinKomp[Przepisy PPOŻ / Brandschutzbestimmungen],MATCH($B219,tab_MinKomp[[Stanowisko / Position ]:[Stanowisko / Position ]],0)))</f>
        <v>0</v>
      </c>
      <c r="I220" s="342">
        <f>IF(INDEX(tab_MinKomp[Ryzyko zawodowe na stanowiskach pracyv/ Berufliche Risiken an Arbeitsstellen],MATCH($B219,tab_MinKomp[[Stanowisko / Position ]:[Stanowisko / Position ]],0))="n/a","n/a",I219-INDEX(tab_MinKomp[Ryzyko zawodowe na stanowiskach pracyv/ Berufliche Risiken an Arbeitsstellen],MATCH($B219,tab_MinKomp[[Stanowisko / Position ]:[Stanowisko / Position ]],0)))</f>
        <v>0</v>
      </c>
      <c r="J220" s="342">
        <f>IF(INDEX(tab_MinKomp[Gospodarka substancjami niebezpiecznymi / Gefahrstoffmanagement],MATCH($B219,tab_MinKomp[[Stanowisko / Position ]:[Stanowisko / Position ]],0))="n/a","n/a",J219-INDEX(tab_MinKomp[Gospodarka substancjami niebezpiecznymi / Gefahrstoffmanagement],MATCH($B219,tab_MinKomp[[Stanowisko / Position ]:[Stanowisko / Position ]],0)))</f>
        <v>0</v>
      </c>
      <c r="K220" s="342">
        <f>IF(INDEX(tab_MinKomp[Gospodarka odpadami / Abfallwirtschaft],MATCH($B219,tab_MinKomp[[Stanowisko / Position ]:[Stanowisko / Position ]],0))="n/a","n/a",K219-INDEX(tab_MinKomp[Gospodarka odpadami / Abfallwirtschaft],MATCH($B219,tab_MinKomp[[Stanowisko / Position ]:[Stanowisko / Position ]],0)))</f>
        <v>0</v>
      </c>
      <c r="L220" s="343">
        <f>IF(INDEX(tab_MinKomp[Przepisy kodeksu pracy / Bestimmungen des Arbeitsgesetzes],MATCH($B219,tab_MinKomp[[Stanowisko / Position ]:[Stanowisko / Position ]],0))="n/a","n/a",L219-INDEX(tab_MinKomp[Przepisy kodeksu pracy / Bestimmungen des Arbeitsgesetzes],MATCH($B219,tab_MinKomp[[Stanowisko / Position ]:[Stanowisko / Position ]],0)))</f>
        <v>0</v>
      </c>
      <c r="M220" s="344" t="str">
        <f>IF(INDEX(tab_MinKomp[Przepisy o ub.społ. ZUS  / Sozialversicherungsvorschriften],MATCH($B219,tab_MinKomp[[Stanowisko / Position ]:[Stanowisko / Position ]],0))="n/a","n/a",M219-INDEX(tab_MinKomp[Przepisy o ub.społ. ZUS  / Sozialversicherungsvorschriften],MATCH($B219,tab_MinKomp[[Stanowisko / Position ]:[Stanowisko / Position ]],0)))</f>
        <v>n/a</v>
      </c>
      <c r="N220" s="343" t="str">
        <f>IF(INDEX(tab_MinKomp[PRZEPISY O PDOF /persönlich Einkommensteuergesetz ],MATCH($B219,tab_MinKomp[[Stanowisko / Position ]:[Stanowisko / Position ]],0))="n/a","n/a",N219-INDEX(tab_MinKomp[PRZEPISY O PDOF /persönlich Einkommensteuergesetz ],MATCH($B219,tab_MinKomp[[Stanowisko / Position ]:[Stanowisko / Position ]],0)))</f>
        <v>n/a</v>
      </c>
      <c r="O220" s="343">
        <f>IF(INDEX(tab_MinKomp[Regulamin pracy / Arbeitsordnung],MATCH($B219,tab_MinKomp[[Stanowisko / Position ]:[Stanowisko / Position ]],0))="n/a","n/a",O219-INDEX(tab_MinKomp[Regulamin pracy / Arbeitsordnung],MATCH($B219,tab_MinKomp[[Stanowisko / Position ]:[Stanowisko / Position ]],0)))</f>
        <v>0</v>
      </c>
      <c r="P220" s="343">
        <f>IF(INDEX(tab_MinKomp[Regulamin wynagradzania / Vergütungsordnung],MATCH($B219,tab_MinKomp[[Stanowisko / Position ]:[Stanowisko / Position ]],0))="n/a","n/a",P219-INDEX(tab_MinKomp[Regulamin wynagradzania / Vergütungsordnung],MATCH($B219,tab_MinKomp[[Stanowisko / Position ]:[Stanowisko / Position ]],0)))</f>
        <v>0</v>
      </c>
      <c r="Q220" s="343" t="str">
        <f>IF(INDEX(tab_MinKomp[System R2PŁATNIK PRO: Płace / Lohnabrechnung],MATCH($B219,tab_MinKomp[[Stanowisko / Position ]:[Stanowisko / Position ]],0))="n/a","n/a",Q219-INDEX(tab_MinKomp[System R2PŁATNIK PRO: Płace / Lohnabrechnung],MATCH($B219,tab_MinKomp[[Stanowisko / Position ]:[Stanowisko / Position ]],0)))</f>
        <v>n/a</v>
      </c>
      <c r="R220" s="343" t="str">
        <f>IF(INDEX(tab_MinKomp[SystemR2PŁATNIK PRO: KADRY / Personaldaten],MATCH($B219,tab_MinKomp[[Stanowisko / Position ]:[Stanowisko / Position ]],0))="n/a","n/a",R219-INDEX(tab_MinKomp[SystemR2PŁATNIK PRO: KADRY / Personaldaten],MATCH($B219,tab_MinKomp[[Stanowisko / Position ]:[Stanowisko / Position ]],0)))</f>
        <v>n/a</v>
      </c>
      <c r="S220" s="343" t="str">
        <f>IF(INDEX(tab_MinKomp[SYSTEM R2PŁATNIK PRO: zarządzanie pracownikami / Arbeitsverwaltung],MATCH($B219,tab_MinKomp[[Stanowisko / Position ]:[Stanowisko / Position ]],0))="n/a","n/a",S219-INDEX(tab_MinKomp[SYSTEM R2PŁATNIK PRO: zarządzanie pracownikami / Arbeitsverwaltung],MATCH($B219,tab_MinKomp[[Stanowisko / Position ]:[Stanowisko / Position ]],0)))</f>
        <v>n/a</v>
      </c>
      <c r="T220" s="343">
        <f>IF(INDEX(tab_MinKomp[Doradztwo, wsparcie personalne / Personalberatung und Unterstützung],MATCH($B219,tab_MinKomp[[Stanowisko / Position ]:[Stanowisko / Position ]],0))="n/a","n/a",T219-INDEX(tab_MinKomp[Doradztwo, wsparcie personalne / Personalberatung und Unterstützung],MATCH($B219,tab_MinKomp[[Stanowisko / Position ]:[Stanowisko / Position ]],0)))</f>
        <v>1</v>
      </c>
      <c r="U220" s="343" t="str">
        <f>IF(INDEX(tab_MinKomp[Przepisy o podatku VAT / MwSt.- Gesetz],MATCH($B219,tab_MinKomp[[Stanowisko / Position ]:[Stanowisko / Position ]],0))="n/a","n/a",U219-INDEX(tab_MinKomp[Przepisy o podatku VAT / MwSt.- Gesetz],MATCH($B219,tab_MinKomp[[Stanowisko / Position ]:[Stanowisko / Position ]],0)))</f>
        <v>n/a</v>
      </c>
      <c r="V220" s="343" t="str">
        <f>IF(INDEX(tab_MinKomp[PrzepisyPDOP / geschäftlich Einkommensteuergesetz],MATCH($B219,tab_MinKomp[[Stanowisko / Position ]:[Stanowisko / Position ]],0))="n/a","n/a",V219-INDEX(tab_MinKomp[PrzepisyPDOP / geschäftlich Einkommensteuergesetz],MATCH($B219,tab_MinKomp[[Stanowisko / Position ]:[Stanowisko / Position ]],0)))</f>
        <v>n/a</v>
      </c>
      <c r="W220" s="343" t="str">
        <f>IF(INDEX(tab_MinKomp[System BAAN / FINANSE (FIBU)],MATCH($B219,tab_MinKomp[[Stanowisko / Position ]:[Stanowisko / Position ]],0))="n/a","n/a",W219-INDEX(tab_MinKomp[System BAAN / FINANSE (FIBU)],MATCH($B219,tab_MinKomp[[Stanowisko / Position ]:[Stanowisko / Position ]],0)))</f>
        <v>n/a</v>
      </c>
      <c r="X220" s="343" t="str">
        <f>IF(INDEX(tab_MinKomp[Systemy pomocnicze / Hilfssysteme(STOCKPROGRAM, KALK2000 etc.)],MATCH($B219,tab_MinKomp[[Stanowisko / Position ]:[Stanowisko / Position ]],0))="n/a","n/a",X219-INDEX(tab_MinKomp[Systemy pomocnicze / Hilfssysteme(STOCKPROGRAM, KALK2000 etc.)],MATCH($B219,tab_MinKomp[[Stanowisko / Position ]:[Stanowisko / Position ]],0)))</f>
        <v>n/a</v>
      </c>
      <c r="Y220" s="343" t="str">
        <f>IF(INDEX(tab_MinKomp[Polityka rachunkowości / Buchführungspolitik],MATCH($B219,tab_MinKomp[[Stanowisko / Position ]:[Stanowisko / Position ]],0))="n/a","n/a",Y219-INDEX(tab_MinKomp[Polityka rachunkowości / Buchführungspolitik],MATCH($B219,tab_MinKomp[[Stanowisko / Position ]:[Stanowisko / Position ]],0)))</f>
        <v>n/a</v>
      </c>
      <c r="Z220" s="343" t="str">
        <f>IF(INDEX(tab_MinKomp[Ustawa o rachunkowości / Rechnungslegungsgesetz],MATCH($B219,tab_MinKomp[[Stanowisko / Position ]:[Stanowisko / Position ]],0))="n/a","n/a",Z219-INDEX(tab_MinKomp[Ustawa o rachunkowości / Rechnungslegungsgesetz],MATCH($B219,tab_MinKomp[[Stanowisko / Position ]:[Stanowisko / Position ]],0)))</f>
        <v>n/a</v>
      </c>
      <c r="AA220" s="343" t="str">
        <f>IF(INDEX(tab_MinKomp[WORKFLOW - TS-100],MATCH($B219,tab_MinKomp[[Stanowisko / Position ]:[Stanowisko / Position ]],0))="n/a","n/a",AA219-INDEX(tab_MinKomp[WORKFLOW - TS-100],MATCH($B219,tab_MinKomp[[Stanowisko / Position ]:[Stanowisko / Position ]],0)))</f>
        <v>n/a</v>
      </c>
      <c r="AB220" s="343" t="str">
        <f>IF(INDEX(tab_MinKomp[WORKFLOW - SFMS],MATCH($B219,tab_MinKomp[[Stanowisko / Position ]:[Stanowisko / Position ]],0))="n/a","n/a",AB219-INDEX(tab_MinKomp[WORKFLOW - SFMS],MATCH($B219,tab_MinKomp[[Stanowisko / Position ]:[Stanowisko / Position ]],0)))</f>
        <v>n/a</v>
      </c>
      <c r="AC220" s="343" t="str">
        <f>IF(INDEX(tab_MinKomp[System ISO 9001:2015],MATCH($B219,tab_MinKomp[[Stanowisko / Position ]:[Stanowisko / Position ]],0))="n/a","n/a",AC219-INDEX(tab_MinKomp[System ISO 9001:2015],MATCH($B219,tab_MinKomp[[Stanowisko / Position ]:[Stanowisko / Position ]],0)))</f>
        <v>n/a</v>
      </c>
      <c r="AD220" s="343" t="str">
        <f>IF(INDEX(tab_MinKomp[System IATF 16949:2016],MATCH($B219,tab_MinKomp[[Stanowisko / Position ]:[Stanowisko / Position ]],0))="n/a","n/a",AD219-INDEX(tab_MinKomp[System IATF 16949:2016],MATCH($B219,tab_MinKomp[[Stanowisko / Position ]:[Stanowisko / Position ]],0)))</f>
        <v>n/a</v>
      </c>
      <c r="AE220" s="343" t="str">
        <f>IF(INDEX(tab_MinKomp[System ISO 14001:2015],MATCH($B219,tab_MinKomp[[Stanowisko / Position ]:[Stanowisko / Position ]],0))="n/a","n/a",AE219-INDEX(tab_MinKomp[System ISO 14001:2015],MATCH($B219,tab_MinKomp[[Stanowisko / Position ]:[Stanowisko / Position ]],0)))</f>
        <v>n/a</v>
      </c>
      <c r="AF220" s="343" t="str">
        <f>IF(INDEX(tab_MinKomp[System PN-N 18001:2004 / ISO 45001:2018],MATCH($B219,tab_MinKomp[[Stanowisko / Position ]:[Stanowisko / Position ]],0))="n/a","n/a",AF219-INDEX(tab_MinKomp[System PN-N 18001:2004 / ISO 45001:2018],MATCH($B219,tab_MinKomp[[Stanowisko / Position ]:[Stanowisko / Position ]],0)))</f>
        <v>n/a</v>
      </c>
      <c r="AG220" s="343" t="str">
        <f>IF(INDEX(tab_MinKomp[Wymagania VDA 6.3 Process / Forderungen],MATCH($B219,tab_MinKomp[[Stanowisko / Position ]:[Stanowisko / Position ]],0))="n/a","n/a",AG219-INDEX(tab_MinKomp[Wymagania VDA 6.3 Process / Forderungen],MATCH($B219,tab_MinKomp[[Stanowisko / Position ]:[Stanowisko / Position ]],0)))</f>
        <v>n/a</v>
      </c>
      <c r="AH220" s="343" t="str">
        <f>IF(INDEX(tab_MinKomp[Wymagania VDA 6.5 Product / Forderungen],MATCH($B219,tab_MinKomp[[Stanowisko / Position ]:[Stanowisko / Position ]],0))="n/a","n/a",AH219-INDEX(tab_MinKomp[Wymagania VDA 6.5 Product / Forderungen],MATCH($B219,tab_MinKomp[[Stanowisko / Position ]:[Stanowisko / Position ]],0)))</f>
        <v>n/a</v>
      </c>
      <c r="AI220" s="343" t="str">
        <f>IF(INDEX(tab_MinKomp[PSCR (VW Product Safety &amp; Conformity Representative)],MATCH($B219,tab_MinKomp[[Stanowisko / Position ]:[Stanowisko / Position ]],0))="n/a","n/a",AI219-INDEX(tab_MinKomp[PSCR (VW Product Safety &amp; Conformity Representative)],MATCH($B219,tab_MinKomp[[Stanowisko / Position ]:[Stanowisko / Position ]],0)))</f>
        <v>n/a</v>
      </c>
      <c r="AJ220" s="343" t="str">
        <f>IF(INDEX(tab_MinKomp[Auditor systemu ISO 17025:2018],MATCH($B219,tab_MinKomp[[Stanowisko / Position ]:[Stanowisko / Position ]],0))="n/a","n/a",AJ219-INDEX(tab_MinKomp[Auditor systemu ISO 17025:2018],MATCH($B219,tab_MinKomp[[Stanowisko / Position ]:[Stanowisko / Position ]],0)))</f>
        <v>n/a</v>
      </c>
      <c r="AK220" s="343" t="str">
        <f>IF(INDEX(tab_MinKomp[Pełnomocnik systemu / Systemvertreter],MATCH($B219,tab_MinKomp[[Stanowisko / Position ]:[Stanowisko / Position ]],0))="n/a","n/a",AK219-INDEX(tab_MinKomp[Pełnomocnik systemu / Systemvertreter],MATCH($B219,tab_MinKomp[[Stanowisko / Position ]:[Stanowisko / Position ]],0)))</f>
        <v>n/a</v>
      </c>
      <c r="AL220" s="343" t="str">
        <f>IF(INDEX(tab_MinKomp[Polityka Etyczna - Compliance],MATCH($B219,tab_MinKomp[[Stanowisko / Position ]:[Stanowisko / Position ]],0))="n/a","n/a",AL219-INDEX(tab_MinKomp[Polityka Etyczna - Compliance],MATCH($B219,tab_MinKomp[[Stanowisko / Position ]:[Stanowisko / Position ]],0)))</f>
        <v>n/a</v>
      </c>
      <c r="AM220" s="343" t="str">
        <f>IF(INDEX(tab_MinKomp[WDRAŻANIE NOWYCH PROJEKTÓW/ PROCEDURA CTM],MATCH($B219,tab_MinKomp[[Stanowisko / Position ]:[Stanowisko / Position ]],0))="n/a","n/a",AM219-INDEX(tab_MinKomp[WDRAŻANIE NOWYCH PROJEKTÓW/ PROCEDURA CTM],MATCH($B219,tab_MinKomp[[Stanowisko / Position ]:[Stanowisko / Position ]],0)))</f>
        <v>n/a</v>
      </c>
      <c r="AN220" s="343" t="str">
        <f>IF(INDEX(tab_MinKomp[KAMIENIE MILOWE MSL/PIFF],MATCH($B219,tab_MinKomp[[Stanowisko / Position ]:[Stanowisko / Position ]],0))="n/a","n/a",AN219-INDEX(tab_MinKomp[KAMIENIE MILOWE MSL/PIFF],MATCH($B219,tab_MinKomp[[Stanowisko / Position ]:[Stanowisko / Position ]],0)))</f>
        <v>n/a</v>
      </c>
      <c r="AO220" s="343">
        <f>IF(INDEX(tab_MinKomp[CP],MATCH($B219,tab_MinKomp[[Stanowisko / Position ]:[Stanowisko / Position ]],0))="n/a","n/a",AO219-INDEX(tab_MinKomp[CP],MATCH($B219,tab_MinKomp[[Stanowisko / Position ]:[Stanowisko / Position ]],0)))</f>
        <v>0</v>
      </c>
      <c r="AP220" s="343" t="str">
        <f>IF(INDEX(tab_MinKomp[FMEA],MATCH($B219,tab_MinKomp[[Stanowisko / Position ]:[Stanowisko / Position ]],0))="n/a","n/a",AP219-INDEX(tab_MinKomp[FMEA],MATCH($B219,tab_MinKomp[[Stanowisko / Position ]:[Stanowisko / Position ]],0)))</f>
        <v>n/a</v>
      </c>
      <c r="AQ220" s="343">
        <f>IF(INDEX(tab_MinKomp[FLOW CHART],MATCH($B219,tab_MinKomp[[Stanowisko / Position ]:[Stanowisko / Position ]],0))="n/a","n/a",AQ219-INDEX(tab_MinKomp[FLOW CHART],MATCH($B219,tab_MinKomp[[Stanowisko / Position ]:[Stanowisko / Position ]],0)))</f>
        <v>1</v>
      </c>
      <c r="AR220" s="343" t="str">
        <f>IF(INDEX(tab_MinKomp[APQP],MATCH($B219,tab_MinKomp[[Stanowisko / Position ]:[Stanowisko / Position ]],0))="n/a","n/a",AR219-INDEX(tab_MinKomp[APQP],MATCH($B219,tab_MinKomp[[Stanowisko / Position ]:[Stanowisko / Position ]],0)))</f>
        <v>n/a</v>
      </c>
      <c r="AS220" s="343" t="str">
        <f>IF(INDEX(tab_MinKomp[MSA],MATCH($B219,tab_MinKomp[[Stanowisko / Position ]:[Stanowisko / Position ]],0))="n/a","n/a",AS219-INDEX(tab_MinKomp[MSA],MATCH($B219,tab_MinKomp[[Stanowisko / Position ]:[Stanowisko / Position ]],0)))</f>
        <v>n/a</v>
      </c>
      <c r="AT220" s="343" t="str">
        <f>IF(INDEX(tab_MinKomp[SPC],MATCH($B219,tab_MinKomp[[Stanowisko / Position ]:[Stanowisko / Position ]],0))="n/a","n/a",AT219-INDEX(tab_MinKomp[SPC],MATCH($B219,tab_MinKomp[[Stanowisko / Position ]:[Stanowisko / Position ]],0)))</f>
        <v>n/a</v>
      </c>
      <c r="AU220" s="343">
        <f>IF(INDEX(tab_MinKomp[CSR (SPECYFICZNE WYMAGANIA KLIENTA)],MATCH($B219,tab_MinKomp[[Stanowisko / Position ]:[Stanowisko / Position ]],0))="n/a","n/a",AU219-INDEX(tab_MinKomp[CSR (SPECYFICZNE WYMAGANIA KLIENTA)],MATCH($B219,tab_MinKomp[[Stanowisko / Position ]:[Stanowisko / Position ]],0)))</f>
        <v>1</v>
      </c>
      <c r="AV220" s="343">
        <f>IF(INDEX(tab_MinKomp[5S],MATCH($B219,tab_MinKomp[[Stanowisko / Position ]:[Stanowisko / Position ]],0))="n/a","n/a",AV219-INDEX(tab_MinKomp[5S],MATCH($B219,tab_MinKomp[[Stanowisko / Position ]:[Stanowisko / Position ]],0)))</f>
        <v>1</v>
      </c>
      <c r="AW220" s="343">
        <f>IF(INDEX(tab_MinKomp[LEAN MANAGEMENT],MATCH($B219,tab_MinKomp[[Stanowisko / Position ]:[Stanowisko / Position ]],0))="n/a","n/a",AW219-INDEX(tab_MinKomp[LEAN MANAGEMENT],MATCH($B219,tab_MinKomp[[Stanowisko / Position ]:[Stanowisko / Position ]],0)))</f>
        <v>0</v>
      </c>
      <c r="AX220" s="343" t="str">
        <f>IF(INDEX(tab_MinKomp[5R],MATCH($B219,tab_MinKomp[[Stanowisko / Position ]:[Stanowisko / Position ]],0))="n/a","n/a",AX219-INDEX(tab_MinKomp[5R],MATCH($B219,tab_MinKomp[[Stanowisko / Position ]:[Stanowisko / Position ]],0)))</f>
        <v>n/a</v>
      </c>
      <c r="AY220" s="343" t="str">
        <f>IF(INDEX(tab_MinKomp[Six Sigma],MATCH($B219,tab_MinKomp[[Stanowisko / Position ]:[Stanowisko / Position ]],0))="n/a","n/a",AY219-INDEX(tab_MinKomp[Six Sigma],MATCH($B219,tab_MinKomp[[Stanowisko / Position ]:[Stanowisko / Position ]],0)))</f>
        <v>n/a</v>
      </c>
      <c r="AZ220" s="343" t="str">
        <f>IF(INDEX(tab_MinKomp[System BAAN / Distribution &amp; Supply Chain],MATCH($B219,tab_MinKomp[[Stanowisko / Position ]:[Stanowisko / Position ]],0))="n/a","n/a",AZ219-INDEX(tab_MinKomp[System BAAN / Distribution &amp; Supply Chain],MATCH($B219,tab_MinKomp[[Stanowisko / Position ]:[Stanowisko / Position ]],0)))</f>
        <v>n/a</v>
      </c>
      <c r="BA220" s="343">
        <f>IF(INDEX(tab_MinKomp[Gospodarka magazynowa / Lagerverwaltung],MATCH($B219,tab_MinKomp[[Stanowisko / Position ]:[Stanowisko / Position ]],0))="n/a","n/a",BA219-INDEX(tab_MinKomp[Gospodarka magazynowa / Lagerverwaltung],MATCH($B219,tab_MinKomp[[Stanowisko / Position ]:[Stanowisko / Position ]],0)))</f>
        <v>1</v>
      </c>
      <c r="BB220" s="343">
        <f>IF(INDEX(tab_MinKomp[Inwentaryzacja - organizacja i przebieg / Inventurprozess],MATCH($B219,tab_MinKomp[[Stanowisko / Position ]:[Stanowisko / Position ]],0))="n/a","n/a",BB219-INDEX(tab_MinKomp[Inwentaryzacja - organizacja i przebieg / Inventurprozess],MATCH($B219,tab_MinKomp[[Stanowisko / Position ]:[Stanowisko / Position ]],0)))</f>
        <v>1</v>
      </c>
      <c r="BC220" s="343" t="str">
        <f>IF(INDEX(tab_MinKomp[Organizacja dostaw / Versorgungsorganisation],MATCH($B219,tab_MinKomp[[Stanowisko / Position ]:[Stanowisko / Position ]],0))="n/a","n/a",BC219-INDEX(tab_MinKomp[Organizacja dostaw / Versorgungsorganisation],MATCH($B219,tab_MinKomp[[Stanowisko / Position ]:[Stanowisko / Position ]],0)))</f>
        <v>n/a</v>
      </c>
      <c r="BD220" s="343" t="str">
        <f>IF(INDEX(tab_MinKomp[Organizacja wysyłek / Organisation von Lieferungen],MATCH($B219,tab_MinKomp[[Stanowisko / Position ]:[Stanowisko / Position ]],0))="n/a","n/a",BD219-INDEX(tab_MinKomp[Organizacja wysyłek / Organisation von Lieferungen],MATCH($B219,tab_MinKomp[[Stanowisko / Position ]:[Stanowisko / Position ]],0)))</f>
        <v>n/a</v>
      </c>
      <c r="BE220" s="343" t="str">
        <f>IF(INDEX(tab_MinKomp[Analiza magazynowa - Program Polen.mdb / Inventuranalyse],MATCH($B219,tab_MinKomp[[Stanowisko / Position ]:[Stanowisko / Position ]],0))="n/a","n/a",BE219-INDEX(tab_MinKomp[Analiza magazynowa - Program Polen.mdb / Inventuranalyse],MATCH($B219,tab_MinKomp[[Stanowisko / Position ]:[Stanowisko / Position ]],0)))</f>
        <v>n/a</v>
      </c>
      <c r="BF220" s="315" t="str">
        <f>IF(INDEX(tab_MinKomp[MMOG (Materials Management Operations Guidelines)],MATCH($B219,tab_MinKomp[[Stanowisko / Position ]:[Stanowisko / Position ]],0))="n/a","n/a",BF219-INDEX(tab_MinKomp[MMOG (Materials Management Operations Guidelines)],MATCH($B219,tab_MinKomp[[Stanowisko / Position ]:[Stanowisko / Position ]],0)))</f>
        <v>n/a</v>
      </c>
      <c r="BG220" s="315" t="str">
        <f>IF(INDEX(tab_MinKomp[GPP],MATCH($B219,tab_MinKomp[[Stanowisko / Position ]:[Stanowisko / Position ]],0))="n/a","n/a",BG219-INDEX(tab_MinKomp[GPP],MATCH($B219,tab_MinKomp[[Stanowisko / Position ]:[Stanowisko / Position ]],0)))</f>
        <v>n/a</v>
      </c>
      <c r="BH220" s="315" t="str">
        <f>IF(INDEX(tab_MinKomp[AIAG (Automotive Industry Action Group)],MATCH($B219,tab_MinKomp[[Stanowisko / Position ]:[Stanowisko / Position ]],0))="n/a","n/a",BH219-INDEX(tab_MinKomp[AIAG (Automotive Industry Action Group)],MATCH($B219,tab_MinKomp[[Stanowisko / Position ]:[Stanowisko / Position ]],0)))</f>
        <v>n/a</v>
      </c>
      <c r="BI220" s="315" t="str">
        <f>IF(INDEX(tab_MinKomp[Super-G disputes],MATCH($B219,tab_MinKomp[[Stanowisko / Position ]:[Stanowisko / Position ]],0))="n/a","n/a",BI219-INDEX(tab_MinKomp[Super-G disputes],MATCH($B219,tab_MinKomp[[Stanowisko / Position ]:[Stanowisko / Position ]],0)))</f>
        <v>n/a</v>
      </c>
      <c r="BJ220" s="315" t="str">
        <f>IF(INDEX(tab_MinKomp[CMMS3/eDDL (Direct Data Link)],MATCH($B219,tab_MinKomp[[Stanowisko / Position ]:[Stanowisko / Position ]],0))="n/a","n/a",BJ219-INDEX(tab_MinKomp[CMMS3/eDDL (Direct Data Link)],MATCH($B219,tab_MinKomp[[Stanowisko / Position ]:[Stanowisko / Position ]],0)))</f>
        <v>n/a</v>
      </c>
      <c r="BK220" s="315" t="str">
        <f>IF(INDEX(tab_MinKomp[MP&amp;L (Material Planning and Logistics)],MATCH($B219,tab_MinKomp[[Stanowisko / Position ]:[Stanowisko / Position ]],0))="n/a","n/a",BK219-INDEX(tab_MinKomp[MP&amp;L (Material Planning and Logistics)],MATCH($B219,tab_MinKomp[[Stanowisko / Position ]:[Stanowisko / Position ]],0)))</f>
        <v>n/a</v>
      </c>
      <c r="BL220" s="315" t="str">
        <f>IF(INDEX(tab_MinKomp[Supplier delivery rating],MATCH($B219,tab_MinKomp[[Stanowisko / Position ]:[Stanowisko / Position ]],0))="n/a","n/a",BL219-INDEX(tab_MinKomp[Supplier delivery rating],MATCH($B219,tab_MinKomp[[Stanowisko / Position ]:[Stanowisko / Position ]],0)))</f>
        <v>n/a</v>
      </c>
      <c r="BM220" s="343">
        <f>IF(INDEX(tab_MinKomp[Planowanie produkcji / Produktionsplanung],MATCH($B219,tab_MinKomp[[Stanowisko / Position ]:[Stanowisko / Position ]],0))="n/a","n/a",BM219-INDEX(tab_MinKomp[Planowanie produkcji / Produktionsplanung],MATCH($B219,tab_MinKomp[[Stanowisko / Position ]:[Stanowisko / Position ]],0)))</f>
        <v>-1</v>
      </c>
      <c r="BN220" s="343" t="str">
        <f>IF(INDEX(tab_MinKomp[Obsługa maszyn Engel / Engel Maschinenbedienung],MATCH($B219,tab_MinKomp[[Stanowisko / Position ]:[Stanowisko / Position ]],0))="n/a","n/a",BN219-INDEX(tab_MinKomp[Obsługa maszyn Engel / Engel Maschinenbedienung],MATCH($B219,tab_MinKomp[[Stanowisko / Position ]:[Stanowisko / Position ]],0)))</f>
        <v>n/a</v>
      </c>
      <c r="BO220" s="343" t="str">
        <f>IF(INDEX(tab_MinKomp[Obsługa maszyn KVT / KVT Maschinenbedienung],MATCH($B219,tab_MinKomp[[Stanowisko / Position ]:[Stanowisko / Position ]],0))="n/a","n/a",BO219-INDEX(tab_MinKomp[Obsługa maszyn KVT / KVT Maschinenbedienung],MATCH($B219,tab_MinKomp[[Stanowisko / Position ]:[Stanowisko / Position ]],0)))</f>
        <v>n/a</v>
      </c>
      <c r="BP220" s="343" t="str">
        <f>IF(INDEX(tab_MinKomp[Obsługa maszyn KVT / KVT Maschinenbedienung],MATCH($B219,tab_MinKomp[[Stanowisko / Position ]:[Stanowisko / Position ]],0))="n/a","n/a",BP219-INDEX(tab_MinKomp[Obsługa maszyn KVT / KVT Maschinenbedienung],MATCH($B219,tab_MinKomp[[Stanowisko / Position ]:[Stanowisko / Position ]],0)))</f>
        <v>n/a</v>
      </c>
      <c r="BQ220" s="343" t="str">
        <f>IF(INDEX(tab_MinKomp[Obsługa maszyn ASL / ASL Maschinenbedienung],MATCH($B219,tab_MinKomp[[Stanowisko / Position ]:[Stanowisko / Position ]],0))="n/a","n/a",BQ219-INDEX(tab_MinKomp[Obsługa maszyn ASL / ASL Maschinenbedienung],MATCH($B219,tab_MinKomp[[Stanowisko / Position ]:[Stanowisko / Position ]],0)))</f>
        <v>n/a</v>
      </c>
      <c r="BR220" s="343" t="str">
        <f>IF(INDEX(tab_MinKomp[Obsługa maszyn Branson / Branson Maschinenbedienung],MATCH($B219,tab_MinKomp[[Stanowisko / Position ]:[Stanowisko / Position ]],0))="n/a","n/a",BR219-INDEX(tab_MinKomp[Obsługa maszyn Branson / Branson Maschinenbedienung],MATCH($B219,tab_MinKomp[[Stanowisko / Position ]:[Stanowisko / Position ]],0)))</f>
        <v>n/a</v>
      </c>
      <c r="BS220" s="343">
        <f>IF(INDEX(tab_MinKomp[Obsługa maszyn Novapax / Novapax Maschinenbedienung],MATCH($B219,tab_MinKomp[[Stanowisko / Position ]:[Stanowisko / Position ]],0))="n/a","n/a",BS219-INDEX(tab_MinKomp[Obsługa maszyn Novapax / Novapax Maschinenbedienung],MATCH($B219,tab_MinKomp[[Stanowisko / Position ]:[Stanowisko / Position ]],0)))</f>
        <v>0</v>
      </c>
      <c r="BT220" s="343" t="str">
        <f>IF(INDEX(tab_MinKomp[Obsługa maszyn Piovan / Piovan Maschinenbedienung],MATCH($B219,tab_MinKomp[[Stanowisko / Position ]:[Stanowisko / Position ]],0))="n/a","n/a",BT219-INDEX(tab_MinKomp[Obsługa maszyn Piovan / Piovan Maschinenbedienung],MATCH($B219,tab_MinKomp[[Stanowisko / Position ]:[Stanowisko / Position ]],0)))</f>
        <v>n/a</v>
      </c>
      <c r="BU220" s="343">
        <f>IF(INDEX(tab_MinKomp[Obsługa maszyn Novapax / Novapax Maschinenbedienung],MATCH($B219,tab_MinKomp[[Stanowisko / Position ]:[Stanowisko / Position ]],0))="n/a","n/a",BU219-INDEX(tab_MinKomp[Obsługa maszyn Novapax / Novapax Maschinenbedienung],MATCH($B219,tab_MinKomp[[Stanowisko / Position ]:[Stanowisko / Position ]],0)))</f>
        <v>0</v>
      </c>
      <c r="BV220" s="343">
        <f>IF(INDEX(tab_MinKomp[Eliminacja awarii / Beseitigung von Ausfällen],MATCH($B219,tab_MinKomp[[Stanowisko / Position ]:[Stanowisko / Position ]],0))="n/a","n/a",BV219-INDEX(tab_MinKomp[Eliminacja awarii / Beseitigung von Ausfällen],MATCH($B219,tab_MinKomp[[Stanowisko / Position ]:[Stanowisko / Position ]],0)))</f>
        <v>0</v>
      </c>
      <c r="BW220" s="343" t="str">
        <f>IF(INDEX(tab_MinKomp[Informatyka ogólna (techniczne i systemowe) / Allgemeine IT (Technik und System)],MATCH($B219,tab_MinKomp[[Stanowisko / Position ]:[Stanowisko / Position ]],0))="n/a","n/a",BW219-INDEX(tab_MinKomp[Informatyka ogólna (techniczne i systemowe) / Allgemeine IT (Technik und System)],MATCH($B219,tab_MinKomp[[Stanowisko / Position ]:[Stanowisko / Position ]],0)))</f>
        <v>n/a</v>
      </c>
      <c r="BX220" s="343" t="str">
        <f>IF(INDEX(tab_MinKomp[Sieci komputerowe / Computernetzwerke],MATCH($B219,tab_MinKomp[[Stanowisko / Position ]:[Stanowisko / Position ]],0))="n/a","n/a",BX219-INDEX(tab_MinKomp[Sieci komputerowe / Computernetzwerke],MATCH($B219,tab_MinKomp[[Stanowisko / Position ]:[Stanowisko / Position ]],0)))</f>
        <v>n/a</v>
      </c>
      <c r="BY220" s="343" t="str">
        <f>IF(INDEX(tab_MinKomp[Hardware (komputery PC, drukarki biurowe i etykietowe, telefonia stacjonarna i mobilna) (PC, Drucker, Telefpne, Handys)],MATCH($B219,tab_MinKomp[[Stanowisko / Position ]:[Stanowisko / Position ]],0))="n/a","n/a",BY219-INDEX(tab_MinKomp[Hardware (komputery PC, drukarki biurowe i etykietowe, telefonia stacjonarna i mobilna) (PC, Drucker, Telefpne, Handys)],MATCH($B219,tab_MinKomp[[Stanowisko / Position ]:[Stanowisko / Position ]],0)))</f>
        <v>n/a</v>
      </c>
      <c r="BZ220" s="343" t="str">
        <f>IF(INDEX(tab_MinKomp[Software &amp; Systems (MS Office, MS Remote Desktop)],MATCH($B219,tab_MinKomp[[Stanowisko / Position ]:[Stanowisko / Position ]],0))="n/a","n/a",BZ219-INDEX(tab_MinKomp[Software &amp; Systems (MS Office, MS Remote Desktop)],MATCH($B219,tab_MinKomp[[Stanowisko / Position ]:[Stanowisko / Position ]],0)))</f>
        <v>n/a</v>
      </c>
      <c r="CA220" s="343" t="str">
        <f>IF(INDEX(tab_MinKomp[Programowanie obiektowe (PHP) / Objektprogrammierung],MATCH($B219,tab_MinKomp[[Stanowisko / Position ]:[Stanowisko / Position ]],0))="n/a","n/a",CA219-INDEX(tab_MinKomp[Programowanie obiektowe (PHP) / Objektprogrammierung],MATCH($B219,tab_MinKomp[[Stanowisko / Position ]:[Stanowisko / Position ]],0)))</f>
        <v>n/a</v>
      </c>
      <c r="CB220" s="343" t="str">
        <f>IF(INDEX(tab_MinKomp[Scrum],MATCH($B219,tab_MinKomp[[Stanowisko / Position ]:[Stanowisko / Position ]],0))="n/a","n/a",CB219-INDEX(tab_MinKomp[Scrum],MATCH($B219,tab_MinKomp[[Stanowisko / Position ]:[Stanowisko / Position ]],0)))</f>
        <v>n/a</v>
      </c>
      <c r="CC220" s="343" t="str">
        <f>IF(INDEX(tab_MinKomp[SQL (MySQL)],MATCH($B219,tab_MinKomp[[Stanowisko / Position ]:[Stanowisko / Position ]],0))="n/a","n/a",CC219-INDEX(tab_MinKomp[SQL (MySQL)],MATCH($B219,tab_MinKomp[[Stanowisko / Position ]:[Stanowisko / Position ]],0)))</f>
        <v>n/a</v>
      </c>
      <c r="CD220" s="343" t="str">
        <f>IF(INDEX(tab_MinKomp[Javascript],MATCH($B219,tab_MinKomp[[Stanowisko / Position ]:[Stanowisko / Position ]],0))="n/a","n/a",CD219-INDEX(tab_MinKomp[Javascript],MATCH($B219,tab_MinKomp[[Stanowisko / Position ]:[Stanowisko / Position ]],0)))</f>
        <v>n/a</v>
      </c>
      <c r="CE220" s="343" t="str">
        <f>IF(INDEX(tab_MinKomp[Joomla],MATCH($B219,tab_MinKomp[[Stanowisko / Position ]:[Stanowisko / Position ]],0))="n/a","n/a",CE219-INDEX(tab_MinKomp[Joomla],MATCH($B219,tab_MinKomp[[Stanowisko / Position ]:[Stanowisko / Position ]],0)))</f>
        <v>n/a</v>
      </c>
      <c r="CF220" s="343" t="str">
        <f>IF(INDEX(tab_MinKomp[Bash],MATCH($B219,tab_MinKomp[[Stanowisko / Position ]:[Stanowisko / Position ]],0))="n/a","n/a",CF219-INDEX(tab_MinKomp[Bash],MATCH($B219,tab_MinKomp[[Stanowisko / Position ]:[Stanowisko / Position ]],0)))</f>
        <v>n/a</v>
      </c>
      <c r="CG220" s="343">
        <f>IF(INDEX(tab_MinKomp[Systemy MES (HYDRA / SFMS)],MATCH($B219,tab_MinKomp[[Stanowisko / Position ]:[Stanowisko / Position ]],0))="n/a","n/a",CG219-INDEX(tab_MinKomp[Systemy MES (HYDRA / SFMS)],MATCH($B219,tab_MinKomp[[Stanowisko / Position ]:[Stanowisko / Position ]],0)))</f>
        <v>0</v>
      </c>
      <c r="CH220" s="343" t="str">
        <f>IF(INDEX(tab_MinKomp[HTML / CSS],MATCH($B219,tab_MinKomp[[Stanowisko / Position ]:[Stanowisko / Position ]],0))="n/a","n/a",CH219-INDEX(tab_MinKomp[HTML / CSS],MATCH($B219,tab_MinKomp[[Stanowisko / Position ]:[Stanowisko / Position ]],0)))</f>
        <v>n/a</v>
      </c>
      <c r="CI220" s="343" t="str">
        <f>IF(INDEX(tab_MinKomp[SYSTEM PR],MATCH($B219,tab_MinKomp[[Stanowisko / Position ]:[Stanowisko / Position ]],0))="n/a","n/a",CI219-INDEX(tab_MinKomp[SYSTEM PR],MATCH($B219,tab_MinKomp[[Stanowisko / Position ]:[Stanowisko / Position ]],0)))</f>
        <v>n/a</v>
      </c>
      <c r="CJ220" s="343" t="str">
        <f>IF(INDEX(tab_MinKomp[System Einkauf XP / EBA],MATCH($B219,tab_MinKomp[[Stanowisko / Position ]:[Stanowisko / Position ]],0))="n/a","n/a",CJ219-INDEX(tab_MinKomp[System Einkauf XP / EBA],MATCH($B219,tab_MinKomp[[Stanowisko / Position ]:[Stanowisko / Position ]],0)))</f>
        <v>n/a</v>
      </c>
      <c r="CK220" s="343" t="str">
        <f>IF(INDEX(tab_MinKomp[Techniki negocjacyjne / Verhandlungstechniken],MATCH($B219,tab_MinKomp[[Stanowisko / Position ]:[Stanowisko / Position ]],0))="n/a","n/a",CK219-INDEX(tab_MinKomp[Techniki negocjacyjne / Verhandlungstechniken],MATCH($B219,tab_MinKomp[[Stanowisko / Position ]:[Stanowisko / Position ]],0)))</f>
        <v>n/a</v>
      </c>
      <c r="CL220" s="343" t="str">
        <f>IF(INDEX(tab_MinKomp[Znajomość rynku branżowego / Kenntnis des Industrie Marktes],MATCH($B219,tab_MinKomp[[Stanowisko / Position ]:[Stanowisko / Position ]],0))="n/a","n/a",CL219-INDEX(tab_MinKomp[Znajomość rynku branżowego / Kenntnis des Industrie Marktes],MATCH($B219,tab_MinKomp[[Stanowisko / Position ]:[Stanowisko / Position ]],0)))</f>
        <v>n/a</v>
      </c>
      <c r="CM220" s="343">
        <f>IF(INDEX(tab_MinKomp[RAPORTY 8D / 8D Berichten],MATCH($B219,tab_MinKomp[[Stanowisko / Position ]:[Stanowisko / Position ]],0))="n/a","n/a",CM219-INDEX(tab_MinKomp[RAPORTY 8D / 8D Berichten],MATCH($B219,tab_MinKomp[[Stanowisko / Position ]:[Stanowisko / Position ]],0)))</f>
        <v>0</v>
      </c>
      <c r="CN220" s="343">
        <f>IF(INDEX(tab_MinKomp[NARZĘDZIA JAKOŚCIOWE (5WHY, Ishikawa, etc) / QS-Werkzeuge],MATCH($B219,tab_MinKomp[[Stanowisko / Position ]:[Stanowisko / Position ]],0))="n/a","n/a",CN219-INDEX(tab_MinKomp[NARZĘDZIA JAKOŚCIOWE (5WHY, Ishikawa, etc) / QS-Werkzeuge],MATCH($B219,tab_MinKomp[[Stanowisko / Position ]:[Stanowisko / Position ]],0)))</f>
        <v>0</v>
      </c>
      <c r="CO220" s="343">
        <f>IF(INDEX(tab_MinKomp[PDCA],MATCH($B219,tab_MinKomp[[Stanowisko / Position ]:[Stanowisko / Position ]],0))="n/a","n/a",CO219-INDEX(tab_MinKomp[PDCA],MATCH($B219,tab_MinKomp[[Stanowisko / Position ]:[Stanowisko / Position ]],0)))</f>
        <v>0</v>
      </c>
      <c r="CP220" s="343">
        <f>IF(INDEX(tab_MinKomp[Pareto],MATCH($B219,tab_MinKomp[[Stanowisko / Position ]:[Stanowisko / Position ]],0))="n/a","n/a",CP219-INDEX(tab_MinKomp[Pareto],MATCH($B219,tab_MinKomp[[Stanowisko / Position ]:[Stanowisko / Position ]],0)))</f>
        <v>0</v>
      </c>
      <c r="CQ220" s="343" t="str">
        <f>IF(INDEX(tab_MinKomp[PPAP/PSW],MATCH($B219,tab_MinKomp[[Stanowisko / Position ]:[Stanowisko / Position ]],0))="n/a","n/a",CQ219-INDEX(tab_MinKomp[PPAP/PSW],MATCH($B219,tab_MinKomp[[Stanowisko / Position ]:[Stanowisko / Position ]],0)))</f>
        <v>n/a</v>
      </c>
      <c r="CR220" s="343" t="str">
        <f>IF(INDEX(tab_MinKomp[SUPPLIER MANAGEMENT],MATCH($B219,tab_MinKomp[[Stanowisko / Position ]:[Stanowisko / Position ]],0))="n/a","n/a",CR219-INDEX(tab_MinKomp[SUPPLIER MANAGEMENT],MATCH($B219,tab_MinKomp[[Stanowisko / Position ]:[Stanowisko / Position ]],0)))</f>
        <v>n/a</v>
      </c>
      <c r="CS220" s="343" t="str">
        <f>IF(INDEX(tab_MinKomp[OBSŁUGA PORTALI KLIENTA / Kundenportale],MATCH($B219,tab_MinKomp[[Stanowisko / Position ]:[Stanowisko / Position ]],0))="n/a","n/a",CS219-INDEX(tab_MinKomp[OBSŁUGA PORTALI KLIENTA / Kundenportale],MATCH($B219,tab_MinKomp[[Stanowisko / Position ]:[Stanowisko / Position ]],0)))</f>
        <v>n/a</v>
      </c>
      <c r="CT220" s="343" t="str">
        <f>IF(INDEX(tab_MinKomp[Obsługa systemu BABTECQ / BABTECQ System],MATCH($B219,tab_MinKomp[[Stanowisko / Position ]:[Stanowisko / Position ]],0))="n/a","n/a",CT219-INDEX(tab_MinKomp[Obsługa systemu BABTECQ / BABTECQ System],MATCH($B219,tab_MinKomp[[Stanowisko / Position ]:[Stanowisko / Position ]],0)))</f>
        <v>n/a</v>
      </c>
      <c r="CU220" s="343" t="str">
        <f>IF(INDEX(tab_MinKomp[Rysunek techniczny / technische Zeichnung],MATCH($B219,tab_MinKomp[[Stanowisko / Position ]:[Stanowisko / Position ]],0))="n/a","n/a",CU219-INDEX(tab_MinKomp[Rysunek techniczny / technische Zeichnung],MATCH($B219,tab_MinKomp[[Stanowisko / Position ]:[Stanowisko / Position ]],0)))</f>
        <v>n/a</v>
      </c>
      <c r="CV220" s="343" t="str">
        <f>IF(INDEX(tab_MinKomp[Kalibracja / Kalibrierung],MATCH($B219,tab_MinKomp[[Stanowisko / Position ]:[Stanowisko / Position ]],0))="n/a","n/a",CV219-INDEX(tab_MinKomp[Kalibracja / Kalibrierung],MATCH($B219,tab_MinKomp[[Stanowisko / Position ]:[Stanowisko / Position ]],0)))</f>
        <v>n/a</v>
      </c>
      <c r="CW220" s="343" t="str">
        <f>IF(INDEX(tab_MinKomp[Rekwalifikacja / Requalifizierung],MATCH($B219,tab_MinKomp[[Stanowisko / Position ]:[Stanowisko / Position ]],0))="n/a","n/a",CW219-INDEX(tab_MinKomp[Rekwalifikacja / Requalifizierung],MATCH($B219,tab_MinKomp[[Stanowisko / Position ]:[Stanowisko / Position ]],0)))</f>
        <v>n/a</v>
      </c>
      <c r="CX220" s="315" t="s">
        <v>176</v>
      </c>
      <c r="CY220" s="315" t="s">
        <v>176</v>
      </c>
      <c r="CZ220" s="315" t="s">
        <v>176</v>
      </c>
      <c r="DA220" s="315" t="s">
        <v>176</v>
      </c>
      <c r="DB220" s="315" t="s">
        <v>176</v>
      </c>
      <c r="DC220" s="315" t="s">
        <v>176</v>
      </c>
      <c r="DD220" s="315" t="s">
        <v>176</v>
      </c>
      <c r="DE220" s="315" t="s">
        <v>176</v>
      </c>
      <c r="DF220" s="315" t="s">
        <v>176</v>
      </c>
      <c r="DG220" s="315" t="s">
        <v>176</v>
      </c>
      <c r="DH220" s="315" t="s">
        <v>176</v>
      </c>
      <c r="DI220" s="315" t="s">
        <v>176</v>
      </c>
      <c r="DJ220" s="315" t="s">
        <v>176</v>
      </c>
      <c r="DK220" s="315" t="s">
        <v>176</v>
      </c>
      <c r="DL220" s="315" t="s">
        <v>176</v>
      </c>
      <c r="DM220" s="315" t="s">
        <v>176</v>
      </c>
      <c r="DN220" s="315" t="s">
        <v>176</v>
      </c>
      <c r="DO220" s="315" t="s">
        <v>176</v>
      </c>
      <c r="DP220" s="315" t="s">
        <v>176</v>
      </c>
      <c r="DQ220" s="315" t="s">
        <v>176</v>
      </c>
      <c r="DR220" s="315" t="s">
        <v>176</v>
      </c>
      <c r="DS220" s="315" t="s">
        <v>176</v>
      </c>
      <c r="DT220" s="315" t="s">
        <v>176</v>
      </c>
      <c r="DU220" s="343" t="str">
        <f>IF(INDEX(tab_MinKomp[MSA i SPC],MATCH($B219,tab_MinKomp[[Stanowisko / Position ]:[Stanowisko / Position ]],0))="n/a","n/a",DU219-INDEX(tab_MinKomp[MSA i SPC],MATCH($B219,tab_MinKomp[[Stanowisko / Position ]:[Stanowisko / Position ]],0)))</f>
        <v>n/a</v>
      </c>
      <c r="DV220" s="343" t="str">
        <f>IF(INDEX(tab_MinKomp[Kontrola wejściowa komponentów/ Eingangskontrolle],MATCH($B219,tab_MinKomp[[Stanowisko / Position ]:[Stanowisko / Position ]],0))="n/a","n/a",DV219-INDEX(tab_MinKomp[Kontrola wejściowa komponentów/ Eingangskontrolle],MATCH($B219,tab_MinKomp[[Stanowisko / Position ]:[Stanowisko / Position ]],0)))</f>
        <v>n/a</v>
      </c>
      <c r="DW220" s="343" t="str">
        <f>IF(INDEX(tab_MinKomp[Kontrola wyjściowa produktu / Ausgangskontrolle],MATCH($B219,tab_MinKomp[[Stanowisko / Position ]:[Stanowisko / Position ]],0))="n/a","n/a",DW219-INDEX(tab_MinKomp[Kontrola wyjściowa produktu / Ausgangskontrolle],MATCH($B219,tab_MinKomp[[Stanowisko / Position ]:[Stanowisko / Position ]],0)))</f>
        <v>n/a</v>
      </c>
      <c r="DX220" s="343" t="str">
        <f>IF(INDEX(tab_MinKomp[Kontrola codzienna produkcji / Tägliche Produktionskontrolle],MATCH($B219,tab_MinKomp[[Stanowisko / Position ]:[Stanowisko / Position ]],0))="n/a","n/a",DX219-INDEX(tab_MinKomp[Kontrola codzienna produkcji / Tägliche Produktionskontrolle],MATCH($B219,tab_MinKomp[[Stanowisko / Position ]:[Stanowisko / Position ]],0)))</f>
        <v>n/a</v>
      </c>
      <c r="DY220" s="343" t="str">
        <f>IF(INDEX(tab_MinKomp[Konserwacja Rep],MATCH($B219,tab_MinKomp[[Stanowisko / Position ]:[Stanowisko / Position ]],0))="n/a","n/a",DY219-INDEX(tab_MinKomp[Konserwacja Rep],MATCH($B219,tab_MinKomp[[Stanowisko / Position ]:[Stanowisko / Position ]],0)))</f>
        <v>n/a</v>
      </c>
      <c r="DZ220" s="343" t="str">
        <f>IF(INDEX(tab_MinKomp[[Konserwacja Engel ]],MATCH($B219,tab_MinKomp[[Stanowisko / Position ]:[Stanowisko / Position ]],0))="n/a","n/a",DZ219-INDEX(tab_MinKomp[[Konserwacja Engel ]],MATCH($B219,tab_MinKomp[[Stanowisko / Position ]:[Stanowisko / Position ]],0)))</f>
        <v>n/a</v>
      </c>
      <c r="EA220" s="343" t="str">
        <f>IF(INDEX(tab_MinKomp[Konserwacja B 50],MATCH($B219,tab_MinKomp[[Stanowisko / Position ]:[Stanowisko / Position ]],0))="n/a","n/a",EA219-INDEX(tab_MinKomp[Konserwacja B 50],MATCH($B219,tab_MinKomp[[Stanowisko / Position ]:[Stanowisko / Position ]],0)))</f>
        <v>n/a</v>
      </c>
      <c r="EB220" s="343" t="str">
        <f>IF(INDEX(tab_MinKomp[[Konserwacja EOL ]],MATCH($B219,tab_MinKomp[[Stanowisko / Position ]:[Stanowisko / Position ]],0))="n/a","n/a",EB219-INDEX(tab_MinKomp[[Konserwacja EOL ]],MATCH($B219,tab_MinKomp[[Stanowisko / Position ]:[Stanowisko / Position ]],0)))</f>
        <v>n/a</v>
      </c>
      <c r="EC220" s="343" t="str">
        <f>IF(INDEX(tab_MinKomp[Konserwacja Branson],MATCH($B219,tab_MinKomp[[Stanowisko / Position ]:[Stanowisko / Position ]],0))="n/a","n/a",EC219-INDEX(tab_MinKomp[Konserwacja Branson],MATCH($B219,tab_MinKomp[[Stanowisko / Position ]:[Stanowisko / Position ]],0)))</f>
        <v>n/a</v>
      </c>
      <c r="ED220" s="343" t="str">
        <f>IF(INDEX(tab_MinKomp[Konserwacja coolery],MATCH($B219,tab_MinKomp[[Stanowisko / Position ]:[Stanowisko / Position ]],0))="n/a","n/a",ED219-INDEX(tab_MinKomp[Konserwacja coolery],MATCH($B219,tab_MinKomp[[Stanowisko / Position ]:[Stanowisko / Position ]],0)))</f>
        <v>n/a</v>
      </c>
      <c r="EE220" s="343" t="str">
        <f>IF(INDEX(tab_MinKomp[Konserwacja piecy],MATCH($B219,tab_MinKomp[[Stanowisko / Position ]:[Stanowisko / Position ]],0))="n/a","n/a",EE219-INDEX(tab_MinKomp[Konserwacja piecy],MATCH($B219,tab_MinKomp[[Stanowisko / Position ]:[Stanowisko / Position ]],0)))</f>
        <v>n/a</v>
      </c>
      <c r="EF220" s="343" t="str">
        <f>IF(INDEX(tab_MinKomp[Rysunek techniczny- czytanie],MATCH($B219,tab_MinKomp[[Stanowisko / Position ]:[Stanowisko / Position ]],0))="n/a","n/a",EF219-INDEX(tab_MinKomp[Rysunek techniczny- czytanie],MATCH($B219,tab_MinKomp[[Stanowisko / Position ]:[Stanowisko / Position ]],0)))</f>
        <v>n/a</v>
      </c>
      <c r="EG220" s="343" t="str">
        <f>IF(INDEX(tab_MinKomp[Elektryka],MATCH($B219,tab_MinKomp[[Stanowisko / Position ]:[Stanowisko / Position ]],0))="n/a","n/a",EG219-INDEX(tab_MinKomp[Elektryka],MATCH($B219,tab_MinKomp[[Stanowisko / Position ]:[Stanowisko / Position ]],0)))</f>
        <v>n/a</v>
      </c>
      <c r="EH220" s="343" t="str">
        <f>IF(INDEX(tab_MinKomp[Pneumatyka],MATCH($B219,tab_MinKomp[[Stanowisko / Position ]:[Stanowisko / Position ]],0))="n/a","n/a",EH219-INDEX(tab_MinKomp[Pneumatyka],MATCH($B219,tab_MinKomp[[Stanowisko / Position ]:[Stanowisko / Position ]],0)))</f>
        <v>n/a</v>
      </c>
      <c r="EI220" s="343" t="str">
        <f>IF(INDEX(tab_MinKomp[[Hydraulika ]],MATCH($B219,tab_MinKomp[[Stanowisko / Position ]:[Stanowisko / Position ]],0))="n/a","n/a",EI219-INDEX(tab_MinKomp[[Hydraulika ]],MATCH($B219,tab_MinKomp[[Stanowisko / Position ]:[Stanowisko / Position ]],0)))</f>
        <v>n/a</v>
      </c>
      <c r="EJ220" s="343" t="str">
        <f>IF(INDEX(tab_MinKomp[Podciśnienie],MATCH($B219,tab_MinKomp[[Stanowisko / Position ]:[Stanowisko / Position ]],0))="n/a","n/a",EJ219-INDEX(tab_MinKomp[Podciśnienie],MATCH($B219,tab_MinKomp[[Stanowisko / Position ]:[Stanowisko / Position ]],0)))</f>
        <v>n/a</v>
      </c>
      <c r="EK220" s="343" t="str">
        <f>IF(INDEX(tab_MinKomp[Usuwanie awarii],MATCH($B219,tab_MinKomp[[Stanowisko / Position ]:[Stanowisko / Position ]],0))="n/a","n/a",EK219-INDEX(tab_MinKomp[Usuwanie awarii],MATCH($B219,tab_MinKomp[[Stanowisko / Position ]:[Stanowisko / Position ]],0)))</f>
        <v>n/a</v>
      </c>
      <c r="EL220" s="343" t="str">
        <f>IF(INDEX(tab_MinKomp[Obsługa robotów],MATCH($B219,tab_MinKomp[[Stanowisko / Position ]:[Stanowisko / Position ]],0))="n/a","n/a",EL219-INDEX(tab_MinKomp[Obsługa robotów],MATCH($B219,tab_MinKomp[[Stanowisko / Position ]:[Stanowisko / Position ]],0)))</f>
        <v>n/a</v>
      </c>
      <c r="EM220" s="343" t="str">
        <f>IF(INDEX(tab_MinKomp[Obsługa sterowania maszyny],MATCH($B219,tab_MinKomp[[Stanowisko / Position ]:[Stanowisko / Position ]],0))="n/a","n/a",EM219-INDEX(tab_MinKomp[Obsługa sterowania maszyny],MATCH($B219,tab_MinKomp[[Stanowisko / Position ]:[Stanowisko / Position ]],0)))</f>
        <v>n/a</v>
      </c>
      <c r="EN220" s="343" t="str">
        <f>IF(INDEX(tab_MinKomp[Usuwanie przyczyn żródłowych],MATCH($B219,tab_MinKomp[[Stanowisko / Position ]:[Stanowisko / Position ]],0))="n/a","n/a",EN219-INDEX(tab_MinKomp[Usuwanie przyczyn żródłowych],MATCH($B219,tab_MinKomp[[Stanowisko / Position ]:[Stanowisko / Position ]],0)))</f>
        <v>n/a</v>
      </c>
      <c r="EO220" s="343" t="str">
        <f>IF(INDEX(tab_MinKomp[Cmms stosowanie],MATCH($B219,tab_MinKomp[[Stanowisko / Position ]:[Stanowisko / Position ]],0))="n/a","n/a",EO219-INDEX(tab_MinKomp[Cmms stosowanie],MATCH($B219,tab_MinKomp[[Stanowisko / Position ]:[Stanowisko / Position ]],0)))</f>
        <v>n/a</v>
      </c>
      <c r="EP220" s="343" t="str">
        <f>IF(INDEX(tab_MinKomp[[Czyszczenie form gumowych ]],MATCH($B219,tab_MinKomp[[Stanowisko / Position ]:[Stanowisko / Position ]],0))="n/a","n/a",EP219-INDEX(tab_MinKomp[[Czyszczenie form gumowych ]],MATCH($B219,tab_MinKomp[[Stanowisko / Position ]:[Stanowisko / Position ]],0)))</f>
        <v>n/a</v>
      </c>
      <c r="EQ220" s="343" t="str">
        <f>IF(INDEX(tab_MinKomp[Czyszczenie form plastikowych],MATCH($B219,tab_MinKomp[[Stanowisko / Position ]:[Stanowisko / Position ]],0))="n/a","n/a",EQ219-INDEX(tab_MinKomp[Czyszczenie form plastikowych],MATCH($B219,tab_MinKomp[[Stanowisko / Position ]:[Stanowisko / Position ]],0)))</f>
        <v>n/a</v>
      </c>
      <c r="ER220" s="343" t="str">
        <f>IF(INDEX(tab_MinKomp[Wymiana form plastik],MATCH($B219,tab_MinKomp[[Stanowisko / Position ]:[Stanowisko / Position ]],0))="n/a","n/a",ER219-INDEX(tab_MinKomp[Wymiana form plastik],MATCH($B219,tab_MinKomp[[Stanowisko / Position ]:[Stanowisko / Position ]],0)))</f>
        <v>n/a</v>
      </c>
      <c r="ES220" s="343" t="str">
        <f>IF(INDEX(tab_MinKomp[Wymiana form guma],MATCH($B219,tab_MinKomp[[Stanowisko / Position ]:[Stanowisko / Position ]],0))="n/a","n/a",ES219-INDEX(tab_MinKomp[Wymiana form guma],MATCH($B219,tab_MinKomp[[Stanowisko / Position ]:[Stanowisko / Position ]],0)))</f>
        <v>n/a</v>
      </c>
      <c r="ET220" s="343" t="str">
        <f>IF(INDEX(tab_MinKomp[Konserwacja KK],MATCH($B219,tab_MinKomp[[Stanowisko / Position ]:[Stanowisko / Position ]],0))="n/a","n/a",ET219-INDEX(tab_MinKomp[Konserwacja KK],MATCH($B219,tab_MinKomp[[Stanowisko / Position ]:[Stanowisko / Position ]],0)))</f>
        <v>n/a</v>
      </c>
      <c r="EU220" s="343" t="str">
        <f>IF(INDEX(tab_MinKomp[Konserwacja form guma],MATCH($B219,tab_MinKomp[[Stanowisko / Position ]:[Stanowisko / Position ]],0))="n/a","n/a",EU219-INDEX(tab_MinKomp[Konserwacja form guma],MATCH($B219,tab_MinKomp[[Stanowisko / Position ]:[Stanowisko / Position ]],0)))</f>
        <v>n/a</v>
      </c>
      <c r="EV220" s="343" t="str">
        <f>IF(INDEX(tab_MinKomp[Konserwacja form plastiki],MATCH($B219,tab_MinKomp[[Stanowisko / Position ]:[Stanowisko / Position ]],0))="n/a","n/a",EV219-INDEX(tab_MinKomp[Konserwacja form plastiki],MATCH($B219,tab_MinKomp[[Stanowisko / Position ]:[Stanowisko / Position ]],0)))</f>
        <v>n/a</v>
      </c>
      <c r="EW220" s="330" t="str">
        <f>IF(INDEX(tab_MinKomp[Konserwacja form plastiki],MATCH($B219,tab_MinKomp[[Stanowisko / Position ]:[Stanowisko / Position ]],0))="n/a","n/a",EW219-INDEX(tab_MinKomp[Konserwacja form plastiki],MATCH($B219,tab_MinKomp[[Stanowisko / Position ]:[Stanowisko / Position ]],0)))</f>
        <v>n/a</v>
      </c>
      <c r="EX220" s="343" t="str">
        <f>IF(INDEX(tab_MinKomp[Konserwacja Gorącego Kanału],MATCH($B219,tab_MinKomp[[Stanowisko / Position ]:[Stanowisko / Position ]],0))="n/a","n/a",EX219-INDEX(tab_MinKomp[Konserwacja Gorącego Kanału],MATCH($B219,tab_MinKomp[[Stanowisko / Position ]:[Stanowisko / Position ]],0)))</f>
        <v>n/a</v>
      </c>
      <c r="EY220" s="343">
        <f>IF(INDEX(tab_MinKomp[MS Office (Excel)],MATCH($B219,tab_MinKomp[[Stanowisko / Position ]:[Stanowisko / Position ]],0))="n/a","n/a",EY219-INDEX(tab_MinKomp[MS Office (Excel)],MATCH($B219,tab_MinKomp[[Stanowisko / Position ]:[Stanowisko / Position ]],0)))</f>
        <v>1</v>
      </c>
      <c r="EZ220" s="343">
        <f>IF(INDEX(tab_MinKomp[MS Office (Word)],MATCH($B219,tab_MinKomp[[Stanowisko / Position ]:[Stanowisko / Position ]],0))="n/a","n/a",EZ219-INDEX(tab_MinKomp[MS Office (Word)],MATCH($B219,tab_MinKomp[[Stanowisko / Position ]:[Stanowisko / Position ]],0)))</f>
        <v>1</v>
      </c>
      <c r="FA220" s="343">
        <f>IF(INDEX(tab_MinKomp[MS Office (Power Point)],MATCH($B219,tab_MinKomp[[Stanowisko / Position ]:[Stanowisko / Position ]],0))="n/a","n/a",FA219-INDEX(tab_MinKomp[MS Office (Power Point)],MATCH($B219,tab_MinKomp[[Stanowisko / Position ]:[Stanowisko / Position ]],0)))</f>
        <v>0</v>
      </c>
      <c r="FB220" s="343" t="str">
        <f>IF(INDEX(tab_MinKomp[Język angielski / Englisch],MATCH($B219,tab_MinKomp[[Stanowisko / Position ]:[Stanowisko / Position ]],0))="n/a","n/a",FB219-INDEX(tab_MinKomp[Język angielski / Englisch],MATCH($B219,tab_MinKomp[[Stanowisko / Position ]:[Stanowisko / Position ]],0)))</f>
        <v>n/a</v>
      </c>
      <c r="FC220" s="343" t="str">
        <f>IF(INDEX(tab_MinKomp[Język niemiecki / Deutsch],MATCH($B219,tab_MinKomp[[Stanowisko / Position ]:[Stanowisko / Position ]],0))="n/a","n/a",FC219-INDEX(tab_MinKomp[Język niemiecki / Deutsch],MATCH($B219,tab_MinKomp[[Stanowisko / Position ]:[Stanowisko / Position ]],0)))</f>
        <v>n/a</v>
      </c>
      <c r="FD220" s="343">
        <f>IF(INDEX(tab_MinKomp[Zarządzanie dokumentacją procesową / Process dokumentation management],MATCH($B219,tab_MinKomp[[Stanowisko / Position ]:[Stanowisko / Position ]],0))="n/a","n/a",FD219-INDEX(tab_MinKomp[Zarządzanie dokumentacją procesową / Process dokumentation management],MATCH($B219,tab_MinKomp[[Stanowisko / Position ]:[Stanowisko / Position ]],0)))</f>
        <v>0</v>
      </c>
      <c r="FE220" s="343">
        <f>IF(INDEX(tab_MinKomp[Znajomość procesów z obszaru / Kenntiss der prozesse in dem Bereich],MATCH($B219,tab_MinKomp[[Stanowisko / Position ]:[Stanowisko / Position ]],0))="n/a","n/a",FE219-INDEX(tab_MinKomp[Znajomość procesów z obszaru / Kenntiss der prozesse in dem Bereich],MATCH($B219,tab_MinKomp[[Stanowisko / Position ]:[Stanowisko / Position ]],0)))</f>
        <v>0</v>
      </c>
      <c r="FF220" s="343">
        <f>IF(INDEX(tab_MinKomp[optymalizacja procesów / Prozessoptymalisierung],MATCH($B219,tab_MinKomp[[Stanowisko / Position ]:[Stanowisko / Position ]],0))="n/a","n/a",FF219-INDEX(tab_MinKomp[optymalizacja procesów / Prozessoptymalisierung],MATCH($B219,tab_MinKomp[[Stanowisko / Position ]:[Stanowisko / Position ]],0)))</f>
        <v>-1</v>
      </c>
      <c r="FG220" s="343">
        <f>IF(INDEX(tab_MinKomp[Umiejętności szkoleniowe / Trainingsfähigkeiten],MATCH($B219,tab_MinKomp[[Stanowisko / Position ]:[Stanowisko / Position ]],0))="n/a","n/a",FG219-INDEX(tab_MinKomp[Umiejętności szkoleniowe / Trainingsfähigkeiten],MATCH($B219,tab_MinKomp[[Stanowisko / Position ]:[Stanowisko / Position ]],0)))</f>
        <v>-1</v>
      </c>
      <c r="FH220" s="343">
        <f>IF(INDEX(tab_MinKomp[Analityczne myślenie, podejście / Analitysches Denken, Einstellung],MATCH($B219,tab_MinKomp[[Stanowisko / Position ]:[Stanowisko / Position ]],0))="n/a","n/a",FH219-INDEX(tab_MinKomp[Analityczne myślenie, podejście / Analitysches Denken, Einstellung],MATCH($B219,tab_MinKomp[[Stanowisko / Position ]:[Stanowisko / Position ]],0)))</f>
        <v>-1</v>
      </c>
      <c r="FI220" s="343">
        <f>IF(INDEX(tab_MinKomp[Dokładność, precyzja w dzialaniu / Genauigkeit, Präzision in die Arbeit],MATCH($B219,tab_MinKomp[[Stanowisko / Position ]:[Stanowisko / Position ]],0))="n/a","n/a",FI219-INDEX(tab_MinKomp[Dokładność, precyzja w dzialaniu / Genauigkeit, Präzision in die Arbeit],MATCH($B219,tab_MinKomp[[Stanowisko / Position ]:[Stanowisko / Position ]],0)))</f>
        <v>0</v>
      </c>
      <c r="FJ220" s="343">
        <f>IF(INDEX(tab_MinKomp[Dyspozycyjność / Verfügbarkeit],MATCH($B219,tab_MinKomp[[Stanowisko / Position ]:[Stanowisko / Position ]],0))="n/a","n/a",FJ219-INDEX(tab_MinKomp[Dyspozycyjność / Verfügbarkeit],MATCH($B219,tab_MinKomp[[Stanowisko / Position ]:[Stanowisko / Position ]],0)))</f>
        <v>1</v>
      </c>
      <c r="FK220" s="343">
        <f>IF(INDEX(tab_MinKomp[Zaangażowanie / 
Engagement],MATCH($B219,tab_MinKomp[[Stanowisko / Position ]:[Stanowisko / Position ]],0))="n/a","n/a",FK219-INDEX(tab_MinKomp[Zaangażowanie / 
Engagement],MATCH($B219,tab_MinKomp[[Stanowisko / Position ]:[Stanowisko / Position ]],0)))</f>
        <v>1</v>
      </c>
      <c r="FL220" s="343">
        <f>IF(INDEX(tab_MinKomp[Planowanie strategiczne / Strategische Planung],MATCH($B219,tab_MinKomp[[Stanowisko / Position ]:[Stanowisko / Position ]],0))="n/a","n/a",FL219-INDEX(tab_MinKomp[Planowanie strategiczne / Strategische Planung],MATCH($B219,tab_MinKomp[[Stanowisko / Position ]:[Stanowisko / Position ]],0)))</f>
        <v>0</v>
      </c>
      <c r="FM220" s="343">
        <f>IF(INDEX(tab_MinKomp[Konsekwentne i dynamiczne działanie],MATCH($B219,tab_MinKomp[[Stanowisko / Position ]:[Stanowisko / Position ]],0))="n/a","n/a",FM219-INDEX(tab_MinKomp[Konsekwentne i dynamiczne działanie],MATCH($B219,tab_MinKomp[[Stanowisko / Position ]:[Stanowisko / Position ]],0)))</f>
        <v>0</v>
      </c>
      <c r="FN220" s="343">
        <f>IF(INDEX(tab_MinKomp[Elastyczność w działaniu],MATCH($B219,tab_MinKomp[[Stanowisko / Position ]:[Stanowisko / Position ]],0))="n/a","n/a",FN219-INDEX(tab_MinKomp[Elastyczność w działaniu],MATCH($B219,tab_MinKomp[[Stanowisko / Position ]:[Stanowisko / Position ]],0)))</f>
        <v>0</v>
      </c>
      <c r="FO220" s="343">
        <f>IF(INDEX(tab_MinKomp[Komunikatywność],MATCH($B219,tab_MinKomp[[Stanowisko / Position ]:[Stanowisko / Position ]],0))="n/a","n/a",FO219-INDEX(tab_MinKomp[Komunikatywność],MATCH($B219,tab_MinKomp[[Stanowisko / Position ]:[Stanowisko / Position ]],0)))</f>
        <v>0</v>
      </c>
      <c r="FP220" s="342">
        <f>IF(INDEX(tab_MinKomp[Motywowanie i budowanie zaangażowania zespołu],MATCH($B219,tab_MinKomp[[Stanowisko / Position ]:[Stanowisko / Position ]],0))="n/a","n/a",FP219-INDEX(tab_MinKomp[Motywowanie i budowanie zaangażowania zespołu],MATCH($B219,tab_MinKomp[[Stanowisko / Position ]:[Stanowisko / Position ]],0)))</f>
        <v>-1</v>
      </c>
      <c r="FQ220" s="346" t="str">
        <f>IFERROR(IF(INDEX(tab_MinKomp[BRAK / Keine],MATCH($B219,tab_MinKomp[[Stanowisko / Position ]:[Stanowisko / Position ]],0))="n/a","n/a",INDEX(tab_MinKomp[BRAK / Keine],MATCH($B219,tab_MinKomp[[Stanowisko / Position ]:[Stanowisko / Position ]],0))-FQ219),"")</f>
        <v>n/a</v>
      </c>
      <c r="FR220" s="343" t="str">
        <f>IF(INDEX(tab_MinKomp[MINIMUM 1 ROK / min. 1 Jahr],MATCH($B219,tab_MinKomp[[Stanowisko / Position ]:[Stanowisko / Position ]],0))="n/a","n/a",INDEX(tab_MinKomp[MINIMUM 1 ROK / min. 1 Jahr],MATCH($B219,tab_MinKomp[[Stanowisko / Position ]:[Stanowisko / Position ]],0)))</f>
        <v>x</v>
      </c>
      <c r="FS220" s="343" t="str">
        <f>IF(INDEX(tab_MinKomp[MINIMUM 2 LATA / min. 2 Jahre],MATCH($B219,tab_MinKomp[[Stanowisko / Position ]:[Stanowisko / Position ]],0))="n/a","n/a",INDEX(tab_MinKomp[MINIMUM 2 LATA / min. 2 Jahre],MATCH($B219,tab_MinKomp[[Stanowisko / Position ]:[Stanowisko / Position ]],0)))</f>
        <v>n/a</v>
      </c>
      <c r="FT220" s="343" t="str">
        <f>IF(INDEX(tab_MinKomp[MINIMUM 3 LATA / min. 3 Jahre],MATCH($B219,tab_MinKomp[[Stanowisko / Position ]:[Stanowisko / Position ]],0))="n/a","n/a",INDEX(tab_MinKomp[MINIMUM 3 LATA / min. 3 Jahre],MATCH($B219,tab_MinKomp[[Stanowisko / Position ]:[Stanowisko / Position ]],0)))</f>
        <v>n/a</v>
      </c>
      <c r="FU220" s="343" t="str">
        <f>IF(INDEX(tab_MinKomp[MINIMUM 4 LATA / min. 4 Jahre],MATCH($B219,tab_MinKomp[[Stanowisko / Position ]:[Stanowisko / Position ]],0))="n/a","n/a",INDEX(tab_MinKomp[MINIMUM 4 LATA / min. 4 Jahre],MATCH($B219,tab_MinKomp[[Stanowisko / Position ]:[Stanowisko / Position ]],0)))</f>
        <v>n/a</v>
      </c>
      <c r="FV220" s="347" t="str">
        <f>IF(INDEX(tab_MinKomp[MINIMUM 5 LAT / min. 5 Jahre],MATCH($B219,tab_MinKomp[[Stanowisko / Position ]:[Stanowisko / Position ]],0))="n/a","n/a",INDEX(tab_MinKomp[MINIMUM 5 LAT / min. 5 Jahre],MATCH($B219,tab_MinKomp[[Stanowisko / Position ]:[Stanowisko / Position ]],0)))</f>
        <v>n/a</v>
      </c>
      <c r="FW220" s="346" t="str">
        <f>IF(INDEX(tab_MinKomp[BRAK / Keine9],MATCH($B219,tab_MinKomp[[Stanowisko / Position ]:[Stanowisko / Position ]],0))="n/a","n/a",INDEX(tab_MinKomp[BRAK / Keine9],MATCH($B219,tab_MinKomp[[Stanowisko / Position ]:[Stanowisko / Position ]],0)))</f>
        <v>n/a</v>
      </c>
      <c r="FX220" s="343" t="str">
        <f>IF(INDEX(tab_MinKomp[ZAWODOWE / Berufsausbildung],MATCH($B219,tab_MinKomp[[Stanowisko / Position ]:[Stanowisko / Position ]],0))="n/a","n/a",INDEX(tab_MinKomp[ZAWODOWE / Berufsausbildung],MATCH($B219,tab_MinKomp[[Stanowisko / Position ]:[Stanowisko / Position ]],0)))</f>
        <v>x</v>
      </c>
      <c r="FY220" s="343" t="str">
        <f>IF(INDEX(tab_MinKomp[ŚREDNIE OGÓLNE / Abitur allgemeine],MATCH($B219,tab_MinKomp[[Stanowisko / Position ]:[Stanowisko / Position ]],0))="n/a","n/a",INDEX(tab_MinKomp[ŚREDNIE OGÓLNE / Abitur allgemeine],MATCH($B219,tab_MinKomp[[Stanowisko / Position ]:[Stanowisko / Position ]],0)))</f>
        <v>n/a</v>
      </c>
      <c r="FZ220" s="343" t="str">
        <f>IF(INDEX(tab_MinKomp[ŚREDNIE KIERUNKOWE / berufliches Gymnasium],MATCH($B219,tab_MinKomp[[Stanowisko / Position ]:[Stanowisko / Position ]],0))="n/a","n/a",INDEX(tab_MinKomp[ŚREDNIE KIERUNKOWE / berufliches Gymnasium],MATCH($B219,tab_MinKomp[[Stanowisko / Position ]:[Stanowisko / Position ]],0)))</f>
        <v>n/a</v>
      </c>
      <c r="GA220" s="343" t="str">
        <f>IF(INDEX(tab_MinKomp[WYŻSZE OGÓLNE / Hochschule allgemeine],MATCH($B219,tab_MinKomp[[Stanowisko / Position ]:[Stanowisko / Position ]],0))="n/a","n/a",INDEX(tab_MinKomp[WYŻSZE OGÓLNE / Hochschule allgemeine],MATCH($B219,tab_MinKomp[[Stanowisko / Position ]:[Stanowisko / Position ]],0)))</f>
        <v>n/a</v>
      </c>
      <c r="GB220" s="347" t="str">
        <f>IF(INDEX(tab_MinKomp[WYŻSZE KIERUNKOWE / Hochschule berufliche],MATCH($B219,tab_MinKomp[[Stanowisko / Position ]:[Stanowisko / Position ]],0))="n/a","n/a",INDEX(tab_MinKomp[WYŻSZE KIERUNKOWE / Hochschule berufliche],MATCH($B219,tab_MinKomp[[Stanowisko / Position ]:[Stanowisko / Position ]],0)))</f>
        <v>n/a</v>
      </c>
      <c r="GC220" s="346" t="str">
        <f>IF(INDEX(tab_MinKomp[PIERWSZA POMOC / Erste Hilfe],MATCH($B219,tab_MinKomp[[Stanowisko / Position ]:[Stanowisko / Position ]],0))="n/a","n/a",INDEX(tab_MinKomp[PIERWSZA POMOC / Erste Hilfe],MATCH($B219,tab_MinKomp[[Stanowisko / Position ]:[Stanowisko / Position ]],0)))</f>
        <v>x</v>
      </c>
      <c r="GD220" s="343" t="str">
        <f>IF(INDEX(tab_MinKomp[Specjalista BHP / BHP Spezialist],MATCH($B219,tab_MinKomp[[Stanowisko / Position ]:[Stanowisko / Position ]],0))="n/a","n/a",INDEX(tab_MinKomp[Specjalista BHP / BHP Spezialist],MATCH($B219,tab_MinKomp[[Stanowisko / Position ]:[Stanowisko / Position ]],0)))</f>
        <v>n/a</v>
      </c>
      <c r="GE220" s="343" t="str">
        <f>IF(INDEX(tab_MinKomp[Inspektor ochrony PPOŻ / Brandschutzinspektor],MATCH($B219,tab_MinKomp[[Stanowisko / Position ]:[Stanowisko / Position ]],0))="n/a","n/a",INDEX(tab_MinKomp[Inspektor ochrony PPOŻ / Brandschutzinspektor],MATCH($B219,tab_MinKomp[[Stanowisko / Position ]:[Stanowisko / Position ]],0)))</f>
        <v>n/a</v>
      </c>
      <c r="GF220" s="343" t="str">
        <f>IF(INDEX(tab_MinKomp[WÓZKI JEZDNIOWE / Gebelstapler],MATCH($B219,tab_MinKomp[[Stanowisko / Position ]:[Stanowisko / Position ]],0))="n/a","n/a",INDEX(tab_MinKomp[WÓZKI JEZDNIOWE / Gebelstapler],MATCH($B219,tab_MinKomp[[Stanowisko / Position ]:[Stanowisko / Position ]],0)))</f>
        <v>x</v>
      </c>
      <c r="GG220" s="343" t="str">
        <f>IF(INDEX(tab_MinKomp[SEP],MATCH($B219,tab_MinKomp[[Stanowisko / Position ]:[Stanowisko / Position ]],0))="n/a","n/a",INDEX(tab_MinKomp[SEP],MATCH($B219,tab_MinKomp[[Stanowisko / Position ]:[Stanowisko / Position ]],0)))</f>
        <v>n/a</v>
      </c>
      <c r="GH220" s="343" t="str">
        <f>IF(INDEX(tab_MinKomp[SEP  DOZÓR / SEP Aufsicht],MATCH($B219,tab_MinKomp[[Stanowisko / Position ]:[Stanowisko / Position ]],0))="n/a","n/a",INDEX(tab_MinKomp[SEP  DOZÓR / SEP Aufsicht],MATCH($B219,tab_MinKomp[[Stanowisko / Position ]:[Stanowisko / Position ]],0)))</f>
        <v>n/a</v>
      </c>
      <c r="GI220" s="343" t="str">
        <f>IF(INDEX(tab_MinKomp[PODNOŚNIKI / Hebevorrichtung],MATCH($B219,tab_MinKomp[[Stanowisko / Position ]:[Stanowisko / Position ]],0))="n/a","n/a",INDEX(tab_MinKomp[PODNOŚNIKI / Hebevorrichtung],MATCH($B219,tab_MinKomp[[Stanowisko / Position ]:[Stanowisko / Position ]],0)))</f>
        <v>n/a</v>
      </c>
      <c r="GJ220" s="343" t="str">
        <f>IF(INDEX(tab_MinKomp[SUWNICE / Laufkran],MATCH($B219,tab_MinKomp[[Stanowisko / Position ]:[Stanowisko / Position ]],0))="n/a","n/a",INDEX(tab_MinKomp[SUWNICE / Laufkran],MATCH($B219,tab_MinKomp[[Stanowisko / Position ]:[Stanowisko / Position ]],0)))</f>
        <v>n/a</v>
      </c>
      <c r="GK220" s="347" t="str">
        <f>IF(INDEX(tab_MinKomp[WYSOKOŚCIOWE / Höhenberechtigungen],MATCH($B219,tab_MinKomp[[Stanowisko / Position ]:[Stanowisko / Position ]],0))="n/a","n/a",INDEX(tab_MinKomp[WYSOKOŚCIOWE / Höhenberechtigungen],MATCH($B219,tab_MinKomp[[Stanowisko / Position ]:[Stanowisko / Position ]],0)))</f>
        <v>n/a</v>
      </c>
      <c r="GL220" s="320">
        <f>SUM(G220:FP220)/(GL219-(SUM(G220:FP220)))</f>
        <v>7.4626865671641784E-2</v>
      </c>
    </row>
    <row r="221" spans="1:195" ht="36.75" customHeight="1" x14ac:dyDescent="0.25">
      <c r="A221" s="135" t="s">
        <v>178</v>
      </c>
      <c r="B221" s="135" t="s">
        <v>581</v>
      </c>
      <c r="C221" s="135" t="s">
        <v>229</v>
      </c>
      <c r="D221" s="135">
        <v>1295</v>
      </c>
      <c r="E221" s="565" t="s">
        <v>710</v>
      </c>
      <c r="F221" s="307" t="s">
        <v>165</v>
      </c>
      <c r="G221" s="308">
        <v>2</v>
      </c>
      <c r="H221" s="308">
        <v>2</v>
      </c>
      <c r="I221" s="308">
        <v>1</v>
      </c>
      <c r="J221" s="308">
        <v>1</v>
      </c>
      <c r="K221" s="308">
        <v>1</v>
      </c>
      <c r="L221" s="308">
        <v>1</v>
      </c>
      <c r="M221" s="308" t="s">
        <v>176</v>
      </c>
      <c r="N221" s="308" t="s">
        <v>176</v>
      </c>
      <c r="O221" s="308">
        <v>1</v>
      </c>
      <c r="P221" s="308">
        <v>1</v>
      </c>
      <c r="Q221" s="308" t="s">
        <v>176</v>
      </c>
      <c r="R221" s="308" t="s">
        <v>176</v>
      </c>
      <c r="S221" s="308" t="s">
        <v>176</v>
      </c>
      <c r="T221" s="308">
        <v>1</v>
      </c>
      <c r="U221" s="308" t="s">
        <v>176</v>
      </c>
      <c r="V221" s="308" t="s">
        <v>176</v>
      </c>
      <c r="W221" s="308" t="s">
        <v>176</v>
      </c>
      <c r="X221" s="308" t="s">
        <v>176</v>
      </c>
      <c r="Y221" s="308" t="s">
        <v>176</v>
      </c>
      <c r="Z221" s="308" t="s">
        <v>176</v>
      </c>
      <c r="AA221" s="308" t="s">
        <v>176</v>
      </c>
      <c r="AB221" s="308" t="s">
        <v>176</v>
      </c>
      <c r="AC221" s="308" t="s">
        <v>176</v>
      </c>
      <c r="AD221" s="308" t="s">
        <v>176</v>
      </c>
      <c r="AE221" s="308" t="s">
        <v>176</v>
      </c>
      <c r="AF221" s="308" t="s">
        <v>176</v>
      </c>
      <c r="AG221" s="308" t="s">
        <v>176</v>
      </c>
      <c r="AH221" s="308" t="s">
        <v>176</v>
      </c>
      <c r="AI221" s="308" t="s">
        <v>176</v>
      </c>
      <c r="AJ221" s="308" t="s">
        <v>176</v>
      </c>
      <c r="AK221" s="308" t="s">
        <v>176</v>
      </c>
      <c r="AL221" s="308">
        <v>2</v>
      </c>
      <c r="AM221" s="308" t="s">
        <v>176</v>
      </c>
      <c r="AN221" s="308" t="s">
        <v>176</v>
      </c>
      <c r="AO221" s="308">
        <v>1</v>
      </c>
      <c r="AP221" s="308" t="s">
        <v>176</v>
      </c>
      <c r="AQ221" s="308">
        <v>1</v>
      </c>
      <c r="AR221" s="308" t="s">
        <v>176</v>
      </c>
      <c r="AS221" s="308" t="s">
        <v>176</v>
      </c>
      <c r="AT221" s="308" t="s">
        <v>176</v>
      </c>
      <c r="AU221" s="308">
        <v>1</v>
      </c>
      <c r="AV221" s="308">
        <v>1</v>
      </c>
      <c r="AW221" s="308">
        <v>1</v>
      </c>
      <c r="AX221" s="308" t="s">
        <v>176</v>
      </c>
      <c r="AY221" s="308" t="s">
        <v>176</v>
      </c>
      <c r="AZ221" s="308" t="s">
        <v>176</v>
      </c>
      <c r="BA221" s="308">
        <v>1</v>
      </c>
      <c r="BB221" s="308">
        <v>2</v>
      </c>
      <c r="BC221" s="308" t="s">
        <v>176</v>
      </c>
      <c r="BD221" s="308" t="s">
        <v>176</v>
      </c>
      <c r="BE221" s="308" t="s">
        <v>176</v>
      </c>
      <c r="BF221" s="308" t="s">
        <v>176</v>
      </c>
      <c r="BG221" s="308" t="s">
        <v>176</v>
      </c>
      <c r="BH221" s="308" t="s">
        <v>176</v>
      </c>
      <c r="BI221" s="308" t="s">
        <v>176</v>
      </c>
      <c r="BJ221" s="308" t="s">
        <v>176</v>
      </c>
      <c r="BK221" s="308" t="s">
        <v>176</v>
      </c>
      <c r="BL221" s="308" t="s">
        <v>176</v>
      </c>
      <c r="BM221" s="308">
        <v>3</v>
      </c>
      <c r="BN221" s="308" t="s">
        <v>176</v>
      </c>
      <c r="BO221" s="308" t="s">
        <v>176</v>
      </c>
      <c r="BP221" s="308" t="s">
        <v>176</v>
      </c>
      <c r="BQ221" s="308" t="s">
        <v>176</v>
      </c>
      <c r="BR221" s="308" t="s">
        <v>176</v>
      </c>
      <c r="BS221" s="308">
        <v>3</v>
      </c>
      <c r="BT221" s="308" t="s">
        <v>176</v>
      </c>
      <c r="BU221" s="308">
        <v>3</v>
      </c>
      <c r="BV221" s="308">
        <v>3</v>
      </c>
      <c r="BW221" s="308" t="s">
        <v>176</v>
      </c>
      <c r="BX221" s="308" t="s">
        <v>176</v>
      </c>
      <c r="BY221" s="308" t="s">
        <v>176</v>
      </c>
      <c r="BZ221" s="308" t="s">
        <v>176</v>
      </c>
      <c r="CA221" s="308" t="s">
        <v>176</v>
      </c>
      <c r="CB221" s="308" t="s">
        <v>176</v>
      </c>
      <c r="CC221" s="308" t="s">
        <v>176</v>
      </c>
      <c r="CD221" s="308" t="s">
        <v>176</v>
      </c>
      <c r="CE221" s="308" t="s">
        <v>176</v>
      </c>
      <c r="CF221" s="308" t="s">
        <v>176</v>
      </c>
      <c r="CG221" s="308">
        <v>2</v>
      </c>
      <c r="CH221" s="308" t="s">
        <v>176</v>
      </c>
      <c r="CI221" s="308" t="s">
        <v>176</v>
      </c>
      <c r="CJ221" s="308" t="s">
        <v>176</v>
      </c>
      <c r="CK221" s="308" t="s">
        <v>176</v>
      </c>
      <c r="CL221" s="308" t="s">
        <v>176</v>
      </c>
      <c r="CM221" s="308">
        <v>1</v>
      </c>
      <c r="CN221" s="308">
        <v>1</v>
      </c>
      <c r="CO221" s="308">
        <v>1</v>
      </c>
      <c r="CP221" s="308">
        <v>2</v>
      </c>
      <c r="CQ221" s="308" t="s">
        <v>176</v>
      </c>
      <c r="CR221" s="308" t="s">
        <v>176</v>
      </c>
      <c r="CS221" s="308" t="s">
        <v>176</v>
      </c>
      <c r="CT221" s="308" t="s">
        <v>176</v>
      </c>
      <c r="CU221" s="308" t="s">
        <v>176</v>
      </c>
      <c r="CV221" s="308" t="s">
        <v>176</v>
      </c>
      <c r="CW221" s="308" t="s">
        <v>176</v>
      </c>
      <c r="CX221" s="308" t="s">
        <v>176</v>
      </c>
      <c r="CY221" s="308" t="s">
        <v>176</v>
      </c>
      <c r="CZ221" s="308" t="s">
        <v>176</v>
      </c>
      <c r="DA221" s="308" t="s">
        <v>176</v>
      </c>
      <c r="DB221" s="308" t="s">
        <v>176</v>
      </c>
      <c r="DC221" s="308" t="s">
        <v>176</v>
      </c>
      <c r="DD221" s="308" t="s">
        <v>176</v>
      </c>
      <c r="DE221" s="308" t="s">
        <v>176</v>
      </c>
      <c r="DF221" s="308" t="s">
        <v>176</v>
      </c>
      <c r="DG221" s="308" t="s">
        <v>176</v>
      </c>
      <c r="DH221" s="308" t="s">
        <v>176</v>
      </c>
      <c r="DI221" s="308" t="s">
        <v>176</v>
      </c>
      <c r="DJ221" s="308" t="s">
        <v>176</v>
      </c>
      <c r="DK221" s="308" t="s">
        <v>176</v>
      </c>
      <c r="DL221" s="308" t="s">
        <v>176</v>
      </c>
      <c r="DM221" s="308" t="s">
        <v>176</v>
      </c>
      <c r="DN221" s="308" t="s">
        <v>176</v>
      </c>
      <c r="DO221" s="308" t="s">
        <v>176</v>
      </c>
      <c r="DP221" s="308" t="s">
        <v>176</v>
      </c>
      <c r="DQ221" s="308" t="s">
        <v>176</v>
      </c>
      <c r="DR221" s="308" t="s">
        <v>176</v>
      </c>
      <c r="DS221" s="308" t="s">
        <v>176</v>
      </c>
      <c r="DT221" s="308" t="s">
        <v>176</v>
      </c>
      <c r="DU221" s="308" t="s">
        <v>176</v>
      </c>
      <c r="DV221" s="308" t="s">
        <v>176</v>
      </c>
      <c r="DW221" s="308" t="s">
        <v>176</v>
      </c>
      <c r="DX221" s="308" t="s">
        <v>176</v>
      </c>
      <c r="DY221" s="308" t="s">
        <v>176</v>
      </c>
      <c r="DZ221" s="308" t="s">
        <v>176</v>
      </c>
      <c r="EA221" s="308" t="s">
        <v>176</v>
      </c>
      <c r="EB221" s="308" t="s">
        <v>176</v>
      </c>
      <c r="EC221" s="308" t="s">
        <v>176</v>
      </c>
      <c r="ED221" s="308" t="s">
        <v>176</v>
      </c>
      <c r="EE221" s="308" t="s">
        <v>176</v>
      </c>
      <c r="EF221" s="308" t="s">
        <v>176</v>
      </c>
      <c r="EG221" s="308" t="s">
        <v>176</v>
      </c>
      <c r="EH221" s="308" t="s">
        <v>176</v>
      </c>
      <c r="EI221" s="308" t="s">
        <v>176</v>
      </c>
      <c r="EJ221" s="308" t="s">
        <v>176</v>
      </c>
      <c r="EK221" s="308" t="s">
        <v>176</v>
      </c>
      <c r="EL221" s="308" t="s">
        <v>176</v>
      </c>
      <c r="EM221" s="308" t="s">
        <v>176</v>
      </c>
      <c r="EN221" s="308" t="s">
        <v>176</v>
      </c>
      <c r="EO221" s="308" t="s">
        <v>176</v>
      </c>
      <c r="EP221" s="308" t="s">
        <v>176</v>
      </c>
      <c r="EQ221" s="308" t="s">
        <v>176</v>
      </c>
      <c r="ER221" s="308" t="s">
        <v>176</v>
      </c>
      <c r="ES221" s="308" t="s">
        <v>176</v>
      </c>
      <c r="ET221" s="308" t="s">
        <v>176</v>
      </c>
      <c r="EU221" s="308" t="s">
        <v>176</v>
      </c>
      <c r="EV221" s="308" t="s">
        <v>176</v>
      </c>
      <c r="EW221" s="308" t="s">
        <v>176</v>
      </c>
      <c r="EX221" s="308" t="s">
        <v>176</v>
      </c>
      <c r="EY221" s="308">
        <v>2</v>
      </c>
      <c r="EZ221" s="308">
        <v>1</v>
      </c>
      <c r="FA221" s="308">
        <v>1</v>
      </c>
      <c r="FB221" s="308">
        <v>1</v>
      </c>
      <c r="FC221" s="308" t="s">
        <v>176</v>
      </c>
      <c r="FD221" s="308">
        <v>2</v>
      </c>
      <c r="FE221" s="308">
        <v>2</v>
      </c>
      <c r="FF221" s="308">
        <v>2</v>
      </c>
      <c r="FG221" s="308">
        <v>2</v>
      </c>
      <c r="FH221" s="308">
        <v>2</v>
      </c>
      <c r="FI221" s="308">
        <v>2</v>
      </c>
      <c r="FJ221" s="308">
        <v>3</v>
      </c>
      <c r="FK221" s="308">
        <v>3</v>
      </c>
      <c r="FL221" s="308">
        <v>1</v>
      </c>
      <c r="FM221" s="308">
        <v>2</v>
      </c>
      <c r="FN221" s="308">
        <v>2</v>
      </c>
      <c r="FO221" s="308">
        <v>3</v>
      </c>
      <c r="FP221" s="308">
        <v>2</v>
      </c>
      <c r="FQ221" s="308" t="s">
        <v>176</v>
      </c>
      <c r="FR221" s="308"/>
      <c r="FS221" s="308" t="s">
        <v>176</v>
      </c>
      <c r="FT221" s="308" t="s">
        <v>176</v>
      </c>
      <c r="FU221" s="308" t="s">
        <v>176</v>
      </c>
      <c r="FV221" s="308" t="s">
        <v>176</v>
      </c>
      <c r="FW221" s="308" t="s">
        <v>176</v>
      </c>
      <c r="FX221" s="308" t="s">
        <v>387</v>
      </c>
      <c r="FY221" s="308" t="s">
        <v>176</v>
      </c>
      <c r="FZ221" s="308" t="s">
        <v>176</v>
      </c>
      <c r="GA221" s="308" t="s">
        <v>176</v>
      </c>
      <c r="GB221" s="308" t="s">
        <v>176</v>
      </c>
      <c r="GC221" s="308" t="s">
        <v>387</v>
      </c>
      <c r="GD221" s="308" t="s">
        <v>176</v>
      </c>
      <c r="GE221" s="308" t="s">
        <v>176</v>
      </c>
      <c r="GF221" s="308" t="s">
        <v>387</v>
      </c>
      <c r="GG221" s="308" t="s">
        <v>176</v>
      </c>
      <c r="GH221" s="308" t="s">
        <v>176</v>
      </c>
      <c r="GI221" s="308" t="s">
        <v>176</v>
      </c>
      <c r="GJ221" s="308" t="s">
        <v>176</v>
      </c>
      <c r="GK221" s="308" t="s">
        <v>176</v>
      </c>
      <c r="GL221" s="311">
        <f>SUM(G221:FP221)</f>
        <v>73</v>
      </c>
    </row>
    <row r="222" spans="1:195" ht="36" customHeight="1" thickBot="1" x14ac:dyDescent="0.3">
      <c r="A222" s="138" t="str">
        <f>A221</f>
        <v>Prod.-Q-5</v>
      </c>
      <c r="B222" s="138" t="str">
        <f>B221</f>
        <v>Teamleder zespołu produkcji</v>
      </c>
      <c r="C222" s="138" t="str">
        <f>C221</f>
        <v>KW</v>
      </c>
      <c r="D222" s="138">
        <f>D221</f>
        <v>1295</v>
      </c>
      <c r="E222" s="566" t="str">
        <f>E221</f>
        <v>Luma Rafał</v>
      </c>
      <c r="F222" s="312" t="s">
        <v>166</v>
      </c>
      <c r="G222" s="341">
        <f>IF(INDEX(tab_MinKomp[Przepisy BHP / BHP Vorschriften],MATCH($B221,tab_MinKomp[[Stanowisko / Position ]:[Stanowisko / Position ]],0))="n/a","n/a",G221-INDEX(tab_MinKomp[Przepisy BHP / BHP Vorschriften],MATCH($B221,tab_MinKomp[[Stanowisko / Position ]:[Stanowisko / Position ]],0)))</f>
        <v>0</v>
      </c>
      <c r="H222" s="342">
        <v>0</v>
      </c>
      <c r="I222" s="342">
        <f>IF(INDEX(tab_MinKomp[Ryzyko zawodowe na stanowiskach pracyv/ Berufliche Risiken an Arbeitsstellen],MATCH($B221,tab_MinKomp[[Stanowisko / Position ]:[Stanowisko / Position ]],0))="n/a","n/a",I221-INDEX(tab_MinKomp[Ryzyko zawodowe na stanowiskach pracyv/ Berufliche Risiken an Arbeitsstellen],MATCH($B221,tab_MinKomp[[Stanowisko / Position ]:[Stanowisko / Position ]],0)))</f>
        <v>0</v>
      </c>
      <c r="J222" s="342">
        <f>IF(INDEX(tab_MinKomp[Gospodarka substancjami niebezpiecznymi / Gefahrstoffmanagement],MATCH($B221,tab_MinKomp[[Stanowisko / Position ]:[Stanowisko / Position ]],0))="n/a","n/a",J221-INDEX(tab_MinKomp[Gospodarka substancjami niebezpiecznymi / Gefahrstoffmanagement],MATCH($B221,tab_MinKomp[[Stanowisko / Position ]:[Stanowisko / Position ]],0)))</f>
        <v>0</v>
      </c>
      <c r="K222" s="342">
        <f>IF(INDEX(tab_MinKomp[Gospodarka odpadami / Abfallwirtschaft],MATCH($B221,tab_MinKomp[[Stanowisko / Position ]:[Stanowisko / Position ]],0))="n/a","n/a",K221-INDEX(tab_MinKomp[Gospodarka odpadami / Abfallwirtschaft],MATCH($B221,tab_MinKomp[[Stanowisko / Position ]:[Stanowisko / Position ]],0)))</f>
        <v>0</v>
      </c>
      <c r="L222" s="343">
        <f>IF(INDEX(tab_MinKomp[Przepisy kodeksu pracy / Bestimmungen des Arbeitsgesetzes],MATCH($B221,tab_MinKomp[[Stanowisko / Position ]:[Stanowisko / Position ]],0))="n/a","n/a",L221-INDEX(tab_MinKomp[Przepisy kodeksu pracy / Bestimmungen des Arbeitsgesetzes],MATCH($B221,tab_MinKomp[[Stanowisko / Position ]:[Stanowisko / Position ]],0)))</f>
        <v>0</v>
      </c>
      <c r="M222" s="344" t="str">
        <f>IF(INDEX(tab_MinKomp[Przepisy o ub.społ. ZUS  / Sozialversicherungsvorschriften],MATCH($B221,tab_MinKomp[[Stanowisko / Position ]:[Stanowisko / Position ]],0))="n/a","n/a",M221-INDEX(tab_MinKomp[Przepisy o ub.społ. ZUS  / Sozialversicherungsvorschriften],MATCH($B221,tab_MinKomp[[Stanowisko / Position ]:[Stanowisko / Position ]],0)))</f>
        <v>n/a</v>
      </c>
      <c r="N222" s="343" t="str">
        <f>IF(INDEX(tab_MinKomp[PRZEPISY O PDOF /persönlich Einkommensteuergesetz ],MATCH($B221,tab_MinKomp[[Stanowisko / Position ]:[Stanowisko / Position ]],0))="n/a","n/a",N221-INDEX(tab_MinKomp[PRZEPISY O PDOF /persönlich Einkommensteuergesetz ],MATCH($B221,tab_MinKomp[[Stanowisko / Position ]:[Stanowisko / Position ]],0)))</f>
        <v>n/a</v>
      </c>
      <c r="O222" s="343">
        <f>IF(INDEX(tab_MinKomp[Regulamin pracy / Arbeitsordnung],MATCH($B221,tab_MinKomp[[Stanowisko / Position ]:[Stanowisko / Position ]],0))="n/a","n/a",O221-INDEX(tab_MinKomp[Regulamin pracy / Arbeitsordnung],MATCH($B221,tab_MinKomp[[Stanowisko / Position ]:[Stanowisko / Position ]],0)))</f>
        <v>0</v>
      </c>
      <c r="P222" s="343">
        <f>IF(INDEX(tab_MinKomp[Regulamin wynagradzania / Vergütungsordnung],MATCH($B221,tab_MinKomp[[Stanowisko / Position ]:[Stanowisko / Position ]],0))="n/a","n/a",P221-INDEX(tab_MinKomp[Regulamin wynagradzania / Vergütungsordnung],MATCH($B221,tab_MinKomp[[Stanowisko / Position ]:[Stanowisko / Position ]],0)))</f>
        <v>0</v>
      </c>
      <c r="Q222" s="343" t="str">
        <f>IF(INDEX(tab_MinKomp[System R2PŁATNIK PRO: Płace / Lohnabrechnung],MATCH($B221,tab_MinKomp[[Stanowisko / Position ]:[Stanowisko / Position ]],0))="n/a","n/a",Q221-INDEX(tab_MinKomp[System R2PŁATNIK PRO: Płace / Lohnabrechnung],MATCH($B221,tab_MinKomp[[Stanowisko / Position ]:[Stanowisko / Position ]],0)))</f>
        <v>n/a</v>
      </c>
      <c r="R222" s="343" t="str">
        <f>IF(INDEX(tab_MinKomp[SystemR2PŁATNIK PRO: KADRY / Personaldaten],MATCH($B221,tab_MinKomp[[Stanowisko / Position ]:[Stanowisko / Position ]],0))="n/a","n/a",R221-INDEX(tab_MinKomp[SystemR2PŁATNIK PRO: KADRY / Personaldaten],MATCH($B221,tab_MinKomp[[Stanowisko / Position ]:[Stanowisko / Position ]],0)))</f>
        <v>n/a</v>
      </c>
      <c r="S222" s="343" t="str">
        <f>IF(INDEX(tab_MinKomp[SYSTEM R2PŁATNIK PRO: zarządzanie pracownikami / Arbeitsverwaltung],MATCH($B221,tab_MinKomp[[Stanowisko / Position ]:[Stanowisko / Position ]],0))="n/a","n/a",S221-INDEX(tab_MinKomp[SYSTEM R2PŁATNIK PRO: zarządzanie pracownikami / Arbeitsverwaltung],MATCH($B221,tab_MinKomp[[Stanowisko / Position ]:[Stanowisko / Position ]],0)))</f>
        <v>n/a</v>
      </c>
      <c r="T222" s="343">
        <f>IF(INDEX(tab_MinKomp[Doradztwo, wsparcie personalne / Personalberatung und Unterstützung],MATCH($B221,tab_MinKomp[[Stanowisko / Position ]:[Stanowisko / Position ]],0))="n/a","n/a",T221-INDEX(tab_MinKomp[Doradztwo, wsparcie personalne / Personalberatung und Unterstützung],MATCH($B221,tab_MinKomp[[Stanowisko / Position ]:[Stanowisko / Position ]],0)))</f>
        <v>0</v>
      </c>
      <c r="U222" s="343" t="str">
        <f>IF(INDEX(tab_MinKomp[Przepisy o podatku VAT / MwSt.- Gesetz],MATCH($B221,tab_MinKomp[[Stanowisko / Position ]:[Stanowisko / Position ]],0))="n/a","n/a",U221-INDEX(tab_MinKomp[Przepisy o podatku VAT / MwSt.- Gesetz],MATCH($B221,tab_MinKomp[[Stanowisko / Position ]:[Stanowisko / Position ]],0)))</f>
        <v>n/a</v>
      </c>
      <c r="V222" s="343" t="str">
        <f>IF(INDEX(tab_MinKomp[PrzepisyPDOP / geschäftlich Einkommensteuergesetz],MATCH($B221,tab_MinKomp[[Stanowisko / Position ]:[Stanowisko / Position ]],0))="n/a","n/a",V221-INDEX(tab_MinKomp[PrzepisyPDOP / geschäftlich Einkommensteuergesetz],MATCH($B221,tab_MinKomp[[Stanowisko / Position ]:[Stanowisko / Position ]],0)))</f>
        <v>n/a</v>
      </c>
      <c r="W222" s="343" t="str">
        <f>IF(INDEX(tab_MinKomp[System BAAN / FINANSE (FIBU)],MATCH($B221,tab_MinKomp[[Stanowisko / Position ]:[Stanowisko / Position ]],0))="n/a","n/a",W221-INDEX(tab_MinKomp[System BAAN / FINANSE (FIBU)],MATCH($B221,tab_MinKomp[[Stanowisko / Position ]:[Stanowisko / Position ]],0)))</f>
        <v>n/a</v>
      </c>
      <c r="X222" s="343" t="str">
        <f>IF(INDEX(tab_MinKomp[Systemy pomocnicze / Hilfssysteme(STOCKPROGRAM, KALK2000 etc.)],MATCH($B221,tab_MinKomp[[Stanowisko / Position ]:[Stanowisko / Position ]],0))="n/a","n/a",X221-INDEX(tab_MinKomp[Systemy pomocnicze / Hilfssysteme(STOCKPROGRAM, KALK2000 etc.)],MATCH($B221,tab_MinKomp[[Stanowisko / Position ]:[Stanowisko / Position ]],0)))</f>
        <v>n/a</v>
      </c>
      <c r="Y222" s="343" t="str">
        <f>IF(INDEX(tab_MinKomp[Polityka rachunkowości / Buchführungspolitik],MATCH($B221,tab_MinKomp[[Stanowisko / Position ]:[Stanowisko / Position ]],0))="n/a","n/a",Y221-INDEX(tab_MinKomp[Polityka rachunkowości / Buchführungspolitik],MATCH($B221,tab_MinKomp[[Stanowisko / Position ]:[Stanowisko / Position ]],0)))</f>
        <v>n/a</v>
      </c>
      <c r="Z222" s="343" t="str">
        <f>IF(INDEX(tab_MinKomp[Ustawa o rachunkowości / Rechnungslegungsgesetz],MATCH($B221,tab_MinKomp[[Stanowisko / Position ]:[Stanowisko / Position ]],0))="n/a","n/a",Z221-INDEX(tab_MinKomp[Ustawa o rachunkowości / Rechnungslegungsgesetz],MATCH($B221,tab_MinKomp[[Stanowisko / Position ]:[Stanowisko / Position ]],0)))</f>
        <v>n/a</v>
      </c>
      <c r="AA222" s="343" t="str">
        <f>IF(INDEX(tab_MinKomp[WORKFLOW - TS-100],MATCH($B221,tab_MinKomp[[Stanowisko / Position ]:[Stanowisko / Position ]],0))="n/a","n/a",AA221-INDEX(tab_MinKomp[WORKFLOW - TS-100],MATCH($B221,tab_MinKomp[[Stanowisko / Position ]:[Stanowisko / Position ]],0)))</f>
        <v>n/a</v>
      </c>
      <c r="AB222" s="343" t="str">
        <f>IF(INDEX(tab_MinKomp[WORKFLOW - SFMS],MATCH($B221,tab_MinKomp[[Stanowisko / Position ]:[Stanowisko / Position ]],0))="n/a","n/a",AB221-INDEX(tab_MinKomp[WORKFLOW - SFMS],MATCH($B221,tab_MinKomp[[Stanowisko / Position ]:[Stanowisko / Position ]],0)))</f>
        <v>n/a</v>
      </c>
      <c r="AC222" s="343" t="str">
        <f>IF(INDEX(tab_MinKomp[System ISO 9001:2015],MATCH($B221,tab_MinKomp[[Stanowisko / Position ]:[Stanowisko / Position ]],0))="n/a","n/a",AC221-INDEX(tab_MinKomp[System ISO 9001:2015],MATCH($B221,tab_MinKomp[[Stanowisko / Position ]:[Stanowisko / Position ]],0)))</f>
        <v>n/a</v>
      </c>
      <c r="AD222" s="343" t="str">
        <f>IF(INDEX(tab_MinKomp[System IATF 16949:2016],MATCH($B221,tab_MinKomp[[Stanowisko / Position ]:[Stanowisko / Position ]],0))="n/a","n/a",AD221-INDEX(tab_MinKomp[System IATF 16949:2016],MATCH($B221,tab_MinKomp[[Stanowisko / Position ]:[Stanowisko / Position ]],0)))</f>
        <v>n/a</v>
      </c>
      <c r="AE222" s="343" t="str">
        <f>IF(INDEX(tab_MinKomp[System ISO 14001:2015],MATCH($B221,tab_MinKomp[[Stanowisko / Position ]:[Stanowisko / Position ]],0))="n/a","n/a",AE221-INDEX(tab_MinKomp[System ISO 14001:2015],MATCH($B221,tab_MinKomp[[Stanowisko / Position ]:[Stanowisko / Position ]],0)))</f>
        <v>n/a</v>
      </c>
      <c r="AF222" s="343" t="str">
        <f>IF(INDEX(tab_MinKomp[System PN-N 18001:2004 / ISO 45001:2018],MATCH($B221,tab_MinKomp[[Stanowisko / Position ]:[Stanowisko / Position ]],0))="n/a","n/a",AF221-INDEX(tab_MinKomp[System PN-N 18001:2004 / ISO 45001:2018],MATCH($B221,tab_MinKomp[[Stanowisko / Position ]:[Stanowisko / Position ]],0)))</f>
        <v>n/a</v>
      </c>
      <c r="AG222" s="343" t="str">
        <f>IF(INDEX(tab_MinKomp[Wymagania VDA 6.3 Process / Forderungen],MATCH($B221,tab_MinKomp[[Stanowisko / Position ]:[Stanowisko / Position ]],0))="n/a","n/a",AG221-INDEX(tab_MinKomp[Wymagania VDA 6.3 Process / Forderungen],MATCH($B221,tab_MinKomp[[Stanowisko / Position ]:[Stanowisko / Position ]],0)))</f>
        <v>n/a</v>
      </c>
      <c r="AH222" s="343" t="str">
        <f>IF(INDEX(tab_MinKomp[Wymagania VDA 6.5 Product / Forderungen],MATCH($B221,tab_MinKomp[[Stanowisko / Position ]:[Stanowisko / Position ]],0))="n/a","n/a",AH221-INDEX(tab_MinKomp[Wymagania VDA 6.5 Product / Forderungen],MATCH($B221,tab_MinKomp[[Stanowisko / Position ]:[Stanowisko / Position ]],0)))</f>
        <v>n/a</v>
      </c>
      <c r="AI222" s="343" t="str">
        <f>IF(INDEX(tab_MinKomp[PSCR (VW Product Safety &amp; Conformity Representative)],MATCH($B221,tab_MinKomp[[Stanowisko / Position ]:[Stanowisko / Position ]],0))="n/a","n/a",AI221-INDEX(tab_MinKomp[PSCR (VW Product Safety &amp; Conformity Representative)],MATCH($B221,tab_MinKomp[[Stanowisko / Position ]:[Stanowisko / Position ]],0)))</f>
        <v>n/a</v>
      </c>
      <c r="AJ222" s="343" t="str">
        <f>IF(INDEX(tab_MinKomp[Auditor systemu ISO 17025:2018],MATCH($B221,tab_MinKomp[[Stanowisko / Position ]:[Stanowisko / Position ]],0))="n/a","n/a",AJ221-INDEX(tab_MinKomp[Auditor systemu ISO 17025:2018],MATCH($B221,tab_MinKomp[[Stanowisko / Position ]:[Stanowisko / Position ]],0)))</f>
        <v>n/a</v>
      </c>
      <c r="AK222" s="343" t="str">
        <f>IF(INDEX(tab_MinKomp[Pełnomocnik systemu / Systemvertreter],MATCH($B221,tab_MinKomp[[Stanowisko / Position ]:[Stanowisko / Position ]],0))="n/a","n/a",AK221-INDEX(tab_MinKomp[Pełnomocnik systemu / Systemvertreter],MATCH($B221,tab_MinKomp[[Stanowisko / Position ]:[Stanowisko / Position ]],0)))</f>
        <v>n/a</v>
      </c>
      <c r="AL222" s="343" t="str">
        <f>IF(INDEX(tab_MinKomp[Polityka Etyczna - Compliance],MATCH($B221,tab_MinKomp[[Stanowisko / Position ]:[Stanowisko / Position ]],0))="n/a","n/a",AL221-INDEX(tab_MinKomp[Polityka Etyczna - Compliance],MATCH($B221,tab_MinKomp[[Stanowisko / Position ]:[Stanowisko / Position ]],0)))</f>
        <v>n/a</v>
      </c>
      <c r="AM222" s="343" t="str">
        <f>IF(INDEX(tab_MinKomp[WDRAŻANIE NOWYCH PROJEKTÓW/ PROCEDURA CTM],MATCH($B221,tab_MinKomp[[Stanowisko / Position ]:[Stanowisko / Position ]],0))="n/a","n/a",AM221-INDEX(tab_MinKomp[WDRAŻANIE NOWYCH PROJEKTÓW/ PROCEDURA CTM],MATCH($B221,tab_MinKomp[[Stanowisko / Position ]:[Stanowisko / Position ]],0)))</f>
        <v>n/a</v>
      </c>
      <c r="AN222" s="343" t="str">
        <f>IF(INDEX(tab_MinKomp[KAMIENIE MILOWE MSL/PIFF],MATCH($B221,tab_MinKomp[[Stanowisko / Position ]:[Stanowisko / Position ]],0))="n/a","n/a",AN221-INDEX(tab_MinKomp[KAMIENIE MILOWE MSL/PIFF],MATCH($B221,tab_MinKomp[[Stanowisko / Position ]:[Stanowisko / Position ]],0)))</f>
        <v>n/a</v>
      </c>
      <c r="AO222" s="343">
        <f>IF(INDEX(tab_MinKomp[CP],MATCH($B221,tab_MinKomp[[Stanowisko / Position ]:[Stanowisko / Position ]],0))="n/a","n/a",AO221-INDEX(tab_MinKomp[CP],MATCH($B221,tab_MinKomp[[Stanowisko / Position ]:[Stanowisko / Position ]],0)))</f>
        <v>-1</v>
      </c>
      <c r="AP222" s="343" t="str">
        <f>IF(INDEX(tab_MinKomp[FMEA],MATCH($B221,tab_MinKomp[[Stanowisko / Position ]:[Stanowisko / Position ]],0))="n/a","n/a",AP221-INDEX(tab_MinKomp[FMEA],MATCH($B221,tab_MinKomp[[Stanowisko / Position ]:[Stanowisko / Position ]],0)))</f>
        <v>n/a</v>
      </c>
      <c r="AQ222" s="343">
        <f>IF(INDEX(tab_MinKomp[FLOW CHART],MATCH($B221,tab_MinKomp[[Stanowisko / Position ]:[Stanowisko / Position ]],0))="n/a","n/a",AQ221-INDEX(tab_MinKomp[FLOW CHART],MATCH($B221,tab_MinKomp[[Stanowisko / Position ]:[Stanowisko / Position ]],0)))</f>
        <v>0</v>
      </c>
      <c r="AR222" s="343" t="str">
        <f>IF(INDEX(tab_MinKomp[APQP],MATCH($B221,tab_MinKomp[[Stanowisko / Position ]:[Stanowisko / Position ]],0))="n/a","n/a",AR221-INDEX(tab_MinKomp[APQP],MATCH($B221,tab_MinKomp[[Stanowisko / Position ]:[Stanowisko / Position ]],0)))</f>
        <v>n/a</v>
      </c>
      <c r="AS222" s="343" t="str">
        <f>IF(INDEX(tab_MinKomp[MSA],MATCH($B221,tab_MinKomp[[Stanowisko / Position ]:[Stanowisko / Position ]],0))="n/a","n/a",AS221-INDEX(tab_MinKomp[MSA],MATCH($B221,tab_MinKomp[[Stanowisko / Position ]:[Stanowisko / Position ]],0)))</f>
        <v>n/a</v>
      </c>
      <c r="AT222" s="343" t="str">
        <f>IF(INDEX(tab_MinKomp[SPC],MATCH($B221,tab_MinKomp[[Stanowisko / Position ]:[Stanowisko / Position ]],0))="n/a","n/a",AT221-INDEX(tab_MinKomp[SPC],MATCH($B221,tab_MinKomp[[Stanowisko / Position ]:[Stanowisko / Position ]],0)))</f>
        <v>n/a</v>
      </c>
      <c r="AU222" s="343">
        <f>IF(INDEX(tab_MinKomp[CSR (SPECYFICZNE WYMAGANIA KLIENTA)],MATCH($B221,tab_MinKomp[[Stanowisko / Position ]:[Stanowisko / Position ]],0))="n/a","n/a",AU221-INDEX(tab_MinKomp[CSR (SPECYFICZNE WYMAGANIA KLIENTA)],MATCH($B221,tab_MinKomp[[Stanowisko / Position ]:[Stanowisko / Position ]],0)))</f>
        <v>0</v>
      </c>
      <c r="AV222" s="343">
        <f>IF(INDEX(tab_MinKomp[5S],MATCH($B221,tab_MinKomp[[Stanowisko / Position ]:[Stanowisko / Position ]],0))="n/a","n/a",AV221-INDEX(tab_MinKomp[5S],MATCH($B221,tab_MinKomp[[Stanowisko / Position ]:[Stanowisko / Position ]],0)))</f>
        <v>0</v>
      </c>
      <c r="AW222" s="343">
        <f>IF(INDEX(tab_MinKomp[LEAN MANAGEMENT],MATCH($B221,tab_MinKomp[[Stanowisko / Position ]:[Stanowisko / Position ]],0))="n/a","n/a",AW221-INDEX(tab_MinKomp[LEAN MANAGEMENT],MATCH($B221,tab_MinKomp[[Stanowisko / Position ]:[Stanowisko / Position ]],0)))</f>
        <v>0</v>
      </c>
      <c r="AX222" s="343" t="str">
        <f>IF(INDEX(tab_MinKomp[5R],MATCH($B221,tab_MinKomp[[Stanowisko / Position ]:[Stanowisko / Position ]],0))="n/a","n/a",AX221-INDEX(tab_MinKomp[5R],MATCH($B221,tab_MinKomp[[Stanowisko / Position ]:[Stanowisko / Position ]],0)))</f>
        <v>n/a</v>
      </c>
      <c r="AY222" s="343" t="str">
        <f>IF(INDEX(tab_MinKomp[Six Sigma],MATCH($B221,tab_MinKomp[[Stanowisko / Position ]:[Stanowisko / Position ]],0))="n/a","n/a",AY221-INDEX(tab_MinKomp[Six Sigma],MATCH($B221,tab_MinKomp[[Stanowisko / Position ]:[Stanowisko / Position ]],0)))</f>
        <v>n/a</v>
      </c>
      <c r="AZ222" s="343" t="str">
        <f>IF(INDEX(tab_MinKomp[System BAAN / Distribution &amp; Supply Chain],MATCH($B221,tab_MinKomp[[Stanowisko / Position ]:[Stanowisko / Position ]],0))="n/a","n/a",AZ221-INDEX(tab_MinKomp[System BAAN / Distribution &amp; Supply Chain],MATCH($B221,tab_MinKomp[[Stanowisko / Position ]:[Stanowisko / Position ]],0)))</f>
        <v>n/a</v>
      </c>
      <c r="BA222" s="343">
        <f>IF(INDEX(tab_MinKomp[Gospodarka magazynowa / Lagerverwaltung],MATCH($B221,tab_MinKomp[[Stanowisko / Position ]:[Stanowisko / Position ]],0))="n/a","n/a",BA221-INDEX(tab_MinKomp[Gospodarka magazynowa / Lagerverwaltung],MATCH($B221,tab_MinKomp[[Stanowisko / Position ]:[Stanowisko / Position ]],0)))</f>
        <v>0</v>
      </c>
      <c r="BB222" s="343">
        <f>IF(INDEX(tab_MinKomp[Inwentaryzacja - organizacja i przebieg / Inventurprozess],MATCH($B221,tab_MinKomp[[Stanowisko / Position ]:[Stanowisko / Position ]],0))="n/a","n/a",BB221-INDEX(tab_MinKomp[Inwentaryzacja - organizacja i przebieg / Inventurprozess],MATCH($B221,tab_MinKomp[[Stanowisko / Position ]:[Stanowisko / Position ]],0)))</f>
        <v>1</v>
      </c>
      <c r="BC222" s="343" t="str">
        <f>IF(INDEX(tab_MinKomp[Organizacja dostaw / Versorgungsorganisation],MATCH($B221,tab_MinKomp[[Stanowisko / Position ]:[Stanowisko / Position ]],0))="n/a","n/a",BC221-INDEX(tab_MinKomp[Organizacja dostaw / Versorgungsorganisation],MATCH($B221,tab_MinKomp[[Stanowisko / Position ]:[Stanowisko / Position ]],0)))</f>
        <v>n/a</v>
      </c>
      <c r="BD222" s="343" t="str">
        <f>IF(INDEX(tab_MinKomp[Organizacja wysyłek / Organisation von Lieferungen],MATCH($B221,tab_MinKomp[[Stanowisko / Position ]:[Stanowisko / Position ]],0))="n/a","n/a",BD221-INDEX(tab_MinKomp[Organizacja wysyłek / Organisation von Lieferungen],MATCH($B221,tab_MinKomp[[Stanowisko / Position ]:[Stanowisko / Position ]],0)))</f>
        <v>n/a</v>
      </c>
      <c r="BE222" s="343" t="str">
        <f>IF(INDEX(tab_MinKomp[Analiza magazynowa - Program Polen.mdb / Inventuranalyse],MATCH($B221,tab_MinKomp[[Stanowisko / Position ]:[Stanowisko / Position ]],0))="n/a","n/a",BE221-INDEX(tab_MinKomp[Analiza magazynowa - Program Polen.mdb / Inventuranalyse],MATCH($B221,tab_MinKomp[[Stanowisko / Position ]:[Stanowisko / Position ]],0)))</f>
        <v>n/a</v>
      </c>
      <c r="BF222" s="315" t="str">
        <f>IF(INDEX(tab_MinKomp[MMOG (Materials Management Operations Guidelines)],MATCH($B221,tab_MinKomp[[Stanowisko / Position ]:[Stanowisko / Position ]],0))="n/a","n/a",BF221-INDEX(tab_MinKomp[MMOG (Materials Management Operations Guidelines)],MATCH($B221,tab_MinKomp[[Stanowisko / Position ]:[Stanowisko / Position ]],0)))</f>
        <v>n/a</v>
      </c>
      <c r="BG222" s="315" t="str">
        <f>IF(INDEX(tab_MinKomp[GPP],MATCH($B221,tab_MinKomp[[Stanowisko / Position ]:[Stanowisko / Position ]],0))="n/a","n/a",BG221-INDEX(tab_MinKomp[GPP],MATCH($B221,tab_MinKomp[[Stanowisko / Position ]:[Stanowisko / Position ]],0)))</f>
        <v>n/a</v>
      </c>
      <c r="BH222" s="315" t="str">
        <f>IF(INDEX(tab_MinKomp[AIAG (Automotive Industry Action Group)],MATCH($B221,tab_MinKomp[[Stanowisko / Position ]:[Stanowisko / Position ]],0))="n/a","n/a",BH221-INDEX(tab_MinKomp[AIAG (Automotive Industry Action Group)],MATCH($B221,tab_MinKomp[[Stanowisko / Position ]:[Stanowisko / Position ]],0)))</f>
        <v>n/a</v>
      </c>
      <c r="BI222" s="315" t="str">
        <f>IF(INDEX(tab_MinKomp[Super-G disputes],MATCH($B221,tab_MinKomp[[Stanowisko / Position ]:[Stanowisko / Position ]],0))="n/a","n/a",BI221-INDEX(tab_MinKomp[Super-G disputes],MATCH($B221,tab_MinKomp[[Stanowisko / Position ]:[Stanowisko / Position ]],0)))</f>
        <v>n/a</v>
      </c>
      <c r="BJ222" s="315" t="str">
        <f>IF(INDEX(tab_MinKomp[CMMS3/eDDL (Direct Data Link)],MATCH($B221,tab_MinKomp[[Stanowisko / Position ]:[Stanowisko / Position ]],0))="n/a","n/a",BJ221-INDEX(tab_MinKomp[CMMS3/eDDL (Direct Data Link)],MATCH($B221,tab_MinKomp[[Stanowisko / Position ]:[Stanowisko / Position ]],0)))</f>
        <v>n/a</v>
      </c>
      <c r="BK222" s="315" t="str">
        <f>IF(INDEX(tab_MinKomp[MP&amp;L (Material Planning and Logistics)],MATCH($B221,tab_MinKomp[[Stanowisko / Position ]:[Stanowisko / Position ]],0))="n/a","n/a",BK221-INDEX(tab_MinKomp[MP&amp;L (Material Planning and Logistics)],MATCH($B221,tab_MinKomp[[Stanowisko / Position ]:[Stanowisko / Position ]],0)))</f>
        <v>n/a</v>
      </c>
      <c r="BL222" s="315" t="str">
        <f>IF(INDEX(tab_MinKomp[Supplier delivery rating],MATCH($B221,tab_MinKomp[[Stanowisko / Position ]:[Stanowisko / Position ]],0))="n/a","n/a",BL221-INDEX(tab_MinKomp[Supplier delivery rating],MATCH($B221,tab_MinKomp[[Stanowisko / Position ]:[Stanowisko / Position ]],0)))</f>
        <v>n/a</v>
      </c>
      <c r="BM222" s="343">
        <f>IF(INDEX(tab_MinKomp[Planowanie produkcji / Produktionsplanung],MATCH($B221,tab_MinKomp[[Stanowisko / Position ]:[Stanowisko / Position ]],0))="n/a","n/a",BM221-INDEX(tab_MinKomp[Planowanie produkcji / Produktionsplanung],MATCH($B221,tab_MinKomp[[Stanowisko / Position ]:[Stanowisko / Position ]],0)))</f>
        <v>0</v>
      </c>
      <c r="BN222" s="343" t="str">
        <f>IF(INDEX(tab_MinKomp[Obsługa maszyn Engel / Engel Maschinenbedienung],MATCH($B221,tab_MinKomp[[Stanowisko / Position ]:[Stanowisko / Position ]],0))="n/a","n/a",BN221-INDEX(tab_MinKomp[Obsługa maszyn Engel / Engel Maschinenbedienung],MATCH($B221,tab_MinKomp[[Stanowisko / Position ]:[Stanowisko / Position ]],0)))</f>
        <v>n/a</v>
      </c>
      <c r="BO222" s="343" t="str">
        <f>IF(INDEX(tab_MinKomp[Obsługa maszyn KVT / KVT Maschinenbedienung],MATCH($B221,tab_MinKomp[[Stanowisko / Position ]:[Stanowisko / Position ]],0))="n/a","n/a",BO221-INDEX(tab_MinKomp[Obsługa maszyn KVT / KVT Maschinenbedienung],MATCH($B221,tab_MinKomp[[Stanowisko / Position ]:[Stanowisko / Position ]],0)))</f>
        <v>n/a</v>
      </c>
      <c r="BP222" s="343" t="str">
        <f>IF(INDEX(tab_MinKomp[Obsługa maszyn KVT / KVT Maschinenbedienung],MATCH($B221,tab_MinKomp[[Stanowisko / Position ]:[Stanowisko / Position ]],0))="n/a","n/a",BP221-INDEX(tab_MinKomp[Obsługa maszyn KVT / KVT Maschinenbedienung],MATCH($B221,tab_MinKomp[[Stanowisko / Position ]:[Stanowisko / Position ]],0)))</f>
        <v>n/a</v>
      </c>
      <c r="BQ222" s="343" t="str">
        <f>IF(INDEX(tab_MinKomp[Obsługa maszyn ASL / ASL Maschinenbedienung],MATCH($B221,tab_MinKomp[[Stanowisko / Position ]:[Stanowisko / Position ]],0))="n/a","n/a",BQ221-INDEX(tab_MinKomp[Obsługa maszyn ASL / ASL Maschinenbedienung],MATCH($B221,tab_MinKomp[[Stanowisko / Position ]:[Stanowisko / Position ]],0)))</f>
        <v>n/a</v>
      </c>
      <c r="BR222" s="343" t="str">
        <f>IF(INDEX(tab_MinKomp[Obsługa maszyn Branson / Branson Maschinenbedienung],MATCH($B221,tab_MinKomp[[Stanowisko / Position ]:[Stanowisko / Position ]],0))="n/a","n/a",BR221-INDEX(tab_MinKomp[Obsługa maszyn Branson / Branson Maschinenbedienung],MATCH($B221,tab_MinKomp[[Stanowisko / Position ]:[Stanowisko / Position ]],0)))</f>
        <v>n/a</v>
      </c>
      <c r="BS222" s="343">
        <f>IF(INDEX(tab_MinKomp[Obsługa maszyn Novapax / Novapax Maschinenbedienung],MATCH($B221,tab_MinKomp[[Stanowisko / Position ]:[Stanowisko / Position ]],0))="n/a","n/a",BS221-INDEX(tab_MinKomp[Obsługa maszyn Novapax / Novapax Maschinenbedienung],MATCH($B221,tab_MinKomp[[Stanowisko / Position ]:[Stanowisko / Position ]],0)))</f>
        <v>0</v>
      </c>
      <c r="BT222" s="343" t="str">
        <f>IF(INDEX(tab_MinKomp[Obsługa maszyn Piovan / Piovan Maschinenbedienung],MATCH($B221,tab_MinKomp[[Stanowisko / Position ]:[Stanowisko / Position ]],0))="n/a","n/a",BT221-INDEX(tab_MinKomp[Obsługa maszyn Piovan / Piovan Maschinenbedienung],MATCH($B221,tab_MinKomp[[Stanowisko / Position ]:[Stanowisko / Position ]],0)))</f>
        <v>n/a</v>
      </c>
      <c r="BU222" s="343">
        <f>IF(INDEX(tab_MinKomp[Obsługa maszyn Novapax / Novapax Maschinenbedienung],MATCH($B221,tab_MinKomp[[Stanowisko / Position ]:[Stanowisko / Position ]],0))="n/a","n/a",BU221-INDEX(tab_MinKomp[Obsługa maszyn Novapax / Novapax Maschinenbedienung],MATCH($B221,tab_MinKomp[[Stanowisko / Position ]:[Stanowisko / Position ]],0)))</f>
        <v>0</v>
      </c>
      <c r="BV222" s="343">
        <f>IF(INDEX(tab_MinKomp[Eliminacja awarii / Beseitigung von Ausfällen],MATCH($B221,tab_MinKomp[[Stanowisko / Position ]:[Stanowisko / Position ]],0))="n/a","n/a",BV221-INDEX(tab_MinKomp[Eliminacja awarii / Beseitigung von Ausfällen],MATCH($B221,tab_MinKomp[[Stanowisko / Position ]:[Stanowisko / Position ]],0)))</f>
        <v>0</v>
      </c>
      <c r="BW222" s="343" t="str">
        <f>IF(INDEX(tab_MinKomp[Informatyka ogólna (techniczne i systemowe) / Allgemeine IT (Technik und System)],MATCH($B221,tab_MinKomp[[Stanowisko / Position ]:[Stanowisko / Position ]],0))="n/a","n/a",BW221-INDEX(tab_MinKomp[Informatyka ogólna (techniczne i systemowe) / Allgemeine IT (Technik und System)],MATCH($B221,tab_MinKomp[[Stanowisko / Position ]:[Stanowisko / Position ]],0)))</f>
        <v>n/a</v>
      </c>
      <c r="BX222" s="343" t="str">
        <f>IF(INDEX(tab_MinKomp[Sieci komputerowe / Computernetzwerke],MATCH($B221,tab_MinKomp[[Stanowisko / Position ]:[Stanowisko / Position ]],0))="n/a","n/a",BX221-INDEX(tab_MinKomp[Sieci komputerowe / Computernetzwerke],MATCH($B221,tab_MinKomp[[Stanowisko / Position ]:[Stanowisko / Position ]],0)))</f>
        <v>n/a</v>
      </c>
      <c r="BY222" s="343" t="str">
        <f>IF(INDEX(tab_MinKomp[Hardware (komputery PC, drukarki biurowe i etykietowe, telefonia stacjonarna i mobilna) (PC, Drucker, Telefpne, Handys)],MATCH($B221,tab_MinKomp[[Stanowisko / Position ]:[Stanowisko / Position ]],0))="n/a","n/a",BY221-INDEX(tab_MinKomp[Hardware (komputery PC, drukarki biurowe i etykietowe, telefonia stacjonarna i mobilna) (PC, Drucker, Telefpne, Handys)],MATCH($B221,tab_MinKomp[[Stanowisko / Position ]:[Stanowisko / Position ]],0)))</f>
        <v>n/a</v>
      </c>
      <c r="BZ222" s="343" t="str">
        <f>IF(INDEX(tab_MinKomp[Software &amp; Systems (MS Office, MS Remote Desktop)],MATCH($B221,tab_MinKomp[[Stanowisko / Position ]:[Stanowisko / Position ]],0))="n/a","n/a",BZ221-INDEX(tab_MinKomp[Software &amp; Systems (MS Office, MS Remote Desktop)],MATCH($B221,tab_MinKomp[[Stanowisko / Position ]:[Stanowisko / Position ]],0)))</f>
        <v>n/a</v>
      </c>
      <c r="CA222" s="343" t="str">
        <f>IF(INDEX(tab_MinKomp[Programowanie obiektowe (PHP) / Objektprogrammierung],MATCH($B221,tab_MinKomp[[Stanowisko / Position ]:[Stanowisko / Position ]],0))="n/a","n/a",CA221-INDEX(tab_MinKomp[Programowanie obiektowe (PHP) / Objektprogrammierung],MATCH($B221,tab_MinKomp[[Stanowisko / Position ]:[Stanowisko / Position ]],0)))</f>
        <v>n/a</v>
      </c>
      <c r="CB222" s="343" t="str">
        <f>IF(INDEX(tab_MinKomp[Scrum],MATCH($B221,tab_MinKomp[[Stanowisko / Position ]:[Stanowisko / Position ]],0))="n/a","n/a",CB221-INDEX(tab_MinKomp[Scrum],MATCH($B221,tab_MinKomp[[Stanowisko / Position ]:[Stanowisko / Position ]],0)))</f>
        <v>n/a</v>
      </c>
      <c r="CC222" s="343" t="str">
        <f>IF(INDEX(tab_MinKomp[SQL (MySQL)],MATCH($B221,tab_MinKomp[[Stanowisko / Position ]:[Stanowisko / Position ]],0))="n/a","n/a",CC221-INDEX(tab_MinKomp[SQL (MySQL)],MATCH($B221,tab_MinKomp[[Stanowisko / Position ]:[Stanowisko / Position ]],0)))</f>
        <v>n/a</v>
      </c>
      <c r="CD222" s="343" t="str">
        <f>IF(INDEX(tab_MinKomp[Javascript],MATCH($B221,tab_MinKomp[[Stanowisko / Position ]:[Stanowisko / Position ]],0))="n/a","n/a",CD221-INDEX(tab_MinKomp[Javascript],MATCH($B221,tab_MinKomp[[Stanowisko / Position ]:[Stanowisko / Position ]],0)))</f>
        <v>n/a</v>
      </c>
      <c r="CE222" s="343" t="str">
        <f>IF(INDEX(tab_MinKomp[Joomla],MATCH($B221,tab_MinKomp[[Stanowisko / Position ]:[Stanowisko / Position ]],0))="n/a","n/a",CE221-INDEX(tab_MinKomp[Joomla],MATCH($B221,tab_MinKomp[[Stanowisko / Position ]:[Stanowisko / Position ]],0)))</f>
        <v>n/a</v>
      </c>
      <c r="CF222" s="343" t="str">
        <f>IF(INDEX(tab_MinKomp[Bash],MATCH($B221,tab_MinKomp[[Stanowisko / Position ]:[Stanowisko / Position ]],0))="n/a","n/a",CF221-INDEX(tab_MinKomp[Bash],MATCH($B221,tab_MinKomp[[Stanowisko / Position ]:[Stanowisko / Position ]],0)))</f>
        <v>n/a</v>
      </c>
      <c r="CG222" s="343">
        <f>IF(INDEX(tab_MinKomp[Systemy MES (HYDRA / SFMS)],MATCH($B221,tab_MinKomp[[Stanowisko / Position ]:[Stanowisko / Position ]],0))="n/a","n/a",CG221-INDEX(tab_MinKomp[Systemy MES (HYDRA / SFMS)],MATCH($B221,tab_MinKomp[[Stanowisko / Position ]:[Stanowisko / Position ]],0)))</f>
        <v>0</v>
      </c>
      <c r="CH222" s="343" t="str">
        <f>IF(INDEX(tab_MinKomp[HTML / CSS],MATCH($B221,tab_MinKomp[[Stanowisko / Position ]:[Stanowisko / Position ]],0))="n/a","n/a",CH221-INDEX(tab_MinKomp[HTML / CSS],MATCH($B221,tab_MinKomp[[Stanowisko / Position ]:[Stanowisko / Position ]],0)))</f>
        <v>n/a</v>
      </c>
      <c r="CI222" s="343" t="str">
        <f>IF(INDEX(tab_MinKomp[SYSTEM PR],MATCH($B221,tab_MinKomp[[Stanowisko / Position ]:[Stanowisko / Position ]],0))="n/a","n/a",CI221-INDEX(tab_MinKomp[SYSTEM PR],MATCH($B221,tab_MinKomp[[Stanowisko / Position ]:[Stanowisko / Position ]],0)))</f>
        <v>n/a</v>
      </c>
      <c r="CJ222" s="343" t="str">
        <f>IF(INDEX(tab_MinKomp[System Einkauf XP / EBA],MATCH($B221,tab_MinKomp[[Stanowisko / Position ]:[Stanowisko / Position ]],0))="n/a","n/a",CJ221-INDEX(tab_MinKomp[System Einkauf XP / EBA],MATCH($B221,tab_MinKomp[[Stanowisko / Position ]:[Stanowisko / Position ]],0)))</f>
        <v>n/a</v>
      </c>
      <c r="CK222" s="343" t="str">
        <f>IF(INDEX(tab_MinKomp[Techniki negocjacyjne / Verhandlungstechniken],MATCH($B221,tab_MinKomp[[Stanowisko / Position ]:[Stanowisko / Position ]],0))="n/a","n/a",CK221-INDEX(tab_MinKomp[Techniki negocjacyjne / Verhandlungstechniken],MATCH($B221,tab_MinKomp[[Stanowisko / Position ]:[Stanowisko / Position ]],0)))</f>
        <v>n/a</v>
      </c>
      <c r="CL222" s="343" t="str">
        <f>IF(INDEX(tab_MinKomp[Znajomość rynku branżowego / Kenntnis des Industrie Marktes],MATCH($B221,tab_MinKomp[[Stanowisko / Position ]:[Stanowisko / Position ]],0))="n/a","n/a",CL221-INDEX(tab_MinKomp[Znajomość rynku branżowego / Kenntnis des Industrie Marktes],MATCH($B221,tab_MinKomp[[Stanowisko / Position ]:[Stanowisko / Position ]],0)))</f>
        <v>n/a</v>
      </c>
      <c r="CM222" s="343">
        <f>IF(INDEX(tab_MinKomp[RAPORTY 8D / 8D Berichten],MATCH($B221,tab_MinKomp[[Stanowisko / Position ]:[Stanowisko / Position ]],0))="n/a","n/a",CM221-INDEX(tab_MinKomp[RAPORTY 8D / 8D Berichten],MATCH($B221,tab_MinKomp[[Stanowisko / Position ]:[Stanowisko / Position ]],0)))</f>
        <v>0</v>
      </c>
      <c r="CN222" s="343">
        <f>IF(INDEX(tab_MinKomp[NARZĘDZIA JAKOŚCIOWE (5WHY, Ishikawa, etc) / QS-Werkzeuge],MATCH($B221,tab_MinKomp[[Stanowisko / Position ]:[Stanowisko / Position ]],0))="n/a","n/a",CN221-INDEX(tab_MinKomp[NARZĘDZIA JAKOŚCIOWE (5WHY, Ishikawa, etc) / QS-Werkzeuge],MATCH($B221,tab_MinKomp[[Stanowisko / Position ]:[Stanowisko / Position ]],0)))</f>
        <v>0</v>
      </c>
      <c r="CO222" s="343">
        <f>IF(INDEX(tab_MinKomp[PDCA],MATCH($B221,tab_MinKomp[[Stanowisko / Position ]:[Stanowisko / Position ]],0))="n/a","n/a",CO221-INDEX(tab_MinKomp[PDCA],MATCH($B221,tab_MinKomp[[Stanowisko / Position ]:[Stanowisko / Position ]],0)))</f>
        <v>0</v>
      </c>
      <c r="CP222" s="343">
        <f>IF(INDEX(tab_MinKomp[Pareto],MATCH($B221,tab_MinKomp[[Stanowisko / Position ]:[Stanowisko / Position ]],0))="n/a","n/a",CP221-INDEX(tab_MinKomp[Pareto],MATCH($B221,tab_MinKomp[[Stanowisko / Position ]:[Stanowisko / Position ]],0)))</f>
        <v>0</v>
      </c>
      <c r="CQ222" s="343" t="str">
        <f>IF(INDEX(tab_MinKomp[PPAP/PSW],MATCH($B221,tab_MinKomp[[Stanowisko / Position ]:[Stanowisko / Position ]],0))="n/a","n/a",CQ221-INDEX(tab_MinKomp[PPAP/PSW],MATCH($B221,tab_MinKomp[[Stanowisko / Position ]:[Stanowisko / Position ]],0)))</f>
        <v>n/a</v>
      </c>
      <c r="CR222" s="343" t="str">
        <f>IF(INDEX(tab_MinKomp[SUPPLIER MANAGEMENT],MATCH($B221,tab_MinKomp[[Stanowisko / Position ]:[Stanowisko / Position ]],0))="n/a","n/a",CR221-INDEX(tab_MinKomp[SUPPLIER MANAGEMENT],MATCH($B221,tab_MinKomp[[Stanowisko / Position ]:[Stanowisko / Position ]],0)))</f>
        <v>n/a</v>
      </c>
      <c r="CS222" s="343" t="str">
        <f>IF(INDEX(tab_MinKomp[OBSŁUGA PORTALI KLIENTA / Kundenportale],MATCH($B221,tab_MinKomp[[Stanowisko / Position ]:[Stanowisko / Position ]],0))="n/a","n/a",CS221-INDEX(tab_MinKomp[OBSŁUGA PORTALI KLIENTA / Kundenportale],MATCH($B221,tab_MinKomp[[Stanowisko / Position ]:[Stanowisko / Position ]],0)))</f>
        <v>n/a</v>
      </c>
      <c r="CT222" s="343" t="str">
        <f>IF(INDEX(tab_MinKomp[Obsługa systemu BABTECQ / BABTECQ System],MATCH($B221,tab_MinKomp[[Stanowisko / Position ]:[Stanowisko / Position ]],0))="n/a","n/a",CT221-INDEX(tab_MinKomp[Obsługa systemu BABTECQ / BABTECQ System],MATCH($B221,tab_MinKomp[[Stanowisko / Position ]:[Stanowisko / Position ]],0)))</f>
        <v>n/a</v>
      </c>
      <c r="CU222" s="343" t="str">
        <f>IF(INDEX(tab_MinKomp[Rysunek techniczny / technische Zeichnung],MATCH($B221,tab_MinKomp[[Stanowisko / Position ]:[Stanowisko / Position ]],0))="n/a","n/a",CU221-INDEX(tab_MinKomp[Rysunek techniczny / technische Zeichnung],MATCH($B221,tab_MinKomp[[Stanowisko / Position ]:[Stanowisko / Position ]],0)))</f>
        <v>n/a</v>
      </c>
      <c r="CV222" s="343" t="str">
        <f>IF(INDEX(tab_MinKomp[Kalibracja / Kalibrierung],MATCH($B221,tab_MinKomp[[Stanowisko / Position ]:[Stanowisko / Position ]],0))="n/a","n/a",CV221-INDEX(tab_MinKomp[Kalibracja / Kalibrierung],MATCH($B221,tab_MinKomp[[Stanowisko / Position ]:[Stanowisko / Position ]],0)))</f>
        <v>n/a</v>
      </c>
      <c r="CW222" s="343" t="str">
        <f>IF(INDEX(tab_MinKomp[Rekwalifikacja / Requalifizierung],MATCH($B221,tab_MinKomp[[Stanowisko / Position ]:[Stanowisko / Position ]],0))="n/a","n/a",CW221-INDEX(tab_MinKomp[Rekwalifikacja / Requalifizierung],MATCH($B221,tab_MinKomp[[Stanowisko / Position ]:[Stanowisko / Position ]],0)))</f>
        <v>n/a</v>
      </c>
      <c r="CX222" s="315" t="s">
        <v>176</v>
      </c>
      <c r="CY222" s="315" t="s">
        <v>176</v>
      </c>
      <c r="CZ222" s="315" t="s">
        <v>176</v>
      </c>
      <c r="DA222" s="315" t="s">
        <v>176</v>
      </c>
      <c r="DB222" s="315" t="s">
        <v>176</v>
      </c>
      <c r="DC222" s="315" t="s">
        <v>176</v>
      </c>
      <c r="DD222" s="315" t="s">
        <v>176</v>
      </c>
      <c r="DE222" s="315" t="s">
        <v>176</v>
      </c>
      <c r="DF222" s="315" t="s">
        <v>176</v>
      </c>
      <c r="DG222" s="315" t="s">
        <v>176</v>
      </c>
      <c r="DH222" s="315" t="s">
        <v>176</v>
      </c>
      <c r="DI222" s="315" t="s">
        <v>176</v>
      </c>
      <c r="DJ222" s="315" t="s">
        <v>176</v>
      </c>
      <c r="DK222" s="315" t="s">
        <v>176</v>
      </c>
      <c r="DL222" s="315" t="s">
        <v>176</v>
      </c>
      <c r="DM222" s="315" t="s">
        <v>176</v>
      </c>
      <c r="DN222" s="315" t="s">
        <v>176</v>
      </c>
      <c r="DO222" s="315" t="s">
        <v>176</v>
      </c>
      <c r="DP222" s="315" t="s">
        <v>176</v>
      </c>
      <c r="DQ222" s="315" t="s">
        <v>176</v>
      </c>
      <c r="DR222" s="315" t="s">
        <v>176</v>
      </c>
      <c r="DS222" s="315" t="s">
        <v>176</v>
      </c>
      <c r="DT222" s="315" t="s">
        <v>176</v>
      </c>
      <c r="DU222" s="343" t="str">
        <f>IF(INDEX(tab_MinKomp[MSA i SPC],MATCH($B221,tab_MinKomp[[Stanowisko / Position ]:[Stanowisko / Position ]],0))="n/a","n/a",DU221-INDEX(tab_MinKomp[MSA i SPC],MATCH($B221,tab_MinKomp[[Stanowisko / Position ]:[Stanowisko / Position ]],0)))</f>
        <v>n/a</v>
      </c>
      <c r="DV222" s="343" t="str">
        <f>IF(INDEX(tab_MinKomp[Kontrola wejściowa komponentów/ Eingangskontrolle],MATCH($B221,tab_MinKomp[[Stanowisko / Position ]:[Stanowisko / Position ]],0))="n/a","n/a",DV221-INDEX(tab_MinKomp[Kontrola wejściowa komponentów/ Eingangskontrolle],MATCH($B221,tab_MinKomp[[Stanowisko / Position ]:[Stanowisko / Position ]],0)))</f>
        <v>n/a</v>
      </c>
      <c r="DW222" s="343" t="str">
        <f>IF(INDEX(tab_MinKomp[Kontrola wyjściowa produktu / Ausgangskontrolle],MATCH($B221,tab_MinKomp[[Stanowisko / Position ]:[Stanowisko / Position ]],0))="n/a","n/a",DW221-INDEX(tab_MinKomp[Kontrola wyjściowa produktu / Ausgangskontrolle],MATCH($B221,tab_MinKomp[[Stanowisko / Position ]:[Stanowisko / Position ]],0)))</f>
        <v>n/a</v>
      </c>
      <c r="DX222" s="343" t="str">
        <f>IF(INDEX(tab_MinKomp[Kontrola codzienna produkcji / Tägliche Produktionskontrolle],MATCH($B221,tab_MinKomp[[Stanowisko / Position ]:[Stanowisko / Position ]],0))="n/a","n/a",DX221-INDEX(tab_MinKomp[Kontrola codzienna produkcji / Tägliche Produktionskontrolle],MATCH($B221,tab_MinKomp[[Stanowisko / Position ]:[Stanowisko / Position ]],0)))</f>
        <v>n/a</v>
      </c>
      <c r="DY222" s="343" t="str">
        <f>IF(INDEX(tab_MinKomp[Konserwacja Rep],MATCH($B221,tab_MinKomp[[Stanowisko / Position ]:[Stanowisko / Position ]],0))="n/a","n/a",DY221-INDEX(tab_MinKomp[Konserwacja Rep],MATCH($B221,tab_MinKomp[[Stanowisko / Position ]:[Stanowisko / Position ]],0)))</f>
        <v>n/a</v>
      </c>
      <c r="DZ222" s="343" t="str">
        <f>IF(INDEX(tab_MinKomp[[Konserwacja Engel ]],MATCH($B221,tab_MinKomp[[Stanowisko / Position ]:[Stanowisko / Position ]],0))="n/a","n/a",DZ221-INDEX(tab_MinKomp[[Konserwacja Engel ]],MATCH($B221,tab_MinKomp[[Stanowisko / Position ]:[Stanowisko / Position ]],0)))</f>
        <v>n/a</v>
      </c>
      <c r="EA222" s="343" t="str">
        <f>IF(INDEX(tab_MinKomp[Konserwacja B 50],MATCH($B221,tab_MinKomp[[Stanowisko / Position ]:[Stanowisko / Position ]],0))="n/a","n/a",EA221-INDEX(tab_MinKomp[Konserwacja B 50],MATCH($B221,tab_MinKomp[[Stanowisko / Position ]:[Stanowisko / Position ]],0)))</f>
        <v>n/a</v>
      </c>
      <c r="EB222" s="343" t="str">
        <f>IF(INDEX(tab_MinKomp[[Konserwacja EOL ]],MATCH($B221,tab_MinKomp[[Stanowisko / Position ]:[Stanowisko / Position ]],0))="n/a","n/a",EB221-INDEX(tab_MinKomp[[Konserwacja EOL ]],MATCH($B221,tab_MinKomp[[Stanowisko / Position ]:[Stanowisko / Position ]],0)))</f>
        <v>n/a</v>
      </c>
      <c r="EC222" s="343" t="str">
        <f>IF(INDEX(tab_MinKomp[Konserwacja Branson],MATCH($B221,tab_MinKomp[[Stanowisko / Position ]:[Stanowisko / Position ]],0))="n/a","n/a",EC221-INDEX(tab_MinKomp[Konserwacja Branson],MATCH($B221,tab_MinKomp[[Stanowisko / Position ]:[Stanowisko / Position ]],0)))</f>
        <v>n/a</v>
      </c>
      <c r="ED222" s="343" t="str">
        <f>IF(INDEX(tab_MinKomp[Konserwacja coolery],MATCH($B221,tab_MinKomp[[Stanowisko / Position ]:[Stanowisko / Position ]],0))="n/a","n/a",ED221-INDEX(tab_MinKomp[Konserwacja coolery],MATCH($B221,tab_MinKomp[[Stanowisko / Position ]:[Stanowisko / Position ]],0)))</f>
        <v>n/a</v>
      </c>
      <c r="EE222" s="343" t="str">
        <f>IF(INDEX(tab_MinKomp[Konserwacja piecy],MATCH($B221,tab_MinKomp[[Stanowisko / Position ]:[Stanowisko / Position ]],0))="n/a","n/a",EE221-INDEX(tab_MinKomp[Konserwacja piecy],MATCH($B221,tab_MinKomp[[Stanowisko / Position ]:[Stanowisko / Position ]],0)))</f>
        <v>n/a</v>
      </c>
      <c r="EF222" s="343" t="str">
        <f>IF(INDEX(tab_MinKomp[Rysunek techniczny- czytanie],MATCH($B221,tab_MinKomp[[Stanowisko / Position ]:[Stanowisko / Position ]],0))="n/a","n/a",EF221-INDEX(tab_MinKomp[Rysunek techniczny- czytanie],MATCH($B221,tab_MinKomp[[Stanowisko / Position ]:[Stanowisko / Position ]],0)))</f>
        <v>n/a</v>
      </c>
      <c r="EG222" s="343" t="str">
        <f>IF(INDEX(tab_MinKomp[Elektryka],MATCH($B221,tab_MinKomp[[Stanowisko / Position ]:[Stanowisko / Position ]],0))="n/a","n/a",EG221-INDEX(tab_MinKomp[Elektryka],MATCH($B221,tab_MinKomp[[Stanowisko / Position ]:[Stanowisko / Position ]],0)))</f>
        <v>n/a</v>
      </c>
      <c r="EH222" s="343" t="str">
        <f>IF(INDEX(tab_MinKomp[Pneumatyka],MATCH($B221,tab_MinKomp[[Stanowisko / Position ]:[Stanowisko / Position ]],0))="n/a","n/a",EH221-INDEX(tab_MinKomp[Pneumatyka],MATCH($B221,tab_MinKomp[[Stanowisko / Position ]:[Stanowisko / Position ]],0)))</f>
        <v>n/a</v>
      </c>
      <c r="EI222" s="343" t="str">
        <f>IF(INDEX(tab_MinKomp[[Hydraulika ]],MATCH($B221,tab_MinKomp[[Stanowisko / Position ]:[Stanowisko / Position ]],0))="n/a","n/a",EI221-INDEX(tab_MinKomp[[Hydraulika ]],MATCH($B221,tab_MinKomp[[Stanowisko / Position ]:[Stanowisko / Position ]],0)))</f>
        <v>n/a</v>
      </c>
      <c r="EJ222" s="343" t="str">
        <f>IF(INDEX(tab_MinKomp[Podciśnienie],MATCH($B221,tab_MinKomp[[Stanowisko / Position ]:[Stanowisko / Position ]],0))="n/a","n/a",EJ221-INDEX(tab_MinKomp[Podciśnienie],MATCH($B221,tab_MinKomp[[Stanowisko / Position ]:[Stanowisko / Position ]],0)))</f>
        <v>n/a</v>
      </c>
      <c r="EK222" s="343" t="str">
        <f>IF(INDEX(tab_MinKomp[Usuwanie awarii],MATCH($B221,tab_MinKomp[[Stanowisko / Position ]:[Stanowisko / Position ]],0))="n/a","n/a",EK221-INDEX(tab_MinKomp[Usuwanie awarii],MATCH($B221,tab_MinKomp[[Stanowisko / Position ]:[Stanowisko / Position ]],0)))</f>
        <v>n/a</v>
      </c>
      <c r="EL222" s="343" t="str">
        <f>IF(INDEX(tab_MinKomp[Obsługa robotów],MATCH($B221,tab_MinKomp[[Stanowisko / Position ]:[Stanowisko / Position ]],0))="n/a","n/a",EL221-INDEX(tab_MinKomp[Obsługa robotów],MATCH($B221,tab_MinKomp[[Stanowisko / Position ]:[Stanowisko / Position ]],0)))</f>
        <v>n/a</v>
      </c>
      <c r="EM222" s="343" t="str">
        <f>IF(INDEX(tab_MinKomp[Obsługa sterowania maszyny],MATCH($B221,tab_MinKomp[[Stanowisko / Position ]:[Stanowisko / Position ]],0))="n/a","n/a",EM221-INDEX(tab_MinKomp[Obsługa sterowania maszyny],MATCH($B221,tab_MinKomp[[Stanowisko / Position ]:[Stanowisko / Position ]],0)))</f>
        <v>n/a</v>
      </c>
      <c r="EN222" s="343" t="str">
        <f>IF(INDEX(tab_MinKomp[Usuwanie przyczyn żródłowych],MATCH($B221,tab_MinKomp[[Stanowisko / Position ]:[Stanowisko / Position ]],0))="n/a","n/a",EN221-INDEX(tab_MinKomp[Usuwanie przyczyn żródłowych],MATCH($B221,tab_MinKomp[[Stanowisko / Position ]:[Stanowisko / Position ]],0)))</f>
        <v>n/a</v>
      </c>
      <c r="EO222" s="343" t="str">
        <f>IF(INDEX(tab_MinKomp[Cmms stosowanie],MATCH($B221,tab_MinKomp[[Stanowisko / Position ]:[Stanowisko / Position ]],0))="n/a","n/a",EO221-INDEX(tab_MinKomp[Cmms stosowanie],MATCH($B221,tab_MinKomp[[Stanowisko / Position ]:[Stanowisko / Position ]],0)))</f>
        <v>n/a</v>
      </c>
      <c r="EP222" s="343" t="str">
        <f>IF(INDEX(tab_MinKomp[[Czyszczenie form gumowych ]],MATCH($B221,tab_MinKomp[[Stanowisko / Position ]:[Stanowisko / Position ]],0))="n/a","n/a",EP221-INDEX(tab_MinKomp[[Czyszczenie form gumowych ]],MATCH($B221,tab_MinKomp[[Stanowisko / Position ]:[Stanowisko / Position ]],0)))</f>
        <v>n/a</v>
      </c>
      <c r="EQ222" s="343" t="str">
        <f>IF(INDEX(tab_MinKomp[Czyszczenie form plastikowych],MATCH($B221,tab_MinKomp[[Stanowisko / Position ]:[Stanowisko / Position ]],0))="n/a","n/a",EQ221-INDEX(tab_MinKomp[Czyszczenie form plastikowych],MATCH($B221,tab_MinKomp[[Stanowisko / Position ]:[Stanowisko / Position ]],0)))</f>
        <v>n/a</v>
      </c>
      <c r="ER222" s="343" t="str">
        <f>IF(INDEX(tab_MinKomp[Wymiana form plastik],MATCH($B221,tab_MinKomp[[Stanowisko / Position ]:[Stanowisko / Position ]],0))="n/a","n/a",ER221-INDEX(tab_MinKomp[Wymiana form plastik],MATCH($B221,tab_MinKomp[[Stanowisko / Position ]:[Stanowisko / Position ]],0)))</f>
        <v>n/a</v>
      </c>
      <c r="ES222" s="343" t="str">
        <f>IF(INDEX(tab_MinKomp[Wymiana form guma],MATCH($B221,tab_MinKomp[[Stanowisko / Position ]:[Stanowisko / Position ]],0))="n/a","n/a",ES221-INDEX(tab_MinKomp[Wymiana form guma],MATCH($B221,tab_MinKomp[[Stanowisko / Position ]:[Stanowisko / Position ]],0)))</f>
        <v>n/a</v>
      </c>
      <c r="ET222" s="343" t="str">
        <f>IF(INDEX(tab_MinKomp[Konserwacja KK],MATCH($B221,tab_MinKomp[[Stanowisko / Position ]:[Stanowisko / Position ]],0))="n/a","n/a",ET221-INDEX(tab_MinKomp[Konserwacja KK],MATCH($B221,tab_MinKomp[[Stanowisko / Position ]:[Stanowisko / Position ]],0)))</f>
        <v>n/a</v>
      </c>
      <c r="EU222" s="343" t="str">
        <f>IF(INDEX(tab_MinKomp[Konserwacja form guma],MATCH($B221,tab_MinKomp[[Stanowisko / Position ]:[Stanowisko / Position ]],0))="n/a","n/a",EU221-INDEX(tab_MinKomp[Konserwacja form guma],MATCH($B221,tab_MinKomp[[Stanowisko / Position ]:[Stanowisko / Position ]],0)))</f>
        <v>n/a</v>
      </c>
      <c r="EV222" s="343" t="str">
        <f>IF(INDEX(tab_MinKomp[Konserwacja form plastiki],MATCH($B221,tab_MinKomp[[Stanowisko / Position ]:[Stanowisko / Position ]],0))="n/a","n/a",EV221-INDEX(tab_MinKomp[Konserwacja form plastiki],MATCH($B221,tab_MinKomp[[Stanowisko / Position ]:[Stanowisko / Position ]],0)))</f>
        <v>n/a</v>
      </c>
      <c r="EW222" s="330" t="str">
        <f>IF(INDEX(tab_MinKomp[Konserwacja form plastiki],MATCH($B221,tab_MinKomp[[Stanowisko / Position ]:[Stanowisko / Position ]],0))="n/a","n/a",EW221-INDEX(tab_MinKomp[Konserwacja form plastiki],MATCH($B221,tab_MinKomp[[Stanowisko / Position ]:[Stanowisko / Position ]],0)))</f>
        <v>n/a</v>
      </c>
      <c r="EX222" s="343" t="str">
        <f>IF(INDEX(tab_MinKomp[Konserwacja Gorącego Kanału],MATCH($B221,tab_MinKomp[[Stanowisko / Position ]:[Stanowisko / Position ]],0))="n/a","n/a",EX221-INDEX(tab_MinKomp[Konserwacja Gorącego Kanału],MATCH($B221,tab_MinKomp[[Stanowisko / Position ]:[Stanowisko / Position ]],0)))</f>
        <v>n/a</v>
      </c>
      <c r="EY222" s="343">
        <f>IF(INDEX(tab_MinKomp[MS Office (Excel)],MATCH($B221,tab_MinKomp[[Stanowisko / Position ]:[Stanowisko / Position ]],0))="n/a","n/a",EY221-INDEX(tab_MinKomp[MS Office (Excel)],MATCH($B221,tab_MinKomp[[Stanowisko / Position ]:[Stanowisko / Position ]],0)))</f>
        <v>1</v>
      </c>
      <c r="EZ222" s="343">
        <f>IF(INDEX(tab_MinKomp[MS Office (Word)],MATCH($B221,tab_MinKomp[[Stanowisko / Position ]:[Stanowisko / Position ]],0))="n/a","n/a",EZ221-INDEX(tab_MinKomp[MS Office (Word)],MATCH($B221,tab_MinKomp[[Stanowisko / Position ]:[Stanowisko / Position ]],0)))</f>
        <v>0</v>
      </c>
      <c r="FA222" s="343">
        <f>IF(INDEX(tab_MinKomp[MS Office (Power Point)],MATCH($B221,tab_MinKomp[[Stanowisko / Position ]:[Stanowisko / Position ]],0))="n/a","n/a",FA221-INDEX(tab_MinKomp[MS Office (Power Point)],MATCH($B221,tab_MinKomp[[Stanowisko / Position ]:[Stanowisko / Position ]],0)))</f>
        <v>0</v>
      </c>
      <c r="FB222" s="343" t="str">
        <f>IF(INDEX(tab_MinKomp[Język angielski / Englisch],MATCH($B221,tab_MinKomp[[Stanowisko / Position ]:[Stanowisko / Position ]],0))="n/a","n/a",FB221-INDEX(tab_MinKomp[Język angielski / Englisch],MATCH($B221,tab_MinKomp[[Stanowisko / Position ]:[Stanowisko / Position ]],0)))</f>
        <v>n/a</v>
      </c>
      <c r="FC222" s="343" t="str">
        <f>IF(INDEX(tab_MinKomp[Język niemiecki / Deutsch],MATCH($B221,tab_MinKomp[[Stanowisko / Position ]:[Stanowisko / Position ]],0))="n/a","n/a",FC221-INDEX(tab_MinKomp[Język niemiecki / Deutsch],MATCH($B221,tab_MinKomp[[Stanowisko / Position ]:[Stanowisko / Position ]],0)))</f>
        <v>n/a</v>
      </c>
      <c r="FD222" s="343">
        <f>IF(INDEX(tab_MinKomp[Zarządzanie dokumentacją procesową / Process dokumentation management],MATCH($B221,tab_MinKomp[[Stanowisko / Position ]:[Stanowisko / Position ]],0))="n/a","n/a",FD221-INDEX(tab_MinKomp[Zarządzanie dokumentacją procesową / Process dokumentation management],MATCH($B221,tab_MinKomp[[Stanowisko / Position ]:[Stanowisko / Position ]],0)))</f>
        <v>0</v>
      </c>
      <c r="FE222" s="343">
        <f>IF(INDEX(tab_MinKomp[Znajomość procesów z obszaru / Kenntiss der prozesse in dem Bereich],MATCH($B221,tab_MinKomp[[Stanowisko / Position ]:[Stanowisko / Position ]],0))="n/a","n/a",FE221-INDEX(tab_MinKomp[Znajomość procesów z obszaru / Kenntiss der prozesse in dem Bereich],MATCH($B221,tab_MinKomp[[Stanowisko / Position ]:[Stanowisko / Position ]],0)))</f>
        <v>0</v>
      </c>
      <c r="FF222" s="343">
        <f>IF(INDEX(tab_MinKomp[optymalizacja procesów / Prozessoptymalisierung],MATCH($B221,tab_MinKomp[[Stanowisko / Position ]:[Stanowisko / Position ]],0))="n/a","n/a",FF221-INDEX(tab_MinKomp[optymalizacja procesów / Prozessoptymalisierung],MATCH($B221,tab_MinKomp[[Stanowisko / Position ]:[Stanowisko / Position ]],0)))</f>
        <v>0</v>
      </c>
      <c r="FG222" s="343">
        <f>IF(INDEX(tab_MinKomp[Umiejętności szkoleniowe / Trainingsfähigkeiten],MATCH($B221,tab_MinKomp[[Stanowisko / Position ]:[Stanowisko / Position ]],0))="n/a","n/a",FG221-INDEX(tab_MinKomp[Umiejętności szkoleniowe / Trainingsfähigkeiten],MATCH($B221,tab_MinKomp[[Stanowisko / Position ]:[Stanowisko / Position ]],0)))</f>
        <v>0</v>
      </c>
      <c r="FH222" s="343">
        <f>IF(INDEX(tab_MinKomp[Analityczne myślenie, podejście / Analitysches Denken, Einstellung],MATCH($B221,tab_MinKomp[[Stanowisko / Position ]:[Stanowisko / Position ]],0))="n/a","n/a",FH221-INDEX(tab_MinKomp[Analityczne myślenie, podejście / Analitysches Denken, Einstellung],MATCH($B221,tab_MinKomp[[Stanowisko / Position ]:[Stanowisko / Position ]],0)))</f>
        <v>0</v>
      </c>
      <c r="FI222" s="343">
        <f>IF(INDEX(tab_MinKomp[Dokładność, precyzja w dzialaniu / Genauigkeit, Präzision in die Arbeit],MATCH($B221,tab_MinKomp[[Stanowisko / Position ]:[Stanowisko / Position ]],0))="n/a","n/a",FI221-INDEX(tab_MinKomp[Dokładność, precyzja w dzialaniu / Genauigkeit, Präzision in die Arbeit],MATCH($B221,tab_MinKomp[[Stanowisko / Position ]:[Stanowisko / Position ]],0)))</f>
        <v>0</v>
      </c>
      <c r="FJ222" s="343">
        <f>IF(INDEX(tab_MinKomp[Dyspozycyjność / Verfügbarkeit],MATCH($B221,tab_MinKomp[[Stanowisko / Position ]:[Stanowisko / Position ]],0))="n/a","n/a",FJ221-INDEX(tab_MinKomp[Dyspozycyjność / Verfügbarkeit],MATCH($B221,tab_MinKomp[[Stanowisko / Position ]:[Stanowisko / Position ]],0)))</f>
        <v>1</v>
      </c>
      <c r="FK222" s="343">
        <f>IF(INDEX(tab_MinKomp[Zaangażowanie / 
Engagement],MATCH($B221,tab_MinKomp[[Stanowisko / Position ]:[Stanowisko / Position ]],0))="n/a","n/a",FK221-INDEX(tab_MinKomp[Zaangażowanie / 
Engagement],MATCH($B221,tab_MinKomp[[Stanowisko / Position ]:[Stanowisko / Position ]],0)))</f>
        <v>1</v>
      </c>
      <c r="FL222" s="343">
        <f>IF(INDEX(tab_MinKomp[Planowanie strategiczne / Strategische Planung],MATCH($B221,tab_MinKomp[[Stanowisko / Position ]:[Stanowisko / Position ]],0))="n/a","n/a",FL221-INDEX(tab_MinKomp[Planowanie strategiczne / Strategische Planung],MATCH($B221,tab_MinKomp[[Stanowisko / Position ]:[Stanowisko / Position ]],0)))</f>
        <v>-1</v>
      </c>
      <c r="FM222" s="343">
        <f>IF(INDEX(tab_MinKomp[Konsekwentne i dynamiczne działanie],MATCH($B221,tab_MinKomp[[Stanowisko / Position ]:[Stanowisko / Position ]],0))="n/a","n/a",FM221-INDEX(tab_MinKomp[Konsekwentne i dynamiczne działanie],MATCH($B221,tab_MinKomp[[Stanowisko / Position ]:[Stanowisko / Position ]],0)))</f>
        <v>0</v>
      </c>
      <c r="FN222" s="343">
        <f>IF(INDEX(tab_MinKomp[Elastyczność w działaniu],MATCH($B221,tab_MinKomp[[Stanowisko / Position ]:[Stanowisko / Position ]],0))="n/a","n/a",FN221-INDEX(tab_MinKomp[Elastyczność w działaniu],MATCH($B221,tab_MinKomp[[Stanowisko / Position ]:[Stanowisko / Position ]],0)))</f>
        <v>0</v>
      </c>
      <c r="FO222" s="343">
        <f>IF(INDEX(tab_MinKomp[Komunikatywność],MATCH($B221,tab_MinKomp[[Stanowisko / Position ]:[Stanowisko / Position ]],0))="n/a","n/a",FO221-INDEX(tab_MinKomp[Komunikatywność],MATCH($B221,tab_MinKomp[[Stanowisko / Position ]:[Stanowisko / Position ]],0)))</f>
        <v>1</v>
      </c>
      <c r="FP222" s="342">
        <f>IF(INDEX(tab_MinKomp[Motywowanie i budowanie zaangażowania zespołu],MATCH($B221,tab_MinKomp[[Stanowisko / Position ]:[Stanowisko / Position ]],0))="n/a","n/a",FP221-INDEX(tab_MinKomp[Motywowanie i budowanie zaangażowania zespołu],MATCH($B221,tab_MinKomp[[Stanowisko / Position ]:[Stanowisko / Position ]],0)))</f>
        <v>0</v>
      </c>
      <c r="FQ222" s="346" t="str">
        <f>IFERROR(IF(INDEX(tab_MinKomp[BRAK / Keine],MATCH($B221,tab_MinKomp[[Stanowisko / Position ]:[Stanowisko / Position ]],0))="n/a","n/a",INDEX(tab_MinKomp[BRAK / Keine],MATCH($B221,tab_MinKomp[[Stanowisko / Position ]:[Stanowisko / Position ]],0))-FQ221),"")</f>
        <v>n/a</v>
      </c>
      <c r="FR222" s="343" t="str">
        <f>IF(INDEX(tab_MinKomp[MINIMUM 1 ROK / min. 1 Jahr],MATCH($B221,tab_MinKomp[[Stanowisko / Position ]:[Stanowisko / Position ]],0))="n/a","n/a",INDEX(tab_MinKomp[MINIMUM 1 ROK / min. 1 Jahr],MATCH($B221,tab_MinKomp[[Stanowisko / Position ]:[Stanowisko / Position ]],0)))</f>
        <v>x</v>
      </c>
      <c r="FS222" s="343" t="str">
        <f>IF(INDEX(tab_MinKomp[MINIMUM 2 LATA / min. 2 Jahre],MATCH($B221,tab_MinKomp[[Stanowisko / Position ]:[Stanowisko / Position ]],0))="n/a","n/a",INDEX(tab_MinKomp[MINIMUM 2 LATA / min. 2 Jahre],MATCH($B221,tab_MinKomp[[Stanowisko / Position ]:[Stanowisko / Position ]],0)))</f>
        <v>n/a</v>
      </c>
      <c r="FT222" s="343" t="str">
        <f>IF(INDEX(tab_MinKomp[MINIMUM 3 LATA / min. 3 Jahre],MATCH($B221,tab_MinKomp[[Stanowisko / Position ]:[Stanowisko / Position ]],0))="n/a","n/a",INDEX(tab_MinKomp[MINIMUM 3 LATA / min. 3 Jahre],MATCH($B221,tab_MinKomp[[Stanowisko / Position ]:[Stanowisko / Position ]],0)))</f>
        <v>n/a</v>
      </c>
      <c r="FU222" s="343" t="str">
        <f>IF(INDEX(tab_MinKomp[MINIMUM 4 LATA / min. 4 Jahre],MATCH($B221,tab_MinKomp[[Stanowisko / Position ]:[Stanowisko / Position ]],0))="n/a","n/a",INDEX(tab_MinKomp[MINIMUM 4 LATA / min. 4 Jahre],MATCH($B221,tab_MinKomp[[Stanowisko / Position ]:[Stanowisko / Position ]],0)))</f>
        <v>n/a</v>
      </c>
      <c r="FV222" s="347" t="str">
        <f>IF(INDEX(tab_MinKomp[MINIMUM 5 LAT / min. 5 Jahre],MATCH($B221,tab_MinKomp[[Stanowisko / Position ]:[Stanowisko / Position ]],0))="n/a","n/a",INDEX(tab_MinKomp[MINIMUM 5 LAT / min. 5 Jahre],MATCH($B221,tab_MinKomp[[Stanowisko / Position ]:[Stanowisko / Position ]],0)))</f>
        <v>n/a</v>
      </c>
      <c r="FW222" s="346" t="str">
        <f>IF(INDEX(tab_MinKomp[BRAK / Keine9],MATCH($B221,tab_MinKomp[[Stanowisko / Position ]:[Stanowisko / Position ]],0))="n/a","n/a",INDEX(tab_MinKomp[BRAK / Keine9],MATCH($B221,tab_MinKomp[[Stanowisko / Position ]:[Stanowisko / Position ]],0)))</f>
        <v>n/a</v>
      </c>
      <c r="FX222" s="343" t="str">
        <f>IF(INDEX(tab_MinKomp[ZAWODOWE / Berufsausbildung],MATCH($B221,tab_MinKomp[[Stanowisko / Position ]:[Stanowisko / Position ]],0))="n/a","n/a",INDEX(tab_MinKomp[ZAWODOWE / Berufsausbildung],MATCH($B221,tab_MinKomp[[Stanowisko / Position ]:[Stanowisko / Position ]],0)))</f>
        <v>x</v>
      </c>
      <c r="FY222" s="343" t="str">
        <f>IF(INDEX(tab_MinKomp[ŚREDNIE OGÓLNE / Abitur allgemeine],MATCH($B221,tab_MinKomp[[Stanowisko / Position ]:[Stanowisko / Position ]],0))="n/a","n/a",INDEX(tab_MinKomp[ŚREDNIE OGÓLNE / Abitur allgemeine],MATCH($B221,tab_MinKomp[[Stanowisko / Position ]:[Stanowisko / Position ]],0)))</f>
        <v>n/a</v>
      </c>
      <c r="FZ222" s="343" t="str">
        <f>IF(INDEX(tab_MinKomp[ŚREDNIE KIERUNKOWE / berufliches Gymnasium],MATCH($B221,tab_MinKomp[[Stanowisko / Position ]:[Stanowisko / Position ]],0))="n/a","n/a",INDEX(tab_MinKomp[ŚREDNIE KIERUNKOWE / berufliches Gymnasium],MATCH($B221,tab_MinKomp[[Stanowisko / Position ]:[Stanowisko / Position ]],0)))</f>
        <v>n/a</v>
      </c>
      <c r="GA222" s="343" t="str">
        <f>IF(INDEX(tab_MinKomp[WYŻSZE OGÓLNE / Hochschule allgemeine],MATCH($B221,tab_MinKomp[[Stanowisko / Position ]:[Stanowisko / Position ]],0))="n/a","n/a",INDEX(tab_MinKomp[WYŻSZE OGÓLNE / Hochschule allgemeine],MATCH($B221,tab_MinKomp[[Stanowisko / Position ]:[Stanowisko / Position ]],0)))</f>
        <v>n/a</v>
      </c>
      <c r="GB222" s="347" t="str">
        <f>IF(INDEX(tab_MinKomp[WYŻSZE KIERUNKOWE / Hochschule berufliche],MATCH($B221,tab_MinKomp[[Stanowisko / Position ]:[Stanowisko / Position ]],0))="n/a","n/a",INDEX(tab_MinKomp[WYŻSZE KIERUNKOWE / Hochschule berufliche],MATCH($B221,tab_MinKomp[[Stanowisko / Position ]:[Stanowisko / Position ]],0)))</f>
        <v>n/a</v>
      </c>
      <c r="GC222" s="346" t="str">
        <f>IF(INDEX(tab_MinKomp[PIERWSZA POMOC / Erste Hilfe],MATCH($B221,tab_MinKomp[[Stanowisko / Position ]:[Stanowisko / Position ]],0))="n/a","n/a",INDEX(tab_MinKomp[PIERWSZA POMOC / Erste Hilfe],MATCH($B221,tab_MinKomp[[Stanowisko / Position ]:[Stanowisko / Position ]],0)))</f>
        <v>x</v>
      </c>
      <c r="GD222" s="343" t="str">
        <f>IF(INDEX(tab_MinKomp[Specjalista BHP / BHP Spezialist],MATCH($B221,tab_MinKomp[[Stanowisko / Position ]:[Stanowisko / Position ]],0))="n/a","n/a",INDEX(tab_MinKomp[Specjalista BHP / BHP Spezialist],MATCH($B221,tab_MinKomp[[Stanowisko / Position ]:[Stanowisko / Position ]],0)))</f>
        <v>n/a</v>
      </c>
      <c r="GE222" s="343" t="str">
        <f>IF(INDEX(tab_MinKomp[Inspektor ochrony PPOŻ / Brandschutzinspektor],MATCH($B221,tab_MinKomp[[Stanowisko / Position ]:[Stanowisko / Position ]],0))="n/a","n/a",INDEX(tab_MinKomp[Inspektor ochrony PPOŻ / Brandschutzinspektor],MATCH($B221,tab_MinKomp[[Stanowisko / Position ]:[Stanowisko / Position ]],0)))</f>
        <v>n/a</v>
      </c>
      <c r="GF222" s="343" t="str">
        <f>IF(INDEX(tab_MinKomp[WÓZKI JEZDNIOWE / Gebelstapler],MATCH($B221,tab_MinKomp[[Stanowisko / Position ]:[Stanowisko / Position ]],0))="n/a","n/a",INDEX(tab_MinKomp[WÓZKI JEZDNIOWE / Gebelstapler],MATCH($B221,tab_MinKomp[[Stanowisko / Position ]:[Stanowisko / Position ]],0)))</f>
        <v>x</v>
      </c>
      <c r="GG222" s="343" t="str">
        <f>IF(INDEX(tab_MinKomp[SEP],MATCH($B221,tab_MinKomp[[Stanowisko / Position ]:[Stanowisko / Position ]],0))="n/a","n/a",INDEX(tab_MinKomp[SEP],MATCH($B221,tab_MinKomp[[Stanowisko / Position ]:[Stanowisko / Position ]],0)))</f>
        <v>n/a</v>
      </c>
      <c r="GH222" s="343" t="str">
        <f>IF(INDEX(tab_MinKomp[SEP  DOZÓR / SEP Aufsicht],MATCH($B221,tab_MinKomp[[Stanowisko / Position ]:[Stanowisko / Position ]],0))="n/a","n/a",INDEX(tab_MinKomp[SEP  DOZÓR / SEP Aufsicht],MATCH($B221,tab_MinKomp[[Stanowisko / Position ]:[Stanowisko / Position ]],0)))</f>
        <v>n/a</v>
      </c>
      <c r="GI222" s="343" t="str">
        <f>IF(INDEX(tab_MinKomp[PODNOŚNIKI / Hebevorrichtung],MATCH($B221,tab_MinKomp[[Stanowisko / Position ]:[Stanowisko / Position ]],0))="n/a","n/a",INDEX(tab_MinKomp[PODNOŚNIKI / Hebevorrichtung],MATCH($B221,tab_MinKomp[[Stanowisko / Position ]:[Stanowisko / Position ]],0)))</f>
        <v>n/a</v>
      </c>
      <c r="GJ222" s="343" t="str">
        <f>IF(INDEX(tab_MinKomp[SUWNICE / Laufkran],MATCH($B221,tab_MinKomp[[Stanowisko / Position ]:[Stanowisko / Position ]],0))="n/a","n/a",INDEX(tab_MinKomp[SUWNICE / Laufkran],MATCH($B221,tab_MinKomp[[Stanowisko / Position ]:[Stanowisko / Position ]],0)))</f>
        <v>n/a</v>
      </c>
      <c r="GK222" s="347" t="str">
        <f>IF(INDEX(tab_MinKomp[WYSOKOŚCIOWE / Höhenberechtigungen],MATCH($B221,tab_MinKomp[[Stanowisko / Position ]:[Stanowisko / Position ]],0))="n/a","n/a",INDEX(tab_MinKomp[WYSOKOŚCIOWE / Höhenberechtigungen],MATCH($B221,tab_MinKomp[[Stanowisko / Position ]:[Stanowisko / Position ]],0)))</f>
        <v>n/a</v>
      </c>
      <c r="GL222" s="320">
        <f>SUM(G222:FP222)/(GL221-(SUM(G222:FP222)))</f>
        <v>4.2857142857142858E-2</v>
      </c>
    </row>
    <row r="223" spans="1:195" ht="36.75" customHeight="1" x14ac:dyDescent="0.25">
      <c r="A223" s="135" t="s">
        <v>179</v>
      </c>
      <c r="B223" s="135" t="s">
        <v>581</v>
      </c>
      <c r="C223" s="135" t="s">
        <v>558</v>
      </c>
      <c r="D223" s="135">
        <v>564</v>
      </c>
      <c r="E223" s="565" t="s">
        <v>715</v>
      </c>
      <c r="F223" s="307" t="s">
        <v>165</v>
      </c>
      <c r="G223" s="308">
        <v>1</v>
      </c>
      <c r="H223" s="308">
        <v>1</v>
      </c>
      <c r="I223" s="308">
        <v>1</v>
      </c>
      <c r="J223" s="308">
        <v>1</v>
      </c>
      <c r="K223" s="308">
        <v>1</v>
      </c>
      <c r="L223" s="308">
        <v>1</v>
      </c>
      <c r="M223" s="308" t="s">
        <v>176</v>
      </c>
      <c r="N223" s="308" t="s">
        <v>176</v>
      </c>
      <c r="O223" s="308">
        <v>1</v>
      </c>
      <c r="P223" s="308">
        <v>1</v>
      </c>
      <c r="Q223" s="308" t="s">
        <v>176</v>
      </c>
      <c r="R223" s="308" t="s">
        <v>176</v>
      </c>
      <c r="S223" s="308" t="s">
        <v>176</v>
      </c>
      <c r="T223" s="308">
        <v>1</v>
      </c>
      <c r="U223" s="308" t="s">
        <v>176</v>
      </c>
      <c r="V223" s="308" t="s">
        <v>176</v>
      </c>
      <c r="W223" s="308" t="s">
        <v>176</v>
      </c>
      <c r="X223" s="308" t="s">
        <v>176</v>
      </c>
      <c r="Y223" s="308" t="s">
        <v>176</v>
      </c>
      <c r="Z223" s="308" t="s">
        <v>176</v>
      </c>
      <c r="AA223" s="308" t="s">
        <v>176</v>
      </c>
      <c r="AB223" s="308" t="s">
        <v>176</v>
      </c>
      <c r="AC223" s="308" t="s">
        <v>176</v>
      </c>
      <c r="AD223" s="308" t="s">
        <v>176</v>
      </c>
      <c r="AE223" s="308" t="s">
        <v>176</v>
      </c>
      <c r="AF223" s="308" t="s">
        <v>176</v>
      </c>
      <c r="AG223" s="308" t="s">
        <v>176</v>
      </c>
      <c r="AH223" s="308" t="s">
        <v>176</v>
      </c>
      <c r="AI223" s="308" t="s">
        <v>176</v>
      </c>
      <c r="AJ223" s="308" t="s">
        <v>176</v>
      </c>
      <c r="AK223" s="308" t="s">
        <v>176</v>
      </c>
      <c r="AL223" s="308" t="s">
        <v>176</v>
      </c>
      <c r="AM223" s="308" t="s">
        <v>176</v>
      </c>
      <c r="AN223" s="308" t="s">
        <v>176</v>
      </c>
      <c r="AO223" s="308"/>
      <c r="AP223" s="308" t="s">
        <v>176</v>
      </c>
      <c r="AQ223" s="308"/>
      <c r="AR223" s="308" t="s">
        <v>176</v>
      </c>
      <c r="AS223" s="308" t="s">
        <v>176</v>
      </c>
      <c r="AT223" s="308" t="s">
        <v>176</v>
      </c>
      <c r="AU223" s="308"/>
      <c r="AV223" s="308">
        <v>1</v>
      </c>
      <c r="AW223" s="308"/>
      <c r="AX223" s="308" t="s">
        <v>176</v>
      </c>
      <c r="AY223" s="308" t="s">
        <v>176</v>
      </c>
      <c r="AZ223" s="308" t="s">
        <v>176</v>
      </c>
      <c r="BA223" s="308">
        <v>1</v>
      </c>
      <c r="BB223" s="308">
        <v>1</v>
      </c>
      <c r="BC223" s="308" t="s">
        <v>176</v>
      </c>
      <c r="BD223" s="308" t="s">
        <v>176</v>
      </c>
      <c r="BE223" s="308" t="s">
        <v>176</v>
      </c>
      <c r="BF223" s="308" t="s">
        <v>176</v>
      </c>
      <c r="BG223" s="308" t="s">
        <v>176</v>
      </c>
      <c r="BH223" s="308" t="s">
        <v>176</v>
      </c>
      <c r="BI223" s="308" t="s">
        <v>176</v>
      </c>
      <c r="BJ223" s="308" t="s">
        <v>176</v>
      </c>
      <c r="BK223" s="308" t="s">
        <v>176</v>
      </c>
      <c r="BL223" s="308" t="s">
        <v>176</v>
      </c>
      <c r="BM223" s="308">
        <v>1</v>
      </c>
      <c r="BN223" s="308">
        <v>2</v>
      </c>
      <c r="BO223" s="308" t="s">
        <v>176</v>
      </c>
      <c r="BP223" s="308">
        <v>1</v>
      </c>
      <c r="BQ223" s="308" t="s">
        <v>176</v>
      </c>
      <c r="BR223" s="308">
        <v>1</v>
      </c>
      <c r="BS223" s="308">
        <v>2</v>
      </c>
      <c r="BT223" s="308">
        <v>1</v>
      </c>
      <c r="BU223" s="308"/>
      <c r="BV223" s="308">
        <v>2</v>
      </c>
      <c r="BW223" s="308" t="s">
        <v>176</v>
      </c>
      <c r="BX223" s="308" t="s">
        <v>176</v>
      </c>
      <c r="BY223" s="308" t="s">
        <v>176</v>
      </c>
      <c r="BZ223" s="308" t="s">
        <v>176</v>
      </c>
      <c r="CA223" s="308" t="s">
        <v>176</v>
      </c>
      <c r="CB223" s="308" t="s">
        <v>176</v>
      </c>
      <c r="CC223" s="308" t="s">
        <v>176</v>
      </c>
      <c r="CD223" s="308" t="s">
        <v>176</v>
      </c>
      <c r="CE223" s="308" t="s">
        <v>176</v>
      </c>
      <c r="CF223" s="308" t="s">
        <v>176</v>
      </c>
      <c r="CG223" s="308"/>
      <c r="CH223" s="308" t="s">
        <v>176</v>
      </c>
      <c r="CI223" s="308" t="s">
        <v>176</v>
      </c>
      <c r="CJ223" s="308" t="s">
        <v>176</v>
      </c>
      <c r="CK223" s="308" t="s">
        <v>176</v>
      </c>
      <c r="CL223" s="308" t="s">
        <v>176</v>
      </c>
      <c r="CM223" s="308"/>
      <c r="CN223" s="308"/>
      <c r="CO223" s="308"/>
      <c r="CP223" s="308"/>
      <c r="CQ223" s="308" t="s">
        <v>176</v>
      </c>
      <c r="CR223" s="308" t="s">
        <v>176</v>
      </c>
      <c r="CS223" s="308" t="s">
        <v>176</v>
      </c>
      <c r="CT223" s="308" t="s">
        <v>176</v>
      </c>
      <c r="CU223" s="308" t="s">
        <v>176</v>
      </c>
      <c r="CV223" s="308" t="s">
        <v>176</v>
      </c>
      <c r="CW223" s="308" t="s">
        <v>176</v>
      </c>
      <c r="CX223" s="308" t="s">
        <v>176</v>
      </c>
      <c r="CY223" s="308" t="s">
        <v>176</v>
      </c>
      <c r="CZ223" s="308" t="s">
        <v>176</v>
      </c>
      <c r="DA223" s="308" t="s">
        <v>176</v>
      </c>
      <c r="DB223" s="308" t="s">
        <v>176</v>
      </c>
      <c r="DC223" s="308" t="s">
        <v>176</v>
      </c>
      <c r="DD223" s="308" t="s">
        <v>176</v>
      </c>
      <c r="DE223" s="308" t="s">
        <v>176</v>
      </c>
      <c r="DF223" s="308" t="s">
        <v>176</v>
      </c>
      <c r="DG223" s="308" t="s">
        <v>176</v>
      </c>
      <c r="DH223" s="308" t="s">
        <v>176</v>
      </c>
      <c r="DI223" s="308" t="s">
        <v>176</v>
      </c>
      <c r="DJ223" s="308" t="s">
        <v>176</v>
      </c>
      <c r="DK223" s="308" t="s">
        <v>176</v>
      </c>
      <c r="DL223" s="308" t="s">
        <v>176</v>
      </c>
      <c r="DM223" s="308" t="s">
        <v>176</v>
      </c>
      <c r="DN223" s="308" t="s">
        <v>176</v>
      </c>
      <c r="DO223" s="308" t="s">
        <v>176</v>
      </c>
      <c r="DP223" s="308" t="s">
        <v>176</v>
      </c>
      <c r="DQ223" s="308" t="s">
        <v>176</v>
      </c>
      <c r="DR223" s="308" t="s">
        <v>176</v>
      </c>
      <c r="DS223" s="308" t="s">
        <v>176</v>
      </c>
      <c r="DT223" s="308" t="s">
        <v>176</v>
      </c>
      <c r="DU223" s="308" t="s">
        <v>176</v>
      </c>
      <c r="DV223" s="308" t="s">
        <v>176</v>
      </c>
      <c r="DW223" s="308" t="s">
        <v>176</v>
      </c>
      <c r="DX223" s="308" t="s">
        <v>176</v>
      </c>
      <c r="DY223" s="308" t="s">
        <v>176</v>
      </c>
      <c r="DZ223" s="308" t="s">
        <v>176</v>
      </c>
      <c r="EA223" s="308" t="s">
        <v>176</v>
      </c>
      <c r="EB223" s="308" t="s">
        <v>176</v>
      </c>
      <c r="EC223" s="308" t="s">
        <v>176</v>
      </c>
      <c r="ED223" s="308" t="s">
        <v>176</v>
      </c>
      <c r="EE223" s="308" t="s">
        <v>176</v>
      </c>
      <c r="EF223" s="308" t="s">
        <v>176</v>
      </c>
      <c r="EG223" s="308" t="s">
        <v>176</v>
      </c>
      <c r="EH223" s="308" t="s">
        <v>176</v>
      </c>
      <c r="EI223" s="308" t="s">
        <v>176</v>
      </c>
      <c r="EJ223" s="308" t="s">
        <v>176</v>
      </c>
      <c r="EK223" s="308" t="s">
        <v>176</v>
      </c>
      <c r="EL223" s="308" t="s">
        <v>176</v>
      </c>
      <c r="EM223" s="308" t="s">
        <v>176</v>
      </c>
      <c r="EN223" s="308" t="s">
        <v>176</v>
      </c>
      <c r="EO223" s="308" t="s">
        <v>176</v>
      </c>
      <c r="EP223" s="308" t="s">
        <v>176</v>
      </c>
      <c r="EQ223" s="308" t="s">
        <v>176</v>
      </c>
      <c r="ER223" s="308" t="s">
        <v>176</v>
      </c>
      <c r="ES223" s="308" t="s">
        <v>176</v>
      </c>
      <c r="ET223" s="308" t="s">
        <v>176</v>
      </c>
      <c r="EU223" s="308" t="s">
        <v>176</v>
      </c>
      <c r="EV223" s="308" t="s">
        <v>176</v>
      </c>
      <c r="EW223" s="308" t="s">
        <v>176</v>
      </c>
      <c r="EX223" s="308" t="s">
        <v>176</v>
      </c>
      <c r="EY223" s="308">
        <v>1</v>
      </c>
      <c r="EZ223" s="308">
        <v>1</v>
      </c>
      <c r="FA223" s="308">
        <v>1</v>
      </c>
      <c r="FB223" s="308" t="s">
        <v>176</v>
      </c>
      <c r="FC223" s="308" t="s">
        <v>176</v>
      </c>
      <c r="FD223" s="308">
        <v>1</v>
      </c>
      <c r="FE223" s="308">
        <v>2</v>
      </c>
      <c r="FF223" s="308">
        <v>1</v>
      </c>
      <c r="FG223" s="308">
        <v>1</v>
      </c>
      <c r="FH223" s="308">
        <v>1</v>
      </c>
      <c r="FI223" s="308">
        <v>1</v>
      </c>
      <c r="FJ223" s="308">
        <v>1</v>
      </c>
      <c r="FK223" s="308">
        <v>1</v>
      </c>
      <c r="FL223" s="308">
        <v>1</v>
      </c>
      <c r="FM223" s="308">
        <v>1</v>
      </c>
      <c r="FN223" s="308">
        <v>1</v>
      </c>
      <c r="FO223" s="308">
        <v>1</v>
      </c>
      <c r="FP223" s="308">
        <v>1</v>
      </c>
      <c r="FQ223" s="308" t="s">
        <v>176</v>
      </c>
      <c r="FR223" s="308"/>
      <c r="FS223" s="308" t="s">
        <v>176</v>
      </c>
      <c r="FT223" s="308" t="s">
        <v>176</v>
      </c>
      <c r="FU223" s="308" t="s">
        <v>176</v>
      </c>
      <c r="FV223" s="308" t="s">
        <v>176</v>
      </c>
      <c r="FW223" s="308" t="s">
        <v>176</v>
      </c>
      <c r="FX223" s="308"/>
      <c r="FY223" s="308" t="s">
        <v>176</v>
      </c>
      <c r="FZ223" s="308" t="s">
        <v>176</v>
      </c>
      <c r="GA223" s="308" t="s">
        <v>176</v>
      </c>
      <c r="GB223" s="308" t="s">
        <v>176</v>
      </c>
      <c r="GC223" s="308"/>
      <c r="GD223" s="308" t="s">
        <v>176</v>
      </c>
      <c r="GE223" s="308" t="s">
        <v>176</v>
      </c>
      <c r="GF223" s="308"/>
      <c r="GG223" s="308" t="s">
        <v>176</v>
      </c>
      <c r="GH223" s="308" t="s">
        <v>176</v>
      </c>
      <c r="GI223" s="308" t="s">
        <v>176</v>
      </c>
      <c r="GJ223" s="308" t="s">
        <v>176</v>
      </c>
      <c r="GK223" s="308" t="s">
        <v>176</v>
      </c>
      <c r="GL223" s="311">
        <f>SUM(G223:FP223)</f>
        <v>39</v>
      </c>
    </row>
    <row r="224" spans="1:195" ht="36" customHeight="1" thickBot="1" x14ac:dyDescent="0.3">
      <c r="A224" s="138" t="str">
        <f>A223</f>
        <v>Prod.-Q-3</v>
      </c>
      <c r="B224" s="138" t="str">
        <f>B223</f>
        <v>Teamleder zespołu produkcji</v>
      </c>
      <c r="C224" s="138" t="str">
        <f>C223</f>
        <v>JŻ</v>
      </c>
      <c r="D224" s="138">
        <v>564</v>
      </c>
      <c r="E224" s="566" t="str">
        <f>E223</f>
        <v>Han Bogdan</v>
      </c>
      <c r="F224" s="312" t="s">
        <v>166</v>
      </c>
      <c r="G224" s="341">
        <f>IF(INDEX(tab_MinKomp[Przepisy BHP / BHP Vorschriften],MATCH($B223,tab_MinKomp[[Stanowisko / Position ]:[Stanowisko / Position ]],0))="n/a","n/a",G223-INDEX(tab_MinKomp[Przepisy BHP / BHP Vorschriften],MATCH($B223,tab_MinKomp[[Stanowisko / Position ]:[Stanowisko / Position ]],0)))</f>
        <v>-1</v>
      </c>
      <c r="H224" s="342">
        <f>IF(INDEX(tab_MinKomp[Przepisy PPOŻ / Brandschutzbestimmungen],MATCH($B223,tab_MinKomp[[Stanowisko / Position ]:[Stanowisko / Position ]],0))="n/a","n/a",H223-INDEX(tab_MinKomp[Przepisy PPOŻ / Brandschutzbestimmungen],MATCH($B223,tab_MinKomp[[Stanowisko / Position ]:[Stanowisko / Position ]],0)))</f>
        <v>-1</v>
      </c>
      <c r="I224" s="342">
        <f>IF(INDEX(tab_MinKomp[Ryzyko zawodowe na stanowiskach pracyv/ Berufliche Risiken an Arbeitsstellen],MATCH($B223,tab_MinKomp[[Stanowisko / Position ]:[Stanowisko / Position ]],0))="n/a","n/a",I223-INDEX(tab_MinKomp[Ryzyko zawodowe na stanowiskach pracyv/ Berufliche Risiken an Arbeitsstellen],MATCH($B223,tab_MinKomp[[Stanowisko / Position ]:[Stanowisko / Position ]],0)))</f>
        <v>0</v>
      </c>
      <c r="J224" s="342">
        <f>IF(INDEX(tab_MinKomp[Gospodarka substancjami niebezpiecznymi / Gefahrstoffmanagement],MATCH($B223,tab_MinKomp[[Stanowisko / Position ]:[Stanowisko / Position ]],0))="n/a","n/a",J223-INDEX(tab_MinKomp[Gospodarka substancjami niebezpiecznymi / Gefahrstoffmanagement],MATCH($B223,tab_MinKomp[[Stanowisko / Position ]:[Stanowisko / Position ]],0)))</f>
        <v>0</v>
      </c>
      <c r="K224" s="342">
        <f>IF(INDEX(tab_MinKomp[Gospodarka odpadami / Abfallwirtschaft],MATCH($B223,tab_MinKomp[[Stanowisko / Position ]:[Stanowisko / Position ]],0))="n/a","n/a",K223-INDEX(tab_MinKomp[Gospodarka odpadami / Abfallwirtschaft],MATCH($B223,tab_MinKomp[[Stanowisko / Position ]:[Stanowisko / Position ]],0)))</f>
        <v>0</v>
      </c>
      <c r="L224" s="343">
        <f>IF(INDEX(tab_MinKomp[Przepisy kodeksu pracy / Bestimmungen des Arbeitsgesetzes],MATCH($B223,tab_MinKomp[[Stanowisko / Position ]:[Stanowisko / Position ]],0))="n/a","n/a",L223-INDEX(tab_MinKomp[Przepisy kodeksu pracy / Bestimmungen des Arbeitsgesetzes],MATCH($B223,tab_MinKomp[[Stanowisko / Position ]:[Stanowisko / Position ]],0)))</f>
        <v>0</v>
      </c>
      <c r="M224" s="344" t="str">
        <f>IF(INDEX(tab_MinKomp[Przepisy o ub.społ. ZUS  / Sozialversicherungsvorschriften],MATCH($B223,tab_MinKomp[[Stanowisko / Position ]:[Stanowisko / Position ]],0))="n/a","n/a",M223-INDEX(tab_MinKomp[Przepisy o ub.społ. ZUS  / Sozialversicherungsvorschriften],MATCH($B223,tab_MinKomp[[Stanowisko / Position ]:[Stanowisko / Position ]],0)))</f>
        <v>n/a</v>
      </c>
      <c r="N224" s="343" t="str">
        <f>IF(INDEX(tab_MinKomp[PRZEPISY O PDOF /persönlich Einkommensteuergesetz ],MATCH($B223,tab_MinKomp[[Stanowisko / Position ]:[Stanowisko / Position ]],0))="n/a","n/a",N223-INDEX(tab_MinKomp[PRZEPISY O PDOF /persönlich Einkommensteuergesetz ],MATCH($B223,tab_MinKomp[[Stanowisko / Position ]:[Stanowisko / Position ]],0)))</f>
        <v>n/a</v>
      </c>
      <c r="O224" s="343">
        <f>IF(INDEX(tab_MinKomp[Regulamin pracy / Arbeitsordnung],MATCH($B223,tab_MinKomp[[Stanowisko / Position ]:[Stanowisko / Position ]],0))="n/a","n/a",O223-INDEX(tab_MinKomp[Regulamin pracy / Arbeitsordnung],MATCH($B223,tab_MinKomp[[Stanowisko / Position ]:[Stanowisko / Position ]],0)))</f>
        <v>0</v>
      </c>
      <c r="P224" s="343">
        <f>IF(INDEX(tab_MinKomp[Regulamin wynagradzania / Vergütungsordnung],MATCH($B223,tab_MinKomp[[Stanowisko / Position ]:[Stanowisko / Position ]],0))="n/a","n/a",P223-INDEX(tab_MinKomp[Regulamin wynagradzania / Vergütungsordnung],MATCH($B223,tab_MinKomp[[Stanowisko / Position ]:[Stanowisko / Position ]],0)))</f>
        <v>0</v>
      </c>
      <c r="Q224" s="343" t="str">
        <f>IF(INDEX(tab_MinKomp[System R2PŁATNIK PRO: Płace / Lohnabrechnung],MATCH($B223,tab_MinKomp[[Stanowisko / Position ]:[Stanowisko / Position ]],0))="n/a","n/a",Q223-INDEX(tab_MinKomp[System R2PŁATNIK PRO: Płace / Lohnabrechnung],MATCH($B223,tab_MinKomp[[Stanowisko / Position ]:[Stanowisko / Position ]],0)))</f>
        <v>n/a</v>
      </c>
      <c r="R224" s="343" t="str">
        <f>IF(INDEX(tab_MinKomp[SystemR2PŁATNIK PRO: KADRY / Personaldaten],MATCH($B223,tab_MinKomp[[Stanowisko / Position ]:[Stanowisko / Position ]],0))="n/a","n/a",R223-INDEX(tab_MinKomp[SystemR2PŁATNIK PRO: KADRY / Personaldaten],MATCH($B223,tab_MinKomp[[Stanowisko / Position ]:[Stanowisko / Position ]],0)))</f>
        <v>n/a</v>
      </c>
      <c r="S224" s="343" t="str">
        <f>IF(INDEX(tab_MinKomp[SYSTEM R2PŁATNIK PRO: zarządzanie pracownikami / Arbeitsverwaltung],MATCH($B223,tab_MinKomp[[Stanowisko / Position ]:[Stanowisko / Position ]],0))="n/a","n/a",S223-INDEX(tab_MinKomp[SYSTEM R2PŁATNIK PRO: zarządzanie pracownikami / Arbeitsverwaltung],MATCH($B223,tab_MinKomp[[Stanowisko / Position ]:[Stanowisko / Position ]],0)))</f>
        <v>n/a</v>
      </c>
      <c r="T224" s="343">
        <f>IF(INDEX(tab_MinKomp[Doradztwo, wsparcie personalne / Personalberatung und Unterstützung],MATCH($B223,tab_MinKomp[[Stanowisko / Position ]:[Stanowisko / Position ]],0))="n/a","n/a",T223-INDEX(tab_MinKomp[Doradztwo, wsparcie personalne / Personalberatung und Unterstützung],MATCH($B223,tab_MinKomp[[Stanowisko / Position ]:[Stanowisko / Position ]],0)))</f>
        <v>0</v>
      </c>
      <c r="U224" s="343" t="str">
        <f>IF(INDEX(tab_MinKomp[Przepisy o podatku VAT / MwSt.- Gesetz],MATCH($B223,tab_MinKomp[[Stanowisko / Position ]:[Stanowisko / Position ]],0))="n/a","n/a",U223-INDEX(tab_MinKomp[Przepisy o podatku VAT / MwSt.- Gesetz],MATCH($B223,tab_MinKomp[[Stanowisko / Position ]:[Stanowisko / Position ]],0)))</f>
        <v>n/a</v>
      </c>
      <c r="V224" s="343" t="str">
        <f>IF(INDEX(tab_MinKomp[PrzepisyPDOP / geschäftlich Einkommensteuergesetz],MATCH($B223,tab_MinKomp[[Stanowisko / Position ]:[Stanowisko / Position ]],0))="n/a","n/a",V223-INDEX(tab_MinKomp[PrzepisyPDOP / geschäftlich Einkommensteuergesetz],MATCH($B223,tab_MinKomp[[Stanowisko / Position ]:[Stanowisko / Position ]],0)))</f>
        <v>n/a</v>
      </c>
      <c r="W224" s="343" t="str">
        <f>IF(INDEX(tab_MinKomp[System BAAN / FINANSE (FIBU)],MATCH($B223,tab_MinKomp[[Stanowisko / Position ]:[Stanowisko / Position ]],0))="n/a","n/a",W223-INDEX(tab_MinKomp[System BAAN / FINANSE (FIBU)],MATCH($B223,tab_MinKomp[[Stanowisko / Position ]:[Stanowisko / Position ]],0)))</f>
        <v>n/a</v>
      </c>
      <c r="X224" s="343" t="str">
        <f>IF(INDEX(tab_MinKomp[Systemy pomocnicze / Hilfssysteme(STOCKPROGRAM, KALK2000 etc.)],MATCH($B223,tab_MinKomp[[Stanowisko / Position ]:[Stanowisko / Position ]],0))="n/a","n/a",X223-INDEX(tab_MinKomp[Systemy pomocnicze / Hilfssysteme(STOCKPROGRAM, KALK2000 etc.)],MATCH($B223,tab_MinKomp[[Stanowisko / Position ]:[Stanowisko / Position ]],0)))</f>
        <v>n/a</v>
      </c>
      <c r="Y224" s="343" t="str">
        <f>IF(INDEX(tab_MinKomp[Polityka rachunkowości / Buchführungspolitik],MATCH($B223,tab_MinKomp[[Stanowisko / Position ]:[Stanowisko / Position ]],0))="n/a","n/a",Y223-INDEX(tab_MinKomp[Polityka rachunkowości / Buchführungspolitik],MATCH($B223,tab_MinKomp[[Stanowisko / Position ]:[Stanowisko / Position ]],0)))</f>
        <v>n/a</v>
      </c>
      <c r="Z224" s="343" t="str">
        <f>IF(INDEX(tab_MinKomp[Ustawa o rachunkowości / Rechnungslegungsgesetz],MATCH($B223,tab_MinKomp[[Stanowisko / Position ]:[Stanowisko / Position ]],0))="n/a","n/a",Z223-INDEX(tab_MinKomp[Ustawa o rachunkowości / Rechnungslegungsgesetz],MATCH($B223,tab_MinKomp[[Stanowisko / Position ]:[Stanowisko / Position ]],0)))</f>
        <v>n/a</v>
      </c>
      <c r="AA224" s="343" t="str">
        <f>IF(INDEX(tab_MinKomp[WORKFLOW - TS-100],MATCH($B223,tab_MinKomp[[Stanowisko / Position ]:[Stanowisko / Position ]],0))="n/a","n/a",AA223-INDEX(tab_MinKomp[WORKFLOW - TS-100],MATCH($B223,tab_MinKomp[[Stanowisko / Position ]:[Stanowisko / Position ]],0)))</f>
        <v>n/a</v>
      </c>
      <c r="AB224" s="343" t="str">
        <f>IF(INDEX(tab_MinKomp[WORKFLOW - SFMS],MATCH($B223,tab_MinKomp[[Stanowisko / Position ]:[Stanowisko / Position ]],0))="n/a","n/a",AB223-INDEX(tab_MinKomp[WORKFLOW - SFMS],MATCH($B223,tab_MinKomp[[Stanowisko / Position ]:[Stanowisko / Position ]],0)))</f>
        <v>n/a</v>
      </c>
      <c r="AC224" s="343" t="str">
        <f>IF(INDEX(tab_MinKomp[System ISO 9001:2015],MATCH($B223,tab_MinKomp[[Stanowisko / Position ]:[Stanowisko / Position ]],0))="n/a","n/a",AC223-INDEX(tab_MinKomp[System ISO 9001:2015],MATCH($B223,tab_MinKomp[[Stanowisko / Position ]:[Stanowisko / Position ]],0)))</f>
        <v>n/a</v>
      </c>
      <c r="AD224" s="343" t="str">
        <f>IF(INDEX(tab_MinKomp[System IATF 16949:2016],MATCH($B223,tab_MinKomp[[Stanowisko / Position ]:[Stanowisko / Position ]],0))="n/a","n/a",AD223-INDEX(tab_MinKomp[System IATF 16949:2016],MATCH($B223,tab_MinKomp[[Stanowisko / Position ]:[Stanowisko / Position ]],0)))</f>
        <v>n/a</v>
      </c>
      <c r="AE224" s="343" t="str">
        <f>IF(INDEX(tab_MinKomp[System ISO 14001:2015],MATCH($B223,tab_MinKomp[[Stanowisko / Position ]:[Stanowisko / Position ]],0))="n/a","n/a",AE223-INDEX(tab_MinKomp[System ISO 14001:2015],MATCH($B223,tab_MinKomp[[Stanowisko / Position ]:[Stanowisko / Position ]],0)))</f>
        <v>n/a</v>
      </c>
      <c r="AF224" s="343" t="str">
        <f>IF(INDEX(tab_MinKomp[System PN-N 18001:2004 / ISO 45001:2018],MATCH($B223,tab_MinKomp[[Stanowisko / Position ]:[Stanowisko / Position ]],0))="n/a","n/a",AF223-INDEX(tab_MinKomp[System PN-N 18001:2004 / ISO 45001:2018],MATCH($B223,tab_MinKomp[[Stanowisko / Position ]:[Stanowisko / Position ]],0)))</f>
        <v>n/a</v>
      </c>
      <c r="AG224" s="343" t="str">
        <f>IF(INDEX(tab_MinKomp[Wymagania VDA 6.3 Process / Forderungen],MATCH($B223,tab_MinKomp[[Stanowisko / Position ]:[Stanowisko / Position ]],0))="n/a","n/a",AG223-INDEX(tab_MinKomp[Wymagania VDA 6.3 Process / Forderungen],MATCH($B223,tab_MinKomp[[Stanowisko / Position ]:[Stanowisko / Position ]],0)))</f>
        <v>n/a</v>
      </c>
      <c r="AH224" s="343" t="str">
        <f>IF(INDEX(tab_MinKomp[Wymagania VDA 6.5 Product / Forderungen],MATCH($B223,tab_MinKomp[[Stanowisko / Position ]:[Stanowisko / Position ]],0))="n/a","n/a",AH223-INDEX(tab_MinKomp[Wymagania VDA 6.5 Product / Forderungen],MATCH($B223,tab_MinKomp[[Stanowisko / Position ]:[Stanowisko / Position ]],0)))</f>
        <v>n/a</v>
      </c>
      <c r="AI224" s="343" t="str">
        <f>IF(INDEX(tab_MinKomp[PSCR (VW Product Safety &amp; Conformity Representative)],MATCH($B223,tab_MinKomp[[Stanowisko / Position ]:[Stanowisko / Position ]],0))="n/a","n/a",AI223-INDEX(tab_MinKomp[PSCR (VW Product Safety &amp; Conformity Representative)],MATCH($B223,tab_MinKomp[[Stanowisko / Position ]:[Stanowisko / Position ]],0)))</f>
        <v>n/a</v>
      </c>
      <c r="AJ224" s="343" t="str">
        <f>IF(INDEX(tab_MinKomp[Auditor systemu ISO 17025:2018],MATCH($B223,tab_MinKomp[[Stanowisko / Position ]:[Stanowisko / Position ]],0))="n/a","n/a",AJ223-INDEX(tab_MinKomp[Auditor systemu ISO 17025:2018],MATCH($B223,tab_MinKomp[[Stanowisko / Position ]:[Stanowisko / Position ]],0)))</f>
        <v>n/a</v>
      </c>
      <c r="AK224" s="343" t="str">
        <f>IF(INDEX(tab_MinKomp[Pełnomocnik systemu / Systemvertreter],MATCH($B223,tab_MinKomp[[Stanowisko / Position ]:[Stanowisko / Position ]],0))="n/a","n/a",AK223-INDEX(tab_MinKomp[Pełnomocnik systemu / Systemvertreter],MATCH($B223,tab_MinKomp[[Stanowisko / Position ]:[Stanowisko / Position ]],0)))</f>
        <v>n/a</v>
      </c>
      <c r="AL224" s="343" t="str">
        <f>IF(INDEX(tab_MinKomp[Polityka Etyczna - Compliance],MATCH($B223,tab_MinKomp[[Stanowisko / Position ]:[Stanowisko / Position ]],0))="n/a","n/a",AL223-INDEX(tab_MinKomp[Polityka Etyczna - Compliance],MATCH($B223,tab_MinKomp[[Stanowisko / Position ]:[Stanowisko / Position ]],0)))</f>
        <v>n/a</v>
      </c>
      <c r="AM224" s="343" t="str">
        <f>IF(INDEX(tab_MinKomp[WDRAŻANIE NOWYCH PROJEKTÓW/ PROCEDURA CTM],MATCH($B223,tab_MinKomp[[Stanowisko / Position ]:[Stanowisko / Position ]],0))="n/a","n/a",AM223-INDEX(tab_MinKomp[WDRAŻANIE NOWYCH PROJEKTÓW/ PROCEDURA CTM],MATCH($B223,tab_MinKomp[[Stanowisko / Position ]:[Stanowisko / Position ]],0)))</f>
        <v>n/a</v>
      </c>
      <c r="AN224" s="343" t="str">
        <f>IF(INDEX(tab_MinKomp[KAMIENIE MILOWE MSL/PIFF],MATCH($B223,tab_MinKomp[[Stanowisko / Position ]:[Stanowisko / Position ]],0))="n/a","n/a",AN223-INDEX(tab_MinKomp[KAMIENIE MILOWE MSL/PIFF],MATCH($B223,tab_MinKomp[[Stanowisko / Position ]:[Stanowisko / Position ]],0)))</f>
        <v>n/a</v>
      </c>
      <c r="AO224" s="343">
        <f>IF(INDEX(tab_MinKomp[CP],MATCH($B223,tab_MinKomp[[Stanowisko / Position ]:[Stanowisko / Position ]],0))="n/a","n/a",AO223-INDEX(tab_MinKomp[CP],MATCH($B223,tab_MinKomp[[Stanowisko / Position ]:[Stanowisko / Position ]],0)))</f>
        <v>-2</v>
      </c>
      <c r="AP224" s="343" t="str">
        <f>IF(INDEX(tab_MinKomp[FMEA],MATCH($B223,tab_MinKomp[[Stanowisko / Position ]:[Stanowisko / Position ]],0))="n/a","n/a",AP223-INDEX(tab_MinKomp[FMEA],MATCH($B223,tab_MinKomp[[Stanowisko / Position ]:[Stanowisko / Position ]],0)))</f>
        <v>n/a</v>
      </c>
      <c r="AQ224" s="343">
        <f>IF(INDEX(tab_MinKomp[FLOW CHART],MATCH($B223,tab_MinKomp[[Stanowisko / Position ]:[Stanowisko / Position ]],0))="n/a","n/a",AQ223-INDEX(tab_MinKomp[FLOW CHART],MATCH($B223,tab_MinKomp[[Stanowisko / Position ]:[Stanowisko / Position ]],0)))</f>
        <v>-1</v>
      </c>
      <c r="AR224" s="343" t="str">
        <f>IF(INDEX(tab_MinKomp[APQP],MATCH($B223,tab_MinKomp[[Stanowisko / Position ]:[Stanowisko / Position ]],0))="n/a","n/a",AR223-INDEX(tab_MinKomp[APQP],MATCH($B223,tab_MinKomp[[Stanowisko / Position ]:[Stanowisko / Position ]],0)))</f>
        <v>n/a</v>
      </c>
      <c r="AS224" s="343" t="str">
        <f>IF(INDEX(tab_MinKomp[MSA],MATCH($B223,tab_MinKomp[[Stanowisko / Position ]:[Stanowisko / Position ]],0))="n/a","n/a",AS223-INDEX(tab_MinKomp[MSA],MATCH($B223,tab_MinKomp[[Stanowisko / Position ]:[Stanowisko / Position ]],0)))</f>
        <v>n/a</v>
      </c>
      <c r="AT224" s="343" t="str">
        <f>IF(INDEX(tab_MinKomp[SPC],MATCH($B223,tab_MinKomp[[Stanowisko / Position ]:[Stanowisko / Position ]],0))="n/a","n/a",AT223-INDEX(tab_MinKomp[SPC],MATCH($B223,tab_MinKomp[[Stanowisko / Position ]:[Stanowisko / Position ]],0)))</f>
        <v>n/a</v>
      </c>
      <c r="AU224" s="343">
        <f>IF(INDEX(tab_MinKomp[CSR (SPECYFICZNE WYMAGANIA KLIENTA)],MATCH($B223,tab_MinKomp[[Stanowisko / Position ]:[Stanowisko / Position ]],0))="n/a","n/a",AU223-INDEX(tab_MinKomp[CSR (SPECYFICZNE WYMAGANIA KLIENTA)],MATCH($B223,tab_MinKomp[[Stanowisko / Position ]:[Stanowisko / Position ]],0)))</f>
        <v>-1</v>
      </c>
      <c r="AV224" s="343">
        <f>IF(INDEX(tab_MinKomp[5S],MATCH($B223,tab_MinKomp[[Stanowisko / Position ]:[Stanowisko / Position ]],0))="n/a","n/a",AV223-INDEX(tab_MinKomp[5S],MATCH($B223,tab_MinKomp[[Stanowisko / Position ]:[Stanowisko / Position ]],0)))</f>
        <v>0</v>
      </c>
      <c r="AW224" s="343">
        <f>IF(INDEX(tab_MinKomp[LEAN MANAGEMENT],MATCH($B223,tab_MinKomp[[Stanowisko / Position ]:[Stanowisko / Position ]],0))="n/a","n/a",AW223-INDEX(tab_MinKomp[LEAN MANAGEMENT],MATCH($B223,tab_MinKomp[[Stanowisko / Position ]:[Stanowisko / Position ]],0)))</f>
        <v>-1</v>
      </c>
      <c r="AX224" s="343" t="str">
        <f>IF(INDEX(tab_MinKomp[5R],MATCH($B223,tab_MinKomp[[Stanowisko / Position ]:[Stanowisko / Position ]],0))="n/a","n/a",AX223-INDEX(tab_MinKomp[5R],MATCH($B223,tab_MinKomp[[Stanowisko / Position ]:[Stanowisko / Position ]],0)))</f>
        <v>n/a</v>
      </c>
      <c r="AY224" s="343" t="str">
        <f>IF(INDEX(tab_MinKomp[Six Sigma],MATCH($B223,tab_MinKomp[[Stanowisko / Position ]:[Stanowisko / Position ]],0))="n/a","n/a",AY223-INDEX(tab_MinKomp[Six Sigma],MATCH($B223,tab_MinKomp[[Stanowisko / Position ]:[Stanowisko / Position ]],0)))</f>
        <v>n/a</v>
      </c>
      <c r="AZ224" s="343" t="str">
        <f>IF(INDEX(tab_MinKomp[System BAAN / Distribution &amp; Supply Chain],MATCH($B223,tab_MinKomp[[Stanowisko / Position ]:[Stanowisko / Position ]],0))="n/a","n/a",AZ223-INDEX(tab_MinKomp[System BAAN / Distribution &amp; Supply Chain],MATCH($B223,tab_MinKomp[[Stanowisko / Position ]:[Stanowisko / Position ]],0)))</f>
        <v>n/a</v>
      </c>
      <c r="BA224" s="343">
        <f>IF(INDEX(tab_MinKomp[Gospodarka magazynowa / Lagerverwaltung],MATCH($B223,tab_MinKomp[[Stanowisko / Position ]:[Stanowisko / Position ]],0))="n/a","n/a",BA223-INDEX(tab_MinKomp[Gospodarka magazynowa / Lagerverwaltung],MATCH($B223,tab_MinKomp[[Stanowisko / Position ]:[Stanowisko / Position ]],0)))</f>
        <v>0</v>
      </c>
      <c r="BB224" s="343">
        <f>IF(INDEX(tab_MinKomp[Inwentaryzacja - organizacja i przebieg / Inventurprozess],MATCH($B223,tab_MinKomp[[Stanowisko / Position ]:[Stanowisko / Position ]],0))="n/a","n/a",BB223-INDEX(tab_MinKomp[Inwentaryzacja - organizacja i przebieg / Inventurprozess],MATCH($B223,tab_MinKomp[[Stanowisko / Position ]:[Stanowisko / Position ]],0)))</f>
        <v>0</v>
      </c>
      <c r="BC224" s="343" t="str">
        <f>IF(INDEX(tab_MinKomp[Organizacja dostaw / Versorgungsorganisation],MATCH($B223,tab_MinKomp[[Stanowisko / Position ]:[Stanowisko / Position ]],0))="n/a","n/a",BC223-INDEX(tab_MinKomp[Organizacja dostaw / Versorgungsorganisation],MATCH($B223,tab_MinKomp[[Stanowisko / Position ]:[Stanowisko / Position ]],0)))</f>
        <v>n/a</v>
      </c>
      <c r="BD224" s="343" t="str">
        <f>IF(INDEX(tab_MinKomp[Organizacja wysyłek / Organisation von Lieferungen],MATCH($B223,tab_MinKomp[[Stanowisko / Position ]:[Stanowisko / Position ]],0))="n/a","n/a",BD223-INDEX(tab_MinKomp[Organizacja wysyłek / Organisation von Lieferungen],MATCH($B223,tab_MinKomp[[Stanowisko / Position ]:[Stanowisko / Position ]],0)))</f>
        <v>n/a</v>
      </c>
      <c r="BE224" s="343" t="str">
        <f>IF(INDEX(tab_MinKomp[Analiza magazynowa - Program Polen.mdb / Inventuranalyse],MATCH($B223,tab_MinKomp[[Stanowisko / Position ]:[Stanowisko / Position ]],0))="n/a","n/a",BE223-INDEX(tab_MinKomp[Analiza magazynowa - Program Polen.mdb / Inventuranalyse],MATCH($B223,tab_MinKomp[[Stanowisko / Position ]:[Stanowisko / Position ]],0)))</f>
        <v>n/a</v>
      </c>
      <c r="BF224" s="315" t="str">
        <f>IF(INDEX(tab_MinKomp[MMOG (Materials Management Operations Guidelines)],MATCH($B223,tab_MinKomp[[Stanowisko / Position ]:[Stanowisko / Position ]],0))="n/a","n/a",BF223-INDEX(tab_MinKomp[MMOG (Materials Management Operations Guidelines)],MATCH($B223,tab_MinKomp[[Stanowisko / Position ]:[Stanowisko / Position ]],0)))</f>
        <v>n/a</v>
      </c>
      <c r="BG224" s="315" t="str">
        <f>IF(INDEX(tab_MinKomp[GPP],MATCH($B223,tab_MinKomp[[Stanowisko / Position ]:[Stanowisko / Position ]],0))="n/a","n/a",BG223-INDEX(tab_MinKomp[GPP],MATCH($B223,tab_MinKomp[[Stanowisko / Position ]:[Stanowisko / Position ]],0)))</f>
        <v>n/a</v>
      </c>
      <c r="BH224" s="315" t="str">
        <f>IF(INDEX(tab_MinKomp[AIAG (Automotive Industry Action Group)],MATCH($B223,tab_MinKomp[[Stanowisko / Position ]:[Stanowisko / Position ]],0))="n/a","n/a",BH223-INDEX(tab_MinKomp[AIAG (Automotive Industry Action Group)],MATCH($B223,tab_MinKomp[[Stanowisko / Position ]:[Stanowisko / Position ]],0)))</f>
        <v>n/a</v>
      </c>
      <c r="BI224" s="315" t="str">
        <f>IF(INDEX(tab_MinKomp[Super-G disputes],MATCH($B223,tab_MinKomp[[Stanowisko / Position ]:[Stanowisko / Position ]],0))="n/a","n/a",BI223-INDEX(tab_MinKomp[Super-G disputes],MATCH($B223,tab_MinKomp[[Stanowisko / Position ]:[Stanowisko / Position ]],0)))</f>
        <v>n/a</v>
      </c>
      <c r="BJ224" s="315" t="str">
        <f>IF(INDEX(tab_MinKomp[CMMS3/eDDL (Direct Data Link)],MATCH($B223,tab_MinKomp[[Stanowisko / Position ]:[Stanowisko / Position ]],0))="n/a","n/a",BJ223-INDEX(tab_MinKomp[CMMS3/eDDL (Direct Data Link)],MATCH($B223,tab_MinKomp[[Stanowisko / Position ]:[Stanowisko / Position ]],0)))</f>
        <v>n/a</v>
      </c>
      <c r="BK224" s="315" t="str">
        <f>IF(INDEX(tab_MinKomp[MP&amp;L (Material Planning and Logistics)],MATCH($B223,tab_MinKomp[[Stanowisko / Position ]:[Stanowisko / Position ]],0))="n/a","n/a",BK223-INDEX(tab_MinKomp[MP&amp;L (Material Planning and Logistics)],MATCH($B223,tab_MinKomp[[Stanowisko / Position ]:[Stanowisko / Position ]],0)))</f>
        <v>n/a</v>
      </c>
      <c r="BL224" s="315" t="str">
        <f>IF(INDEX(tab_MinKomp[Supplier delivery rating],MATCH($B223,tab_MinKomp[[Stanowisko / Position ]:[Stanowisko / Position ]],0))="n/a","n/a",BL223-INDEX(tab_MinKomp[Supplier delivery rating],MATCH($B223,tab_MinKomp[[Stanowisko / Position ]:[Stanowisko / Position ]],0)))</f>
        <v>n/a</v>
      </c>
      <c r="BM224" s="343">
        <f>IF(INDEX(tab_MinKomp[Planowanie produkcji / Produktionsplanung],MATCH($B223,tab_MinKomp[[Stanowisko / Position ]:[Stanowisko / Position ]],0))="n/a","n/a",BM223-INDEX(tab_MinKomp[Planowanie produkcji / Produktionsplanung],MATCH($B223,tab_MinKomp[[Stanowisko / Position ]:[Stanowisko / Position ]],0)))</f>
        <v>-2</v>
      </c>
      <c r="BN224" s="343" t="str">
        <f>IF(INDEX(tab_MinKomp[Obsługa maszyn Engel / Engel Maschinenbedienung],MATCH($B223,tab_MinKomp[[Stanowisko / Position ]:[Stanowisko / Position ]],0))="n/a","n/a",BN223-INDEX(tab_MinKomp[Obsługa maszyn Engel / Engel Maschinenbedienung],MATCH($B223,tab_MinKomp[[Stanowisko / Position ]:[Stanowisko / Position ]],0)))</f>
        <v>n/a</v>
      </c>
      <c r="BO224" s="343" t="str">
        <f>IF(INDEX(tab_MinKomp[Obsługa maszyn KVT / KVT Maschinenbedienung],MATCH($B223,tab_MinKomp[[Stanowisko / Position ]:[Stanowisko / Position ]],0))="n/a","n/a",BO223-INDEX(tab_MinKomp[Obsługa maszyn KVT / KVT Maschinenbedienung],MATCH($B223,tab_MinKomp[[Stanowisko / Position ]:[Stanowisko / Position ]],0)))</f>
        <v>n/a</v>
      </c>
      <c r="BP224" s="343" t="str">
        <f>IF(INDEX(tab_MinKomp[Obsługa maszyn KVT / KVT Maschinenbedienung],MATCH($B223,tab_MinKomp[[Stanowisko / Position ]:[Stanowisko / Position ]],0))="n/a","n/a",BP223-INDEX(tab_MinKomp[Obsługa maszyn KVT / KVT Maschinenbedienung],MATCH($B223,tab_MinKomp[[Stanowisko / Position ]:[Stanowisko / Position ]],0)))</f>
        <v>n/a</v>
      </c>
      <c r="BQ224" s="343" t="str">
        <f>IF(INDEX(tab_MinKomp[Obsługa maszyn ASL / ASL Maschinenbedienung],MATCH($B223,tab_MinKomp[[Stanowisko / Position ]:[Stanowisko / Position ]],0))="n/a","n/a",BQ223-INDEX(tab_MinKomp[Obsługa maszyn ASL / ASL Maschinenbedienung],MATCH($B223,tab_MinKomp[[Stanowisko / Position ]:[Stanowisko / Position ]],0)))</f>
        <v>n/a</v>
      </c>
      <c r="BR224" s="343" t="str">
        <f>IF(INDEX(tab_MinKomp[Obsługa maszyn Branson / Branson Maschinenbedienung],MATCH($B223,tab_MinKomp[[Stanowisko / Position ]:[Stanowisko / Position ]],0))="n/a","n/a",BR223-INDEX(tab_MinKomp[Obsługa maszyn Branson / Branson Maschinenbedienung],MATCH($B223,tab_MinKomp[[Stanowisko / Position ]:[Stanowisko / Position ]],0)))</f>
        <v>n/a</v>
      </c>
      <c r="BS224" s="343">
        <f>IF(INDEX(tab_MinKomp[Obsługa maszyn Novapax / Novapax Maschinenbedienung],MATCH($B223,tab_MinKomp[[Stanowisko / Position ]:[Stanowisko / Position ]],0))="n/a","n/a",BS223-INDEX(tab_MinKomp[Obsługa maszyn Novapax / Novapax Maschinenbedienung],MATCH($B223,tab_MinKomp[[Stanowisko / Position ]:[Stanowisko / Position ]],0)))</f>
        <v>-1</v>
      </c>
      <c r="BT224" s="343" t="str">
        <f>IF(INDEX(tab_MinKomp[Obsługa maszyn Piovan / Piovan Maschinenbedienung],MATCH($B223,tab_MinKomp[[Stanowisko / Position ]:[Stanowisko / Position ]],0))="n/a","n/a",BT223-INDEX(tab_MinKomp[Obsługa maszyn Piovan / Piovan Maschinenbedienung],MATCH($B223,tab_MinKomp[[Stanowisko / Position ]:[Stanowisko / Position ]],0)))</f>
        <v>n/a</v>
      </c>
      <c r="BU224" s="343">
        <f>IF(INDEX(tab_MinKomp[Obsługa maszyn Novapax / Novapax Maschinenbedienung],MATCH($B223,tab_MinKomp[[Stanowisko / Position ]:[Stanowisko / Position ]],0))="n/a","n/a",BU223-INDEX(tab_MinKomp[Obsługa maszyn Novapax / Novapax Maschinenbedienung],MATCH($B223,tab_MinKomp[[Stanowisko / Position ]:[Stanowisko / Position ]],0)))</f>
        <v>-3</v>
      </c>
      <c r="BV224" s="343">
        <f>IF(INDEX(tab_MinKomp[Eliminacja awarii / Beseitigung von Ausfällen],MATCH($B223,tab_MinKomp[[Stanowisko / Position ]:[Stanowisko / Position ]],0))="n/a","n/a",BV223-INDEX(tab_MinKomp[Eliminacja awarii / Beseitigung von Ausfällen],MATCH($B223,tab_MinKomp[[Stanowisko / Position ]:[Stanowisko / Position ]],0)))</f>
        <v>-1</v>
      </c>
      <c r="BW224" s="343" t="str">
        <f>IF(INDEX(tab_MinKomp[Informatyka ogólna (techniczne i systemowe) / Allgemeine IT (Technik und System)],MATCH($B223,tab_MinKomp[[Stanowisko / Position ]:[Stanowisko / Position ]],0))="n/a","n/a",BW223-INDEX(tab_MinKomp[Informatyka ogólna (techniczne i systemowe) / Allgemeine IT (Technik und System)],MATCH($B223,tab_MinKomp[[Stanowisko / Position ]:[Stanowisko / Position ]],0)))</f>
        <v>n/a</v>
      </c>
      <c r="BX224" s="343" t="str">
        <f>IF(INDEX(tab_MinKomp[Sieci komputerowe / Computernetzwerke],MATCH($B223,tab_MinKomp[[Stanowisko / Position ]:[Stanowisko / Position ]],0))="n/a","n/a",BX223-INDEX(tab_MinKomp[Sieci komputerowe / Computernetzwerke],MATCH($B223,tab_MinKomp[[Stanowisko / Position ]:[Stanowisko / Position ]],0)))</f>
        <v>n/a</v>
      </c>
      <c r="BY224" s="343" t="str">
        <f>IF(INDEX(tab_MinKomp[Hardware (komputery PC, drukarki biurowe i etykietowe, telefonia stacjonarna i mobilna) (PC, Drucker, Telefpne, Handys)],MATCH($B223,tab_MinKomp[[Stanowisko / Position ]:[Stanowisko / Position ]],0))="n/a","n/a",BY223-INDEX(tab_MinKomp[Hardware (komputery PC, drukarki biurowe i etykietowe, telefonia stacjonarna i mobilna) (PC, Drucker, Telefpne, Handys)],MATCH($B223,tab_MinKomp[[Stanowisko / Position ]:[Stanowisko / Position ]],0)))</f>
        <v>n/a</v>
      </c>
      <c r="BZ224" s="343" t="str">
        <f>IF(INDEX(tab_MinKomp[Software &amp; Systems (MS Office, MS Remote Desktop)],MATCH($B223,tab_MinKomp[[Stanowisko / Position ]:[Stanowisko / Position ]],0))="n/a","n/a",BZ223-INDEX(tab_MinKomp[Software &amp; Systems (MS Office, MS Remote Desktop)],MATCH($B223,tab_MinKomp[[Stanowisko / Position ]:[Stanowisko / Position ]],0)))</f>
        <v>n/a</v>
      </c>
      <c r="CA224" s="343" t="str">
        <f>IF(INDEX(tab_MinKomp[Programowanie obiektowe (PHP) / Objektprogrammierung],MATCH($B223,tab_MinKomp[[Stanowisko / Position ]:[Stanowisko / Position ]],0))="n/a","n/a",CA223-INDEX(tab_MinKomp[Programowanie obiektowe (PHP) / Objektprogrammierung],MATCH($B223,tab_MinKomp[[Stanowisko / Position ]:[Stanowisko / Position ]],0)))</f>
        <v>n/a</v>
      </c>
      <c r="CB224" s="343" t="str">
        <f>IF(INDEX(tab_MinKomp[Scrum],MATCH($B223,tab_MinKomp[[Stanowisko / Position ]:[Stanowisko / Position ]],0))="n/a","n/a",CB223-INDEX(tab_MinKomp[Scrum],MATCH($B223,tab_MinKomp[[Stanowisko / Position ]:[Stanowisko / Position ]],0)))</f>
        <v>n/a</v>
      </c>
      <c r="CC224" s="343" t="str">
        <f>IF(INDEX(tab_MinKomp[SQL (MySQL)],MATCH($B223,tab_MinKomp[[Stanowisko / Position ]:[Stanowisko / Position ]],0))="n/a","n/a",CC223-INDEX(tab_MinKomp[SQL (MySQL)],MATCH($B223,tab_MinKomp[[Stanowisko / Position ]:[Stanowisko / Position ]],0)))</f>
        <v>n/a</v>
      </c>
      <c r="CD224" s="343" t="str">
        <f>IF(INDEX(tab_MinKomp[Javascript],MATCH($B223,tab_MinKomp[[Stanowisko / Position ]:[Stanowisko / Position ]],0))="n/a","n/a",CD223-INDEX(tab_MinKomp[Javascript],MATCH($B223,tab_MinKomp[[Stanowisko / Position ]:[Stanowisko / Position ]],0)))</f>
        <v>n/a</v>
      </c>
      <c r="CE224" s="343" t="str">
        <f>IF(INDEX(tab_MinKomp[Joomla],MATCH($B223,tab_MinKomp[[Stanowisko / Position ]:[Stanowisko / Position ]],0))="n/a","n/a",CE223-INDEX(tab_MinKomp[Joomla],MATCH($B223,tab_MinKomp[[Stanowisko / Position ]:[Stanowisko / Position ]],0)))</f>
        <v>n/a</v>
      </c>
      <c r="CF224" s="343" t="str">
        <f>IF(INDEX(tab_MinKomp[Bash],MATCH($B223,tab_MinKomp[[Stanowisko / Position ]:[Stanowisko / Position ]],0))="n/a","n/a",CF223-INDEX(tab_MinKomp[Bash],MATCH($B223,tab_MinKomp[[Stanowisko / Position ]:[Stanowisko / Position ]],0)))</f>
        <v>n/a</v>
      </c>
      <c r="CG224" s="343">
        <f>IF(INDEX(tab_MinKomp[Systemy MES (HYDRA / SFMS)],MATCH($B223,tab_MinKomp[[Stanowisko / Position ]:[Stanowisko / Position ]],0))="n/a","n/a",CG223-INDEX(tab_MinKomp[Systemy MES (HYDRA / SFMS)],MATCH($B223,tab_MinKomp[[Stanowisko / Position ]:[Stanowisko / Position ]],0)))</f>
        <v>-2</v>
      </c>
      <c r="CH224" s="343" t="str">
        <f>IF(INDEX(tab_MinKomp[HTML / CSS],MATCH($B223,tab_MinKomp[[Stanowisko / Position ]:[Stanowisko / Position ]],0))="n/a","n/a",CH223-INDEX(tab_MinKomp[HTML / CSS],MATCH($B223,tab_MinKomp[[Stanowisko / Position ]:[Stanowisko / Position ]],0)))</f>
        <v>n/a</v>
      </c>
      <c r="CI224" s="343" t="str">
        <f>IF(INDEX(tab_MinKomp[SYSTEM PR],MATCH($B223,tab_MinKomp[[Stanowisko / Position ]:[Stanowisko / Position ]],0))="n/a","n/a",CI223-INDEX(tab_MinKomp[SYSTEM PR],MATCH($B223,tab_MinKomp[[Stanowisko / Position ]:[Stanowisko / Position ]],0)))</f>
        <v>n/a</v>
      </c>
      <c r="CJ224" s="343" t="str">
        <f>IF(INDEX(tab_MinKomp[System Einkauf XP / EBA],MATCH($B223,tab_MinKomp[[Stanowisko / Position ]:[Stanowisko / Position ]],0))="n/a","n/a",CJ223-INDEX(tab_MinKomp[System Einkauf XP / EBA],MATCH($B223,tab_MinKomp[[Stanowisko / Position ]:[Stanowisko / Position ]],0)))</f>
        <v>n/a</v>
      </c>
      <c r="CK224" s="343" t="str">
        <f>IF(INDEX(tab_MinKomp[Techniki negocjacyjne / Verhandlungstechniken],MATCH($B223,tab_MinKomp[[Stanowisko / Position ]:[Stanowisko / Position ]],0))="n/a","n/a",CK223-INDEX(tab_MinKomp[Techniki negocjacyjne / Verhandlungstechniken],MATCH($B223,tab_MinKomp[[Stanowisko / Position ]:[Stanowisko / Position ]],0)))</f>
        <v>n/a</v>
      </c>
      <c r="CL224" s="343" t="str">
        <f>IF(INDEX(tab_MinKomp[Znajomość rynku branżowego / Kenntnis des Industrie Marktes],MATCH($B223,tab_MinKomp[[Stanowisko / Position ]:[Stanowisko / Position ]],0))="n/a","n/a",CL223-INDEX(tab_MinKomp[Znajomość rynku branżowego / Kenntnis des Industrie Marktes],MATCH($B223,tab_MinKomp[[Stanowisko / Position ]:[Stanowisko / Position ]],0)))</f>
        <v>n/a</v>
      </c>
      <c r="CM224" s="343">
        <f>IF(INDEX(tab_MinKomp[RAPORTY 8D / 8D Berichten],MATCH($B223,tab_MinKomp[[Stanowisko / Position ]:[Stanowisko / Position ]],0))="n/a","n/a",CM223-INDEX(tab_MinKomp[RAPORTY 8D / 8D Berichten],MATCH($B223,tab_MinKomp[[Stanowisko / Position ]:[Stanowisko / Position ]],0)))</f>
        <v>-1</v>
      </c>
      <c r="CN224" s="343">
        <f>IF(INDEX(tab_MinKomp[NARZĘDZIA JAKOŚCIOWE (5WHY, Ishikawa, etc) / QS-Werkzeuge],MATCH($B223,tab_MinKomp[[Stanowisko / Position ]:[Stanowisko / Position ]],0))="n/a","n/a",CN223-INDEX(tab_MinKomp[NARZĘDZIA JAKOŚCIOWE (5WHY, Ishikawa, etc) / QS-Werkzeuge],MATCH($B223,tab_MinKomp[[Stanowisko / Position ]:[Stanowisko / Position ]],0)))</f>
        <v>-1</v>
      </c>
      <c r="CO224" s="343">
        <f>IF(INDEX(tab_MinKomp[PDCA],MATCH($B223,tab_MinKomp[[Stanowisko / Position ]:[Stanowisko / Position ]],0))="n/a","n/a",CO223-INDEX(tab_MinKomp[PDCA],MATCH($B223,tab_MinKomp[[Stanowisko / Position ]:[Stanowisko / Position ]],0)))</f>
        <v>-1</v>
      </c>
      <c r="CP224" s="343">
        <f>IF(INDEX(tab_MinKomp[Pareto],MATCH($B223,tab_MinKomp[[Stanowisko / Position ]:[Stanowisko / Position ]],0))="n/a","n/a",CP223-INDEX(tab_MinKomp[Pareto],MATCH($B223,tab_MinKomp[[Stanowisko / Position ]:[Stanowisko / Position ]],0)))</f>
        <v>-2</v>
      </c>
      <c r="CQ224" s="343" t="str">
        <f>IF(INDEX(tab_MinKomp[PPAP/PSW],MATCH($B223,tab_MinKomp[[Stanowisko / Position ]:[Stanowisko / Position ]],0))="n/a","n/a",CQ223-INDEX(tab_MinKomp[PPAP/PSW],MATCH($B223,tab_MinKomp[[Stanowisko / Position ]:[Stanowisko / Position ]],0)))</f>
        <v>n/a</v>
      </c>
      <c r="CR224" s="343" t="str">
        <f>IF(INDEX(tab_MinKomp[SUPPLIER MANAGEMENT],MATCH($B223,tab_MinKomp[[Stanowisko / Position ]:[Stanowisko / Position ]],0))="n/a","n/a",CR223-INDEX(tab_MinKomp[SUPPLIER MANAGEMENT],MATCH($B223,tab_MinKomp[[Stanowisko / Position ]:[Stanowisko / Position ]],0)))</f>
        <v>n/a</v>
      </c>
      <c r="CS224" s="343" t="str">
        <f>IF(INDEX(tab_MinKomp[OBSŁUGA PORTALI KLIENTA / Kundenportale],MATCH($B223,tab_MinKomp[[Stanowisko / Position ]:[Stanowisko / Position ]],0))="n/a","n/a",CS223-INDEX(tab_MinKomp[OBSŁUGA PORTALI KLIENTA / Kundenportale],MATCH($B223,tab_MinKomp[[Stanowisko / Position ]:[Stanowisko / Position ]],0)))</f>
        <v>n/a</v>
      </c>
      <c r="CT224" s="343" t="str">
        <f>IF(INDEX(tab_MinKomp[Obsługa systemu BABTECQ / BABTECQ System],MATCH($B223,tab_MinKomp[[Stanowisko / Position ]:[Stanowisko / Position ]],0))="n/a","n/a",CT223-INDEX(tab_MinKomp[Obsługa systemu BABTECQ / BABTECQ System],MATCH($B223,tab_MinKomp[[Stanowisko / Position ]:[Stanowisko / Position ]],0)))</f>
        <v>n/a</v>
      </c>
      <c r="CU224" s="343" t="str">
        <f>IF(INDEX(tab_MinKomp[Rysunek techniczny / technische Zeichnung],MATCH($B223,tab_MinKomp[[Stanowisko / Position ]:[Stanowisko / Position ]],0))="n/a","n/a",CU223-INDEX(tab_MinKomp[Rysunek techniczny / technische Zeichnung],MATCH($B223,tab_MinKomp[[Stanowisko / Position ]:[Stanowisko / Position ]],0)))</f>
        <v>n/a</v>
      </c>
      <c r="CV224" s="343" t="str">
        <f>IF(INDEX(tab_MinKomp[Kalibracja / Kalibrierung],MATCH($B223,tab_MinKomp[[Stanowisko / Position ]:[Stanowisko / Position ]],0))="n/a","n/a",CV223-INDEX(tab_MinKomp[Kalibracja / Kalibrierung],MATCH($B223,tab_MinKomp[[Stanowisko / Position ]:[Stanowisko / Position ]],0)))</f>
        <v>n/a</v>
      </c>
      <c r="CW224" s="343" t="str">
        <f>IF(INDEX(tab_MinKomp[Rekwalifikacja / Requalifizierung],MATCH($B223,tab_MinKomp[[Stanowisko / Position ]:[Stanowisko / Position ]],0))="n/a","n/a",CW223-INDEX(tab_MinKomp[Rekwalifikacja / Requalifizierung],MATCH($B223,tab_MinKomp[[Stanowisko / Position ]:[Stanowisko / Position ]],0)))</f>
        <v>n/a</v>
      </c>
      <c r="CX224" s="315" t="s">
        <v>176</v>
      </c>
      <c r="CY224" s="315" t="s">
        <v>176</v>
      </c>
      <c r="CZ224" s="315" t="s">
        <v>176</v>
      </c>
      <c r="DA224" s="315" t="s">
        <v>176</v>
      </c>
      <c r="DB224" s="315" t="s">
        <v>176</v>
      </c>
      <c r="DC224" s="315" t="s">
        <v>176</v>
      </c>
      <c r="DD224" s="315" t="s">
        <v>176</v>
      </c>
      <c r="DE224" s="315" t="s">
        <v>176</v>
      </c>
      <c r="DF224" s="315" t="s">
        <v>176</v>
      </c>
      <c r="DG224" s="315" t="s">
        <v>176</v>
      </c>
      <c r="DH224" s="315" t="s">
        <v>176</v>
      </c>
      <c r="DI224" s="315" t="s">
        <v>176</v>
      </c>
      <c r="DJ224" s="315" t="s">
        <v>176</v>
      </c>
      <c r="DK224" s="315" t="s">
        <v>176</v>
      </c>
      <c r="DL224" s="315" t="s">
        <v>176</v>
      </c>
      <c r="DM224" s="315" t="s">
        <v>176</v>
      </c>
      <c r="DN224" s="315" t="s">
        <v>176</v>
      </c>
      <c r="DO224" s="315" t="s">
        <v>176</v>
      </c>
      <c r="DP224" s="315" t="s">
        <v>176</v>
      </c>
      <c r="DQ224" s="315" t="s">
        <v>176</v>
      </c>
      <c r="DR224" s="315" t="s">
        <v>176</v>
      </c>
      <c r="DS224" s="315" t="s">
        <v>176</v>
      </c>
      <c r="DT224" s="315" t="s">
        <v>176</v>
      </c>
      <c r="DU224" s="343" t="str">
        <f>IF(INDEX(tab_MinKomp[MSA i SPC],MATCH($B223,tab_MinKomp[[Stanowisko / Position ]:[Stanowisko / Position ]],0))="n/a","n/a",DU223-INDEX(tab_MinKomp[MSA i SPC],MATCH($B223,tab_MinKomp[[Stanowisko / Position ]:[Stanowisko / Position ]],0)))</f>
        <v>n/a</v>
      </c>
      <c r="DV224" s="343" t="str">
        <f>IF(INDEX(tab_MinKomp[Kontrola wejściowa komponentów/ Eingangskontrolle],MATCH($B223,tab_MinKomp[[Stanowisko / Position ]:[Stanowisko / Position ]],0))="n/a","n/a",DV223-INDEX(tab_MinKomp[Kontrola wejściowa komponentów/ Eingangskontrolle],MATCH($B223,tab_MinKomp[[Stanowisko / Position ]:[Stanowisko / Position ]],0)))</f>
        <v>n/a</v>
      </c>
      <c r="DW224" s="343" t="str">
        <f>IF(INDEX(tab_MinKomp[Kontrola wyjściowa produktu / Ausgangskontrolle],MATCH($B223,tab_MinKomp[[Stanowisko / Position ]:[Stanowisko / Position ]],0))="n/a","n/a",DW223-INDEX(tab_MinKomp[Kontrola wyjściowa produktu / Ausgangskontrolle],MATCH($B223,tab_MinKomp[[Stanowisko / Position ]:[Stanowisko / Position ]],0)))</f>
        <v>n/a</v>
      </c>
      <c r="DX224" s="343" t="str">
        <f>IF(INDEX(tab_MinKomp[Kontrola codzienna produkcji / Tägliche Produktionskontrolle],MATCH($B223,tab_MinKomp[[Stanowisko / Position ]:[Stanowisko / Position ]],0))="n/a","n/a",DX223-INDEX(tab_MinKomp[Kontrola codzienna produkcji / Tägliche Produktionskontrolle],MATCH($B223,tab_MinKomp[[Stanowisko / Position ]:[Stanowisko / Position ]],0)))</f>
        <v>n/a</v>
      </c>
      <c r="DY224" s="343" t="str">
        <f>IF(INDEX(tab_MinKomp[Konserwacja Rep],MATCH($B223,tab_MinKomp[[Stanowisko / Position ]:[Stanowisko / Position ]],0))="n/a","n/a",DY223-INDEX(tab_MinKomp[Konserwacja Rep],MATCH($B223,tab_MinKomp[[Stanowisko / Position ]:[Stanowisko / Position ]],0)))</f>
        <v>n/a</v>
      </c>
      <c r="DZ224" s="343" t="str">
        <f>IF(INDEX(tab_MinKomp[[Konserwacja Engel ]],MATCH($B223,tab_MinKomp[[Stanowisko / Position ]:[Stanowisko / Position ]],0))="n/a","n/a",DZ223-INDEX(tab_MinKomp[[Konserwacja Engel ]],MATCH($B223,tab_MinKomp[[Stanowisko / Position ]:[Stanowisko / Position ]],0)))</f>
        <v>n/a</v>
      </c>
      <c r="EA224" s="343" t="str">
        <f>IF(INDEX(tab_MinKomp[Konserwacja B 50],MATCH($B223,tab_MinKomp[[Stanowisko / Position ]:[Stanowisko / Position ]],0))="n/a","n/a",EA223-INDEX(tab_MinKomp[Konserwacja B 50],MATCH($B223,tab_MinKomp[[Stanowisko / Position ]:[Stanowisko / Position ]],0)))</f>
        <v>n/a</v>
      </c>
      <c r="EB224" s="343" t="str">
        <f>IF(INDEX(tab_MinKomp[[Konserwacja EOL ]],MATCH($B223,tab_MinKomp[[Stanowisko / Position ]:[Stanowisko / Position ]],0))="n/a","n/a",EB223-INDEX(tab_MinKomp[[Konserwacja EOL ]],MATCH($B223,tab_MinKomp[[Stanowisko / Position ]:[Stanowisko / Position ]],0)))</f>
        <v>n/a</v>
      </c>
      <c r="EC224" s="343" t="str">
        <f>IF(INDEX(tab_MinKomp[Konserwacja Branson],MATCH($B223,tab_MinKomp[[Stanowisko / Position ]:[Stanowisko / Position ]],0))="n/a","n/a",EC223-INDEX(tab_MinKomp[Konserwacja Branson],MATCH($B223,tab_MinKomp[[Stanowisko / Position ]:[Stanowisko / Position ]],0)))</f>
        <v>n/a</v>
      </c>
      <c r="ED224" s="343" t="str">
        <f>IF(INDEX(tab_MinKomp[Konserwacja coolery],MATCH($B223,tab_MinKomp[[Stanowisko / Position ]:[Stanowisko / Position ]],0))="n/a","n/a",ED223-INDEX(tab_MinKomp[Konserwacja coolery],MATCH($B223,tab_MinKomp[[Stanowisko / Position ]:[Stanowisko / Position ]],0)))</f>
        <v>n/a</v>
      </c>
      <c r="EE224" s="343" t="str">
        <f>IF(INDEX(tab_MinKomp[Konserwacja piecy],MATCH($B223,tab_MinKomp[[Stanowisko / Position ]:[Stanowisko / Position ]],0))="n/a","n/a",EE223-INDEX(tab_MinKomp[Konserwacja piecy],MATCH($B223,tab_MinKomp[[Stanowisko / Position ]:[Stanowisko / Position ]],0)))</f>
        <v>n/a</v>
      </c>
      <c r="EF224" s="343" t="str">
        <f>IF(INDEX(tab_MinKomp[Rysunek techniczny- czytanie],MATCH($B223,tab_MinKomp[[Stanowisko / Position ]:[Stanowisko / Position ]],0))="n/a","n/a",EF223-INDEX(tab_MinKomp[Rysunek techniczny- czytanie],MATCH($B223,tab_MinKomp[[Stanowisko / Position ]:[Stanowisko / Position ]],0)))</f>
        <v>n/a</v>
      </c>
      <c r="EG224" s="343" t="str">
        <f>IF(INDEX(tab_MinKomp[Elektryka],MATCH($B223,tab_MinKomp[[Stanowisko / Position ]:[Stanowisko / Position ]],0))="n/a","n/a",EG223-INDEX(tab_MinKomp[Elektryka],MATCH($B223,tab_MinKomp[[Stanowisko / Position ]:[Stanowisko / Position ]],0)))</f>
        <v>n/a</v>
      </c>
      <c r="EH224" s="343" t="str">
        <f>IF(INDEX(tab_MinKomp[Pneumatyka],MATCH($B223,tab_MinKomp[[Stanowisko / Position ]:[Stanowisko / Position ]],0))="n/a","n/a",EH223-INDEX(tab_MinKomp[Pneumatyka],MATCH($B223,tab_MinKomp[[Stanowisko / Position ]:[Stanowisko / Position ]],0)))</f>
        <v>n/a</v>
      </c>
      <c r="EI224" s="343" t="str">
        <f>IF(INDEX(tab_MinKomp[[Hydraulika ]],MATCH($B223,tab_MinKomp[[Stanowisko / Position ]:[Stanowisko / Position ]],0))="n/a","n/a",EI223-INDEX(tab_MinKomp[[Hydraulika ]],MATCH($B223,tab_MinKomp[[Stanowisko / Position ]:[Stanowisko / Position ]],0)))</f>
        <v>n/a</v>
      </c>
      <c r="EJ224" s="343" t="str">
        <f>IF(INDEX(tab_MinKomp[Podciśnienie],MATCH($B223,tab_MinKomp[[Stanowisko / Position ]:[Stanowisko / Position ]],0))="n/a","n/a",EJ223-INDEX(tab_MinKomp[Podciśnienie],MATCH($B223,tab_MinKomp[[Stanowisko / Position ]:[Stanowisko / Position ]],0)))</f>
        <v>n/a</v>
      </c>
      <c r="EK224" s="343" t="str">
        <f>IF(INDEX(tab_MinKomp[Usuwanie awarii],MATCH($B223,tab_MinKomp[[Stanowisko / Position ]:[Stanowisko / Position ]],0))="n/a","n/a",EK223-INDEX(tab_MinKomp[Usuwanie awarii],MATCH($B223,tab_MinKomp[[Stanowisko / Position ]:[Stanowisko / Position ]],0)))</f>
        <v>n/a</v>
      </c>
      <c r="EL224" s="343" t="str">
        <f>IF(INDEX(tab_MinKomp[Obsługa robotów],MATCH($B223,tab_MinKomp[[Stanowisko / Position ]:[Stanowisko / Position ]],0))="n/a","n/a",EL223-INDEX(tab_MinKomp[Obsługa robotów],MATCH($B223,tab_MinKomp[[Stanowisko / Position ]:[Stanowisko / Position ]],0)))</f>
        <v>n/a</v>
      </c>
      <c r="EM224" s="343" t="str">
        <f>IF(INDEX(tab_MinKomp[Obsługa sterowania maszyny],MATCH($B223,tab_MinKomp[[Stanowisko / Position ]:[Stanowisko / Position ]],0))="n/a","n/a",EM223-INDEX(tab_MinKomp[Obsługa sterowania maszyny],MATCH($B223,tab_MinKomp[[Stanowisko / Position ]:[Stanowisko / Position ]],0)))</f>
        <v>n/a</v>
      </c>
      <c r="EN224" s="343" t="str">
        <f>IF(INDEX(tab_MinKomp[Usuwanie przyczyn żródłowych],MATCH($B223,tab_MinKomp[[Stanowisko / Position ]:[Stanowisko / Position ]],0))="n/a","n/a",EN223-INDEX(tab_MinKomp[Usuwanie przyczyn żródłowych],MATCH($B223,tab_MinKomp[[Stanowisko / Position ]:[Stanowisko / Position ]],0)))</f>
        <v>n/a</v>
      </c>
      <c r="EO224" s="343" t="str">
        <f>IF(INDEX(tab_MinKomp[Cmms stosowanie],MATCH($B223,tab_MinKomp[[Stanowisko / Position ]:[Stanowisko / Position ]],0))="n/a","n/a",EO223-INDEX(tab_MinKomp[Cmms stosowanie],MATCH($B223,tab_MinKomp[[Stanowisko / Position ]:[Stanowisko / Position ]],0)))</f>
        <v>n/a</v>
      </c>
      <c r="EP224" s="343" t="str">
        <f>IF(INDEX(tab_MinKomp[[Czyszczenie form gumowych ]],MATCH($B223,tab_MinKomp[[Stanowisko / Position ]:[Stanowisko / Position ]],0))="n/a","n/a",EP223-INDEX(tab_MinKomp[[Czyszczenie form gumowych ]],MATCH($B223,tab_MinKomp[[Stanowisko / Position ]:[Stanowisko / Position ]],0)))</f>
        <v>n/a</v>
      </c>
      <c r="EQ224" s="343" t="str">
        <f>IF(INDEX(tab_MinKomp[Czyszczenie form plastikowych],MATCH($B223,tab_MinKomp[[Stanowisko / Position ]:[Stanowisko / Position ]],0))="n/a","n/a",EQ223-INDEX(tab_MinKomp[Czyszczenie form plastikowych],MATCH($B223,tab_MinKomp[[Stanowisko / Position ]:[Stanowisko / Position ]],0)))</f>
        <v>n/a</v>
      </c>
      <c r="ER224" s="343" t="str">
        <f>IF(INDEX(tab_MinKomp[Wymiana form plastik],MATCH($B223,tab_MinKomp[[Stanowisko / Position ]:[Stanowisko / Position ]],0))="n/a","n/a",ER223-INDEX(tab_MinKomp[Wymiana form plastik],MATCH($B223,tab_MinKomp[[Stanowisko / Position ]:[Stanowisko / Position ]],0)))</f>
        <v>n/a</v>
      </c>
      <c r="ES224" s="343" t="str">
        <f>IF(INDEX(tab_MinKomp[Wymiana form guma],MATCH($B223,tab_MinKomp[[Stanowisko / Position ]:[Stanowisko / Position ]],0))="n/a","n/a",ES223-INDEX(tab_MinKomp[Wymiana form guma],MATCH($B223,tab_MinKomp[[Stanowisko / Position ]:[Stanowisko / Position ]],0)))</f>
        <v>n/a</v>
      </c>
      <c r="ET224" s="343" t="str">
        <f>IF(INDEX(tab_MinKomp[Konserwacja KK],MATCH($B223,tab_MinKomp[[Stanowisko / Position ]:[Stanowisko / Position ]],0))="n/a","n/a",ET223-INDEX(tab_MinKomp[Konserwacja KK],MATCH($B223,tab_MinKomp[[Stanowisko / Position ]:[Stanowisko / Position ]],0)))</f>
        <v>n/a</v>
      </c>
      <c r="EU224" s="343" t="str">
        <f>IF(INDEX(tab_MinKomp[Konserwacja form guma],MATCH($B223,tab_MinKomp[[Stanowisko / Position ]:[Stanowisko / Position ]],0))="n/a","n/a",EU223-INDEX(tab_MinKomp[Konserwacja form guma],MATCH($B223,tab_MinKomp[[Stanowisko / Position ]:[Stanowisko / Position ]],0)))</f>
        <v>n/a</v>
      </c>
      <c r="EV224" s="343" t="str">
        <f>IF(INDEX(tab_MinKomp[Konserwacja form plastiki],MATCH($B223,tab_MinKomp[[Stanowisko / Position ]:[Stanowisko / Position ]],0))="n/a","n/a",EV223-INDEX(tab_MinKomp[Konserwacja form plastiki],MATCH($B223,tab_MinKomp[[Stanowisko / Position ]:[Stanowisko / Position ]],0)))</f>
        <v>n/a</v>
      </c>
      <c r="EW224" s="330" t="str">
        <f>IF(INDEX(tab_MinKomp[Konserwacja form plastiki],MATCH($B223,tab_MinKomp[[Stanowisko / Position ]:[Stanowisko / Position ]],0))="n/a","n/a",EW223-INDEX(tab_MinKomp[Konserwacja form plastiki],MATCH($B223,tab_MinKomp[[Stanowisko / Position ]:[Stanowisko / Position ]],0)))</f>
        <v>n/a</v>
      </c>
      <c r="EX224" s="343" t="str">
        <f>IF(INDEX(tab_MinKomp[Konserwacja Gorącego Kanału],MATCH($B223,tab_MinKomp[[Stanowisko / Position ]:[Stanowisko / Position ]],0))="n/a","n/a",EX223-INDEX(tab_MinKomp[Konserwacja Gorącego Kanału],MATCH($B223,tab_MinKomp[[Stanowisko / Position ]:[Stanowisko / Position ]],0)))</f>
        <v>n/a</v>
      </c>
      <c r="EY224" s="343">
        <f>IF(INDEX(tab_MinKomp[MS Office (Excel)],MATCH($B223,tab_MinKomp[[Stanowisko / Position ]:[Stanowisko / Position ]],0))="n/a","n/a",EY223-INDEX(tab_MinKomp[MS Office (Excel)],MATCH($B223,tab_MinKomp[[Stanowisko / Position ]:[Stanowisko / Position ]],0)))</f>
        <v>0</v>
      </c>
      <c r="EZ224" s="343">
        <f>IF(INDEX(tab_MinKomp[MS Office (Word)],MATCH($B223,tab_MinKomp[[Stanowisko / Position ]:[Stanowisko / Position ]],0))="n/a","n/a",EZ223-INDEX(tab_MinKomp[MS Office (Word)],MATCH($B223,tab_MinKomp[[Stanowisko / Position ]:[Stanowisko / Position ]],0)))</f>
        <v>0</v>
      </c>
      <c r="FA224" s="343">
        <f>IF(INDEX(tab_MinKomp[MS Office (Power Point)],MATCH($B223,tab_MinKomp[[Stanowisko / Position ]:[Stanowisko / Position ]],0))="n/a","n/a",FA223-INDEX(tab_MinKomp[MS Office (Power Point)],MATCH($B223,tab_MinKomp[[Stanowisko / Position ]:[Stanowisko / Position ]],0)))</f>
        <v>0</v>
      </c>
      <c r="FB224" s="343" t="str">
        <f>IF(INDEX(tab_MinKomp[Język angielski / Englisch],MATCH($B223,tab_MinKomp[[Stanowisko / Position ]:[Stanowisko / Position ]],0))="n/a","n/a",FB223-INDEX(tab_MinKomp[Język angielski / Englisch],MATCH($B223,tab_MinKomp[[Stanowisko / Position ]:[Stanowisko / Position ]],0)))</f>
        <v>n/a</v>
      </c>
      <c r="FC224" s="343" t="str">
        <f>IF(INDEX(tab_MinKomp[Język niemiecki / Deutsch],MATCH($B223,tab_MinKomp[[Stanowisko / Position ]:[Stanowisko / Position ]],0))="n/a","n/a",FC223-INDEX(tab_MinKomp[Język niemiecki / Deutsch],MATCH($B223,tab_MinKomp[[Stanowisko / Position ]:[Stanowisko / Position ]],0)))</f>
        <v>n/a</v>
      </c>
      <c r="FD224" s="343">
        <f>IF(INDEX(tab_MinKomp[Zarządzanie dokumentacją procesową / Process dokumentation management],MATCH($B223,tab_MinKomp[[Stanowisko / Position ]:[Stanowisko / Position ]],0))="n/a","n/a",FD223-INDEX(tab_MinKomp[Zarządzanie dokumentacją procesową / Process dokumentation management],MATCH($B223,tab_MinKomp[[Stanowisko / Position ]:[Stanowisko / Position ]],0)))</f>
        <v>-1</v>
      </c>
      <c r="FE224" s="343">
        <f>IF(INDEX(tab_MinKomp[Znajomość procesów z obszaru / Kenntiss der prozesse in dem Bereich],MATCH($B223,tab_MinKomp[[Stanowisko / Position ]:[Stanowisko / Position ]],0))="n/a","n/a",FE223-INDEX(tab_MinKomp[Znajomość procesów z obszaru / Kenntiss der prozesse in dem Bereich],MATCH($B223,tab_MinKomp[[Stanowisko / Position ]:[Stanowisko / Position ]],0)))</f>
        <v>0</v>
      </c>
      <c r="FF224" s="343">
        <f>IF(INDEX(tab_MinKomp[optymalizacja procesów / Prozessoptymalisierung],MATCH($B223,tab_MinKomp[[Stanowisko / Position ]:[Stanowisko / Position ]],0))="n/a","n/a",FF223-INDEX(tab_MinKomp[optymalizacja procesów / Prozessoptymalisierung],MATCH($B223,tab_MinKomp[[Stanowisko / Position ]:[Stanowisko / Position ]],0)))</f>
        <v>-1</v>
      </c>
      <c r="FG224" s="343">
        <f>IF(INDEX(tab_MinKomp[Umiejętności szkoleniowe / Trainingsfähigkeiten],MATCH($B223,tab_MinKomp[[Stanowisko / Position ]:[Stanowisko / Position ]],0))="n/a","n/a",FG223-INDEX(tab_MinKomp[Umiejętności szkoleniowe / Trainingsfähigkeiten],MATCH($B223,tab_MinKomp[[Stanowisko / Position ]:[Stanowisko / Position ]],0)))</f>
        <v>-1</v>
      </c>
      <c r="FH224" s="343">
        <f>IF(INDEX(tab_MinKomp[Analityczne myślenie, podejście / Analitysches Denken, Einstellung],MATCH($B223,tab_MinKomp[[Stanowisko / Position ]:[Stanowisko / Position ]],0))="n/a","n/a",FH223-INDEX(tab_MinKomp[Analityczne myślenie, podejście / Analitysches Denken, Einstellung],MATCH($B223,tab_MinKomp[[Stanowisko / Position ]:[Stanowisko / Position ]],0)))</f>
        <v>-1</v>
      </c>
      <c r="FI224" s="343">
        <f>IF(INDEX(tab_MinKomp[Dokładność, precyzja w dzialaniu / Genauigkeit, Präzision in die Arbeit],MATCH($B223,tab_MinKomp[[Stanowisko / Position ]:[Stanowisko / Position ]],0))="n/a","n/a",FI223-INDEX(tab_MinKomp[Dokładność, precyzja w dzialaniu / Genauigkeit, Präzision in die Arbeit],MATCH($B223,tab_MinKomp[[Stanowisko / Position ]:[Stanowisko / Position ]],0)))</f>
        <v>-1</v>
      </c>
      <c r="FJ224" s="343">
        <f>IF(INDEX(tab_MinKomp[Dyspozycyjność / Verfügbarkeit],MATCH($B223,tab_MinKomp[[Stanowisko / Position ]:[Stanowisko / Position ]],0))="n/a","n/a",FJ223-INDEX(tab_MinKomp[Dyspozycyjność / Verfügbarkeit],MATCH($B223,tab_MinKomp[[Stanowisko / Position ]:[Stanowisko / Position ]],0)))</f>
        <v>-1</v>
      </c>
      <c r="FK224" s="343">
        <f>IF(INDEX(tab_MinKomp[Zaangażowanie / 
Engagement],MATCH($B223,tab_MinKomp[[Stanowisko / Position ]:[Stanowisko / Position ]],0))="n/a","n/a",FK223-INDEX(tab_MinKomp[Zaangażowanie / 
Engagement],MATCH($B223,tab_MinKomp[[Stanowisko / Position ]:[Stanowisko / Position ]],0)))</f>
        <v>-1</v>
      </c>
      <c r="FL224" s="343">
        <f>IF(INDEX(tab_MinKomp[Planowanie strategiczne / Strategische Planung],MATCH($B223,tab_MinKomp[[Stanowisko / Position ]:[Stanowisko / Position ]],0))="n/a","n/a",FL223-INDEX(tab_MinKomp[Planowanie strategiczne / Strategische Planung],MATCH($B223,tab_MinKomp[[Stanowisko / Position ]:[Stanowisko / Position ]],0)))</f>
        <v>-1</v>
      </c>
      <c r="FM224" s="343">
        <f>IF(INDEX(tab_MinKomp[Konsekwentne i dynamiczne działanie],MATCH($B223,tab_MinKomp[[Stanowisko / Position ]:[Stanowisko / Position ]],0))="n/a","n/a",FM223-INDEX(tab_MinKomp[Konsekwentne i dynamiczne działanie],MATCH($B223,tab_MinKomp[[Stanowisko / Position ]:[Stanowisko / Position ]],0)))</f>
        <v>-1</v>
      </c>
      <c r="FN224" s="343">
        <f>IF(INDEX(tab_MinKomp[Elastyczność w działaniu],MATCH($B223,tab_MinKomp[[Stanowisko / Position ]:[Stanowisko / Position ]],0))="n/a","n/a",FN223-INDEX(tab_MinKomp[Elastyczność w działaniu],MATCH($B223,tab_MinKomp[[Stanowisko / Position ]:[Stanowisko / Position ]],0)))</f>
        <v>-1</v>
      </c>
      <c r="FO224" s="343">
        <f>IF(INDEX(tab_MinKomp[Komunikatywność],MATCH($B223,tab_MinKomp[[Stanowisko / Position ]:[Stanowisko / Position ]],0))="n/a","n/a",FO223-INDEX(tab_MinKomp[Komunikatywność],MATCH($B223,tab_MinKomp[[Stanowisko / Position ]:[Stanowisko / Position ]],0)))</f>
        <v>-1</v>
      </c>
      <c r="FP224" s="342">
        <f>IF(INDEX(tab_MinKomp[Motywowanie i budowanie zaangażowania zespołu],MATCH($B223,tab_MinKomp[[Stanowisko / Position ]:[Stanowisko / Position ]],0))="n/a","n/a",FP223-INDEX(tab_MinKomp[Motywowanie i budowanie zaangażowania zespołu],MATCH($B223,tab_MinKomp[[Stanowisko / Position ]:[Stanowisko / Position ]],0)))</f>
        <v>-1</v>
      </c>
      <c r="FQ224" s="346" t="str">
        <f>IFERROR(IF(INDEX(tab_MinKomp[BRAK / Keine],MATCH($B223,tab_MinKomp[[Stanowisko / Position ]:[Stanowisko / Position ]],0))="n/a","n/a",INDEX(tab_MinKomp[BRAK / Keine],MATCH($B223,tab_MinKomp[[Stanowisko / Position ]:[Stanowisko / Position ]],0))-FQ223),"")</f>
        <v>n/a</v>
      </c>
      <c r="FR224" s="343" t="str">
        <f>IF(INDEX(tab_MinKomp[MINIMUM 1 ROK / min. 1 Jahr],MATCH($B223,tab_MinKomp[[Stanowisko / Position ]:[Stanowisko / Position ]],0))="n/a","n/a",INDEX(tab_MinKomp[MINIMUM 1 ROK / min. 1 Jahr],MATCH($B223,tab_MinKomp[[Stanowisko / Position ]:[Stanowisko / Position ]],0)))</f>
        <v>x</v>
      </c>
      <c r="FS224" s="343" t="str">
        <f>IF(INDEX(tab_MinKomp[MINIMUM 2 LATA / min. 2 Jahre],MATCH($B223,tab_MinKomp[[Stanowisko / Position ]:[Stanowisko / Position ]],0))="n/a","n/a",INDEX(tab_MinKomp[MINIMUM 2 LATA / min. 2 Jahre],MATCH($B223,tab_MinKomp[[Stanowisko / Position ]:[Stanowisko / Position ]],0)))</f>
        <v>n/a</v>
      </c>
      <c r="FT224" s="343" t="str">
        <f>IF(INDEX(tab_MinKomp[MINIMUM 3 LATA / min. 3 Jahre],MATCH($B223,tab_MinKomp[[Stanowisko / Position ]:[Stanowisko / Position ]],0))="n/a","n/a",INDEX(tab_MinKomp[MINIMUM 3 LATA / min. 3 Jahre],MATCH($B223,tab_MinKomp[[Stanowisko / Position ]:[Stanowisko / Position ]],0)))</f>
        <v>n/a</v>
      </c>
      <c r="FU224" s="343" t="str">
        <f>IF(INDEX(tab_MinKomp[MINIMUM 4 LATA / min. 4 Jahre],MATCH($B223,tab_MinKomp[[Stanowisko / Position ]:[Stanowisko / Position ]],0))="n/a","n/a",INDEX(tab_MinKomp[MINIMUM 4 LATA / min. 4 Jahre],MATCH($B223,tab_MinKomp[[Stanowisko / Position ]:[Stanowisko / Position ]],0)))</f>
        <v>n/a</v>
      </c>
      <c r="FV224" s="347" t="str">
        <f>IF(INDEX(tab_MinKomp[MINIMUM 5 LAT / min. 5 Jahre],MATCH($B223,tab_MinKomp[[Stanowisko / Position ]:[Stanowisko / Position ]],0))="n/a","n/a",INDEX(tab_MinKomp[MINIMUM 5 LAT / min. 5 Jahre],MATCH($B223,tab_MinKomp[[Stanowisko / Position ]:[Stanowisko / Position ]],0)))</f>
        <v>n/a</v>
      </c>
      <c r="FW224" s="346" t="str">
        <f>IF(INDEX(tab_MinKomp[BRAK / Keine9],MATCH($B223,tab_MinKomp[[Stanowisko / Position ]:[Stanowisko / Position ]],0))="n/a","n/a",INDEX(tab_MinKomp[BRAK / Keine9],MATCH($B223,tab_MinKomp[[Stanowisko / Position ]:[Stanowisko / Position ]],0)))</f>
        <v>n/a</v>
      </c>
      <c r="FX224" s="343" t="str">
        <f>IF(INDEX(tab_MinKomp[ZAWODOWE / Berufsausbildung],MATCH($B223,tab_MinKomp[[Stanowisko / Position ]:[Stanowisko / Position ]],0))="n/a","n/a",INDEX(tab_MinKomp[ZAWODOWE / Berufsausbildung],MATCH($B223,tab_MinKomp[[Stanowisko / Position ]:[Stanowisko / Position ]],0)))</f>
        <v>x</v>
      </c>
      <c r="FY224" s="343" t="str">
        <f>IF(INDEX(tab_MinKomp[ŚREDNIE OGÓLNE / Abitur allgemeine],MATCH($B223,tab_MinKomp[[Stanowisko / Position ]:[Stanowisko / Position ]],0))="n/a","n/a",INDEX(tab_MinKomp[ŚREDNIE OGÓLNE / Abitur allgemeine],MATCH($B223,tab_MinKomp[[Stanowisko / Position ]:[Stanowisko / Position ]],0)))</f>
        <v>n/a</v>
      </c>
      <c r="FZ224" s="343" t="str">
        <f>IF(INDEX(tab_MinKomp[ŚREDNIE KIERUNKOWE / berufliches Gymnasium],MATCH($B223,tab_MinKomp[[Stanowisko / Position ]:[Stanowisko / Position ]],0))="n/a","n/a",INDEX(tab_MinKomp[ŚREDNIE KIERUNKOWE / berufliches Gymnasium],MATCH($B223,tab_MinKomp[[Stanowisko / Position ]:[Stanowisko / Position ]],0)))</f>
        <v>n/a</v>
      </c>
      <c r="GA224" s="343" t="str">
        <f>IF(INDEX(tab_MinKomp[WYŻSZE OGÓLNE / Hochschule allgemeine],MATCH($B223,tab_MinKomp[[Stanowisko / Position ]:[Stanowisko / Position ]],0))="n/a","n/a",INDEX(tab_MinKomp[WYŻSZE OGÓLNE / Hochschule allgemeine],MATCH($B223,tab_MinKomp[[Stanowisko / Position ]:[Stanowisko / Position ]],0)))</f>
        <v>n/a</v>
      </c>
      <c r="GB224" s="347" t="str">
        <f>IF(INDEX(tab_MinKomp[WYŻSZE KIERUNKOWE / Hochschule berufliche],MATCH($B223,tab_MinKomp[[Stanowisko / Position ]:[Stanowisko / Position ]],0))="n/a","n/a",INDEX(tab_MinKomp[WYŻSZE KIERUNKOWE / Hochschule berufliche],MATCH($B223,tab_MinKomp[[Stanowisko / Position ]:[Stanowisko / Position ]],0)))</f>
        <v>n/a</v>
      </c>
      <c r="GC224" s="346" t="str">
        <f>IF(INDEX(tab_MinKomp[PIERWSZA POMOC / Erste Hilfe],MATCH($B223,tab_MinKomp[[Stanowisko / Position ]:[Stanowisko / Position ]],0))="n/a","n/a",INDEX(tab_MinKomp[PIERWSZA POMOC / Erste Hilfe],MATCH($B223,tab_MinKomp[[Stanowisko / Position ]:[Stanowisko / Position ]],0)))</f>
        <v>x</v>
      </c>
      <c r="GD224" s="343" t="str">
        <f>IF(INDEX(tab_MinKomp[Specjalista BHP / BHP Spezialist],MATCH($B223,tab_MinKomp[[Stanowisko / Position ]:[Stanowisko / Position ]],0))="n/a","n/a",INDEX(tab_MinKomp[Specjalista BHP / BHP Spezialist],MATCH($B223,tab_MinKomp[[Stanowisko / Position ]:[Stanowisko / Position ]],0)))</f>
        <v>n/a</v>
      </c>
      <c r="GE224" s="343" t="str">
        <f>IF(INDEX(tab_MinKomp[Inspektor ochrony PPOŻ / Brandschutzinspektor],MATCH($B223,tab_MinKomp[[Stanowisko / Position ]:[Stanowisko / Position ]],0))="n/a","n/a",INDEX(tab_MinKomp[Inspektor ochrony PPOŻ / Brandschutzinspektor],MATCH($B223,tab_MinKomp[[Stanowisko / Position ]:[Stanowisko / Position ]],0)))</f>
        <v>n/a</v>
      </c>
      <c r="GF224" s="343" t="str">
        <f>IF(INDEX(tab_MinKomp[WÓZKI JEZDNIOWE / Gebelstapler],MATCH($B223,tab_MinKomp[[Stanowisko / Position ]:[Stanowisko / Position ]],0))="n/a","n/a",INDEX(tab_MinKomp[WÓZKI JEZDNIOWE / Gebelstapler],MATCH($B223,tab_MinKomp[[Stanowisko / Position ]:[Stanowisko / Position ]],0)))</f>
        <v>x</v>
      </c>
      <c r="GG224" s="343" t="str">
        <f>IF(INDEX(tab_MinKomp[SEP],MATCH($B223,tab_MinKomp[[Stanowisko / Position ]:[Stanowisko / Position ]],0))="n/a","n/a",INDEX(tab_MinKomp[SEP],MATCH($B223,tab_MinKomp[[Stanowisko / Position ]:[Stanowisko / Position ]],0)))</f>
        <v>n/a</v>
      </c>
      <c r="GH224" s="343" t="str">
        <f>IF(INDEX(tab_MinKomp[SEP  DOZÓR / SEP Aufsicht],MATCH($B223,tab_MinKomp[[Stanowisko / Position ]:[Stanowisko / Position ]],0))="n/a","n/a",INDEX(tab_MinKomp[SEP  DOZÓR / SEP Aufsicht],MATCH($B223,tab_MinKomp[[Stanowisko / Position ]:[Stanowisko / Position ]],0)))</f>
        <v>n/a</v>
      </c>
      <c r="GI224" s="343" t="str">
        <f>IF(INDEX(tab_MinKomp[PODNOŚNIKI / Hebevorrichtung],MATCH($B223,tab_MinKomp[[Stanowisko / Position ]:[Stanowisko / Position ]],0))="n/a","n/a",INDEX(tab_MinKomp[PODNOŚNIKI / Hebevorrichtung],MATCH($B223,tab_MinKomp[[Stanowisko / Position ]:[Stanowisko / Position ]],0)))</f>
        <v>n/a</v>
      </c>
      <c r="GJ224" s="343" t="str">
        <f>IF(INDEX(tab_MinKomp[SUWNICE / Laufkran],MATCH($B223,tab_MinKomp[[Stanowisko / Position ]:[Stanowisko / Position ]],0))="n/a","n/a",INDEX(tab_MinKomp[SUWNICE / Laufkran],MATCH($B223,tab_MinKomp[[Stanowisko / Position ]:[Stanowisko / Position ]],0)))</f>
        <v>n/a</v>
      </c>
      <c r="GK224" s="347" t="str">
        <f>IF(INDEX(tab_MinKomp[WYSOKOŚCIOWE / Höhenberechtigungen],MATCH($B223,tab_MinKomp[[Stanowisko / Position ]:[Stanowisko / Position ]],0))="n/a","n/a",INDEX(tab_MinKomp[WYSOKOŚCIOWE / Höhenberechtigungen],MATCH($B223,tab_MinKomp[[Stanowisko / Position ]:[Stanowisko / Position ]],0)))</f>
        <v>n/a</v>
      </c>
      <c r="GL224" s="320">
        <f>SUM(G224:FP224)/(GL223-(SUM(G224:FP224)))</f>
        <v>-0.45833333333333331</v>
      </c>
    </row>
    <row r="225" spans="1:194" ht="36.75" customHeight="1" x14ac:dyDescent="0.25">
      <c r="A225" s="135" t="s">
        <v>186</v>
      </c>
      <c r="B225" s="135" t="s">
        <v>581</v>
      </c>
      <c r="C225" s="135" t="s">
        <v>672</v>
      </c>
      <c r="D225" s="135">
        <v>1716</v>
      </c>
      <c r="E225" s="565" t="s">
        <v>718</v>
      </c>
      <c r="F225" s="307" t="s">
        <v>165</v>
      </c>
      <c r="G225" s="308">
        <v>2</v>
      </c>
      <c r="H225" s="308">
        <v>2</v>
      </c>
      <c r="I225" s="308">
        <v>1</v>
      </c>
      <c r="J225" s="308">
        <v>1</v>
      </c>
      <c r="K225" s="308">
        <v>1</v>
      </c>
      <c r="L225" s="308">
        <v>1</v>
      </c>
      <c r="M225" s="308" t="s">
        <v>176</v>
      </c>
      <c r="N225" s="308" t="s">
        <v>176</v>
      </c>
      <c r="O225" s="308">
        <v>1</v>
      </c>
      <c r="P225" s="308">
        <v>1</v>
      </c>
      <c r="Q225" s="308" t="s">
        <v>176</v>
      </c>
      <c r="R225" s="308" t="s">
        <v>176</v>
      </c>
      <c r="S225" s="308" t="s">
        <v>176</v>
      </c>
      <c r="T225" s="308">
        <v>1</v>
      </c>
      <c r="U225" s="308" t="s">
        <v>176</v>
      </c>
      <c r="V225" s="308" t="s">
        <v>176</v>
      </c>
      <c r="W225" s="308" t="s">
        <v>176</v>
      </c>
      <c r="X225" s="308" t="s">
        <v>176</v>
      </c>
      <c r="Y225" s="308" t="s">
        <v>176</v>
      </c>
      <c r="Z225" s="308" t="s">
        <v>176</v>
      </c>
      <c r="AA225" s="308" t="s">
        <v>176</v>
      </c>
      <c r="AB225" s="308" t="s">
        <v>176</v>
      </c>
      <c r="AC225" s="308" t="s">
        <v>176</v>
      </c>
      <c r="AD225" s="308" t="s">
        <v>176</v>
      </c>
      <c r="AE225" s="308" t="s">
        <v>176</v>
      </c>
      <c r="AF225" s="308" t="s">
        <v>176</v>
      </c>
      <c r="AG225" s="308" t="s">
        <v>176</v>
      </c>
      <c r="AH225" s="308" t="s">
        <v>176</v>
      </c>
      <c r="AI225" s="308" t="s">
        <v>176</v>
      </c>
      <c r="AJ225" s="308" t="s">
        <v>176</v>
      </c>
      <c r="AK225" s="308" t="s">
        <v>176</v>
      </c>
      <c r="AL225" s="308" t="s">
        <v>176</v>
      </c>
      <c r="AM225" s="308" t="s">
        <v>176</v>
      </c>
      <c r="AN225" s="308" t="s">
        <v>176</v>
      </c>
      <c r="AO225" s="308">
        <v>1</v>
      </c>
      <c r="AP225" s="308" t="s">
        <v>176</v>
      </c>
      <c r="AQ225" s="308">
        <v>1</v>
      </c>
      <c r="AR225" s="308" t="s">
        <v>176</v>
      </c>
      <c r="AS225" s="308" t="s">
        <v>176</v>
      </c>
      <c r="AT225" s="308" t="s">
        <v>176</v>
      </c>
      <c r="AU225" s="308">
        <v>1</v>
      </c>
      <c r="AV225" s="308">
        <v>1</v>
      </c>
      <c r="AW225" s="308">
        <v>1</v>
      </c>
      <c r="AX225" s="308" t="s">
        <v>176</v>
      </c>
      <c r="AY225" s="308" t="s">
        <v>176</v>
      </c>
      <c r="AZ225" s="308" t="s">
        <v>176</v>
      </c>
      <c r="BA225" s="308">
        <v>1</v>
      </c>
      <c r="BB225" s="308">
        <v>1</v>
      </c>
      <c r="BC225" s="308" t="s">
        <v>176</v>
      </c>
      <c r="BD225" s="308" t="s">
        <v>176</v>
      </c>
      <c r="BE225" s="308" t="s">
        <v>176</v>
      </c>
      <c r="BF225" s="308" t="s">
        <v>176</v>
      </c>
      <c r="BG225" s="308" t="s">
        <v>176</v>
      </c>
      <c r="BH225" s="308" t="s">
        <v>176</v>
      </c>
      <c r="BI225" s="308" t="s">
        <v>176</v>
      </c>
      <c r="BJ225" s="308" t="s">
        <v>176</v>
      </c>
      <c r="BK225" s="308" t="s">
        <v>176</v>
      </c>
      <c r="BL225" s="308" t="s">
        <v>176</v>
      </c>
      <c r="BM225" s="308">
        <v>1</v>
      </c>
      <c r="BN225" s="308" t="s">
        <v>176</v>
      </c>
      <c r="BO225" s="308" t="s">
        <v>176</v>
      </c>
      <c r="BP225" s="308" t="s">
        <v>176</v>
      </c>
      <c r="BQ225" s="308" t="s">
        <v>176</v>
      </c>
      <c r="BR225" s="308" t="s">
        <v>176</v>
      </c>
      <c r="BS225" s="308">
        <v>1</v>
      </c>
      <c r="BT225" s="308" t="s">
        <v>176</v>
      </c>
      <c r="BU225" s="308">
        <v>2</v>
      </c>
      <c r="BV225" s="308">
        <v>2</v>
      </c>
      <c r="BW225" s="308" t="s">
        <v>176</v>
      </c>
      <c r="BX225" s="308" t="s">
        <v>176</v>
      </c>
      <c r="BY225" s="308" t="s">
        <v>176</v>
      </c>
      <c r="BZ225" s="308" t="s">
        <v>176</v>
      </c>
      <c r="CA225" s="308" t="s">
        <v>176</v>
      </c>
      <c r="CB225" s="308" t="s">
        <v>176</v>
      </c>
      <c r="CC225" s="308" t="s">
        <v>176</v>
      </c>
      <c r="CD225" s="308" t="s">
        <v>176</v>
      </c>
      <c r="CE225" s="308" t="s">
        <v>176</v>
      </c>
      <c r="CF225" s="308" t="s">
        <v>176</v>
      </c>
      <c r="CG225" s="308">
        <v>1</v>
      </c>
      <c r="CH225" s="308" t="s">
        <v>176</v>
      </c>
      <c r="CI225" s="308" t="s">
        <v>176</v>
      </c>
      <c r="CJ225" s="308" t="s">
        <v>176</v>
      </c>
      <c r="CK225" s="308" t="s">
        <v>176</v>
      </c>
      <c r="CL225" s="308" t="s">
        <v>176</v>
      </c>
      <c r="CM225" s="308">
        <v>1</v>
      </c>
      <c r="CN225" s="308">
        <v>1</v>
      </c>
      <c r="CO225" s="308">
        <v>1</v>
      </c>
      <c r="CP225" s="308">
        <v>1</v>
      </c>
      <c r="CQ225" s="308" t="s">
        <v>176</v>
      </c>
      <c r="CR225" s="308" t="s">
        <v>176</v>
      </c>
      <c r="CS225" s="308" t="s">
        <v>176</v>
      </c>
      <c r="CT225" s="308" t="s">
        <v>176</v>
      </c>
      <c r="CU225" s="308" t="s">
        <v>176</v>
      </c>
      <c r="CV225" s="308" t="s">
        <v>176</v>
      </c>
      <c r="CW225" s="308" t="s">
        <v>176</v>
      </c>
      <c r="CX225" s="308" t="s">
        <v>176</v>
      </c>
      <c r="CY225" s="308" t="s">
        <v>176</v>
      </c>
      <c r="CZ225" s="308" t="s">
        <v>176</v>
      </c>
      <c r="DA225" s="308" t="s">
        <v>176</v>
      </c>
      <c r="DB225" s="308" t="s">
        <v>176</v>
      </c>
      <c r="DC225" s="308" t="s">
        <v>176</v>
      </c>
      <c r="DD225" s="308" t="s">
        <v>176</v>
      </c>
      <c r="DE225" s="308" t="s">
        <v>176</v>
      </c>
      <c r="DF225" s="308" t="s">
        <v>176</v>
      </c>
      <c r="DG225" s="308" t="s">
        <v>176</v>
      </c>
      <c r="DH225" s="308" t="s">
        <v>176</v>
      </c>
      <c r="DI225" s="308" t="s">
        <v>176</v>
      </c>
      <c r="DJ225" s="308" t="s">
        <v>176</v>
      </c>
      <c r="DK225" s="308" t="s">
        <v>176</v>
      </c>
      <c r="DL225" s="308" t="s">
        <v>176</v>
      </c>
      <c r="DM225" s="308" t="s">
        <v>176</v>
      </c>
      <c r="DN225" s="308" t="s">
        <v>176</v>
      </c>
      <c r="DO225" s="308" t="s">
        <v>176</v>
      </c>
      <c r="DP225" s="308" t="s">
        <v>176</v>
      </c>
      <c r="DQ225" s="308" t="s">
        <v>176</v>
      </c>
      <c r="DR225" s="308" t="s">
        <v>176</v>
      </c>
      <c r="DS225" s="308" t="s">
        <v>176</v>
      </c>
      <c r="DT225" s="308" t="s">
        <v>176</v>
      </c>
      <c r="DU225" s="308" t="s">
        <v>176</v>
      </c>
      <c r="DV225" s="308" t="s">
        <v>176</v>
      </c>
      <c r="DW225" s="308" t="s">
        <v>176</v>
      </c>
      <c r="DX225" s="308" t="s">
        <v>176</v>
      </c>
      <c r="DY225" s="308" t="s">
        <v>176</v>
      </c>
      <c r="DZ225" s="308" t="s">
        <v>176</v>
      </c>
      <c r="EA225" s="308" t="s">
        <v>176</v>
      </c>
      <c r="EB225" s="308" t="s">
        <v>176</v>
      </c>
      <c r="EC225" s="308" t="s">
        <v>176</v>
      </c>
      <c r="ED225" s="308" t="s">
        <v>176</v>
      </c>
      <c r="EE225" s="308" t="s">
        <v>176</v>
      </c>
      <c r="EF225" s="308" t="s">
        <v>176</v>
      </c>
      <c r="EG225" s="308" t="s">
        <v>176</v>
      </c>
      <c r="EH225" s="308" t="s">
        <v>176</v>
      </c>
      <c r="EI225" s="308" t="s">
        <v>176</v>
      </c>
      <c r="EJ225" s="308" t="s">
        <v>176</v>
      </c>
      <c r="EK225" s="308" t="s">
        <v>176</v>
      </c>
      <c r="EL225" s="308" t="s">
        <v>176</v>
      </c>
      <c r="EM225" s="308" t="s">
        <v>176</v>
      </c>
      <c r="EN225" s="308" t="s">
        <v>176</v>
      </c>
      <c r="EO225" s="308" t="s">
        <v>176</v>
      </c>
      <c r="EP225" s="308" t="s">
        <v>176</v>
      </c>
      <c r="EQ225" s="308" t="s">
        <v>176</v>
      </c>
      <c r="ER225" s="308" t="s">
        <v>176</v>
      </c>
      <c r="ES225" s="308" t="s">
        <v>176</v>
      </c>
      <c r="ET225" s="308" t="s">
        <v>176</v>
      </c>
      <c r="EU225" s="308" t="s">
        <v>176</v>
      </c>
      <c r="EV225" s="308" t="s">
        <v>176</v>
      </c>
      <c r="EW225" s="308" t="s">
        <v>176</v>
      </c>
      <c r="EX225" s="308" t="s">
        <v>176</v>
      </c>
      <c r="EY225" s="308">
        <v>1</v>
      </c>
      <c r="EZ225" s="308">
        <v>1</v>
      </c>
      <c r="FA225" s="308">
        <v>1</v>
      </c>
      <c r="FB225" s="308" t="s">
        <v>176</v>
      </c>
      <c r="FC225" s="308" t="s">
        <v>176</v>
      </c>
      <c r="FD225" s="308">
        <v>1</v>
      </c>
      <c r="FE225" s="308">
        <v>1</v>
      </c>
      <c r="FF225" s="308">
        <v>1</v>
      </c>
      <c r="FG225" s="308">
        <v>1</v>
      </c>
      <c r="FH225" s="308">
        <v>1</v>
      </c>
      <c r="FI225" s="308">
        <v>1</v>
      </c>
      <c r="FJ225" s="308">
        <v>2</v>
      </c>
      <c r="FK225" s="308">
        <v>2</v>
      </c>
      <c r="FL225" s="308">
        <v>1</v>
      </c>
      <c r="FM225" s="308">
        <v>1</v>
      </c>
      <c r="FN225" s="308">
        <v>1</v>
      </c>
      <c r="FO225" s="308">
        <v>2</v>
      </c>
      <c r="FP225" s="308">
        <v>1</v>
      </c>
      <c r="FQ225" s="308" t="s">
        <v>176</v>
      </c>
      <c r="FR225" s="308" t="s">
        <v>176</v>
      </c>
      <c r="FS225" s="308" t="s">
        <v>176</v>
      </c>
      <c r="FT225" s="308" t="s">
        <v>176</v>
      </c>
      <c r="FU225" s="308" t="s">
        <v>176</v>
      </c>
      <c r="FV225" s="308" t="s">
        <v>176</v>
      </c>
      <c r="FW225" s="308" t="s">
        <v>176</v>
      </c>
      <c r="FX225" s="308" t="s">
        <v>176</v>
      </c>
      <c r="FY225" s="308" t="s">
        <v>176</v>
      </c>
      <c r="FZ225" s="308" t="s">
        <v>176</v>
      </c>
      <c r="GA225" s="308" t="s">
        <v>176</v>
      </c>
      <c r="GB225" s="308" t="s">
        <v>176</v>
      </c>
      <c r="GC225" s="308"/>
      <c r="GD225" s="308" t="s">
        <v>176</v>
      </c>
      <c r="GE225" s="308" t="s">
        <v>176</v>
      </c>
      <c r="GF225" s="308"/>
      <c r="GG225" s="308" t="s">
        <v>176</v>
      </c>
      <c r="GH225" s="308" t="s">
        <v>176</v>
      </c>
      <c r="GI225" s="308" t="s">
        <v>176</v>
      </c>
      <c r="GJ225" s="308" t="s">
        <v>176</v>
      </c>
      <c r="GK225" s="308" t="s">
        <v>176</v>
      </c>
      <c r="GL225" s="311">
        <f>SUM(G225:FP225)</f>
        <v>48</v>
      </c>
    </row>
    <row r="226" spans="1:194" ht="36" customHeight="1" thickBot="1" x14ac:dyDescent="0.3">
      <c r="A226" s="138" t="str">
        <f>A225</f>
        <v>Prod.-Q-1</v>
      </c>
      <c r="B226" s="138" t="str">
        <f>B225</f>
        <v>Teamleder zespołu produkcji</v>
      </c>
      <c r="C226" s="138" t="str">
        <f>C225</f>
        <v>CS</v>
      </c>
      <c r="D226" s="138">
        <v>1716</v>
      </c>
      <c r="E226" s="566" t="str">
        <f>E225</f>
        <v>Soja Rafał</v>
      </c>
      <c r="F226" s="312" t="s">
        <v>166</v>
      </c>
      <c r="G226" s="341">
        <f>IF(INDEX(tab_MinKomp[Przepisy BHP / BHP Vorschriften],MATCH($B225,tab_MinKomp[[Stanowisko / Position ]:[Stanowisko / Position ]],0))="n/a","n/a",G225-INDEX(tab_MinKomp[Przepisy BHP / BHP Vorschriften],MATCH($B225,tab_MinKomp[[Stanowisko / Position ]:[Stanowisko / Position ]],0)))</f>
        <v>0</v>
      </c>
      <c r="H226" s="342">
        <f>IF(INDEX(tab_MinKomp[Przepisy PPOŻ / Brandschutzbestimmungen],MATCH($B225,tab_MinKomp[[Stanowisko / Position ]:[Stanowisko / Position ]],0))="n/a","n/a",H225-INDEX(tab_MinKomp[Przepisy PPOŻ / Brandschutzbestimmungen],MATCH($B225,tab_MinKomp[[Stanowisko / Position ]:[Stanowisko / Position ]],0)))</f>
        <v>0</v>
      </c>
      <c r="I226" s="342">
        <f>IF(INDEX(tab_MinKomp[Ryzyko zawodowe na stanowiskach pracyv/ Berufliche Risiken an Arbeitsstellen],MATCH($B225,tab_MinKomp[[Stanowisko / Position ]:[Stanowisko / Position ]],0))="n/a","n/a",I225-INDEX(tab_MinKomp[Ryzyko zawodowe na stanowiskach pracyv/ Berufliche Risiken an Arbeitsstellen],MATCH($B225,tab_MinKomp[[Stanowisko / Position ]:[Stanowisko / Position ]],0)))</f>
        <v>0</v>
      </c>
      <c r="J226" s="342">
        <f>IF(INDEX(tab_MinKomp[Gospodarka substancjami niebezpiecznymi / Gefahrstoffmanagement],MATCH($B225,tab_MinKomp[[Stanowisko / Position ]:[Stanowisko / Position ]],0))="n/a","n/a",J225-INDEX(tab_MinKomp[Gospodarka substancjami niebezpiecznymi / Gefahrstoffmanagement],MATCH($B225,tab_MinKomp[[Stanowisko / Position ]:[Stanowisko / Position ]],0)))</f>
        <v>0</v>
      </c>
      <c r="K226" s="342">
        <f>IF(INDEX(tab_MinKomp[Gospodarka odpadami / Abfallwirtschaft],MATCH($B225,tab_MinKomp[[Stanowisko / Position ]:[Stanowisko / Position ]],0))="n/a","n/a",K225-INDEX(tab_MinKomp[Gospodarka odpadami / Abfallwirtschaft],MATCH($B225,tab_MinKomp[[Stanowisko / Position ]:[Stanowisko / Position ]],0)))</f>
        <v>0</v>
      </c>
      <c r="L226" s="343">
        <f>IF(INDEX(tab_MinKomp[Przepisy kodeksu pracy / Bestimmungen des Arbeitsgesetzes],MATCH($B225,tab_MinKomp[[Stanowisko / Position ]:[Stanowisko / Position ]],0))="n/a","n/a",L225-INDEX(tab_MinKomp[Przepisy kodeksu pracy / Bestimmungen des Arbeitsgesetzes],MATCH($B225,tab_MinKomp[[Stanowisko / Position ]:[Stanowisko / Position ]],0)))</f>
        <v>0</v>
      </c>
      <c r="M226" s="344" t="str">
        <f>IF(INDEX(tab_MinKomp[Przepisy o ub.społ. ZUS  / Sozialversicherungsvorschriften],MATCH($B225,tab_MinKomp[[Stanowisko / Position ]:[Stanowisko / Position ]],0))="n/a","n/a",M225-INDEX(tab_MinKomp[Przepisy o ub.społ. ZUS  / Sozialversicherungsvorschriften],MATCH($B225,tab_MinKomp[[Stanowisko / Position ]:[Stanowisko / Position ]],0)))</f>
        <v>n/a</v>
      </c>
      <c r="N226" s="343" t="str">
        <f>IF(INDEX(tab_MinKomp[PRZEPISY O PDOF /persönlich Einkommensteuergesetz ],MATCH($B225,tab_MinKomp[[Stanowisko / Position ]:[Stanowisko / Position ]],0))="n/a","n/a",N225-INDEX(tab_MinKomp[PRZEPISY O PDOF /persönlich Einkommensteuergesetz ],MATCH($B225,tab_MinKomp[[Stanowisko / Position ]:[Stanowisko / Position ]],0)))</f>
        <v>n/a</v>
      </c>
      <c r="O226" s="343">
        <f>IF(INDEX(tab_MinKomp[Regulamin pracy / Arbeitsordnung],MATCH($B225,tab_MinKomp[[Stanowisko / Position ]:[Stanowisko / Position ]],0))="n/a","n/a",O225-INDEX(tab_MinKomp[Regulamin pracy / Arbeitsordnung],MATCH($B225,tab_MinKomp[[Stanowisko / Position ]:[Stanowisko / Position ]],0)))</f>
        <v>0</v>
      </c>
      <c r="P226" s="343">
        <f>IF(INDEX(tab_MinKomp[Regulamin wynagradzania / Vergütungsordnung],MATCH($B225,tab_MinKomp[[Stanowisko / Position ]:[Stanowisko / Position ]],0))="n/a","n/a",P225-INDEX(tab_MinKomp[Regulamin wynagradzania / Vergütungsordnung],MATCH($B225,tab_MinKomp[[Stanowisko / Position ]:[Stanowisko / Position ]],0)))</f>
        <v>0</v>
      </c>
      <c r="Q226" s="343" t="str">
        <f>IF(INDEX(tab_MinKomp[System R2PŁATNIK PRO: Płace / Lohnabrechnung],MATCH($B225,tab_MinKomp[[Stanowisko / Position ]:[Stanowisko / Position ]],0))="n/a","n/a",Q225-INDEX(tab_MinKomp[System R2PŁATNIK PRO: Płace / Lohnabrechnung],MATCH($B225,tab_MinKomp[[Stanowisko / Position ]:[Stanowisko / Position ]],0)))</f>
        <v>n/a</v>
      </c>
      <c r="R226" s="343" t="str">
        <f>IF(INDEX(tab_MinKomp[SystemR2PŁATNIK PRO: KADRY / Personaldaten],MATCH($B225,tab_MinKomp[[Stanowisko / Position ]:[Stanowisko / Position ]],0))="n/a","n/a",R225-INDEX(tab_MinKomp[SystemR2PŁATNIK PRO: KADRY / Personaldaten],MATCH($B225,tab_MinKomp[[Stanowisko / Position ]:[Stanowisko / Position ]],0)))</f>
        <v>n/a</v>
      </c>
      <c r="S226" s="343" t="str">
        <f>IF(INDEX(tab_MinKomp[SYSTEM R2PŁATNIK PRO: zarządzanie pracownikami / Arbeitsverwaltung],MATCH($B225,tab_MinKomp[[Stanowisko / Position ]:[Stanowisko / Position ]],0))="n/a","n/a",S225-INDEX(tab_MinKomp[SYSTEM R2PŁATNIK PRO: zarządzanie pracownikami / Arbeitsverwaltung],MATCH($B225,tab_MinKomp[[Stanowisko / Position ]:[Stanowisko / Position ]],0)))</f>
        <v>n/a</v>
      </c>
      <c r="T226" s="343">
        <f>IF(INDEX(tab_MinKomp[Doradztwo, wsparcie personalne / Personalberatung und Unterstützung],MATCH($B225,tab_MinKomp[[Stanowisko / Position ]:[Stanowisko / Position ]],0))="n/a","n/a",T225-INDEX(tab_MinKomp[Doradztwo, wsparcie personalne / Personalberatung und Unterstützung],MATCH($B225,tab_MinKomp[[Stanowisko / Position ]:[Stanowisko / Position ]],0)))</f>
        <v>0</v>
      </c>
      <c r="U226" s="343" t="str">
        <f>IF(INDEX(tab_MinKomp[Przepisy o podatku VAT / MwSt.- Gesetz],MATCH($B225,tab_MinKomp[[Stanowisko / Position ]:[Stanowisko / Position ]],0))="n/a","n/a",U225-INDEX(tab_MinKomp[Przepisy o podatku VAT / MwSt.- Gesetz],MATCH($B225,tab_MinKomp[[Stanowisko / Position ]:[Stanowisko / Position ]],0)))</f>
        <v>n/a</v>
      </c>
      <c r="V226" s="343" t="str">
        <f>IF(INDEX(tab_MinKomp[PrzepisyPDOP / geschäftlich Einkommensteuergesetz],MATCH($B225,tab_MinKomp[[Stanowisko / Position ]:[Stanowisko / Position ]],0))="n/a","n/a",V225-INDEX(tab_MinKomp[PrzepisyPDOP / geschäftlich Einkommensteuergesetz],MATCH($B225,tab_MinKomp[[Stanowisko / Position ]:[Stanowisko / Position ]],0)))</f>
        <v>n/a</v>
      </c>
      <c r="W226" s="343" t="str">
        <f>IF(INDEX(tab_MinKomp[System BAAN / FINANSE (FIBU)],MATCH($B225,tab_MinKomp[[Stanowisko / Position ]:[Stanowisko / Position ]],0))="n/a","n/a",W225-INDEX(tab_MinKomp[System BAAN / FINANSE (FIBU)],MATCH($B225,tab_MinKomp[[Stanowisko / Position ]:[Stanowisko / Position ]],0)))</f>
        <v>n/a</v>
      </c>
      <c r="X226" s="343" t="str">
        <f>IF(INDEX(tab_MinKomp[Systemy pomocnicze / Hilfssysteme(STOCKPROGRAM, KALK2000 etc.)],MATCH($B225,tab_MinKomp[[Stanowisko / Position ]:[Stanowisko / Position ]],0))="n/a","n/a",X225-INDEX(tab_MinKomp[Systemy pomocnicze / Hilfssysteme(STOCKPROGRAM, KALK2000 etc.)],MATCH($B225,tab_MinKomp[[Stanowisko / Position ]:[Stanowisko / Position ]],0)))</f>
        <v>n/a</v>
      </c>
      <c r="Y226" s="343" t="str">
        <f>IF(INDEX(tab_MinKomp[Polityka rachunkowości / Buchführungspolitik],MATCH($B225,tab_MinKomp[[Stanowisko / Position ]:[Stanowisko / Position ]],0))="n/a","n/a",Y225-INDEX(tab_MinKomp[Polityka rachunkowości / Buchführungspolitik],MATCH($B225,tab_MinKomp[[Stanowisko / Position ]:[Stanowisko / Position ]],0)))</f>
        <v>n/a</v>
      </c>
      <c r="Z226" s="343" t="str">
        <f>IF(INDEX(tab_MinKomp[Ustawa o rachunkowości / Rechnungslegungsgesetz],MATCH($B225,tab_MinKomp[[Stanowisko / Position ]:[Stanowisko / Position ]],0))="n/a","n/a",Z225-INDEX(tab_MinKomp[Ustawa o rachunkowości / Rechnungslegungsgesetz],MATCH($B225,tab_MinKomp[[Stanowisko / Position ]:[Stanowisko / Position ]],0)))</f>
        <v>n/a</v>
      </c>
      <c r="AA226" s="343" t="str">
        <f>IF(INDEX(tab_MinKomp[WORKFLOW - TS-100],MATCH($B225,tab_MinKomp[[Stanowisko / Position ]:[Stanowisko / Position ]],0))="n/a","n/a",AA225-INDEX(tab_MinKomp[WORKFLOW - TS-100],MATCH($B225,tab_MinKomp[[Stanowisko / Position ]:[Stanowisko / Position ]],0)))</f>
        <v>n/a</v>
      </c>
      <c r="AB226" s="343" t="str">
        <f>IF(INDEX(tab_MinKomp[WORKFLOW - SFMS],MATCH($B225,tab_MinKomp[[Stanowisko / Position ]:[Stanowisko / Position ]],0))="n/a","n/a",AB225-INDEX(tab_MinKomp[WORKFLOW - SFMS],MATCH($B225,tab_MinKomp[[Stanowisko / Position ]:[Stanowisko / Position ]],0)))</f>
        <v>n/a</v>
      </c>
      <c r="AC226" s="343" t="str">
        <f>IF(INDEX(tab_MinKomp[System ISO 9001:2015],MATCH($B225,tab_MinKomp[[Stanowisko / Position ]:[Stanowisko / Position ]],0))="n/a","n/a",AC225-INDEX(tab_MinKomp[System ISO 9001:2015],MATCH($B225,tab_MinKomp[[Stanowisko / Position ]:[Stanowisko / Position ]],0)))</f>
        <v>n/a</v>
      </c>
      <c r="AD226" s="343" t="str">
        <f>IF(INDEX(tab_MinKomp[System IATF 16949:2016],MATCH($B225,tab_MinKomp[[Stanowisko / Position ]:[Stanowisko / Position ]],0))="n/a","n/a",AD225-INDEX(tab_MinKomp[System IATF 16949:2016],MATCH($B225,tab_MinKomp[[Stanowisko / Position ]:[Stanowisko / Position ]],0)))</f>
        <v>n/a</v>
      </c>
      <c r="AE226" s="343" t="str">
        <f>IF(INDEX(tab_MinKomp[System ISO 14001:2015],MATCH($B225,tab_MinKomp[[Stanowisko / Position ]:[Stanowisko / Position ]],0))="n/a","n/a",AE225-INDEX(tab_MinKomp[System ISO 14001:2015],MATCH($B225,tab_MinKomp[[Stanowisko / Position ]:[Stanowisko / Position ]],0)))</f>
        <v>n/a</v>
      </c>
      <c r="AF226" s="343" t="str">
        <f>IF(INDEX(tab_MinKomp[System PN-N 18001:2004 / ISO 45001:2018],MATCH($B225,tab_MinKomp[[Stanowisko / Position ]:[Stanowisko / Position ]],0))="n/a","n/a",AF225-INDEX(tab_MinKomp[System PN-N 18001:2004 / ISO 45001:2018],MATCH($B225,tab_MinKomp[[Stanowisko / Position ]:[Stanowisko / Position ]],0)))</f>
        <v>n/a</v>
      </c>
      <c r="AG226" s="343" t="str">
        <f>IF(INDEX(tab_MinKomp[Wymagania VDA 6.3 Process / Forderungen],MATCH($B225,tab_MinKomp[[Stanowisko / Position ]:[Stanowisko / Position ]],0))="n/a","n/a",AG225-INDEX(tab_MinKomp[Wymagania VDA 6.3 Process / Forderungen],MATCH($B225,tab_MinKomp[[Stanowisko / Position ]:[Stanowisko / Position ]],0)))</f>
        <v>n/a</v>
      </c>
      <c r="AH226" s="343" t="str">
        <f>IF(INDEX(tab_MinKomp[Wymagania VDA 6.5 Product / Forderungen],MATCH($B225,tab_MinKomp[[Stanowisko / Position ]:[Stanowisko / Position ]],0))="n/a","n/a",AH225-INDEX(tab_MinKomp[Wymagania VDA 6.5 Product / Forderungen],MATCH($B225,tab_MinKomp[[Stanowisko / Position ]:[Stanowisko / Position ]],0)))</f>
        <v>n/a</v>
      </c>
      <c r="AI226" s="343" t="str">
        <f>IF(INDEX(tab_MinKomp[PSCR (VW Product Safety &amp; Conformity Representative)],MATCH($B225,tab_MinKomp[[Stanowisko / Position ]:[Stanowisko / Position ]],0))="n/a","n/a",AI225-INDEX(tab_MinKomp[PSCR (VW Product Safety &amp; Conformity Representative)],MATCH($B225,tab_MinKomp[[Stanowisko / Position ]:[Stanowisko / Position ]],0)))</f>
        <v>n/a</v>
      </c>
      <c r="AJ226" s="343" t="str">
        <f>IF(INDEX(tab_MinKomp[Auditor systemu ISO 17025:2018],MATCH($B225,tab_MinKomp[[Stanowisko / Position ]:[Stanowisko / Position ]],0))="n/a","n/a",AJ225-INDEX(tab_MinKomp[Auditor systemu ISO 17025:2018],MATCH($B225,tab_MinKomp[[Stanowisko / Position ]:[Stanowisko / Position ]],0)))</f>
        <v>n/a</v>
      </c>
      <c r="AK226" s="343" t="str">
        <f>IF(INDEX(tab_MinKomp[Pełnomocnik systemu / Systemvertreter],MATCH($B225,tab_MinKomp[[Stanowisko / Position ]:[Stanowisko / Position ]],0))="n/a","n/a",AK225-INDEX(tab_MinKomp[Pełnomocnik systemu / Systemvertreter],MATCH($B225,tab_MinKomp[[Stanowisko / Position ]:[Stanowisko / Position ]],0)))</f>
        <v>n/a</v>
      </c>
      <c r="AL226" s="343" t="str">
        <f>IF(INDEX(tab_MinKomp[Polityka Etyczna - Compliance],MATCH($B225,tab_MinKomp[[Stanowisko / Position ]:[Stanowisko / Position ]],0))="n/a","n/a",AL225-INDEX(tab_MinKomp[Polityka Etyczna - Compliance],MATCH($B225,tab_MinKomp[[Stanowisko / Position ]:[Stanowisko / Position ]],0)))</f>
        <v>n/a</v>
      </c>
      <c r="AM226" s="343" t="str">
        <f>IF(INDEX(tab_MinKomp[WDRAŻANIE NOWYCH PROJEKTÓW/ PROCEDURA CTM],MATCH($B225,tab_MinKomp[[Stanowisko / Position ]:[Stanowisko / Position ]],0))="n/a","n/a",AM225-INDEX(tab_MinKomp[WDRAŻANIE NOWYCH PROJEKTÓW/ PROCEDURA CTM],MATCH($B225,tab_MinKomp[[Stanowisko / Position ]:[Stanowisko / Position ]],0)))</f>
        <v>n/a</v>
      </c>
      <c r="AN226" s="343" t="str">
        <f>IF(INDEX(tab_MinKomp[KAMIENIE MILOWE MSL/PIFF],MATCH($B225,tab_MinKomp[[Stanowisko / Position ]:[Stanowisko / Position ]],0))="n/a","n/a",AN225-INDEX(tab_MinKomp[KAMIENIE MILOWE MSL/PIFF],MATCH($B225,tab_MinKomp[[Stanowisko / Position ]:[Stanowisko / Position ]],0)))</f>
        <v>n/a</v>
      </c>
      <c r="AO226" s="343">
        <f>IF(INDEX(tab_MinKomp[CP],MATCH($B225,tab_MinKomp[[Stanowisko / Position ]:[Stanowisko / Position ]],0))="n/a","n/a",AO225-INDEX(tab_MinKomp[CP],MATCH($B225,tab_MinKomp[[Stanowisko / Position ]:[Stanowisko / Position ]],0)))</f>
        <v>-1</v>
      </c>
      <c r="AP226" s="343" t="str">
        <f>IF(INDEX(tab_MinKomp[FMEA],MATCH($B225,tab_MinKomp[[Stanowisko / Position ]:[Stanowisko / Position ]],0))="n/a","n/a",AP225-INDEX(tab_MinKomp[FMEA],MATCH($B225,tab_MinKomp[[Stanowisko / Position ]:[Stanowisko / Position ]],0)))</f>
        <v>n/a</v>
      </c>
      <c r="AQ226" s="343">
        <f>IF(INDEX(tab_MinKomp[FLOW CHART],MATCH($B225,tab_MinKomp[[Stanowisko / Position ]:[Stanowisko / Position ]],0))="n/a","n/a",AQ225-INDEX(tab_MinKomp[FLOW CHART],MATCH($B225,tab_MinKomp[[Stanowisko / Position ]:[Stanowisko / Position ]],0)))</f>
        <v>0</v>
      </c>
      <c r="AR226" s="343" t="str">
        <f>IF(INDEX(tab_MinKomp[APQP],MATCH($B225,tab_MinKomp[[Stanowisko / Position ]:[Stanowisko / Position ]],0))="n/a","n/a",AR225-INDEX(tab_MinKomp[APQP],MATCH($B225,tab_MinKomp[[Stanowisko / Position ]:[Stanowisko / Position ]],0)))</f>
        <v>n/a</v>
      </c>
      <c r="AS226" s="343" t="str">
        <f>IF(INDEX(tab_MinKomp[MSA],MATCH($B225,tab_MinKomp[[Stanowisko / Position ]:[Stanowisko / Position ]],0))="n/a","n/a",AS225-INDEX(tab_MinKomp[MSA],MATCH($B225,tab_MinKomp[[Stanowisko / Position ]:[Stanowisko / Position ]],0)))</f>
        <v>n/a</v>
      </c>
      <c r="AT226" s="343" t="str">
        <f>IF(INDEX(tab_MinKomp[SPC],MATCH($B225,tab_MinKomp[[Stanowisko / Position ]:[Stanowisko / Position ]],0))="n/a","n/a",AT225-INDEX(tab_MinKomp[SPC],MATCH($B225,tab_MinKomp[[Stanowisko / Position ]:[Stanowisko / Position ]],0)))</f>
        <v>n/a</v>
      </c>
      <c r="AU226" s="343">
        <f>IF(INDEX(tab_MinKomp[CSR (SPECYFICZNE WYMAGANIA KLIENTA)],MATCH($B225,tab_MinKomp[[Stanowisko / Position ]:[Stanowisko / Position ]],0))="n/a","n/a",AU225-INDEX(tab_MinKomp[CSR (SPECYFICZNE WYMAGANIA KLIENTA)],MATCH($B225,tab_MinKomp[[Stanowisko / Position ]:[Stanowisko / Position ]],0)))</f>
        <v>0</v>
      </c>
      <c r="AV226" s="343">
        <f>IF(INDEX(tab_MinKomp[5S],MATCH($B225,tab_MinKomp[[Stanowisko / Position ]:[Stanowisko / Position ]],0))="n/a","n/a",AV225-INDEX(tab_MinKomp[5S],MATCH($B225,tab_MinKomp[[Stanowisko / Position ]:[Stanowisko / Position ]],0)))</f>
        <v>0</v>
      </c>
      <c r="AW226" s="343">
        <f>IF(INDEX(tab_MinKomp[LEAN MANAGEMENT],MATCH($B225,tab_MinKomp[[Stanowisko / Position ]:[Stanowisko / Position ]],0))="n/a","n/a",AW225-INDEX(tab_MinKomp[LEAN MANAGEMENT],MATCH($B225,tab_MinKomp[[Stanowisko / Position ]:[Stanowisko / Position ]],0)))</f>
        <v>0</v>
      </c>
      <c r="AX226" s="343" t="str">
        <f>IF(INDEX(tab_MinKomp[5R],MATCH($B225,tab_MinKomp[[Stanowisko / Position ]:[Stanowisko / Position ]],0))="n/a","n/a",AX225-INDEX(tab_MinKomp[5R],MATCH($B225,tab_MinKomp[[Stanowisko / Position ]:[Stanowisko / Position ]],0)))</f>
        <v>n/a</v>
      </c>
      <c r="AY226" s="343" t="str">
        <f>IF(INDEX(tab_MinKomp[Six Sigma],MATCH($B225,tab_MinKomp[[Stanowisko / Position ]:[Stanowisko / Position ]],0))="n/a","n/a",AY225-INDEX(tab_MinKomp[Six Sigma],MATCH($B225,tab_MinKomp[[Stanowisko / Position ]:[Stanowisko / Position ]],0)))</f>
        <v>n/a</v>
      </c>
      <c r="AZ226" s="343" t="str">
        <f>IF(INDEX(tab_MinKomp[System BAAN / Distribution &amp; Supply Chain],MATCH($B225,tab_MinKomp[[Stanowisko / Position ]:[Stanowisko / Position ]],0))="n/a","n/a",AZ225-INDEX(tab_MinKomp[System BAAN / Distribution &amp; Supply Chain],MATCH($B225,tab_MinKomp[[Stanowisko / Position ]:[Stanowisko / Position ]],0)))</f>
        <v>n/a</v>
      </c>
      <c r="BA226" s="343">
        <f>IF(INDEX(tab_MinKomp[Gospodarka magazynowa / Lagerverwaltung],MATCH($B225,tab_MinKomp[[Stanowisko / Position ]:[Stanowisko / Position ]],0))="n/a","n/a",BA225-INDEX(tab_MinKomp[Gospodarka magazynowa / Lagerverwaltung],MATCH($B225,tab_MinKomp[[Stanowisko / Position ]:[Stanowisko / Position ]],0)))</f>
        <v>0</v>
      </c>
      <c r="BB226" s="343">
        <f>IF(INDEX(tab_MinKomp[Inwentaryzacja - organizacja i przebieg / Inventurprozess],MATCH($B225,tab_MinKomp[[Stanowisko / Position ]:[Stanowisko / Position ]],0))="n/a","n/a",BB225-INDEX(tab_MinKomp[Inwentaryzacja - organizacja i przebieg / Inventurprozess],MATCH($B225,tab_MinKomp[[Stanowisko / Position ]:[Stanowisko / Position ]],0)))</f>
        <v>0</v>
      </c>
      <c r="BC226" s="343" t="str">
        <f>IF(INDEX(tab_MinKomp[Organizacja dostaw / Versorgungsorganisation],MATCH($B225,tab_MinKomp[[Stanowisko / Position ]:[Stanowisko / Position ]],0))="n/a","n/a",BC225-INDEX(tab_MinKomp[Organizacja dostaw / Versorgungsorganisation],MATCH($B225,tab_MinKomp[[Stanowisko / Position ]:[Stanowisko / Position ]],0)))</f>
        <v>n/a</v>
      </c>
      <c r="BD226" s="343" t="str">
        <f>IF(INDEX(tab_MinKomp[Organizacja wysyłek / Organisation von Lieferungen],MATCH($B225,tab_MinKomp[[Stanowisko / Position ]:[Stanowisko / Position ]],0))="n/a","n/a",BD225-INDEX(tab_MinKomp[Organizacja wysyłek / Organisation von Lieferungen],MATCH($B225,tab_MinKomp[[Stanowisko / Position ]:[Stanowisko / Position ]],0)))</f>
        <v>n/a</v>
      </c>
      <c r="BE226" s="343" t="str">
        <f>IF(INDEX(tab_MinKomp[Analiza magazynowa - Program Polen.mdb / Inventuranalyse],MATCH($B225,tab_MinKomp[[Stanowisko / Position ]:[Stanowisko / Position ]],0))="n/a","n/a",BE225-INDEX(tab_MinKomp[Analiza magazynowa - Program Polen.mdb / Inventuranalyse],MATCH($B225,tab_MinKomp[[Stanowisko / Position ]:[Stanowisko / Position ]],0)))</f>
        <v>n/a</v>
      </c>
      <c r="BF226" s="315" t="str">
        <f>IF(INDEX(tab_MinKomp[MMOG (Materials Management Operations Guidelines)],MATCH($B225,tab_MinKomp[[Stanowisko / Position ]:[Stanowisko / Position ]],0))="n/a","n/a",BF225-INDEX(tab_MinKomp[MMOG (Materials Management Operations Guidelines)],MATCH($B225,tab_MinKomp[[Stanowisko / Position ]:[Stanowisko / Position ]],0)))</f>
        <v>n/a</v>
      </c>
      <c r="BG226" s="315" t="str">
        <f>IF(INDEX(tab_MinKomp[GPP],MATCH($B225,tab_MinKomp[[Stanowisko / Position ]:[Stanowisko / Position ]],0))="n/a","n/a",BG225-INDEX(tab_MinKomp[GPP],MATCH($B225,tab_MinKomp[[Stanowisko / Position ]:[Stanowisko / Position ]],0)))</f>
        <v>n/a</v>
      </c>
      <c r="BH226" s="315" t="str">
        <f>IF(INDEX(tab_MinKomp[AIAG (Automotive Industry Action Group)],MATCH($B225,tab_MinKomp[[Stanowisko / Position ]:[Stanowisko / Position ]],0))="n/a","n/a",BH225-INDEX(tab_MinKomp[AIAG (Automotive Industry Action Group)],MATCH($B225,tab_MinKomp[[Stanowisko / Position ]:[Stanowisko / Position ]],0)))</f>
        <v>n/a</v>
      </c>
      <c r="BI226" s="315" t="str">
        <f>IF(INDEX(tab_MinKomp[Super-G disputes],MATCH($B225,tab_MinKomp[[Stanowisko / Position ]:[Stanowisko / Position ]],0))="n/a","n/a",BI225-INDEX(tab_MinKomp[Super-G disputes],MATCH($B225,tab_MinKomp[[Stanowisko / Position ]:[Stanowisko / Position ]],0)))</f>
        <v>n/a</v>
      </c>
      <c r="BJ226" s="315" t="str">
        <f>IF(INDEX(tab_MinKomp[CMMS3/eDDL (Direct Data Link)],MATCH($B225,tab_MinKomp[[Stanowisko / Position ]:[Stanowisko / Position ]],0))="n/a","n/a",BJ225-INDEX(tab_MinKomp[CMMS3/eDDL (Direct Data Link)],MATCH($B225,tab_MinKomp[[Stanowisko / Position ]:[Stanowisko / Position ]],0)))</f>
        <v>n/a</v>
      </c>
      <c r="BK226" s="315" t="str">
        <f>IF(INDEX(tab_MinKomp[MP&amp;L (Material Planning and Logistics)],MATCH($B225,tab_MinKomp[[Stanowisko / Position ]:[Stanowisko / Position ]],0))="n/a","n/a",BK225-INDEX(tab_MinKomp[MP&amp;L (Material Planning and Logistics)],MATCH($B225,tab_MinKomp[[Stanowisko / Position ]:[Stanowisko / Position ]],0)))</f>
        <v>n/a</v>
      </c>
      <c r="BL226" s="315" t="str">
        <f>IF(INDEX(tab_MinKomp[Supplier delivery rating],MATCH($B225,tab_MinKomp[[Stanowisko / Position ]:[Stanowisko / Position ]],0))="n/a","n/a",BL225-INDEX(tab_MinKomp[Supplier delivery rating],MATCH($B225,tab_MinKomp[[Stanowisko / Position ]:[Stanowisko / Position ]],0)))</f>
        <v>n/a</v>
      </c>
      <c r="BM226" s="343">
        <f>IF(INDEX(tab_MinKomp[Planowanie produkcji / Produktionsplanung],MATCH($B225,tab_MinKomp[[Stanowisko / Position ]:[Stanowisko / Position ]],0))="n/a","n/a",BM225-INDEX(tab_MinKomp[Planowanie produkcji / Produktionsplanung],MATCH($B225,tab_MinKomp[[Stanowisko / Position ]:[Stanowisko / Position ]],0)))</f>
        <v>-2</v>
      </c>
      <c r="BN226" s="343" t="str">
        <f>IF(INDEX(tab_MinKomp[Obsługa maszyn Engel / Engel Maschinenbedienung],MATCH($B225,tab_MinKomp[[Stanowisko / Position ]:[Stanowisko / Position ]],0))="n/a","n/a",BN225-INDEX(tab_MinKomp[Obsługa maszyn Engel / Engel Maschinenbedienung],MATCH($B225,tab_MinKomp[[Stanowisko / Position ]:[Stanowisko / Position ]],0)))</f>
        <v>n/a</v>
      </c>
      <c r="BO226" s="343" t="str">
        <f>IF(INDEX(tab_MinKomp[Obsługa maszyn KVT / KVT Maschinenbedienung],MATCH($B225,tab_MinKomp[[Stanowisko / Position ]:[Stanowisko / Position ]],0))="n/a","n/a",BO225-INDEX(tab_MinKomp[Obsługa maszyn KVT / KVT Maschinenbedienung],MATCH($B225,tab_MinKomp[[Stanowisko / Position ]:[Stanowisko / Position ]],0)))</f>
        <v>n/a</v>
      </c>
      <c r="BP226" s="343" t="str">
        <f>IF(INDEX(tab_MinKomp[Obsługa maszyn KVT / KVT Maschinenbedienung],MATCH($B225,tab_MinKomp[[Stanowisko / Position ]:[Stanowisko / Position ]],0))="n/a","n/a",BP225-INDEX(tab_MinKomp[Obsługa maszyn KVT / KVT Maschinenbedienung],MATCH($B225,tab_MinKomp[[Stanowisko / Position ]:[Stanowisko / Position ]],0)))</f>
        <v>n/a</v>
      </c>
      <c r="BQ226" s="343" t="str">
        <f>IF(INDEX(tab_MinKomp[Obsługa maszyn ASL / ASL Maschinenbedienung],MATCH($B225,tab_MinKomp[[Stanowisko / Position ]:[Stanowisko / Position ]],0))="n/a","n/a",BQ225-INDEX(tab_MinKomp[Obsługa maszyn ASL / ASL Maschinenbedienung],MATCH($B225,tab_MinKomp[[Stanowisko / Position ]:[Stanowisko / Position ]],0)))</f>
        <v>n/a</v>
      </c>
      <c r="BR226" s="343" t="str">
        <f>IF(INDEX(tab_MinKomp[Obsługa maszyn Branson / Branson Maschinenbedienung],MATCH($B225,tab_MinKomp[[Stanowisko / Position ]:[Stanowisko / Position ]],0))="n/a","n/a",BR225-INDEX(tab_MinKomp[Obsługa maszyn Branson / Branson Maschinenbedienung],MATCH($B225,tab_MinKomp[[Stanowisko / Position ]:[Stanowisko / Position ]],0)))</f>
        <v>n/a</v>
      </c>
      <c r="BS226" s="343">
        <f>IF(INDEX(tab_MinKomp[Obsługa maszyn Novapax / Novapax Maschinenbedienung],MATCH($B225,tab_MinKomp[[Stanowisko / Position ]:[Stanowisko / Position ]],0))="n/a","n/a",BS225-INDEX(tab_MinKomp[Obsługa maszyn Novapax / Novapax Maschinenbedienung],MATCH($B225,tab_MinKomp[[Stanowisko / Position ]:[Stanowisko / Position ]],0)))</f>
        <v>-2</v>
      </c>
      <c r="BT226" s="343" t="str">
        <f>IF(INDEX(tab_MinKomp[Obsługa maszyn Piovan / Piovan Maschinenbedienung],MATCH($B225,tab_MinKomp[[Stanowisko / Position ]:[Stanowisko / Position ]],0))="n/a","n/a",BT225-INDEX(tab_MinKomp[Obsługa maszyn Piovan / Piovan Maschinenbedienung],MATCH($B225,tab_MinKomp[[Stanowisko / Position ]:[Stanowisko / Position ]],0)))</f>
        <v>n/a</v>
      </c>
      <c r="BU226" s="343">
        <f>IF(INDEX(tab_MinKomp[Obsługa maszyn Novapax / Novapax Maschinenbedienung],MATCH($B225,tab_MinKomp[[Stanowisko / Position ]:[Stanowisko / Position ]],0))="n/a","n/a",BU225-INDEX(tab_MinKomp[Obsługa maszyn Novapax / Novapax Maschinenbedienung],MATCH($B225,tab_MinKomp[[Stanowisko / Position ]:[Stanowisko / Position ]],0)))</f>
        <v>-1</v>
      </c>
      <c r="BV226" s="343">
        <f>IF(INDEX(tab_MinKomp[Eliminacja awarii / Beseitigung von Ausfällen],MATCH($B225,tab_MinKomp[[Stanowisko / Position ]:[Stanowisko / Position ]],0))="n/a","n/a",BV225-INDEX(tab_MinKomp[Eliminacja awarii / Beseitigung von Ausfällen],MATCH($B225,tab_MinKomp[[Stanowisko / Position ]:[Stanowisko / Position ]],0)))</f>
        <v>-1</v>
      </c>
      <c r="BW226" s="343" t="str">
        <f>IF(INDEX(tab_MinKomp[Informatyka ogólna (techniczne i systemowe) / Allgemeine IT (Technik und System)],MATCH($B225,tab_MinKomp[[Stanowisko / Position ]:[Stanowisko / Position ]],0))="n/a","n/a",BW225-INDEX(tab_MinKomp[Informatyka ogólna (techniczne i systemowe) / Allgemeine IT (Technik und System)],MATCH($B225,tab_MinKomp[[Stanowisko / Position ]:[Stanowisko / Position ]],0)))</f>
        <v>n/a</v>
      </c>
      <c r="BX226" s="343" t="str">
        <f>IF(INDEX(tab_MinKomp[Sieci komputerowe / Computernetzwerke],MATCH($B225,tab_MinKomp[[Stanowisko / Position ]:[Stanowisko / Position ]],0))="n/a","n/a",BX225-INDEX(tab_MinKomp[Sieci komputerowe / Computernetzwerke],MATCH($B225,tab_MinKomp[[Stanowisko / Position ]:[Stanowisko / Position ]],0)))</f>
        <v>n/a</v>
      </c>
      <c r="BY226" s="343" t="str">
        <f>IF(INDEX(tab_MinKomp[Hardware (komputery PC, drukarki biurowe i etykietowe, telefonia stacjonarna i mobilna) (PC, Drucker, Telefpne, Handys)],MATCH($B225,tab_MinKomp[[Stanowisko / Position ]:[Stanowisko / Position ]],0))="n/a","n/a",BY225-INDEX(tab_MinKomp[Hardware (komputery PC, drukarki biurowe i etykietowe, telefonia stacjonarna i mobilna) (PC, Drucker, Telefpne, Handys)],MATCH($B225,tab_MinKomp[[Stanowisko / Position ]:[Stanowisko / Position ]],0)))</f>
        <v>n/a</v>
      </c>
      <c r="BZ226" s="343" t="str">
        <f>IF(INDEX(tab_MinKomp[Software &amp; Systems (MS Office, MS Remote Desktop)],MATCH($B225,tab_MinKomp[[Stanowisko / Position ]:[Stanowisko / Position ]],0))="n/a","n/a",BZ225-INDEX(tab_MinKomp[Software &amp; Systems (MS Office, MS Remote Desktop)],MATCH($B225,tab_MinKomp[[Stanowisko / Position ]:[Stanowisko / Position ]],0)))</f>
        <v>n/a</v>
      </c>
      <c r="CA226" s="343" t="str">
        <f>IF(INDEX(tab_MinKomp[Programowanie obiektowe (PHP) / Objektprogrammierung],MATCH($B225,tab_MinKomp[[Stanowisko / Position ]:[Stanowisko / Position ]],0))="n/a","n/a",CA225-INDEX(tab_MinKomp[Programowanie obiektowe (PHP) / Objektprogrammierung],MATCH($B225,tab_MinKomp[[Stanowisko / Position ]:[Stanowisko / Position ]],0)))</f>
        <v>n/a</v>
      </c>
      <c r="CB226" s="343" t="str">
        <f>IF(INDEX(tab_MinKomp[Scrum],MATCH($B225,tab_MinKomp[[Stanowisko / Position ]:[Stanowisko / Position ]],0))="n/a","n/a",CB225-INDEX(tab_MinKomp[Scrum],MATCH($B225,tab_MinKomp[[Stanowisko / Position ]:[Stanowisko / Position ]],0)))</f>
        <v>n/a</v>
      </c>
      <c r="CC226" s="343" t="str">
        <f>IF(INDEX(tab_MinKomp[SQL (MySQL)],MATCH($B225,tab_MinKomp[[Stanowisko / Position ]:[Stanowisko / Position ]],0))="n/a","n/a",CC225-INDEX(tab_MinKomp[SQL (MySQL)],MATCH($B225,tab_MinKomp[[Stanowisko / Position ]:[Stanowisko / Position ]],0)))</f>
        <v>n/a</v>
      </c>
      <c r="CD226" s="343" t="str">
        <f>IF(INDEX(tab_MinKomp[Javascript],MATCH($B225,tab_MinKomp[[Stanowisko / Position ]:[Stanowisko / Position ]],0))="n/a","n/a",CD225-INDEX(tab_MinKomp[Javascript],MATCH($B225,tab_MinKomp[[Stanowisko / Position ]:[Stanowisko / Position ]],0)))</f>
        <v>n/a</v>
      </c>
      <c r="CE226" s="343" t="str">
        <f>IF(INDEX(tab_MinKomp[Joomla],MATCH($B225,tab_MinKomp[[Stanowisko / Position ]:[Stanowisko / Position ]],0))="n/a","n/a",CE225-INDEX(tab_MinKomp[Joomla],MATCH($B225,tab_MinKomp[[Stanowisko / Position ]:[Stanowisko / Position ]],0)))</f>
        <v>n/a</v>
      </c>
      <c r="CF226" s="343" t="str">
        <f>IF(INDEX(tab_MinKomp[Bash],MATCH($B225,tab_MinKomp[[Stanowisko / Position ]:[Stanowisko / Position ]],0))="n/a","n/a",CF225-INDEX(tab_MinKomp[Bash],MATCH($B225,tab_MinKomp[[Stanowisko / Position ]:[Stanowisko / Position ]],0)))</f>
        <v>n/a</v>
      </c>
      <c r="CG226" s="343">
        <f>IF(INDEX(tab_MinKomp[Systemy MES (HYDRA / SFMS)],MATCH($B225,tab_MinKomp[[Stanowisko / Position ]:[Stanowisko / Position ]],0))="n/a","n/a",CG225-INDEX(tab_MinKomp[Systemy MES (HYDRA / SFMS)],MATCH($B225,tab_MinKomp[[Stanowisko / Position ]:[Stanowisko / Position ]],0)))</f>
        <v>-1</v>
      </c>
      <c r="CH226" s="343" t="str">
        <f>IF(INDEX(tab_MinKomp[HTML / CSS],MATCH($B225,tab_MinKomp[[Stanowisko / Position ]:[Stanowisko / Position ]],0))="n/a","n/a",CH225-INDEX(tab_MinKomp[HTML / CSS],MATCH($B225,tab_MinKomp[[Stanowisko / Position ]:[Stanowisko / Position ]],0)))</f>
        <v>n/a</v>
      </c>
      <c r="CI226" s="343" t="str">
        <f>IF(INDEX(tab_MinKomp[SYSTEM PR],MATCH($B225,tab_MinKomp[[Stanowisko / Position ]:[Stanowisko / Position ]],0))="n/a","n/a",CI225-INDEX(tab_MinKomp[SYSTEM PR],MATCH($B225,tab_MinKomp[[Stanowisko / Position ]:[Stanowisko / Position ]],0)))</f>
        <v>n/a</v>
      </c>
      <c r="CJ226" s="343" t="str">
        <f>IF(INDEX(tab_MinKomp[System Einkauf XP / EBA],MATCH($B225,tab_MinKomp[[Stanowisko / Position ]:[Stanowisko / Position ]],0))="n/a","n/a",CJ225-INDEX(tab_MinKomp[System Einkauf XP / EBA],MATCH($B225,tab_MinKomp[[Stanowisko / Position ]:[Stanowisko / Position ]],0)))</f>
        <v>n/a</v>
      </c>
      <c r="CK226" s="343" t="str">
        <f>IF(INDEX(tab_MinKomp[Techniki negocjacyjne / Verhandlungstechniken],MATCH($B225,tab_MinKomp[[Stanowisko / Position ]:[Stanowisko / Position ]],0))="n/a","n/a",CK225-INDEX(tab_MinKomp[Techniki negocjacyjne / Verhandlungstechniken],MATCH($B225,tab_MinKomp[[Stanowisko / Position ]:[Stanowisko / Position ]],0)))</f>
        <v>n/a</v>
      </c>
      <c r="CL226" s="343" t="str">
        <f>IF(INDEX(tab_MinKomp[Znajomość rynku branżowego / Kenntnis des Industrie Marktes],MATCH($B225,tab_MinKomp[[Stanowisko / Position ]:[Stanowisko / Position ]],0))="n/a","n/a",CL225-INDEX(tab_MinKomp[Znajomość rynku branżowego / Kenntnis des Industrie Marktes],MATCH($B225,tab_MinKomp[[Stanowisko / Position ]:[Stanowisko / Position ]],0)))</f>
        <v>n/a</v>
      </c>
      <c r="CM226" s="343">
        <f>IF(INDEX(tab_MinKomp[RAPORTY 8D / 8D Berichten],MATCH($B225,tab_MinKomp[[Stanowisko / Position ]:[Stanowisko / Position ]],0))="n/a","n/a",CM225-INDEX(tab_MinKomp[RAPORTY 8D / 8D Berichten],MATCH($B225,tab_MinKomp[[Stanowisko / Position ]:[Stanowisko / Position ]],0)))</f>
        <v>0</v>
      </c>
      <c r="CN226" s="343">
        <f>IF(INDEX(tab_MinKomp[NARZĘDZIA JAKOŚCIOWE (5WHY, Ishikawa, etc) / QS-Werkzeuge],MATCH($B225,tab_MinKomp[[Stanowisko / Position ]:[Stanowisko / Position ]],0))="n/a","n/a",CN225-INDEX(tab_MinKomp[NARZĘDZIA JAKOŚCIOWE (5WHY, Ishikawa, etc) / QS-Werkzeuge],MATCH($B225,tab_MinKomp[[Stanowisko / Position ]:[Stanowisko / Position ]],0)))</f>
        <v>0</v>
      </c>
      <c r="CO226" s="343">
        <f>IF(INDEX(tab_MinKomp[PDCA],MATCH($B225,tab_MinKomp[[Stanowisko / Position ]:[Stanowisko / Position ]],0))="n/a","n/a",CO225-INDEX(tab_MinKomp[PDCA],MATCH($B225,tab_MinKomp[[Stanowisko / Position ]:[Stanowisko / Position ]],0)))</f>
        <v>0</v>
      </c>
      <c r="CP226" s="343">
        <f>IF(INDEX(tab_MinKomp[Pareto],MATCH($B225,tab_MinKomp[[Stanowisko / Position ]:[Stanowisko / Position ]],0))="n/a","n/a",CP225-INDEX(tab_MinKomp[Pareto],MATCH($B225,tab_MinKomp[[Stanowisko / Position ]:[Stanowisko / Position ]],0)))</f>
        <v>-1</v>
      </c>
      <c r="CQ226" s="343" t="str">
        <f>IF(INDEX(tab_MinKomp[PPAP/PSW],MATCH($B225,tab_MinKomp[[Stanowisko / Position ]:[Stanowisko / Position ]],0))="n/a","n/a",CQ225-INDEX(tab_MinKomp[PPAP/PSW],MATCH($B225,tab_MinKomp[[Stanowisko / Position ]:[Stanowisko / Position ]],0)))</f>
        <v>n/a</v>
      </c>
      <c r="CR226" s="343" t="str">
        <f>IF(INDEX(tab_MinKomp[SUPPLIER MANAGEMENT],MATCH($B225,tab_MinKomp[[Stanowisko / Position ]:[Stanowisko / Position ]],0))="n/a","n/a",CR225-INDEX(tab_MinKomp[SUPPLIER MANAGEMENT],MATCH($B225,tab_MinKomp[[Stanowisko / Position ]:[Stanowisko / Position ]],0)))</f>
        <v>n/a</v>
      </c>
      <c r="CS226" s="343" t="str">
        <f>IF(INDEX(tab_MinKomp[OBSŁUGA PORTALI KLIENTA / Kundenportale],MATCH($B225,tab_MinKomp[[Stanowisko / Position ]:[Stanowisko / Position ]],0))="n/a","n/a",CS225-INDEX(tab_MinKomp[OBSŁUGA PORTALI KLIENTA / Kundenportale],MATCH($B225,tab_MinKomp[[Stanowisko / Position ]:[Stanowisko / Position ]],0)))</f>
        <v>n/a</v>
      </c>
      <c r="CT226" s="343" t="str">
        <f>IF(INDEX(tab_MinKomp[Obsługa systemu BABTECQ / BABTECQ System],MATCH($B225,tab_MinKomp[[Stanowisko / Position ]:[Stanowisko / Position ]],0))="n/a","n/a",CT225-INDEX(tab_MinKomp[Obsługa systemu BABTECQ / BABTECQ System],MATCH($B225,tab_MinKomp[[Stanowisko / Position ]:[Stanowisko / Position ]],0)))</f>
        <v>n/a</v>
      </c>
      <c r="CU226" s="343" t="str">
        <f>IF(INDEX(tab_MinKomp[Rysunek techniczny / technische Zeichnung],MATCH($B225,tab_MinKomp[[Stanowisko / Position ]:[Stanowisko / Position ]],0))="n/a","n/a",CU225-INDEX(tab_MinKomp[Rysunek techniczny / technische Zeichnung],MATCH($B225,tab_MinKomp[[Stanowisko / Position ]:[Stanowisko / Position ]],0)))</f>
        <v>n/a</v>
      </c>
      <c r="CV226" s="343" t="str">
        <f>IF(INDEX(tab_MinKomp[Kalibracja / Kalibrierung],MATCH($B225,tab_MinKomp[[Stanowisko / Position ]:[Stanowisko / Position ]],0))="n/a","n/a",CV225-INDEX(tab_MinKomp[Kalibracja / Kalibrierung],MATCH($B225,tab_MinKomp[[Stanowisko / Position ]:[Stanowisko / Position ]],0)))</f>
        <v>n/a</v>
      </c>
      <c r="CW226" s="343" t="str">
        <f>IF(INDEX(tab_MinKomp[Rekwalifikacja / Requalifizierung],MATCH($B225,tab_MinKomp[[Stanowisko / Position ]:[Stanowisko / Position ]],0))="n/a","n/a",CW225-INDEX(tab_MinKomp[Rekwalifikacja / Requalifizierung],MATCH($B225,tab_MinKomp[[Stanowisko / Position ]:[Stanowisko / Position ]],0)))</f>
        <v>n/a</v>
      </c>
      <c r="CX226" s="315" t="s">
        <v>176</v>
      </c>
      <c r="CY226" s="315" t="s">
        <v>176</v>
      </c>
      <c r="CZ226" s="315" t="s">
        <v>176</v>
      </c>
      <c r="DA226" s="315" t="s">
        <v>176</v>
      </c>
      <c r="DB226" s="315" t="s">
        <v>176</v>
      </c>
      <c r="DC226" s="315" t="s">
        <v>176</v>
      </c>
      <c r="DD226" s="315" t="s">
        <v>176</v>
      </c>
      <c r="DE226" s="315" t="s">
        <v>176</v>
      </c>
      <c r="DF226" s="315" t="s">
        <v>176</v>
      </c>
      <c r="DG226" s="315" t="s">
        <v>176</v>
      </c>
      <c r="DH226" s="315" t="s">
        <v>176</v>
      </c>
      <c r="DI226" s="315" t="s">
        <v>176</v>
      </c>
      <c r="DJ226" s="315" t="s">
        <v>176</v>
      </c>
      <c r="DK226" s="315" t="s">
        <v>176</v>
      </c>
      <c r="DL226" s="315" t="s">
        <v>176</v>
      </c>
      <c r="DM226" s="315" t="s">
        <v>176</v>
      </c>
      <c r="DN226" s="315" t="s">
        <v>176</v>
      </c>
      <c r="DO226" s="315" t="s">
        <v>176</v>
      </c>
      <c r="DP226" s="315" t="s">
        <v>176</v>
      </c>
      <c r="DQ226" s="315" t="s">
        <v>176</v>
      </c>
      <c r="DR226" s="315" t="s">
        <v>176</v>
      </c>
      <c r="DS226" s="315" t="s">
        <v>176</v>
      </c>
      <c r="DT226" s="315" t="s">
        <v>176</v>
      </c>
      <c r="DU226" s="343" t="str">
        <f>IF(INDEX(tab_MinKomp[MSA i SPC],MATCH($B225,tab_MinKomp[[Stanowisko / Position ]:[Stanowisko / Position ]],0))="n/a","n/a",DU225-INDEX(tab_MinKomp[MSA i SPC],MATCH($B225,tab_MinKomp[[Stanowisko / Position ]:[Stanowisko / Position ]],0)))</f>
        <v>n/a</v>
      </c>
      <c r="DV226" s="343" t="str">
        <f>IF(INDEX(tab_MinKomp[Kontrola wejściowa komponentów/ Eingangskontrolle],MATCH($B225,tab_MinKomp[[Stanowisko / Position ]:[Stanowisko / Position ]],0))="n/a","n/a",DV225-INDEX(tab_MinKomp[Kontrola wejściowa komponentów/ Eingangskontrolle],MATCH($B225,tab_MinKomp[[Stanowisko / Position ]:[Stanowisko / Position ]],0)))</f>
        <v>n/a</v>
      </c>
      <c r="DW226" s="343" t="str">
        <f>IF(INDEX(tab_MinKomp[Kontrola wyjściowa produktu / Ausgangskontrolle],MATCH($B225,tab_MinKomp[[Stanowisko / Position ]:[Stanowisko / Position ]],0))="n/a","n/a",DW225-INDEX(tab_MinKomp[Kontrola wyjściowa produktu / Ausgangskontrolle],MATCH($B225,tab_MinKomp[[Stanowisko / Position ]:[Stanowisko / Position ]],0)))</f>
        <v>n/a</v>
      </c>
      <c r="DX226" s="343" t="str">
        <f>IF(INDEX(tab_MinKomp[Kontrola codzienna produkcji / Tägliche Produktionskontrolle],MATCH($B225,tab_MinKomp[[Stanowisko / Position ]:[Stanowisko / Position ]],0))="n/a","n/a",DX225-INDEX(tab_MinKomp[Kontrola codzienna produkcji / Tägliche Produktionskontrolle],MATCH($B225,tab_MinKomp[[Stanowisko / Position ]:[Stanowisko / Position ]],0)))</f>
        <v>n/a</v>
      </c>
      <c r="DY226" s="343" t="str">
        <f>IF(INDEX(tab_MinKomp[Konserwacja Rep],MATCH($B225,tab_MinKomp[[Stanowisko / Position ]:[Stanowisko / Position ]],0))="n/a","n/a",DY225-INDEX(tab_MinKomp[Konserwacja Rep],MATCH($B225,tab_MinKomp[[Stanowisko / Position ]:[Stanowisko / Position ]],0)))</f>
        <v>n/a</v>
      </c>
      <c r="DZ226" s="343" t="str">
        <f>IF(INDEX(tab_MinKomp[[Konserwacja Engel ]],MATCH($B225,tab_MinKomp[[Stanowisko / Position ]:[Stanowisko / Position ]],0))="n/a","n/a",DZ225-INDEX(tab_MinKomp[[Konserwacja Engel ]],MATCH($B225,tab_MinKomp[[Stanowisko / Position ]:[Stanowisko / Position ]],0)))</f>
        <v>n/a</v>
      </c>
      <c r="EA226" s="343" t="str">
        <f>IF(INDEX(tab_MinKomp[Konserwacja B 50],MATCH($B225,tab_MinKomp[[Stanowisko / Position ]:[Stanowisko / Position ]],0))="n/a","n/a",EA225-INDEX(tab_MinKomp[Konserwacja B 50],MATCH($B225,tab_MinKomp[[Stanowisko / Position ]:[Stanowisko / Position ]],0)))</f>
        <v>n/a</v>
      </c>
      <c r="EB226" s="343" t="str">
        <f>IF(INDEX(tab_MinKomp[[Konserwacja EOL ]],MATCH($B225,tab_MinKomp[[Stanowisko / Position ]:[Stanowisko / Position ]],0))="n/a","n/a",EB225-INDEX(tab_MinKomp[[Konserwacja EOL ]],MATCH($B225,tab_MinKomp[[Stanowisko / Position ]:[Stanowisko / Position ]],0)))</f>
        <v>n/a</v>
      </c>
      <c r="EC226" s="343" t="str">
        <f>IF(INDEX(tab_MinKomp[Konserwacja Branson],MATCH($B225,tab_MinKomp[[Stanowisko / Position ]:[Stanowisko / Position ]],0))="n/a","n/a",EC225-INDEX(tab_MinKomp[Konserwacja Branson],MATCH($B225,tab_MinKomp[[Stanowisko / Position ]:[Stanowisko / Position ]],0)))</f>
        <v>n/a</v>
      </c>
      <c r="ED226" s="343" t="str">
        <f>IF(INDEX(tab_MinKomp[Konserwacja coolery],MATCH($B225,tab_MinKomp[[Stanowisko / Position ]:[Stanowisko / Position ]],0))="n/a","n/a",ED225-INDEX(tab_MinKomp[Konserwacja coolery],MATCH($B225,tab_MinKomp[[Stanowisko / Position ]:[Stanowisko / Position ]],0)))</f>
        <v>n/a</v>
      </c>
      <c r="EE226" s="343" t="str">
        <f>IF(INDEX(tab_MinKomp[Konserwacja piecy],MATCH($B225,tab_MinKomp[[Stanowisko / Position ]:[Stanowisko / Position ]],0))="n/a","n/a",EE225-INDEX(tab_MinKomp[Konserwacja piecy],MATCH($B225,tab_MinKomp[[Stanowisko / Position ]:[Stanowisko / Position ]],0)))</f>
        <v>n/a</v>
      </c>
      <c r="EF226" s="343" t="str">
        <f>IF(INDEX(tab_MinKomp[Rysunek techniczny- czytanie],MATCH($B225,tab_MinKomp[[Stanowisko / Position ]:[Stanowisko / Position ]],0))="n/a","n/a",EF225-INDEX(tab_MinKomp[Rysunek techniczny- czytanie],MATCH($B225,tab_MinKomp[[Stanowisko / Position ]:[Stanowisko / Position ]],0)))</f>
        <v>n/a</v>
      </c>
      <c r="EG226" s="343" t="str">
        <f>IF(INDEX(tab_MinKomp[Elektryka],MATCH($B225,tab_MinKomp[[Stanowisko / Position ]:[Stanowisko / Position ]],0))="n/a","n/a",EG225-INDEX(tab_MinKomp[Elektryka],MATCH($B225,tab_MinKomp[[Stanowisko / Position ]:[Stanowisko / Position ]],0)))</f>
        <v>n/a</v>
      </c>
      <c r="EH226" s="343" t="str">
        <f>IF(INDEX(tab_MinKomp[Pneumatyka],MATCH($B225,tab_MinKomp[[Stanowisko / Position ]:[Stanowisko / Position ]],0))="n/a","n/a",EH225-INDEX(tab_MinKomp[Pneumatyka],MATCH($B225,tab_MinKomp[[Stanowisko / Position ]:[Stanowisko / Position ]],0)))</f>
        <v>n/a</v>
      </c>
      <c r="EI226" s="343" t="str">
        <f>IF(INDEX(tab_MinKomp[[Hydraulika ]],MATCH($B225,tab_MinKomp[[Stanowisko / Position ]:[Stanowisko / Position ]],0))="n/a","n/a",EI225-INDEX(tab_MinKomp[[Hydraulika ]],MATCH($B225,tab_MinKomp[[Stanowisko / Position ]:[Stanowisko / Position ]],0)))</f>
        <v>n/a</v>
      </c>
      <c r="EJ226" s="343" t="str">
        <f>IF(INDEX(tab_MinKomp[Podciśnienie],MATCH($B225,tab_MinKomp[[Stanowisko / Position ]:[Stanowisko / Position ]],0))="n/a","n/a",EJ225-INDEX(tab_MinKomp[Podciśnienie],MATCH($B225,tab_MinKomp[[Stanowisko / Position ]:[Stanowisko / Position ]],0)))</f>
        <v>n/a</v>
      </c>
      <c r="EK226" s="343" t="str">
        <f>IF(INDEX(tab_MinKomp[Usuwanie awarii],MATCH($B225,tab_MinKomp[[Stanowisko / Position ]:[Stanowisko / Position ]],0))="n/a","n/a",EK225-INDEX(tab_MinKomp[Usuwanie awarii],MATCH($B225,tab_MinKomp[[Stanowisko / Position ]:[Stanowisko / Position ]],0)))</f>
        <v>n/a</v>
      </c>
      <c r="EL226" s="343" t="str">
        <f>IF(INDEX(tab_MinKomp[Obsługa robotów],MATCH($B225,tab_MinKomp[[Stanowisko / Position ]:[Stanowisko / Position ]],0))="n/a","n/a",EL225-INDEX(tab_MinKomp[Obsługa robotów],MATCH($B225,tab_MinKomp[[Stanowisko / Position ]:[Stanowisko / Position ]],0)))</f>
        <v>n/a</v>
      </c>
      <c r="EM226" s="343" t="str">
        <f>IF(INDEX(tab_MinKomp[Obsługa sterowania maszyny],MATCH($B225,tab_MinKomp[[Stanowisko / Position ]:[Stanowisko / Position ]],0))="n/a","n/a",EM225-INDEX(tab_MinKomp[Obsługa sterowania maszyny],MATCH($B225,tab_MinKomp[[Stanowisko / Position ]:[Stanowisko / Position ]],0)))</f>
        <v>n/a</v>
      </c>
      <c r="EN226" s="343" t="str">
        <f>IF(INDEX(tab_MinKomp[Usuwanie przyczyn żródłowych],MATCH($B225,tab_MinKomp[[Stanowisko / Position ]:[Stanowisko / Position ]],0))="n/a","n/a",EN225-INDEX(tab_MinKomp[Usuwanie przyczyn żródłowych],MATCH($B225,tab_MinKomp[[Stanowisko / Position ]:[Stanowisko / Position ]],0)))</f>
        <v>n/a</v>
      </c>
      <c r="EO226" s="343" t="str">
        <f>IF(INDEX(tab_MinKomp[Cmms stosowanie],MATCH($B225,tab_MinKomp[[Stanowisko / Position ]:[Stanowisko / Position ]],0))="n/a","n/a",EO225-INDEX(tab_MinKomp[Cmms stosowanie],MATCH($B225,tab_MinKomp[[Stanowisko / Position ]:[Stanowisko / Position ]],0)))</f>
        <v>n/a</v>
      </c>
      <c r="EP226" s="343" t="str">
        <f>IF(INDEX(tab_MinKomp[[Czyszczenie form gumowych ]],MATCH($B225,tab_MinKomp[[Stanowisko / Position ]:[Stanowisko / Position ]],0))="n/a","n/a",EP225-INDEX(tab_MinKomp[[Czyszczenie form gumowych ]],MATCH($B225,tab_MinKomp[[Stanowisko / Position ]:[Stanowisko / Position ]],0)))</f>
        <v>n/a</v>
      </c>
      <c r="EQ226" s="343" t="str">
        <f>IF(INDEX(tab_MinKomp[Czyszczenie form plastikowych],MATCH($B225,tab_MinKomp[[Stanowisko / Position ]:[Stanowisko / Position ]],0))="n/a","n/a",EQ225-INDEX(tab_MinKomp[Czyszczenie form plastikowych],MATCH($B225,tab_MinKomp[[Stanowisko / Position ]:[Stanowisko / Position ]],0)))</f>
        <v>n/a</v>
      </c>
      <c r="ER226" s="343" t="str">
        <f>IF(INDEX(tab_MinKomp[Wymiana form plastik],MATCH($B225,tab_MinKomp[[Stanowisko / Position ]:[Stanowisko / Position ]],0))="n/a","n/a",ER225-INDEX(tab_MinKomp[Wymiana form plastik],MATCH($B225,tab_MinKomp[[Stanowisko / Position ]:[Stanowisko / Position ]],0)))</f>
        <v>n/a</v>
      </c>
      <c r="ES226" s="343" t="str">
        <f>IF(INDEX(tab_MinKomp[Wymiana form guma],MATCH($B225,tab_MinKomp[[Stanowisko / Position ]:[Stanowisko / Position ]],0))="n/a","n/a",ES225-INDEX(tab_MinKomp[Wymiana form guma],MATCH($B225,tab_MinKomp[[Stanowisko / Position ]:[Stanowisko / Position ]],0)))</f>
        <v>n/a</v>
      </c>
      <c r="ET226" s="343" t="str">
        <f>IF(INDEX(tab_MinKomp[Konserwacja KK],MATCH($B225,tab_MinKomp[[Stanowisko / Position ]:[Stanowisko / Position ]],0))="n/a","n/a",ET225-INDEX(tab_MinKomp[Konserwacja KK],MATCH($B225,tab_MinKomp[[Stanowisko / Position ]:[Stanowisko / Position ]],0)))</f>
        <v>n/a</v>
      </c>
      <c r="EU226" s="343" t="str">
        <f>IF(INDEX(tab_MinKomp[Konserwacja form guma],MATCH($B225,tab_MinKomp[[Stanowisko / Position ]:[Stanowisko / Position ]],0))="n/a","n/a",EU225-INDEX(tab_MinKomp[Konserwacja form guma],MATCH($B225,tab_MinKomp[[Stanowisko / Position ]:[Stanowisko / Position ]],0)))</f>
        <v>n/a</v>
      </c>
      <c r="EV226" s="343" t="str">
        <f>IF(INDEX(tab_MinKomp[Konserwacja form plastiki],MATCH($B225,tab_MinKomp[[Stanowisko / Position ]:[Stanowisko / Position ]],0))="n/a","n/a",EV225-INDEX(tab_MinKomp[Konserwacja form plastiki],MATCH($B225,tab_MinKomp[[Stanowisko / Position ]:[Stanowisko / Position ]],0)))</f>
        <v>n/a</v>
      </c>
      <c r="EW226" s="330" t="str">
        <f>IF(INDEX(tab_MinKomp[Konserwacja form plastiki],MATCH($B225,tab_MinKomp[[Stanowisko / Position ]:[Stanowisko / Position ]],0))="n/a","n/a",EW225-INDEX(tab_MinKomp[Konserwacja form plastiki],MATCH($B225,tab_MinKomp[[Stanowisko / Position ]:[Stanowisko / Position ]],0)))</f>
        <v>n/a</v>
      </c>
      <c r="EX226" s="343" t="str">
        <f>IF(INDEX(tab_MinKomp[Konserwacja Gorącego Kanału],MATCH($B225,tab_MinKomp[[Stanowisko / Position ]:[Stanowisko / Position ]],0))="n/a","n/a",EX225-INDEX(tab_MinKomp[Konserwacja Gorącego Kanału],MATCH($B225,tab_MinKomp[[Stanowisko / Position ]:[Stanowisko / Position ]],0)))</f>
        <v>n/a</v>
      </c>
      <c r="EY226" s="343">
        <f>IF(INDEX(tab_MinKomp[MS Office (Excel)],MATCH($B225,tab_MinKomp[[Stanowisko / Position ]:[Stanowisko / Position ]],0))="n/a","n/a",EY225-INDEX(tab_MinKomp[MS Office (Excel)],MATCH($B225,tab_MinKomp[[Stanowisko / Position ]:[Stanowisko / Position ]],0)))</f>
        <v>0</v>
      </c>
      <c r="EZ226" s="343">
        <f>IF(INDEX(tab_MinKomp[MS Office (Word)],MATCH($B225,tab_MinKomp[[Stanowisko / Position ]:[Stanowisko / Position ]],0))="n/a","n/a",EZ225-INDEX(tab_MinKomp[MS Office (Word)],MATCH($B225,tab_MinKomp[[Stanowisko / Position ]:[Stanowisko / Position ]],0)))</f>
        <v>0</v>
      </c>
      <c r="FA226" s="343">
        <f>IF(INDEX(tab_MinKomp[MS Office (Power Point)],MATCH($B225,tab_MinKomp[[Stanowisko / Position ]:[Stanowisko / Position ]],0))="n/a","n/a",FA225-INDEX(tab_MinKomp[MS Office (Power Point)],MATCH($B225,tab_MinKomp[[Stanowisko / Position ]:[Stanowisko / Position ]],0)))</f>
        <v>0</v>
      </c>
      <c r="FB226" s="343" t="str">
        <f>IF(INDEX(tab_MinKomp[Język angielski / Englisch],MATCH($B225,tab_MinKomp[[Stanowisko / Position ]:[Stanowisko / Position ]],0))="n/a","n/a",FB225-INDEX(tab_MinKomp[Język angielski / Englisch],MATCH($B225,tab_MinKomp[[Stanowisko / Position ]:[Stanowisko / Position ]],0)))</f>
        <v>n/a</v>
      </c>
      <c r="FC226" s="343" t="str">
        <f>IF(INDEX(tab_MinKomp[Język niemiecki / Deutsch],MATCH($B225,tab_MinKomp[[Stanowisko / Position ]:[Stanowisko / Position ]],0))="n/a","n/a",FC225-INDEX(tab_MinKomp[Język niemiecki / Deutsch],MATCH($B225,tab_MinKomp[[Stanowisko / Position ]:[Stanowisko / Position ]],0)))</f>
        <v>n/a</v>
      </c>
      <c r="FD226" s="343">
        <f>IF(INDEX(tab_MinKomp[Zarządzanie dokumentacją procesową / Process dokumentation management],MATCH($B225,tab_MinKomp[[Stanowisko / Position ]:[Stanowisko / Position ]],0))="n/a","n/a",FD225-INDEX(tab_MinKomp[Zarządzanie dokumentacją procesową / Process dokumentation management],MATCH($B225,tab_MinKomp[[Stanowisko / Position ]:[Stanowisko / Position ]],0)))</f>
        <v>-1</v>
      </c>
      <c r="FE226" s="343">
        <f>IF(INDEX(tab_MinKomp[Znajomość procesów z obszaru / Kenntiss der prozesse in dem Bereich],MATCH($B225,tab_MinKomp[[Stanowisko / Position ]:[Stanowisko / Position ]],0))="n/a","n/a",FE225-INDEX(tab_MinKomp[Znajomość procesów z obszaru / Kenntiss der prozesse in dem Bereich],MATCH($B225,tab_MinKomp[[Stanowisko / Position ]:[Stanowisko / Position ]],0)))</f>
        <v>-1</v>
      </c>
      <c r="FF226" s="343">
        <f>IF(INDEX(tab_MinKomp[optymalizacja procesów / Prozessoptymalisierung],MATCH($B225,tab_MinKomp[[Stanowisko / Position ]:[Stanowisko / Position ]],0))="n/a","n/a",FF225-INDEX(tab_MinKomp[optymalizacja procesów / Prozessoptymalisierung],MATCH($B225,tab_MinKomp[[Stanowisko / Position ]:[Stanowisko / Position ]],0)))</f>
        <v>-1</v>
      </c>
      <c r="FG226" s="343">
        <f>IF(INDEX(tab_MinKomp[Umiejętności szkoleniowe / Trainingsfähigkeiten],MATCH($B225,tab_MinKomp[[Stanowisko / Position ]:[Stanowisko / Position ]],0))="n/a","n/a",FG225-INDEX(tab_MinKomp[Umiejętności szkoleniowe / Trainingsfähigkeiten],MATCH($B225,tab_MinKomp[[Stanowisko / Position ]:[Stanowisko / Position ]],0)))</f>
        <v>-1</v>
      </c>
      <c r="FH226" s="343">
        <f>IF(INDEX(tab_MinKomp[Analityczne myślenie, podejście / Analitysches Denken, Einstellung],MATCH($B225,tab_MinKomp[[Stanowisko / Position ]:[Stanowisko / Position ]],0))="n/a","n/a",FH225-INDEX(tab_MinKomp[Analityczne myślenie, podejście / Analitysches Denken, Einstellung],MATCH($B225,tab_MinKomp[[Stanowisko / Position ]:[Stanowisko / Position ]],0)))</f>
        <v>-1</v>
      </c>
      <c r="FI226" s="343">
        <f>IF(INDEX(tab_MinKomp[Dokładność, precyzja w dzialaniu / Genauigkeit, Präzision in die Arbeit],MATCH($B225,tab_MinKomp[[Stanowisko / Position ]:[Stanowisko / Position ]],0))="n/a","n/a",FI225-INDEX(tab_MinKomp[Dokładność, precyzja w dzialaniu / Genauigkeit, Präzision in die Arbeit],MATCH($B225,tab_MinKomp[[Stanowisko / Position ]:[Stanowisko / Position ]],0)))</f>
        <v>-1</v>
      </c>
      <c r="FJ226" s="343">
        <f>IF(INDEX(tab_MinKomp[Dyspozycyjność / Verfügbarkeit],MATCH($B225,tab_MinKomp[[Stanowisko / Position ]:[Stanowisko / Position ]],0))="n/a","n/a",FJ225-INDEX(tab_MinKomp[Dyspozycyjność / Verfügbarkeit],MATCH($B225,tab_MinKomp[[Stanowisko / Position ]:[Stanowisko / Position ]],0)))</f>
        <v>0</v>
      </c>
      <c r="FK226" s="343">
        <f>IF(INDEX(tab_MinKomp[Zaangażowanie / 
Engagement],MATCH($B225,tab_MinKomp[[Stanowisko / Position ]:[Stanowisko / Position ]],0))="n/a","n/a",FK225-INDEX(tab_MinKomp[Zaangażowanie / 
Engagement],MATCH($B225,tab_MinKomp[[Stanowisko / Position ]:[Stanowisko / Position ]],0)))</f>
        <v>0</v>
      </c>
      <c r="FL226" s="343">
        <f>IF(INDEX(tab_MinKomp[Planowanie strategiczne / Strategische Planung],MATCH($B225,tab_MinKomp[[Stanowisko / Position ]:[Stanowisko / Position ]],0))="n/a","n/a",FL225-INDEX(tab_MinKomp[Planowanie strategiczne / Strategische Planung],MATCH($B225,tab_MinKomp[[Stanowisko / Position ]:[Stanowisko / Position ]],0)))</f>
        <v>-1</v>
      </c>
      <c r="FM226" s="343">
        <f>IF(INDEX(tab_MinKomp[Konsekwentne i dynamiczne działanie],MATCH($B225,tab_MinKomp[[Stanowisko / Position ]:[Stanowisko / Position ]],0))="n/a","n/a",FM225-INDEX(tab_MinKomp[Konsekwentne i dynamiczne działanie],MATCH($B225,tab_MinKomp[[Stanowisko / Position ]:[Stanowisko / Position ]],0)))</f>
        <v>-1</v>
      </c>
      <c r="FN226" s="343">
        <f>IF(INDEX(tab_MinKomp[Elastyczność w działaniu],MATCH($B225,tab_MinKomp[[Stanowisko / Position ]:[Stanowisko / Position ]],0))="n/a","n/a",FN225-INDEX(tab_MinKomp[Elastyczność w działaniu],MATCH($B225,tab_MinKomp[[Stanowisko / Position ]:[Stanowisko / Position ]],0)))</f>
        <v>-1</v>
      </c>
      <c r="FO226" s="343">
        <f>IF(INDEX(tab_MinKomp[Komunikatywność],MATCH($B225,tab_MinKomp[[Stanowisko / Position ]:[Stanowisko / Position ]],0))="n/a","n/a",FO225-INDEX(tab_MinKomp[Komunikatywność],MATCH($B225,tab_MinKomp[[Stanowisko / Position ]:[Stanowisko / Position ]],0)))</f>
        <v>0</v>
      </c>
      <c r="FP226" s="342">
        <f>IF(INDEX(tab_MinKomp[Motywowanie i budowanie zaangażowania zespołu],MATCH($B225,tab_MinKomp[[Stanowisko / Position ]:[Stanowisko / Position ]],0))="n/a","n/a",FP225-INDEX(tab_MinKomp[Motywowanie i budowanie zaangażowania zespołu],MATCH($B225,tab_MinKomp[[Stanowisko / Position ]:[Stanowisko / Position ]],0)))</f>
        <v>-1</v>
      </c>
      <c r="FQ226" s="346" t="str">
        <f>IFERROR(IF(INDEX(tab_MinKomp[BRAK / Keine],MATCH($B225,tab_MinKomp[[Stanowisko / Position ]:[Stanowisko / Position ]],0))="n/a","n/a",INDEX(tab_MinKomp[BRAK / Keine],MATCH($B225,tab_MinKomp[[Stanowisko / Position ]:[Stanowisko / Position ]],0))-FQ225),"")</f>
        <v>n/a</v>
      </c>
      <c r="FR226" s="343" t="str">
        <f>IF(INDEX(tab_MinKomp[MINIMUM 1 ROK / min. 1 Jahr],MATCH($B225,tab_MinKomp[[Stanowisko / Position ]:[Stanowisko / Position ]],0))="n/a","n/a",INDEX(tab_MinKomp[MINIMUM 1 ROK / min. 1 Jahr],MATCH($B225,tab_MinKomp[[Stanowisko / Position ]:[Stanowisko / Position ]],0)))</f>
        <v>x</v>
      </c>
      <c r="FS226" s="343" t="str">
        <f>IF(INDEX(tab_MinKomp[MINIMUM 2 LATA / min. 2 Jahre],MATCH($B225,tab_MinKomp[[Stanowisko / Position ]:[Stanowisko / Position ]],0))="n/a","n/a",INDEX(tab_MinKomp[MINIMUM 2 LATA / min. 2 Jahre],MATCH($B225,tab_MinKomp[[Stanowisko / Position ]:[Stanowisko / Position ]],0)))</f>
        <v>n/a</v>
      </c>
      <c r="FT226" s="343" t="str">
        <f>IF(INDEX(tab_MinKomp[MINIMUM 3 LATA / min. 3 Jahre],MATCH($B225,tab_MinKomp[[Stanowisko / Position ]:[Stanowisko / Position ]],0))="n/a","n/a",INDEX(tab_MinKomp[MINIMUM 3 LATA / min. 3 Jahre],MATCH($B225,tab_MinKomp[[Stanowisko / Position ]:[Stanowisko / Position ]],0)))</f>
        <v>n/a</v>
      </c>
      <c r="FU226" s="343" t="str">
        <f>IF(INDEX(tab_MinKomp[MINIMUM 4 LATA / min. 4 Jahre],MATCH($B225,tab_MinKomp[[Stanowisko / Position ]:[Stanowisko / Position ]],0))="n/a","n/a",INDEX(tab_MinKomp[MINIMUM 4 LATA / min. 4 Jahre],MATCH($B225,tab_MinKomp[[Stanowisko / Position ]:[Stanowisko / Position ]],0)))</f>
        <v>n/a</v>
      </c>
      <c r="FV226" s="347" t="str">
        <f>IF(INDEX(tab_MinKomp[MINIMUM 5 LAT / min. 5 Jahre],MATCH($B225,tab_MinKomp[[Stanowisko / Position ]:[Stanowisko / Position ]],0))="n/a","n/a",INDEX(tab_MinKomp[MINIMUM 5 LAT / min. 5 Jahre],MATCH($B225,tab_MinKomp[[Stanowisko / Position ]:[Stanowisko / Position ]],0)))</f>
        <v>n/a</v>
      </c>
      <c r="FW226" s="346" t="str">
        <f>IF(INDEX(tab_MinKomp[BRAK / Keine9],MATCH($B225,tab_MinKomp[[Stanowisko / Position ]:[Stanowisko / Position ]],0))="n/a","n/a",INDEX(tab_MinKomp[BRAK / Keine9],MATCH($B225,tab_MinKomp[[Stanowisko / Position ]:[Stanowisko / Position ]],0)))</f>
        <v>n/a</v>
      </c>
      <c r="FX226" s="343" t="str">
        <f>IF(INDEX(tab_MinKomp[ZAWODOWE / Berufsausbildung],MATCH($B225,tab_MinKomp[[Stanowisko / Position ]:[Stanowisko / Position ]],0))="n/a","n/a",INDEX(tab_MinKomp[ZAWODOWE / Berufsausbildung],MATCH($B225,tab_MinKomp[[Stanowisko / Position ]:[Stanowisko / Position ]],0)))</f>
        <v>x</v>
      </c>
      <c r="FY226" s="343" t="str">
        <f>IF(INDEX(tab_MinKomp[ŚREDNIE OGÓLNE / Abitur allgemeine],MATCH($B225,tab_MinKomp[[Stanowisko / Position ]:[Stanowisko / Position ]],0))="n/a","n/a",INDEX(tab_MinKomp[ŚREDNIE OGÓLNE / Abitur allgemeine],MATCH($B225,tab_MinKomp[[Stanowisko / Position ]:[Stanowisko / Position ]],0)))</f>
        <v>n/a</v>
      </c>
      <c r="FZ226" s="343" t="str">
        <f>IF(INDEX(tab_MinKomp[ŚREDNIE KIERUNKOWE / berufliches Gymnasium],MATCH($B225,tab_MinKomp[[Stanowisko / Position ]:[Stanowisko / Position ]],0))="n/a","n/a",INDEX(tab_MinKomp[ŚREDNIE KIERUNKOWE / berufliches Gymnasium],MATCH($B225,tab_MinKomp[[Stanowisko / Position ]:[Stanowisko / Position ]],0)))</f>
        <v>n/a</v>
      </c>
      <c r="GA226" s="343" t="str">
        <f>IF(INDEX(tab_MinKomp[WYŻSZE OGÓLNE / Hochschule allgemeine],MATCH($B225,tab_MinKomp[[Stanowisko / Position ]:[Stanowisko / Position ]],0))="n/a","n/a",INDEX(tab_MinKomp[WYŻSZE OGÓLNE / Hochschule allgemeine],MATCH($B225,tab_MinKomp[[Stanowisko / Position ]:[Stanowisko / Position ]],0)))</f>
        <v>n/a</v>
      </c>
      <c r="GB226" s="347" t="str">
        <f>IF(INDEX(tab_MinKomp[WYŻSZE KIERUNKOWE / Hochschule berufliche],MATCH($B225,tab_MinKomp[[Stanowisko / Position ]:[Stanowisko / Position ]],0))="n/a","n/a",INDEX(tab_MinKomp[WYŻSZE KIERUNKOWE / Hochschule berufliche],MATCH($B225,tab_MinKomp[[Stanowisko / Position ]:[Stanowisko / Position ]],0)))</f>
        <v>n/a</v>
      </c>
      <c r="GC226" s="346" t="str">
        <f>IF(INDEX(tab_MinKomp[PIERWSZA POMOC / Erste Hilfe],MATCH($B225,tab_MinKomp[[Stanowisko / Position ]:[Stanowisko / Position ]],0))="n/a","n/a",INDEX(tab_MinKomp[PIERWSZA POMOC / Erste Hilfe],MATCH($B225,tab_MinKomp[[Stanowisko / Position ]:[Stanowisko / Position ]],0)))</f>
        <v>x</v>
      </c>
      <c r="GD226" s="343" t="str">
        <f>IF(INDEX(tab_MinKomp[Specjalista BHP / BHP Spezialist],MATCH($B225,tab_MinKomp[[Stanowisko / Position ]:[Stanowisko / Position ]],0))="n/a","n/a",INDEX(tab_MinKomp[Specjalista BHP / BHP Spezialist],MATCH($B225,tab_MinKomp[[Stanowisko / Position ]:[Stanowisko / Position ]],0)))</f>
        <v>n/a</v>
      </c>
      <c r="GE226" s="343" t="str">
        <f>IF(INDEX(tab_MinKomp[Inspektor ochrony PPOŻ / Brandschutzinspektor],MATCH($B225,tab_MinKomp[[Stanowisko / Position ]:[Stanowisko / Position ]],0))="n/a","n/a",INDEX(tab_MinKomp[Inspektor ochrony PPOŻ / Brandschutzinspektor],MATCH($B225,tab_MinKomp[[Stanowisko / Position ]:[Stanowisko / Position ]],0)))</f>
        <v>n/a</v>
      </c>
      <c r="GF226" s="343" t="str">
        <f>IF(INDEX(tab_MinKomp[WÓZKI JEZDNIOWE / Gebelstapler],MATCH($B225,tab_MinKomp[[Stanowisko / Position ]:[Stanowisko / Position ]],0))="n/a","n/a",INDEX(tab_MinKomp[WÓZKI JEZDNIOWE / Gebelstapler],MATCH($B225,tab_MinKomp[[Stanowisko / Position ]:[Stanowisko / Position ]],0)))</f>
        <v>x</v>
      </c>
      <c r="GG226" s="343" t="str">
        <f>IF(INDEX(tab_MinKomp[SEP],MATCH($B225,tab_MinKomp[[Stanowisko / Position ]:[Stanowisko / Position ]],0))="n/a","n/a",INDEX(tab_MinKomp[SEP],MATCH($B225,tab_MinKomp[[Stanowisko / Position ]:[Stanowisko / Position ]],0)))</f>
        <v>n/a</v>
      </c>
      <c r="GH226" s="343" t="str">
        <f>IF(INDEX(tab_MinKomp[SEP  DOZÓR / SEP Aufsicht],MATCH($B225,tab_MinKomp[[Stanowisko / Position ]:[Stanowisko / Position ]],0))="n/a","n/a",INDEX(tab_MinKomp[SEP  DOZÓR / SEP Aufsicht],MATCH($B225,tab_MinKomp[[Stanowisko / Position ]:[Stanowisko / Position ]],0)))</f>
        <v>n/a</v>
      </c>
      <c r="GI226" s="343" t="str">
        <f>IF(INDEX(tab_MinKomp[PODNOŚNIKI / Hebevorrichtung],MATCH($B225,tab_MinKomp[[Stanowisko / Position ]:[Stanowisko / Position ]],0))="n/a","n/a",INDEX(tab_MinKomp[PODNOŚNIKI / Hebevorrichtung],MATCH($B225,tab_MinKomp[[Stanowisko / Position ]:[Stanowisko / Position ]],0)))</f>
        <v>n/a</v>
      </c>
      <c r="GJ226" s="343" t="str">
        <f>IF(INDEX(tab_MinKomp[SUWNICE / Laufkran],MATCH($B225,tab_MinKomp[[Stanowisko / Position ]:[Stanowisko / Position ]],0))="n/a","n/a",INDEX(tab_MinKomp[SUWNICE / Laufkran],MATCH($B225,tab_MinKomp[[Stanowisko / Position ]:[Stanowisko / Position ]],0)))</f>
        <v>n/a</v>
      </c>
      <c r="GK226" s="347" t="str">
        <f>IF(INDEX(tab_MinKomp[WYSOKOŚCIOWE / Höhenberechtigungen],MATCH($B225,tab_MinKomp[[Stanowisko / Position ]:[Stanowisko / Position ]],0))="n/a","n/a",INDEX(tab_MinKomp[WYSOKOŚCIOWE / Höhenberechtigungen],MATCH($B225,tab_MinKomp[[Stanowisko / Position ]:[Stanowisko / Position ]],0)))</f>
        <v>n/a</v>
      </c>
      <c r="GL226" s="320">
        <f>SUM(G226:FP226)/(GL225-(SUM(G226:FP226)))</f>
        <v>-0.28358208955223879</v>
      </c>
    </row>
    <row r="227" spans="1:194" ht="36.75" customHeight="1" x14ac:dyDescent="0.25">
      <c r="A227" s="135" t="s">
        <v>184</v>
      </c>
      <c r="B227" s="135" t="s">
        <v>581</v>
      </c>
      <c r="C227" s="135" t="s">
        <v>229</v>
      </c>
      <c r="D227" s="135">
        <v>1170</v>
      </c>
      <c r="E227" s="565" t="s">
        <v>726</v>
      </c>
      <c r="F227" s="307" t="s">
        <v>165</v>
      </c>
      <c r="G227" s="308">
        <v>2</v>
      </c>
      <c r="H227" s="308">
        <v>2</v>
      </c>
      <c r="I227" s="308">
        <v>1</v>
      </c>
      <c r="J227" s="308">
        <v>1</v>
      </c>
      <c r="K227" s="308">
        <v>1</v>
      </c>
      <c r="L227" s="308">
        <v>1</v>
      </c>
      <c r="M227" s="308" t="s">
        <v>176</v>
      </c>
      <c r="N227" s="308" t="s">
        <v>176</v>
      </c>
      <c r="O227" s="308">
        <v>1</v>
      </c>
      <c r="P227" s="308">
        <v>1</v>
      </c>
      <c r="Q227" s="308" t="s">
        <v>176</v>
      </c>
      <c r="R227" s="308" t="s">
        <v>176</v>
      </c>
      <c r="S227" s="308" t="s">
        <v>176</v>
      </c>
      <c r="T227" s="308">
        <v>1</v>
      </c>
      <c r="U227" s="308" t="s">
        <v>176</v>
      </c>
      <c r="V227" s="308" t="s">
        <v>176</v>
      </c>
      <c r="W227" s="308" t="s">
        <v>176</v>
      </c>
      <c r="X227" s="308" t="s">
        <v>176</v>
      </c>
      <c r="Y227" s="308" t="s">
        <v>176</v>
      </c>
      <c r="Z227" s="308" t="s">
        <v>176</v>
      </c>
      <c r="AA227" s="308" t="s">
        <v>176</v>
      </c>
      <c r="AB227" s="308" t="s">
        <v>176</v>
      </c>
      <c r="AC227" s="308" t="s">
        <v>176</v>
      </c>
      <c r="AD227" s="308" t="s">
        <v>176</v>
      </c>
      <c r="AE227" s="308" t="s">
        <v>176</v>
      </c>
      <c r="AF227" s="308" t="s">
        <v>176</v>
      </c>
      <c r="AG227" s="308" t="s">
        <v>176</v>
      </c>
      <c r="AH227" s="308" t="s">
        <v>176</v>
      </c>
      <c r="AI227" s="308" t="s">
        <v>176</v>
      </c>
      <c r="AJ227" s="308" t="s">
        <v>176</v>
      </c>
      <c r="AK227" s="308" t="s">
        <v>176</v>
      </c>
      <c r="AL227" s="308" t="s">
        <v>176</v>
      </c>
      <c r="AM227" s="308" t="s">
        <v>176</v>
      </c>
      <c r="AN227" s="308" t="s">
        <v>176</v>
      </c>
      <c r="AO227" s="308">
        <v>2</v>
      </c>
      <c r="AP227" s="308" t="s">
        <v>176</v>
      </c>
      <c r="AQ227" s="308">
        <v>1</v>
      </c>
      <c r="AR227" s="308" t="s">
        <v>176</v>
      </c>
      <c r="AS227" s="308" t="s">
        <v>176</v>
      </c>
      <c r="AT227" s="308" t="s">
        <v>176</v>
      </c>
      <c r="AU227" s="308">
        <v>1</v>
      </c>
      <c r="AV227" s="308">
        <v>1</v>
      </c>
      <c r="AW227" s="308">
        <v>1</v>
      </c>
      <c r="AX227" s="308" t="s">
        <v>176</v>
      </c>
      <c r="AY227" s="308" t="s">
        <v>176</v>
      </c>
      <c r="AZ227" s="308" t="s">
        <v>176</v>
      </c>
      <c r="BA227" s="308">
        <v>1</v>
      </c>
      <c r="BB227" s="308">
        <v>2</v>
      </c>
      <c r="BC227" s="308" t="s">
        <v>176</v>
      </c>
      <c r="BD227" s="308" t="s">
        <v>176</v>
      </c>
      <c r="BE227" s="308" t="s">
        <v>176</v>
      </c>
      <c r="BF227" s="308" t="s">
        <v>176</v>
      </c>
      <c r="BG227" s="308" t="s">
        <v>176</v>
      </c>
      <c r="BH227" s="308" t="s">
        <v>176</v>
      </c>
      <c r="BI227" s="308" t="s">
        <v>176</v>
      </c>
      <c r="BJ227" s="308" t="s">
        <v>176</v>
      </c>
      <c r="BK227" s="308" t="s">
        <v>176</v>
      </c>
      <c r="BL227" s="308" t="s">
        <v>176</v>
      </c>
      <c r="BM227" s="308">
        <v>3</v>
      </c>
      <c r="BN227" s="308">
        <v>3</v>
      </c>
      <c r="BO227" s="308" t="s">
        <v>176</v>
      </c>
      <c r="BP227" s="308">
        <v>3</v>
      </c>
      <c r="BQ227" s="308" t="s">
        <v>176</v>
      </c>
      <c r="BR227" s="308">
        <v>3</v>
      </c>
      <c r="BS227" s="308">
        <v>3</v>
      </c>
      <c r="BT227" s="308">
        <v>3</v>
      </c>
      <c r="BU227" s="308" t="s">
        <v>176</v>
      </c>
      <c r="BV227" s="308">
        <v>3</v>
      </c>
      <c r="BW227" s="308" t="s">
        <v>176</v>
      </c>
      <c r="BX227" s="308" t="s">
        <v>176</v>
      </c>
      <c r="BY227" s="308" t="s">
        <v>176</v>
      </c>
      <c r="BZ227" s="308" t="s">
        <v>176</v>
      </c>
      <c r="CA227" s="308" t="s">
        <v>176</v>
      </c>
      <c r="CB227" s="308" t="s">
        <v>176</v>
      </c>
      <c r="CC227" s="308" t="s">
        <v>176</v>
      </c>
      <c r="CD227" s="308" t="s">
        <v>176</v>
      </c>
      <c r="CE227" s="308" t="s">
        <v>176</v>
      </c>
      <c r="CF227" s="308" t="s">
        <v>176</v>
      </c>
      <c r="CG227" s="308">
        <v>2</v>
      </c>
      <c r="CH227" s="308" t="s">
        <v>176</v>
      </c>
      <c r="CI227" s="308" t="s">
        <v>176</v>
      </c>
      <c r="CJ227" s="308" t="s">
        <v>176</v>
      </c>
      <c r="CK227" s="308" t="s">
        <v>176</v>
      </c>
      <c r="CL227" s="308" t="s">
        <v>176</v>
      </c>
      <c r="CM227" s="308">
        <v>1</v>
      </c>
      <c r="CN227" s="308">
        <v>1</v>
      </c>
      <c r="CO227" s="308">
        <v>1</v>
      </c>
      <c r="CP227" s="308">
        <v>2</v>
      </c>
      <c r="CQ227" s="308" t="s">
        <v>176</v>
      </c>
      <c r="CR227" s="308" t="s">
        <v>176</v>
      </c>
      <c r="CS227" s="308" t="s">
        <v>176</v>
      </c>
      <c r="CT227" s="308" t="s">
        <v>176</v>
      </c>
      <c r="CU227" s="308" t="s">
        <v>176</v>
      </c>
      <c r="CV227" s="308" t="s">
        <v>176</v>
      </c>
      <c r="CW227" s="308" t="s">
        <v>176</v>
      </c>
      <c r="CX227" s="308" t="s">
        <v>176</v>
      </c>
      <c r="CY227" s="308" t="s">
        <v>176</v>
      </c>
      <c r="CZ227" s="308" t="s">
        <v>176</v>
      </c>
      <c r="DA227" s="308" t="s">
        <v>176</v>
      </c>
      <c r="DB227" s="308" t="s">
        <v>176</v>
      </c>
      <c r="DC227" s="308" t="s">
        <v>176</v>
      </c>
      <c r="DD227" s="308" t="s">
        <v>176</v>
      </c>
      <c r="DE227" s="308" t="s">
        <v>176</v>
      </c>
      <c r="DF227" s="308" t="s">
        <v>176</v>
      </c>
      <c r="DG227" s="308" t="s">
        <v>176</v>
      </c>
      <c r="DH227" s="308" t="s">
        <v>176</v>
      </c>
      <c r="DI227" s="308" t="s">
        <v>176</v>
      </c>
      <c r="DJ227" s="308" t="s">
        <v>176</v>
      </c>
      <c r="DK227" s="308" t="s">
        <v>176</v>
      </c>
      <c r="DL227" s="308" t="s">
        <v>176</v>
      </c>
      <c r="DM227" s="308" t="s">
        <v>176</v>
      </c>
      <c r="DN227" s="308" t="s">
        <v>176</v>
      </c>
      <c r="DO227" s="308" t="s">
        <v>176</v>
      </c>
      <c r="DP227" s="308" t="s">
        <v>176</v>
      </c>
      <c r="DQ227" s="308" t="s">
        <v>176</v>
      </c>
      <c r="DR227" s="308" t="s">
        <v>176</v>
      </c>
      <c r="DS227" s="308" t="s">
        <v>176</v>
      </c>
      <c r="DT227" s="308" t="s">
        <v>176</v>
      </c>
      <c r="DU227" s="308" t="s">
        <v>176</v>
      </c>
      <c r="DV227" s="308" t="s">
        <v>176</v>
      </c>
      <c r="DW227" s="308" t="s">
        <v>176</v>
      </c>
      <c r="DX227" s="308" t="s">
        <v>176</v>
      </c>
      <c r="DY227" s="308" t="s">
        <v>176</v>
      </c>
      <c r="DZ227" s="308" t="s">
        <v>176</v>
      </c>
      <c r="EA227" s="308" t="s">
        <v>176</v>
      </c>
      <c r="EB227" s="308" t="s">
        <v>176</v>
      </c>
      <c r="EC227" s="308" t="s">
        <v>176</v>
      </c>
      <c r="ED227" s="308" t="s">
        <v>176</v>
      </c>
      <c r="EE227" s="308" t="s">
        <v>176</v>
      </c>
      <c r="EF227" s="308" t="s">
        <v>176</v>
      </c>
      <c r="EG227" s="308" t="s">
        <v>176</v>
      </c>
      <c r="EH227" s="308" t="s">
        <v>176</v>
      </c>
      <c r="EI227" s="308" t="s">
        <v>176</v>
      </c>
      <c r="EJ227" s="308" t="s">
        <v>176</v>
      </c>
      <c r="EK227" s="308" t="s">
        <v>176</v>
      </c>
      <c r="EL227" s="308" t="s">
        <v>176</v>
      </c>
      <c r="EM227" s="308" t="s">
        <v>176</v>
      </c>
      <c r="EN227" s="308" t="s">
        <v>176</v>
      </c>
      <c r="EO227" s="308" t="s">
        <v>176</v>
      </c>
      <c r="EP227" s="308" t="s">
        <v>176</v>
      </c>
      <c r="EQ227" s="308" t="s">
        <v>176</v>
      </c>
      <c r="ER227" s="308" t="s">
        <v>176</v>
      </c>
      <c r="ES227" s="308" t="s">
        <v>176</v>
      </c>
      <c r="ET227" s="308" t="s">
        <v>176</v>
      </c>
      <c r="EU227" s="308" t="s">
        <v>176</v>
      </c>
      <c r="EV227" s="308" t="s">
        <v>176</v>
      </c>
      <c r="EW227" s="308" t="s">
        <v>176</v>
      </c>
      <c r="EX227" s="308" t="s">
        <v>176</v>
      </c>
      <c r="EY227" s="308">
        <v>1</v>
      </c>
      <c r="EZ227" s="308">
        <v>1</v>
      </c>
      <c r="FA227" s="308">
        <v>1</v>
      </c>
      <c r="FB227" s="308" t="s">
        <v>176</v>
      </c>
      <c r="FC227" s="308" t="s">
        <v>176</v>
      </c>
      <c r="FD227" s="308">
        <v>2</v>
      </c>
      <c r="FE227" s="308">
        <v>2</v>
      </c>
      <c r="FF227" s="308">
        <v>2</v>
      </c>
      <c r="FG227" s="308">
        <v>3</v>
      </c>
      <c r="FH227" s="308">
        <v>2</v>
      </c>
      <c r="FI227" s="308">
        <v>2</v>
      </c>
      <c r="FJ227" s="308">
        <v>2</v>
      </c>
      <c r="FK227" s="308">
        <v>2</v>
      </c>
      <c r="FL227" s="308">
        <v>2</v>
      </c>
      <c r="FM227" s="308">
        <v>2</v>
      </c>
      <c r="FN227" s="308">
        <v>2</v>
      </c>
      <c r="FO227" s="308">
        <v>2</v>
      </c>
      <c r="FP227" s="308">
        <v>2</v>
      </c>
      <c r="FQ227" s="308" t="s">
        <v>176</v>
      </c>
      <c r="FR227" s="308" t="s">
        <v>176</v>
      </c>
      <c r="FS227" s="308" t="s">
        <v>176</v>
      </c>
      <c r="FT227" s="308" t="s">
        <v>176</v>
      </c>
      <c r="FU227" s="308" t="s">
        <v>176</v>
      </c>
      <c r="FV227" s="308" t="s">
        <v>176</v>
      </c>
      <c r="FW227" s="308" t="s">
        <v>176</v>
      </c>
      <c r="FX227" s="308" t="s">
        <v>176</v>
      </c>
      <c r="FY227" s="308" t="s">
        <v>176</v>
      </c>
      <c r="FZ227" s="308" t="s">
        <v>176</v>
      </c>
      <c r="GA227" s="308" t="s">
        <v>176</v>
      </c>
      <c r="GB227" s="308" t="s">
        <v>176</v>
      </c>
      <c r="GC227" s="308"/>
      <c r="GD227" s="308" t="s">
        <v>176</v>
      </c>
      <c r="GE227" s="308" t="s">
        <v>176</v>
      </c>
      <c r="GF227" s="308"/>
      <c r="GG227" s="308" t="s">
        <v>176</v>
      </c>
      <c r="GH227" s="308" t="s">
        <v>176</v>
      </c>
      <c r="GI227" s="308" t="s">
        <v>176</v>
      </c>
      <c r="GJ227" s="308" t="s">
        <v>176</v>
      </c>
      <c r="GK227" s="308" t="s">
        <v>176</v>
      </c>
      <c r="GL227" s="311">
        <f>SUM(G227:FP227)</f>
        <v>78</v>
      </c>
    </row>
    <row r="228" spans="1:194" ht="36" customHeight="1" thickBot="1" x14ac:dyDescent="0.3">
      <c r="A228" s="138" t="s">
        <v>184</v>
      </c>
      <c r="B228" s="138" t="str">
        <f>B227</f>
        <v>Teamleder zespołu produkcji</v>
      </c>
      <c r="C228" s="138" t="str">
        <f>C227</f>
        <v>KW</v>
      </c>
      <c r="D228" s="138">
        <f>D227</f>
        <v>1170</v>
      </c>
      <c r="E228" s="566" t="str">
        <f>E227</f>
        <v>Antoszewski Cezary</v>
      </c>
      <c r="F228" s="312" t="s">
        <v>166</v>
      </c>
      <c r="G228" s="341">
        <f>IF(INDEX(tab_MinKomp[Przepisy BHP / BHP Vorschriften],MATCH($B227,tab_MinKomp[[Stanowisko / Position ]:[Stanowisko / Position ]],0))="n/a","n/a",G227-INDEX(tab_MinKomp[Przepisy BHP / BHP Vorschriften],MATCH($B227,tab_MinKomp[[Stanowisko / Position ]:[Stanowisko / Position ]],0)))</f>
        <v>0</v>
      </c>
      <c r="H228" s="342">
        <f>IF(INDEX(tab_MinKomp[Przepisy PPOŻ / Brandschutzbestimmungen],MATCH($B227,tab_MinKomp[[Stanowisko / Position ]:[Stanowisko / Position ]],0))="n/a","n/a",H227-INDEX(tab_MinKomp[Przepisy PPOŻ / Brandschutzbestimmungen],MATCH($B227,tab_MinKomp[[Stanowisko / Position ]:[Stanowisko / Position ]],0)))</f>
        <v>0</v>
      </c>
      <c r="I228" s="342">
        <f>IF(INDEX(tab_MinKomp[Ryzyko zawodowe na stanowiskach pracyv/ Berufliche Risiken an Arbeitsstellen],MATCH($B227,tab_MinKomp[[Stanowisko / Position ]:[Stanowisko / Position ]],0))="n/a","n/a",I227-INDEX(tab_MinKomp[Ryzyko zawodowe na stanowiskach pracyv/ Berufliche Risiken an Arbeitsstellen],MATCH($B227,tab_MinKomp[[Stanowisko / Position ]:[Stanowisko / Position ]],0)))</f>
        <v>0</v>
      </c>
      <c r="J228" s="342">
        <f>IF(INDEX(tab_MinKomp[Gospodarka substancjami niebezpiecznymi / Gefahrstoffmanagement],MATCH($B227,tab_MinKomp[[Stanowisko / Position ]:[Stanowisko / Position ]],0))="n/a","n/a",J227-INDEX(tab_MinKomp[Gospodarka substancjami niebezpiecznymi / Gefahrstoffmanagement],MATCH($B227,tab_MinKomp[[Stanowisko / Position ]:[Stanowisko / Position ]],0)))</f>
        <v>0</v>
      </c>
      <c r="K228" s="342">
        <f>IF(INDEX(tab_MinKomp[Gospodarka odpadami / Abfallwirtschaft],MATCH($B227,tab_MinKomp[[Stanowisko / Position ]:[Stanowisko / Position ]],0))="n/a","n/a",K227-INDEX(tab_MinKomp[Gospodarka odpadami / Abfallwirtschaft],MATCH($B227,tab_MinKomp[[Stanowisko / Position ]:[Stanowisko / Position ]],0)))</f>
        <v>0</v>
      </c>
      <c r="L228" s="343">
        <f>IF(INDEX(tab_MinKomp[Przepisy kodeksu pracy / Bestimmungen des Arbeitsgesetzes],MATCH($B227,tab_MinKomp[[Stanowisko / Position ]:[Stanowisko / Position ]],0))="n/a","n/a",L227-INDEX(tab_MinKomp[Przepisy kodeksu pracy / Bestimmungen des Arbeitsgesetzes],MATCH($B227,tab_MinKomp[[Stanowisko / Position ]:[Stanowisko / Position ]],0)))</f>
        <v>0</v>
      </c>
      <c r="M228" s="344" t="str">
        <f>IF(INDEX(tab_MinKomp[Przepisy o ub.społ. ZUS  / Sozialversicherungsvorschriften],MATCH($B227,tab_MinKomp[[Stanowisko / Position ]:[Stanowisko / Position ]],0))="n/a","n/a",M227-INDEX(tab_MinKomp[Przepisy o ub.społ. ZUS  / Sozialversicherungsvorschriften],MATCH($B227,tab_MinKomp[[Stanowisko / Position ]:[Stanowisko / Position ]],0)))</f>
        <v>n/a</v>
      </c>
      <c r="N228" s="343" t="str">
        <f>IF(INDEX(tab_MinKomp[PRZEPISY O PDOF /persönlich Einkommensteuergesetz ],MATCH($B227,tab_MinKomp[[Stanowisko / Position ]:[Stanowisko / Position ]],0))="n/a","n/a",N227-INDEX(tab_MinKomp[PRZEPISY O PDOF /persönlich Einkommensteuergesetz ],MATCH($B227,tab_MinKomp[[Stanowisko / Position ]:[Stanowisko / Position ]],0)))</f>
        <v>n/a</v>
      </c>
      <c r="O228" s="343">
        <f>IF(INDEX(tab_MinKomp[Regulamin pracy / Arbeitsordnung],MATCH($B227,tab_MinKomp[[Stanowisko / Position ]:[Stanowisko / Position ]],0))="n/a","n/a",O227-INDEX(tab_MinKomp[Regulamin pracy / Arbeitsordnung],MATCH($B227,tab_MinKomp[[Stanowisko / Position ]:[Stanowisko / Position ]],0)))</f>
        <v>0</v>
      </c>
      <c r="P228" s="343">
        <f>IF(INDEX(tab_MinKomp[Regulamin wynagradzania / Vergütungsordnung],MATCH($B227,tab_MinKomp[[Stanowisko / Position ]:[Stanowisko / Position ]],0))="n/a","n/a",P227-INDEX(tab_MinKomp[Regulamin wynagradzania / Vergütungsordnung],MATCH($B227,tab_MinKomp[[Stanowisko / Position ]:[Stanowisko / Position ]],0)))</f>
        <v>0</v>
      </c>
      <c r="Q228" s="343" t="str">
        <f>IF(INDEX(tab_MinKomp[System R2PŁATNIK PRO: Płace / Lohnabrechnung],MATCH($B227,tab_MinKomp[[Stanowisko / Position ]:[Stanowisko / Position ]],0))="n/a","n/a",Q227-INDEX(tab_MinKomp[System R2PŁATNIK PRO: Płace / Lohnabrechnung],MATCH($B227,tab_MinKomp[[Stanowisko / Position ]:[Stanowisko / Position ]],0)))</f>
        <v>n/a</v>
      </c>
      <c r="R228" s="343" t="str">
        <f>IF(INDEX(tab_MinKomp[SystemR2PŁATNIK PRO: KADRY / Personaldaten],MATCH($B227,tab_MinKomp[[Stanowisko / Position ]:[Stanowisko / Position ]],0))="n/a","n/a",R227-INDEX(tab_MinKomp[SystemR2PŁATNIK PRO: KADRY / Personaldaten],MATCH($B227,tab_MinKomp[[Stanowisko / Position ]:[Stanowisko / Position ]],0)))</f>
        <v>n/a</v>
      </c>
      <c r="S228" s="343" t="str">
        <f>IF(INDEX(tab_MinKomp[SYSTEM R2PŁATNIK PRO: zarządzanie pracownikami / Arbeitsverwaltung],MATCH($B227,tab_MinKomp[[Stanowisko / Position ]:[Stanowisko / Position ]],0))="n/a","n/a",S227-INDEX(tab_MinKomp[SYSTEM R2PŁATNIK PRO: zarządzanie pracownikami / Arbeitsverwaltung],MATCH($B227,tab_MinKomp[[Stanowisko / Position ]:[Stanowisko / Position ]],0)))</f>
        <v>n/a</v>
      </c>
      <c r="T228" s="343">
        <f>IF(INDEX(tab_MinKomp[Doradztwo, wsparcie personalne / Personalberatung und Unterstützung],MATCH($B227,tab_MinKomp[[Stanowisko / Position ]:[Stanowisko / Position ]],0))="n/a","n/a",T227-INDEX(tab_MinKomp[Doradztwo, wsparcie personalne / Personalberatung und Unterstützung],MATCH($B227,tab_MinKomp[[Stanowisko / Position ]:[Stanowisko / Position ]],0)))</f>
        <v>0</v>
      </c>
      <c r="U228" s="343" t="str">
        <f>IF(INDEX(tab_MinKomp[Przepisy o podatku VAT / MwSt.- Gesetz],MATCH($B227,tab_MinKomp[[Stanowisko / Position ]:[Stanowisko / Position ]],0))="n/a","n/a",U227-INDEX(tab_MinKomp[Przepisy o podatku VAT / MwSt.- Gesetz],MATCH($B227,tab_MinKomp[[Stanowisko / Position ]:[Stanowisko / Position ]],0)))</f>
        <v>n/a</v>
      </c>
      <c r="V228" s="343" t="str">
        <f>IF(INDEX(tab_MinKomp[PrzepisyPDOP / geschäftlich Einkommensteuergesetz],MATCH($B227,tab_MinKomp[[Stanowisko / Position ]:[Stanowisko / Position ]],0))="n/a","n/a",V227-INDEX(tab_MinKomp[PrzepisyPDOP / geschäftlich Einkommensteuergesetz],MATCH($B227,tab_MinKomp[[Stanowisko / Position ]:[Stanowisko / Position ]],0)))</f>
        <v>n/a</v>
      </c>
      <c r="W228" s="343" t="str">
        <f>IF(INDEX(tab_MinKomp[System BAAN / FINANSE (FIBU)],MATCH($B227,tab_MinKomp[[Stanowisko / Position ]:[Stanowisko / Position ]],0))="n/a","n/a",W227-INDEX(tab_MinKomp[System BAAN / FINANSE (FIBU)],MATCH($B227,tab_MinKomp[[Stanowisko / Position ]:[Stanowisko / Position ]],0)))</f>
        <v>n/a</v>
      </c>
      <c r="X228" s="343" t="str">
        <f>IF(INDEX(tab_MinKomp[Systemy pomocnicze / Hilfssysteme(STOCKPROGRAM, KALK2000 etc.)],MATCH($B227,tab_MinKomp[[Stanowisko / Position ]:[Stanowisko / Position ]],0))="n/a","n/a",X227-INDEX(tab_MinKomp[Systemy pomocnicze / Hilfssysteme(STOCKPROGRAM, KALK2000 etc.)],MATCH($B227,tab_MinKomp[[Stanowisko / Position ]:[Stanowisko / Position ]],0)))</f>
        <v>n/a</v>
      </c>
      <c r="Y228" s="343" t="str">
        <f>IF(INDEX(tab_MinKomp[Polityka rachunkowości / Buchführungspolitik],MATCH($B227,tab_MinKomp[[Stanowisko / Position ]:[Stanowisko / Position ]],0))="n/a","n/a",Y227-INDEX(tab_MinKomp[Polityka rachunkowości / Buchführungspolitik],MATCH($B227,tab_MinKomp[[Stanowisko / Position ]:[Stanowisko / Position ]],0)))</f>
        <v>n/a</v>
      </c>
      <c r="Z228" s="343" t="str">
        <f>IF(INDEX(tab_MinKomp[Ustawa o rachunkowości / Rechnungslegungsgesetz],MATCH($B227,tab_MinKomp[[Stanowisko / Position ]:[Stanowisko / Position ]],0))="n/a","n/a",Z227-INDEX(tab_MinKomp[Ustawa o rachunkowości / Rechnungslegungsgesetz],MATCH($B227,tab_MinKomp[[Stanowisko / Position ]:[Stanowisko / Position ]],0)))</f>
        <v>n/a</v>
      </c>
      <c r="AA228" s="343" t="str">
        <f>IF(INDEX(tab_MinKomp[WORKFLOW - TS-100],MATCH($B227,tab_MinKomp[[Stanowisko / Position ]:[Stanowisko / Position ]],0))="n/a","n/a",AA227-INDEX(tab_MinKomp[WORKFLOW - TS-100],MATCH($B227,tab_MinKomp[[Stanowisko / Position ]:[Stanowisko / Position ]],0)))</f>
        <v>n/a</v>
      </c>
      <c r="AB228" s="343" t="str">
        <f>IF(INDEX(tab_MinKomp[WORKFLOW - SFMS],MATCH($B227,tab_MinKomp[[Stanowisko / Position ]:[Stanowisko / Position ]],0))="n/a","n/a",AB227-INDEX(tab_MinKomp[WORKFLOW - SFMS],MATCH($B227,tab_MinKomp[[Stanowisko / Position ]:[Stanowisko / Position ]],0)))</f>
        <v>n/a</v>
      </c>
      <c r="AC228" s="343" t="str">
        <f>IF(INDEX(tab_MinKomp[System ISO 9001:2015],MATCH($B227,tab_MinKomp[[Stanowisko / Position ]:[Stanowisko / Position ]],0))="n/a","n/a",AC227-INDEX(tab_MinKomp[System ISO 9001:2015],MATCH($B227,tab_MinKomp[[Stanowisko / Position ]:[Stanowisko / Position ]],0)))</f>
        <v>n/a</v>
      </c>
      <c r="AD228" s="343" t="str">
        <f>IF(INDEX(tab_MinKomp[System IATF 16949:2016],MATCH($B227,tab_MinKomp[[Stanowisko / Position ]:[Stanowisko / Position ]],0))="n/a","n/a",AD227-INDEX(tab_MinKomp[System IATF 16949:2016],MATCH($B227,tab_MinKomp[[Stanowisko / Position ]:[Stanowisko / Position ]],0)))</f>
        <v>n/a</v>
      </c>
      <c r="AE228" s="343" t="str">
        <f>IF(INDEX(tab_MinKomp[System ISO 14001:2015],MATCH($B227,tab_MinKomp[[Stanowisko / Position ]:[Stanowisko / Position ]],0))="n/a","n/a",AE227-INDEX(tab_MinKomp[System ISO 14001:2015],MATCH($B227,tab_MinKomp[[Stanowisko / Position ]:[Stanowisko / Position ]],0)))</f>
        <v>n/a</v>
      </c>
      <c r="AF228" s="343" t="str">
        <f>IF(INDEX(tab_MinKomp[System PN-N 18001:2004 / ISO 45001:2018],MATCH($B227,tab_MinKomp[[Stanowisko / Position ]:[Stanowisko / Position ]],0))="n/a","n/a",AF227-INDEX(tab_MinKomp[System PN-N 18001:2004 / ISO 45001:2018],MATCH($B227,tab_MinKomp[[Stanowisko / Position ]:[Stanowisko / Position ]],0)))</f>
        <v>n/a</v>
      </c>
      <c r="AG228" s="343" t="str">
        <f>IF(INDEX(tab_MinKomp[Wymagania VDA 6.3 Process / Forderungen],MATCH($B227,tab_MinKomp[[Stanowisko / Position ]:[Stanowisko / Position ]],0))="n/a","n/a",AG227-INDEX(tab_MinKomp[Wymagania VDA 6.3 Process / Forderungen],MATCH($B227,tab_MinKomp[[Stanowisko / Position ]:[Stanowisko / Position ]],0)))</f>
        <v>n/a</v>
      </c>
      <c r="AH228" s="343" t="str">
        <f>IF(INDEX(tab_MinKomp[Wymagania VDA 6.5 Product / Forderungen],MATCH($B227,tab_MinKomp[[Stanowisko / Position ]:[Stanowisko / Position ]],0))="n/a","n/a",AH227-INDEX(tab_MinKomp[Wymagania VDA 6.5 Product / Forderungen],MATCH($B227,tab_MinKomp[[Stanowisko / Position ]:[Stanowisko / Position ]],0)))</f>
        <v>n/a</v>
      </c>
      <c r="AI228" s="343" t="str">
        <f>IF(INDEX(tab_MinKomp[PSCR (VW Product Safety &amp; Conformity Representative)],MATCH($B227,tab_MinKomp[[Stanowisko / Position ]:[Stanowisko / Position ]],0))="n/a","n/a",AI227-INDEX(tab_MinKomp[PSCR (VW Product Safety &amp; Conformity Representative)],MATCH($B227,tab_MinKomp[[Stanowisko / Position ]:[Stanowisko / Position ]],0)))</f>
        <v>n/a</v>
      </c>
      <c r="AJ228" s="343" t="str">
        <f>IF(INDEX(tab_MinKomp[Auditor systemu ISO 17025:2018],MATCH($B227,tab_MinKomp[[Stanowisko / Position ]:[Stanowisko / Position ]],0))="n/a","n/a",AJ227-INDEX(tab_MinKomp[Auditor systemu ISO 17025:2018],MATCH($B227,tab_MinKomp[[Stanowisko / Position ]:[Stanowisko / Position ]],0)))</f>
        <v>n/a</v>
      </c>
      <c r="AK228" s="343" t="str">
        <f>IF(INDEX(tab_MinKomp[Pełnomocnik systemu / Systemvertreter],MATCH($B227,tab_MinKomp[[Stanowisko / Position ]:[Stanowisko / Position ]],0))="n/a","n/a",AK227-INDEX(tab_MinKomp[Pełnomocnik systemu / Systemvertreter],MATCH($B227,tab_MinKomp[[Stanowisko / Position ]:[Stanowisko / Position ]],0)))</f>
        <v>n/a</v>
      </c>
      <c r="AL228" s="343" t="str">
        <f>IF(INDEX(tab_MinKomp[Polityka Etyczna - Compliance],MATCH($B227,tab_MinKomp[[Stanowisko / Position ]:[Stanowisko / Position ]],0))="n/a","n/a",AL227-INDEX(tab_MinKomp[Polityka Etyczna - Compliance],MATCH($B227,tab_MinKomp[[Stanowisko / Position ]:[Stanowisko / Position ]],0)))</f>
        <v>n/a</v>
      </c>
      <c r="AM228" s="343" t="str">
        <f>IF(INDEX(tab_MinKomp[WDRAŻANIE NOWYCH PROJEKTÓW/ PROCEDURA CTM],MATCH($B227,tab_MinKomp[[Stanowisko / Position ]:[Stanowisko / Position ]],0))="n/a","n/a",AM227-INDEX(tab_MinKomp[WDRAŻANIE NOWYCH PROJEKTÓW/ PROCEDURA CTM],MATCH($B227,tab_MinKomp[[Stanowisko / Position ]:[Stanowisko / Position ]],0)))</f>
        <v>n/a</v>
      </c>
      <c r="AN228" s="343" t="str">
        <f>IF(INDEX(tab_MinKomp[KAMIENIE MILOWE MSL/PIFF],MATCH($B227,tab_MinKomp[[Stanowisko / Position ]:[Stanowisko / Position ]],0))="n/a","n/a",AN227-INDEX(tab_MinKomp[KAMIENIE MILOWE MSL/PIFF],MATCH($B227,tab_MinKomp[[Stanowisko / Position ]:[Stanowisko / Position ]],0)))</f>
        <v>n/a</v>
      </c>
      <c r="AO228" s="343">
        <f>IF(INDEX(tab_MinKomp[CP],MATCH($B227,tab_MinKomp[[Stanowisko / Position ]:[Stanowisko / Position ]],0))="n/a","n/a",AO227-INDEX(tab_MinKomp[CP],MATCH($B227,tab_MinKomp[[Stanowisko / Position ]:[Stanowisko / Position ]],0)))</f>
        <v>0</v>
      </c>
      <c r="AP228" s="343" t="str">
        <f>IF(INDEX(tab_MinKomp[FMEA],MATCH($B227,tab_MinKomp[[Stanowisko / Position ]:[Stanowisko / Position ]],0))="n/a","n/a",AP227-INDEX(tab_MinKomp[FMEA],MATCH($B227,tab_MinKomp[[Stanowisko / Position ]:[Stanowisko / Position ]],0)))</f>
        <v>n/a</v>
      </c>
      <c r="AQ228" s="343">
        <f>IF(INDEX(tab_MinKomp[FLOW CHART],MATCH($B227,tab_MinKomp[[Stanowisko / Position ]:[Stanowisko / Position ]],0))="n/a","n/a",AQ227-INDEX(tab_MinKomp[FLOW CHART],MATCH($B227,tab_MinKomp[[Stanowisko / Position ]:[Stanowisko / Position ]],0)))</f>
        <v>0</v>
      </c>
      <c r="AR228" s="343" t="str">
        <f>IF(INDEX(tab_MinKomp[APQP],MATCH($B227,tab_MinKomp[[Stanowisko / Position ]:[Stanowisko / Position ]],0))="n/a","n/a",AR227-INDEX(tab_MinKomp[APQP],MATCH($B227,tab_MinKomp[[Stanowisko / Position ]:[Stanowisko / Position ]],0)))</f>
        <v>n/a</v>
      </c>
      <c r="AS228" s="343" t="str">
        <f>IF(INDEX(tab_MinKomp[MSA],MATCH($B227,tab_MinKomp[[Stanowisko / Position ]:[Stanowisko / Position ]],0))="n/a","n/a",AS227-INDEX(tab_MinKomp[MSA],MATCH($B227,tab_MinKomp[[Stanowisko / Position ]:[Stanowisko / Position ]],0)))</f>
        <v>n/a</v>
      </c>
      <c r="AT228" s="343" t="str">
        <f>IF(INDEX(tab_MinKomp[SPC],MATCH($B227,tab_MinKomp[[Stanowisko / Position ]:[Stanowisko / Position ]],0))="n/a","n/a",AT227-INDEX(tab_MinKomp[SPC],MATCH($B227,tab_MinKomp[[Stanowisko / Position ]:[Stanowisko / Position ]],0)))</f>
        <v>n/a</v>
      </c>
      <c r="AU228" s="343">
        <f>IF(INDEX(tab_MinKomp[CSR (SPECYFICZNE WYMAGANIA KLIENTA)],MATCH($B227,tab_MinKomp[[Stanowisko / Position ]:[Stanowisko / Position ]],0))="n/a","n/a",AU227-INDEX(tab_MinKomp[CSR (SPECYFICZNE WYMAGANIA KLIENTA)],MATCH($B227,tab_MinKomp[[Stanowisko / Position ]:[Stanowisko / Position ]],0)))</f>
        <v>0</v>
      </c>
      <c r="AV228" s="343">
        <f>IF(INDEX(tab_MinKomp[5S],MATCH($B227,tab_MinKomp[[Stanowisko / Position ]:[Stanowisko / Position ]],0))="n/a","n/a",AV227-INDEX(tab_MinKomp[5S],MATCH($B227,tab_MinKomp[[Stanowisko / Position ]:[Stanowisko / Position ]],0)))</f>
        <v>0</v>
      </c>
      <c r="AW228" s="343">
        <f>IF(INDEX(tab_MinKomp[LEAN MANAGEMENT],MATCH($B227,tab_MinKomp[[Stanowisko / Position ]:[Stanowisko / Position ]],0))="n/a","n/a",AW227-INDEX(tab_MinKomp[LEAN MANAGEMENT],MATCH($B227,tab_MinKomp[[Stanowisko / Position ]:[Stanowisko / Position ]],0)))</f>
        <v>0</v>
      </c>
      <c r="AX228" s="343" t="str">
        <f>IF(INDEX(tab_MinKomp[5R],MATCH($B227,tab_MinKomp[[Stanowisko / Position ]:[Stanowisko / Position ]],0))="n/a","n/a",AX227-INDEX(tab_MinKomp[5R],MATCH($B227,tab_MinKomp[[Stanowisko / Position ]:[Stanowisko / Position ]],0)))</f>
        <v>n/a</v>
      </c>
      <c r="AY228" s="343" t="str">
        <f>IF(INDEX(tab_MinKomp[Six Sigma],MATCH($B227,tab_MinKomp[[Stanowisko / Position ]:[Stanowisko / Position ]],0))="n/a","n/a",AY227-INDEX(tab_MinKomp[Six Sigma],MATCH($B227,tab_MinKomp[[Stanowisko / Position ]:[Stanowisko / Position ]],0)))</f>
        <v>n/a</v>
      </c>
      <c r="AZ228" s="343" t="str">
        <f>IF(INDEX(tab_MinKomp[System BAAN / Distribution &amp; Supply Chain],MATCH($B227,tab_MinKomp[[Stanowisko / Position ]:[Stanowisko / Position ]],0))="n/a","n/a",AZ227-INDEX(tab_MinKomp[System BAAN / Distribution &amp; Supply Chain],MATCH($B227,tab_MinKomp[[Stanowisko / Position ]:[Stanowisko / Position ]],0)))</f>
        <v>n/a</v>
      </c>
      <c r="BA228" s="343">
        <f>IF(INDEX(tab_MinKomp[Gospodarka magazynowa / Lagerverwaltung],MATCH($B227,tab_MinKomp[[Stanowisko / Position ]:[Stanowisko / Position ]],0))="n/a","n/a",BA227-INDEX(tab_MinKomp[Gospodarka magazynowa / Lagerverwaltung],MATCH($B227,tab_MinKomp[[Stanowisko / Position ]:[Stanowisko / Position ]],0)))</f>
        <v>0</v>
      </c>
      <c r="BB228" s="343">
        <f>IF(INDEX(tab_MinKomp[Inwentaryzacja - organizacja i przebieg / Inventurprozess],MATCH($B227,tab_MinKomp[[Stanowisko / Position ]:[Stanowisko / Position ]],0))="n/a","n/a",BB227-INDEX(tab_MinKomp[Inwentaryzacja - organizacja i przebieg / Inventurprozess],MATCH($B227,tab_MinKomp[[Stanowisko / Position ]:[Stanowisko / Position ]],0)))</f>
        <v>1</v>
      </c>
      <c r="BC228" s="343" t="str">
        <f>IF(INDEX(tab_MinKomp[Organizacja dostaw / Versorgungsorganisation],MATCH($B227,tab_MinKomp[[Stanowisko / Position ]:[Stanowisko / Position ]],0))="n/a","n/a",BC227-INDEX(tab_MinKomp[Organizacja dostaw / Versorgungsorganisation],MATCH($B227,tab_MinKomp[[Stanowisko / Position ]:[Stanowisko / Position ]],0)))</f>
        <v>n/a</v>
      </c>
      <c r="BD228" s="343" t="str">
        <f>IF(INDEX(tab_MinKomp[Organizacja wysyłek / Organisation von Lieferungen],MATCH($B227,tab_MinKomp[[Stanowisko / Position ]:[Stanowisko / Position ]],0))="n/a","n/a",BD227-INDEX(tab_MinKomp[Organizacja wysyłek / Organisation von Lieferungen],MATCH($B227,tab_MinKomp[[Stanowisko / Position ]:[Stanowisko / Position ]],0)))</f>
        <v>n/a</v>
      </c>
      <c r="BE228" s="343" t="str">
        <f>IF(INDEX(tab_MinKomp[Analiza magazynowa - Program Polen.mdb / Inventuranalyse],MATCH($B227,tab_MinKomp[[Stanowisko / Position ]:[Stanowisko / Position ]],0))="n/a","n/a",BE227-INDEX(tab_MinKomp[Analiza magazynowa - Program Polen.mdb / Inventuranalyse],MATCH($B227,tab_MinKomp[[Stanowisko / Position ]:[Stanowisko / Position ]],0)))</f>
        <v>n/a</v>
      </c>
      <c r="BF228" s="315" t="str">
        <f>IF(INDEX(tab_MinKomp[MMOG (Materials Management Operations Guidelines)],MATCH($B227,tab_MinKomp[[Stanowisko / Position ]:[Stanowisko / Position ]],0))="n/a","n/a",BF227-INDEX(tab_MinKomp[MMOG (Materials Management Operations Guidelines)],MATCH($B227,tab_MinKomp[[Stanowisko / Position ]:[Stanowisko / Position ]],0)))</f>
        <v>n/a</v>
      </c>
      <c r="BG228" s="315" t="str">
        <f>IF(INDEX(tab_MinKomp[GPP],MATCH($B227,tab_MinKomp[[Stanowisko / Position ]:[Stanowisko / Position ]],0))="n/a","n/a",BG227-INDEX(tab_MinKomp[GPP],MATCH($B227,tab_MinKomp[[Stanowisko / Position ]:[Stanowisko / Position ]],0)))</f>
        <v>n/a</v>
      </c>
      <c r="BH228" s="315" t="str">
        <f>IF(INDEX(tab_MinKomp[AIAG (Automotive Industry Action Group)],MATCH($B227,tab_MinKomp[[Stanowisko / Position ]:[Stanowisko / Position ]],0))="n/a","n/a",BH227-INDEX(tab_MinKomp[AIAG (Automotive Industry Action Group)],MATCH($B227,tab_MinKomp[[Stanowisko / Position ]:[Stanowisko / Position ]],0)))</f>
        <v>n/a</v>
      </c>
      <c r="BI228" s="315" t="str">
        <f>IF(INDEX(tab_MinKomp[Super-G disputes],MATCH($B227,tab_MinKomp[[Stanowisko / Position ]:[Stanowisko / Position ]],0))="n/a","n/a",BI227-INDEX(tab_MinKomp[Super-G disputes],MATCH($B227,tab_MinKomp[[Stanowisko / Position ]:[Stanowisko / Position ]],0)))</f>
        <v>n/a</v>
      </c>
      <c r="BJ228" s="315" t="str">
        <f>IF(INDEX(tab_MinKomp[CMMS3/eDDL (Direct Data Link)],MATCH($B227,tab_MinKomp[[Stanowisko / Position ]:[Stanowisko / Position ]],0))="n/a","n/a",BJ227-INDEX(tab_MinKomp[CMMS3/eDDL (Direct Data Link)],MATCH($B227,tab_MinKomp[[Stanowisko / Position ]:[Stanowisko / Position ]],0)))</f>
        <v>n/a</v>
      </c>
      <c r="BK228" s="315" t="str">
        <f>IF(INDEX(tab_MinKomp[MP&amp;L (Material Planning and Logistics)],MATCH($B227,tab_MinKomp[[Stanowisko / Position ]:[Stanowisko / Position ]],0))="n/a","n/a",BK227-INDEX(tab_MinKomp[MP&amp;L (Material Planning and Logistics)],MATCH($B227,tab_MinKomp[[Stanowisko / Position ]:[Stanowisko / Position ]],0)))</f>
        <v>n/a</v>
      </c>
      <c r="BL228" s="315" t="str">
        <f>IF(INDEX(tab_MinKomp[Supplier delivery rating],MATCH($B227,tab_MinKomp[[Stanowisko / Position ]:[Stanowisko / Position ]],0))="n/a","n/a",BL227-INDEX(tab_MinKomp[Supplier delivery rating],MATCH($B227,tab_MinKomp[[Stanowisko / Position ]:[Stanowisko / Position ]],0)))</f>
        <v>n/a</v>
      </c>
      <c r="BM228" s="343">
        <f>IF(INDEX(tab_MinKomp[Planowanie produkcji / Produktionsplanung],MATCH($B227,tab_MinKomp[[Stanowisko / Position ]:[Stanowisko / Position ]],0))="n/a","n/a",BM227-INDEX(tab_MinKomp[Planowanie produkcji / Produktionsplanung],MATCH($B227,tab_MinKomp[[Stanowisko / Position ]:[Stanowisko / Position ]],0)))</f>
        <v>0</v>
      </c>
      <c r="BN228" s="343" t="str">
        <f>IF(INDEX(tab_MinKomp[Obsługa maszyn Engel / Engel Maschinenbedienung],MATCH($B227,tab_MinKomp[[Stanowisko / Position ]:[Stanowisko / Position ]],0))="n/a","n/a",BN227-INDEX(tab_MinKomp[Obsługa maszyn Engel / Engel Maschinenbedienung],MATCH($B227,tab_MinKomp[[Stanowisko / Position ]:[Stanowisko / Position ]],0)))</f>
        <v>n/a</v>
      </c>
      <c r="BO228" s="343" t="str">
        <f>IF(INDEX(tab_MinKomp[Obsługa maszyn KVT / KVT Maschinenbedienung],MATCH($B227,tab_MinKomp[[Stanowisko / Position ]:[Stanowisko / Position ]],0))="n/a","n/a",BO227-INDEX(tab_MinKomp[Obsługa maszyn KVT / KVT Maschinenbedienung],MATCH($B227,tab_MinKomp[[Stanowisko / Position ]:[Stanowisko / Position ]],0)))</f>
        <v>n/a</v>
      </c>
      <c r="BP228" s="343" t="str">
        <f>IF(INDEX(tab_MinKomp[Obsługa maszyn KVT / KVT Maschinenbedienung],MATCH($B227,tab_MinKomp[[Stanowisko / Position ]:[Stanowisko / Position ]],0))="n/a","n/a",BP227-INDEX(tab_MinKomp[Obsługa maszyn KVT / KVT Maschinenbedienung],MATCH($B227,tab_MinKomp[[Stanowisko / Position ]:[Stanowisko / Position ]],0)))</f>
        <v>n/a</v>
      </c>
      <c r="BQ228" s="343" t="str">
        <f>IF(INDEX(tab_MinKomp[Obsługa maszyn ASL / ASL Maschinenbedienung],MATCH($B227,tab_MinKomp[[Stanowisko / Position ]:[Stanowisko / Position ]],0))="n/a","n/a",BQ227-INDEX(tab_MinKomp[Obsługa maszyn ASL / ASL Maschinenbedienung],MATCH($B227,tab_MinKomp[[Stanowisko / Position ]:[Stanowisko / Position ]],0)))</f>
        <v>n/a</v>
      </c>
      <c r="BR228" s="343" t="str">
        <f>IF(INDEX(tab_MinKomp[Obsługa maszyn Branson / Branson Maschinenbedienung],MATCH($B227,tab_MinKomp[[Stanowisko / Position ]:[Stanowisko / Position ]],0))="n/a","n/a",BR227-INDEX(tab_MinKomp[Obsługa maszyn Branson / Branson Maschinenbedienung],MATCH($B227,tab_MinKomp[[Stanowisko / Position ]:[Stanowisko / Position ]],0)))</f>
        <v>n/a</v>
      </c>
      <c r="BS228" s="343">
        <f>IF(INDEX(tab_MinKomp[Obsługa maszyn Novapax / Novapax Maschinenbedienung],MATCH($B227,tab_MinKomp[[Stanowisko / Position ]:[Stanowisko / Position ]],0))="n/a","n/a",BS227-INDEX(tab_MinKomp[Obsługa maszyn Novapax / Novapax Maschinenbedienung],MATCH($B227,tab_MinKomp[[Stanowisko / Position ]:[Stanowisko / Position ]],0)))</f>
        <v>0</v>
      </c>
      <c r="BT228" s="343" t="str">
        <f>IF(INDEX(tab_MinKomp[Obsługa maszyn Piovan / Piovan Maschinenbedienung],MATCH($B227,tab_MinKomp[[Stanowisko / Position ]:[Stanowisko / Position ]],0))="n/a","n/a",BT227-INDEX(tab_MinKomp[Obsługa maszyn Piovan / Piovan Maschinenbedienung],MATCH($B227,tab_MinKomp[[Stanowisko / Position ]:[Stanowisko / Position ]],0)))</f>
        <v>n/a</v>
      </c>
      <c r="BU228" s="343" t="s">
        <v>176</v>
      </c>
      <c r="BV228" s="343">
        <f>IF(INDEX(tab_MinKomp[Eliminacja awarii / Beseitigung von Ausfällen],MATCH($B227,tab_MinKomp[[Stanowisko / Position ]:[Stanowisko / Position ]],0))="n/a","n/a",BV227-INDEX(tab_MinKomp[Eliminacja awarii / Beseitigung von Ausfällen],MATCH($B227,tab_MinKomp[[Stanowisko / Position ]:[Stanowisko / Position ]],0)))</f>
        <v>0</v>
      </c>
      <c r="BW228" s="343" t="str">
        <f>IF(INDEX(tab_MinKomp[Informatyka ogólna (techniczne i systemowe) / Allgemeine IT (Technik und System)],MATCH($B227,tab_MinKomp[[Stanowisko / Position ]:[Stanowisko / Position ]],0))="n/a","n/a",BW227-INDEX(tab_MinKomp[Informatyka ogólna (techniczne i systemowe) / Allgemeine IT (Technik und System)],MATCH($B227,tab_MinKomp[[Stanowisko / Position ]:[Stanowisko / Position ]],0)))</f>
        <v>n/a</v>
      </c>
      <c r="BX228" s="343" t="str">
        <f>IF(INDEX(tab_MinKomp[Sieci komputerowe / Computernetzwerke],MATCH($B227,tab_MinKomp[[Stanowisko / Position ]:[Stanowisko / Position ]],0))="n/a","n/a",BX227-INDEX(tab_MinKomp[Sieci komputerowe / Computernetzwerke],MATCH($B227,tab_MinKomp[[Stanowisko / Position ]:[Stanowisko / Position ]],0)))</f>
        <v>n/a</v>
      </c>
      <c r="BY228" s="343" t="str">
        <f>IF(INDEX(tab_MinKomp[Hardware (komputery PC, drukarki biurowe i etykietowe, telefonia stacjonarna i mobilna) (PC, Drucker, Telefpne, Handys)],MATCH($B227,tab_MinKomp[[Stanowisko / Position ]:[Stanowisko / Position ]],0))="n/a","n/a",BY227-INDEX(tab_MinKomp[Hardware (komputery PC, drukarki biurowe i etykietowe, telefonia stacjonarna i mobilna) (PC, Drucker, Telefpne, Handys)],MATCH($B227,tab_MinKomp[[Stanowisko / Position ]:[Stanowisko / Position ]],0)))</f>
        <v>n/a</v>
      </c>
      <c r="BZ228" s="343" t="str">
        <f>IF(INDEX(tab_MinKomp[Software &amp; Systems (MS Office, MS Remote Desktop)],MATCH($B227,tab_MinKomp[[Stanowisko / Position ]:[Stanowisko / Position ]],0))="n/a","n/a",BZ227-INDEX(tab_MinKomp[Software &amp; Systems (MS Office, MS Remote Desktop)],MATCH($B227,tab_MinKomp[[Stanowisko / Position ]:[Stanowisko / Position ]],0)))</f>
        <v>n/a</v>
      </c>
      <c r="CA228" s="343" t="str">
        <f>IF(INDEX(tab_MinKomp[Programowanie obiektowe (PHP) / Objektprogrammierung],MATCH($B227,tab_MinKomp[[Stanowisko / Position ]:[Stanowisko / Position ]],0))="n/a","n/a",CA227-INDEX(tab_MinKomp[Programowanie obiektowe (PHP) / Objektprogrammierung],MATCH($B227,tab_MinKomp[[Stanowisko / Position ]:[Stanowisko / Position ]],0)))</f>
        <v>n/a</v>
      </c>
      <c r="CB228" s="343" t="str">
        <f>IF(INDEX(tab_MinKomp[Scrum],MATCH($B227,tab_MinKomp[[Stanowisko / Position ]:[Stanowisko / Position ]],0))="n/a","n/a",CB227-INDEX(tab_MinKomp[Scrum],MATCH($B227,tab_MinKomp[[Stanowisko / Position ]:[Stanowisko / Position ]],0)))</f>
        <v>n/a</v>
      </c>
      <c r="CC228" s="343" t="str">
        <f>IF(INDEX(tab_MinKomp[SQL (MySQL)],MATCH($B227,tab_MinKomp[[Stanowisko / Position ]:[Stanowisko / Position ]],0))="n/a","n/a",CC227-INDEX(tab_MinKomp[SQL (MySQL)],MATCH($B227,tab_MinKomp[[Stanowisko / Position ]:[Stanowisko / Position ]],0)))</f>
        <v>n/a</v>
      </c>
      <c r="CD228" s="343" t="str">
        <f>IF(INDEX(tab_MinKomp[Javascript],MATCH($B227,tab_MinKomp[[Stanowisko / Position ]:[Stanowisko / Position ]],0))="n/a","n/a",CD227-INDEX(tab_MinKomp[Javascript],MATCH($B227,tab_MinKomp[[Stanowisko / Position ]:[Stanowisko / Position ]],0)))</f>
        <v>n/a</v>
      </c>
      <c r="CE228" s="343" t="str">
        <f>IF(INDEX(tab_MinKomp[Joomla],MATCH($B227,tab_MinKomp[[Stanowisko / Position ]:[Stanowisko / Position ]],0))="n/a","n/a",CE227-INDEX(tab_MinKomp[Joomla],MATCH($B227,tab_MinKomp[[Stanowisko / Position ]:[Stanowisko / Position ]],0)))</f>
        <v>n/a</v>
      </c>
      <c r="CF228" s="343" t="str">
        <f>IF(INDEX(tab_MinKomp[Bash],MATCH($B227,tab_MinKomp[[Stanowisko / Position ]:[Stanowisko / Position ]],0))="n/a","n/a",CF227-INDEX(tab_MinKomp[Bash],MATCH($B227,tab_MinKomp[[Stanowisko / Position ]:[Stanowisko / Position ]],0)))</f>
        <v>n/a</v>
      </c>
      <c r="CG228" s="343">
        <f>IF(INDEX(tab_MinKomp[Systemy MES (HYDRA / SFMS)],MATCH($B227,tab_MinKomp[[Stanowisko / Position ]:[Stanowisko / Position ]],0))="n/a","n/a",CG227-INDEX(tab_MinKomp[Systemy MES (HYDRA / SFMS)],MATCH($B227,tab_MinKomp[[Stanowisko / Position ]:[Stanowisko / Position ]],0)))</f>
        <v>0</v>
      </c>
      <c r="CH228" s="343" t="str">
        <f>IF(INDEX(tab_MinKomp[HTML / CSS],MATCH($B227,tab_MinKomp[[Stanowisko / Position ]:[Stanowisko / Position ]],0))="n/a","n/a",CH227-INDEX(tab_MinKomp[HTML / CSS],MATCH($B227,tab_MinKomp[[Stanowisko / Position ]:[Stanowisko / Position ]],0)))</f>
        <v>n/a</v>
      </c>
      <c r="CI228" s="343" t="str">
        <f>IF(INDEX(tab_MinKomp[SYSTEM PR],MATCH($B227,tab_MinKomp[[Stanowisko / Position ]:[Stanowisko / Position ]],0))="n/a","n/a",CI227-INDEX(tab_MinKomp[SYSTEM PR],MATCH($B227,tab_MinKomp[[Stanowisko / Position ]:[Stanowisko / Position ]],0)))</f>
        <v>n/a</v>
      </c>
      <c r="CJ228" s="343" t="str">
        <f>IF(INDEX(tab_MinKomp[System Einkauf XP / EBA],MATCH($B227,tab_MinKomp[[Stanowisko / Position ]:[Stanowisko / Position ]],0))="n/a","n/a",CJ227-INDEX(tab_MinKomp[System Einkauf XP / EBA],MATCH($B227,tab_MinKomp[[Stanowisko / Position ]:[Stanowisko / Position ]],0)))</f>
        <v>n/a</v>
      </c>
      <c r="CK228" s="343" t="str">
        <f>IF(INDEX(tab_MinKomp[Techniki negocjacyjne / Verhandlungstechniken],MATCH($B227,tab_MinKomp[[Stanowisko / Position ]:[Stanowisko / Position ]],0))="n/a","n/a",CK227-INDEX(tab_MinKomp[Techniki negocjacyjne / Verhandlungstechniken],MATCH($B227,tab_MinKomp[[Stanowisko / Position ]:[Stanowisko / Position ]],0)))</f>
        <v>n/a</v>
      </c>
      <c r="CL228" s="343" t="str">
        <f>IF(INDEX(tab_MinKomp[Znajomość rynku branżowego / Kenntnis des Industrie Marktes],MATCH($B227,tab_MinKomp[[Stanowisko / Position ]:[Stanowisko / Position ]],0))="n/a","n/a",CL227-INDEX(tab_MinKomp[Znajomość rynku branżowego / Kenntnis des Industrie Marktes],MATCH($B227,tab_MinKomp[[Stanowisko / Position ]:[Stanowisko / Position ]],0)))</f>
        <v>n/a</v>
      </c>
      <c r="CM228" s="343">
        <f>IF(INDEX(tab_MinKomp[RAPORTY 8D / 8D Berichten],MATCH($B227,tab_MinKomp[[Stanowisko / Position ]:[Stanowisko / Position ]],0))="n/a","n/a",CM227-INDEX(tab_MinKomp[RAPORTY 8D / 8D Berichten],MATCH($B227,tab_MinKomp[[Stanowisko / Position ]:[Stanowisko / Position ]],0)))</f>
        <v>0</v>
      </c>
      <c r="CN228" s="343">
        <f>IF(INDEX(tab_MinKomp[NARZĘDZIA JAKOŚCIOWE (5WHY, Ishikawa, etc) / QS-Werkzeuge],MATCH($B227,tab_MinKomp[[Stanowisko / Position ]:[Stanowisko / Position ]],0))="n/a","n/a",CN227-INDEX(tab_MinKomp[NARZĘDZIA JAKOŚCIOWE (5WHY, Ishikawa, etc) / QS-Werkzeuge],MATCH($B227,tab_MinKomp[[Stanowisko / Position ]:[Stanowisko / Position ]],0)))</f>
        <v>0</v>
      </c>
      <c r="CO228" s="343">
        <f>IF(INDEX(tab_MinKomp[PDCA],MATCH($B227,tab_MinKomp[[Stanowisko / Position ]:[Stanowisko / Position ]],0))="n/a","n/a",CO227-INDEX(tab_MinKomp[PDCA],MATCH($B227,tab_MinKomp[[Stanowisko / Position ]:[Stanowisko / Position ]],0)))</f>
        <v>0</v>
      </c>
      <c r="CP228" s="343">
        <f>IF(INDEX(tab_MinKomp[Pareto],MATCH($B227,tab_MinKomp[[Stanowisko / Position ]:[Stanowisko / Position ]],0))="n/a","n/a",CP227-INDEX(tab_MinKomp[Pareto],MATCH($B227,tab_MinKomp[[Stanowisko / Position ]:[Stanowisko / Position ]],0)))</f>
        <v>0</v>
      </c>
      <c r="CQ228" s="343" t="str">
        <f>IF(INDEX(tab_MinKomp[PPAP/PSW],MATCH($B227,tab_MinKomp[[Stanowisko / Position ]:[Stanowisko / Position ]],0))="n/a","n/a",CQ227-INDEX(tab_MinKomp[PPAP/PSW],MATCH($B227,tab_MinKomp[[Stanowisko / Position ]:[Stanowisko / Position ]],0)))</f>
        <v>n/a</v>
      </c>
      <c r="CR228" s="343" t="str">
        <f>IF(INDEX(tab_MinKomp[SUPPLIER MANAGEMENT],MATCH($B227,tab_MinKomp[[Stanowisko / Position ]:[Stanowisko / Position ]],0))="n/a","n/a",CR227-INDEX(tab_MinKomp[SUPPLIER MANAGEMENT],MATCH($B227,tab_MinKomp[[Stanowisko / Position ]:[Stanowisko / Position ]],0)))</f>
        <v>n/a</v>
      </c>
      <c r="CS228" s="343" t="str">
        <f>IF(INDEX(tab_MinKomp[OBSŁUGA PORTALI KLIENTA / Kundenportale],MATCH($B227,tab_MinKomp[[Stanowisko / Position ]:[Stanowisko / Position ]],0))="n/a","n/a",CS227-INDEX(tab_MinKomp[OBSŁUGA PORTALI KLIENTA / Kundenportale],MATCH($B227,tab_MinKomp[[Stanowisko / Position ]:[Stanowisko / Position ]],0)))</f>
        <v>n/a</v>
      </c>
      <c r="CT228" s="343" t="str">
        <f>IF(INDEX(tab_MinKomp[Obsługa systemu BABTECQ / BABTECQ System],MATCH($B227,tab_MinKomp[[Stanowisko / Position ]:[Stanowisko / Position ]],0))="n/a","n/a",CT227-INDEX(tab_MinKomp[Obsługa systemu BABTECQ / BABTECQ System],MATCH($B227,tab_MinKomp[[Stanowisko / Position ]:[Stanowisko / Position ]],0)))</f>
        <v>n/a</v>
      </c>
      <c r="CU228" s="343" t="str">
        <f>IF(INDEX(tab_MinKomp[Rysunek techniczny / technische Zeichnung],MATCH($B227,tab_MinKomp[[Stanowisko / Position ]:[Stanowisko / Position ]],0))="n/a","n/a",CU227-INDEX(tab_MinKomp[Rysunek techniczny / technische Zeichnung],MATCH($B227,tab_MinKomp[[Stanowisko / Position ]:[Stanowisko / Position ]],0)))</f>
        <v>n/a</v>
      </c>
      <c r="CV228" s="343" t="str">
        <f>IF(INDEX(tab_MinKomp[Kalibracja / Kalibrierung],MATCH($B227,tab_MinKomp[[Stanowisko / Position ]:[Stanowisko / Position ]],0))="n/a","n/a",CV227-INDEX(tab_MinKomp[Kalibracja / Kalibrierung],MATCH($B227,tab_MinKomp[[Stanowisko / Position ]:[Stanowisko / Position ]],0)))</f>
        <v>n/a</v>
      </c>
      <c r="CW228" s="343" t="str">
        <f>IF(INDEX(tab_MinKomp[Rekwalifikacja / Requalifizierung],MATCH($B227,tab_MinKomp[[Stanowisko / Position ]:[Stanowisko / Position ]],0))="n/a","n/a",CW227-INDEX(tab_MinKomp[Rekwalifikacja / Requalifizierung],MATCH($B227,tab_MinKomp[[Stanowisko / Position ]:[Stanowisko / Position ]],0)))</f>
        <v>n/a</v>
      </c>
      <c r="CX228" s="315" t="s">
        <v>176</v>
      </c>
      <c r="CY228" s="315" t="s">
        <v>176</v>
      </c>
      <c r="CZ228" s="315" t="s">
        <v>176</v>
      </c>
      <c r="DA228" s="315" t="s">
        <v>176</v>
      </c>
      <c r="DB228" s="315" t="s">
        <v>176</v>
      </c>
      <c r="DC228" s="315" t="s">
        <v>176</v>
      </c>
      <c r="DD228" s="315" t="s">
        <v>176</v>
      </c>
      <c r="DE228" s="315" t="s">
        <v>176</v>
      </c>
      <c r="DF228" s="315" t="s">
        <v>176</v>
      </c>
      <c r="DG228" s="315" t="s">
        <v>176</v>
      </c>
      <c r="DH228" s="315" t="s">
        <v>176</v>
      </c>
      <c r="DI228" s="315" t="s">
        <v>176</v>
      </c>
      <c r="DJ228" s="315" t="s">
        <v>176</v>
      </c>
      <c r="DK228" s="315" t="s">
        <v>176</v>
      </c>
      <c r="DL228" s="315" t="s">
        <v>176</v>
      </c>
      <c r="DM228" s="315" t="s">
        <v>176</v>
      </c>
      <c r="DN228" s="315" t="s">
        <v>176</v>
      </c>
      <c r="DO228" s="315" t="s">
        <v>176</v>
      </c>
      <c r="DP228" s="315" t="s">
        <v>176</v>
      </c>
      <c r="DQ228" s="315" t="s">
        <v>176</v>
      </c>
      <c r="DR228" s="315" t="s">
        <v>176</v>
      </c>
      <c r="DS228" s="315" t="s">
        <v>176</v>
      </c>
      <c r="DT228" s="315" t="s">
        <v>176</v>
      </c>
      <c r="DU228" s="343" t="str">
        <f>IF(INDEX(tab_MinKomp[MSA i SPC],MATCH($B227,tab_MinKomp[[Stanowisko / Position ]:[Stanowisko / Position ]],0))="n/a","n/a",DU227-INDEX(tab_MinKomp[MSA i SPC],MATCH($B227,tab_MinKomp[[Stanowisko / Position ]:[Stanowisko / Position ]],0)))</f>
        <v>n/a</v>
      </c>
      <c r="DV228" s="343" t="str">
        <f>IF(INDEX(tab_MinKomp[Kontrola wejściowa komponentów/ Eingangskontrolle],MATCH($B227,tab_MinKomp[[Stanowisko / Position ]:[Stanowisko / Position ]],0))="n/a","n/a",DV227-INDEX(tab_MinKomp[Kontrola wejściowa komponentów/ Eingangskontrolle],MATCH($B227,tab_MinKomp[[Stanowisko / Position ]:[Stanowisko / Position ]],0)))</f>
        <v>n/a</v>
      </c>
      <c r="DW228" s="343" t="str">
        <f>IF(INDEX(tab_MinKomp[Kontrola wyjściowa produktu / Ausgangskontrolle],MATCH($B227,tab_MinKomp[[Stanowisko / Position ]:[Stanowisko / Position ]],0))="n/a","n/a",DW227-INDEX(tab_MinKomp[Kontrola wyjściowa produktu / Ausgangskontrolle],MATCH($B227,tab_MinKomp[[Stanowisko / Position ]:[Stanowisko / Position ]],0)))</f>
        <v>n/a</v>
      </c>
      <c r="DX228" s="343" t="str">
        <f>IF(INDEX(tab_MinKomp[Kontrola codzienna produkcji / Tägliche Produktionskontrolle],MATCH($B227,tab_MinKomp[[Stanowisko / Position ]:[Stanowisko / Position ]],0))="n/a","n/a",DX227-INDEX(tab_MinKomp[Kontrola codzienna produkcji / Tägliche Produktionskontrolle],MATCH($B227,tab_MinKomp[[Stanowisko / Position ]:[Stanowisko / Position ]],0)))</f>
        <v>n/a</v>
      </c>
      <c r="DY228" s="343" t="str">
        <f>IF(INDEX(tab_MinKomp[Konserwacja Rep],MATCH($B227,tab_MinKomp[[Stanowisko / Position ]:[Stanowisko / Position ]],0))="n/a","n/a",DY227-INDEX(tab_MinKomp[Konserwacja Rep],MATCH($B227,tab_MinKomp[[Stanowisko / Position ]:[Stanowisko / Position ]],0)))</f>
        <v>n/a</v>
      </c>
      <c r="DZ228" s="343" t="str">
        <f>IF(INDEX(tab_MinKomp[[Konserwacja Engel ]],MATCH($B227,tab_MinKomp[[Stanowisko / Position ]:[Stanowisko / Position ]],0))="n/a","n/a",DZ227-INDEX(tab_MinKomp[[Konserwacja Engel ]],MATCH($B227,tab_MinKomp[[Stanowisko / Position ]:[Stanowisko / Position ]],0)))</f>
        <v>n/a</v>
      </c>
      <c r="EA228" s="343" t="str">
        <f>IF(INDEX(tab_MinKomp[Konserwacja B 50],MATCH($B227,tab_MinKomp[[Stanowisko / Position ]:[Stanowisko / Position ]],0))="n/a","n/a",EA227-INDEX(tab_MinKomp[Konserwacja B 50],MATCH($B227,tab_MinKomp[[Stanowisko / Position ]:[Stanowisko / Position ]],0)))</f>
        <v>n/a</v>
      </c>
      <c r="EB228" s="343" t="str">
        <f>IF(INDEX(tab_MinKomp[[Konserwacja EOL ]],MATCH($B227,tab_MinKomp[[Stanowisko / Position ]:[Stanowisko / Position ]],0))="n/a","n/a",EB227-INDEX(tab_MinKomp[[Konserwacja EOL ]],MATCH($B227,tab_MinKomp[[Stanowisko / Position ]:[Stanowisko / Position ]],0)))</f>
        <v>n/a</v>
      </c>
      <c r="EC228" s="343" t="str">
        <f>IF(INDEX(tab_MinKomp[Konserwacja Branson],MATCH($B227,tab_MinKomp[[Stanowisko / Position ]:[Stanowisko / Position ]],0))="n/a","n/a",EC227-INDEX(tab_MinKomp[Konserwacja Branson],MATCH($B227,tab_MinKomp[[Stanowisko / Position ]:[Stanowisko / Position ]],0)))</f>
        <v>n/a</v>
      </c>
      <c r="ED228" s="343" t="str">
        <f>IF(INDEX(tab_MinKomp[Konserwacja coolery],MATCH($B227,tab_MinKomp[[Stanowisko / Position ]:[Stanowisko / Position ]],0))="n/a","n/a",ED227-INDEX(tab_MinKomp[Konserwacja coolery],MATCH($B227,tab_MinKomp[[Stanowisko / Position ]:[Stanowisko / Position ]],0)))</f>
        <v>n/a</v>
      </c>
      <c r="EE228" s="343" t="str">
        <f>IF(INDEX(tab_MinKomp[Konserwacja piecy],MATCH($B227,tab_MinKomp[[Stanowisko / Position ]:[Stanowisko / Position ]],0))="n/a","n/a",EE227-INDEX(tab_MinKomp[Konserwacja piecy],MATCH($B227,tab_MinKomp[[Stanowisko / Position ]:[Stanowisko / Position ]],0)))</f>
        <v>n/a</v>
      </c>
      <c r="EF228" s="343" t="str">
        <f>IF(INDEX(tab_MinKomp[Rysunek techniczny- czytanie],MATCH($B227,tab_MinKomp[[Stanowisko / Position ]:[Stanowisko / Position ]],0))="n/a","n/a",EF227-INDEX(tab_MinKomp[Rysunek techniczny- czytanie],MATCH($B227,tab_MinKomp[[Stanowisko / Position ]:[Stanowisko / Position ]],0)))</f>
        <v>n/a</v>
      </c>
      <c r="EG228" s="343" t="str">
        <f>IF(INDEX(tab_MinKomp[Elektryka],MATCH($B227,tab_MinKomp[[Stanowisko / Position ]:[Stanowisko / Position ]],0))="n/a","n/a",EG227-INDEX(tab_MinKomp[Elektryka],MATCH($B227,tab_MinKomp[[Stanowisko / Position ]:[Stanowisko / Position ]],0)))</f>
        <v>n/a</v>
      </c>
      <c r="EH228" s="343" t="str">
        <f>IF(INDEX(tab_MinKomp[Pneumatyka],MATCH($B227,tab_MinKomp[[Stanowisko / Position ]:[Stanowisko / Position ]],0))="n/a","n/a",EH227-INDEX(tab_MinKomp[Pneumatyka],MATCH($B227,tab_MinKomp[[Stanowisko / Position ]:[Stanowisko / Position ]],0)))</f>
        <v>n/a</v>
      </c>
      <c r="EI228" s="343" t="str">
        <f>IF(INDEX(tab_MinKomp[[Hydraulika ]],MATCH($B227,tab_MinKomp[[Stanowisko / Position ]:[Stanowisko / Position ]],0))="n/a","n/a",EI227-INDEX(tab_MinKomp[[Hydraulika ]],MATCH($B227,tab_MinKomp[[Stanowisko / Position ]:[Stanowisko / Position ]],0)))</f>
        <v>n/a</v>
      </c>
      <c r="EJ228" s="343" t="str">
        <f>IF(INDEX(tab_MinKomp[Podciśnienie],MATCH($B227,tab_MinKomp[[Stanowisko / Position ]:[Stanowisko / Position ]],0))="n/a","n/a",EJ227-INDEX(tab_MinKomp[Podciśnienie],MATCH($B227,tab_MinKomp[[Stanowisko / Position ]:[Stanowisko / Position ]],0)))</f>
        <v>n/a</v>
      </c>
      <c r="EK228" s="343" t="str">
        <f>IF(INDEX(tab_MinKomp[Usuwanie awarii],MATCH($B227,tab_MinKomp[[Stanowisko / Position ]:[Stanowisko / Position ]],0))="n/a","n/a",EK227-INDEX(tab_MinKomp[Usuwanie awarii],MATCH($B227,tab_MinKomp[[Stanowisko / Position ]:[Stanowisko / Position ]],0)))</f>
        <v>n/a</v>
      </c>
      <c r="EL228" s="343" t="str">
        <f>IF(INDEX(tab_MinKomp[Obsługa robotów],MATCH($B227,tab_MinKomp[[Stanowisko / Position ]:[Stanowisko / Position ]],0))="n/a","n/a",EL227-INDEX(tab_MinKomp[Obsługa robotów],MATCH($B227,tab_MinKomp[[Stanowisko / Position ]:[Stanowisko / Position ]],0)))</f>
        <v>n/a</v>
      </c>
      <c r="EM228" s="343" t="str">
        <f>IF(INDEX(tab_MinKomp[Obsługa sterowania maszyny],MATCH($B227,tab_MinKomp[[Stanowisko / Position ]:[Stanowisko / Position ]],0))="n/a","n/a",EM227-INDEX(tab_MinKomp[Obsługa sterowania maszyny],MATCH($B227,tab_MinKomp[[Stanowisko / Position ]:[Stanowisko / Position ]],0)))</f>
        <v>n/a</v>
      </c>
      <c r="EN228" s="343" t="str">
        <f>IF(INDEX(tab_MinKomp[Usuwanie przyczyn żródłowych],MATCH($B227,tab_MinKomp[[Stanowisko / Position ]:[Stanowisko / Position ]],0))="n/a","n/a",EN227-INDEX(tab_MinKomp[Usuwanie przyczyn żródłowych],MATCH($B227,tab_MinKomp[[Stanowisko / Position ]:[Stanowisko / Position ]],0)))</f>
        <v>n/a</v>
      </c>
      <c r="EO228" s="343" t="str">
        <f>IF(INDEX(tab_MinKomp[Cmms stosowanie],MATCH($B227,tab_MinKomp[[Stanowisko / Position ]:[Stanowisko / Position ]],0))="n/a","n/a",EO227-INDEX(tab_MinKomp[Cmms stosowanie],MATCH($B227,tab_MinKomp[[Stanowisko / Position ]:[Stanowisko / Position ]],0)))</f>
        <v>n/a</v>
      </c>
      <c r="EP228" s="343" t="str">
        <f>IF(INDEX(tab_MinKomp[[Czyszczenie form gumowych ]],MATCH($B227,tab_MinKomp[[Stanowisko / Position ]:[Stanowisko / Position ]],0))="n/a","n/a",EP227-INDEX(tab_MinKomp[[Czyszczenie form gumowych ]],MATCH($B227,tab_MinKomp[[Stanowisko / Position ]:[Stanowisko / Position ]],0)))</f>
        <v>n/a</v>
      </c>
      <c r="EQ228" s="343" t="str">
        <f>IF(INDEX(tab_MinKomp[Czyszczenie form plastikowych],MATCH($B227,tab_MinKomp[[Stanowisko / Position ]:[Stanowisko / Position ]],0))="n/a","n/a",EQ227-INDEX(tab_MinKomp[Czyszczenie form plastikowych],MATCH($B227,tab_MinKomp[[Stanowisko / Position ]:[Stanowisko / Position ]],0)))</f>
        <v>n/a</v>
      </c>
      <c r="ER228" s="343" t="str">
        <f>IF(INDEX(tab_MinKomp[Wymiana form plastik],MATCH($B227,tab_MinKomp[[Stanowisko / Position ]:[Stanowisko / Position ]],0))="n/a","n/a",ER227-INDEX(tab_MinKomp[Wymiana form plastik],MATCH($B227,tab_MinKomp[[Stanowisko / Position ]:[Stanowisko / Position ]],0)))</f>
        <v>n/a</v>
      </c>
      <c r="ES228" s="343" t="str">
        <f>IF(INDEX(tab_MinKomp[Wymiana form guma],MATCH($B227,tab_MinKomp[[Stanowisko / Position ]:[Stanowisko / Position ]],0))="n/a","n/a",ES227-INDEX(tab_MinKomp[Wymiana form guma],MATCH($B227,tab_MinKomp[[Stanowisko / Position ]:[Stanowisko / Position ]],0)))</f>
        <v>n/a</v>
      </c>
      <c r="ET228" s="343" t="str">
        <f>IF(INDEX(tab_MinKomp[Konserwacja KK],MATCH($B227,tab_MinKomp[[Stanowisko / Position ]:[Stanowisko / Position ]],0))="n/a","n/a",ET227-INDEX(tab_MinKomp[Konserwacja KK],MATCH($B227,tab_MinKomp[[Stanowisko / Position ]:[Stanowisko / Position ]],0)))</f>
        <v>n/a</v>
      </c>
      <c r="EU228" s="343" t="str">
        <f>IF(INDEX(tab_MinKomp[Konserwacja form guma],MATCH($B227,tab_MinKomp[[Stanowisko / Position ]:[Stanowisko / Position ]],0))="n/a","n/a",EU227-INDEX(tab_MinKomp[Konserwacja form guma],MATCH($B227,tab_MinKomp[[Stanowisko / Position ]:[Stanowisko / Position ]],0)))</f>
        <v>n/a</v>
      </c>
      <c r="EV228" s="343" t="str">
        <f>IF(INDEX(tab_MinKomp[Konserwacja form plastiki],MATCH($B227,tab_MinKomp[[Stanowisko / Position ]:[Stanowisko / Position ]],0))="n/a","n/a",EV227-INDEX(tab_MinKomp[Konserwacja form plastiki],MATCH($B227,tab_MinKomp[[Stanowisko / Position ]:[Stanowisko / Position ]],0)))</f>
        <v>n/a</v>
      </c>
      <c r="EW228" s="330" t="str">
        <f>IF(INDEX(tab_MinKomp[Konserwacja form plastiki],MATCH($B227,tab_MinKomp[[Stanowisko / Position ]:[Stanowisko / Position ]],0))="n/a","n/a",EW227-INDEX(tab_MinKomp[Konserwacja form plastiki],MATCH($B227,tab_MinKomp[[Stanowisko / Position ]:[Stanowisko / Position ]],0)))</f>
        <v>n/a</v>
      </c>
      <c r="EX228" s="343" t="str">
        <f>IF(INDEX(tab_MinKomp[Konserwacja Gorącego Kanału],MATCH($B227,tab_MinKomp[[Stanowisko / Position ]:[Stanowisko / Position ]],0))="n/a","n/a",EX227-INDEX(tab_MinKomp[Konserwacja Gorącego Kanału],MATCH($B227,tab_MinKomp[[Stanowisko / Position ]:[Stanowisko / Position ]],0)))</f>
        <v>n/a</v>
      </c>
      <c r="EY228" s="343">
        <f>IF(INDEX(tab_MinKomp[MS Office (Excel)],MATCH($B227,tab_MinKomp[[Stanowisko / Position ]:[Stanowisko / Position ]],0))="n/a","n/a",EY227-INDEX(tab_MinKomp[MS Office (Excel)],MATCH($B227,tab_MinKomp[[Stanowisko / Position ]:[Stanowisko / Position ]],0)))</f>
        <v>0</v>
      </c>
      <c r="EZ228" s="343">
        <f>IF(INDEX(tab_MinKomp[MS Office (Word)],MATCH($B227,tab_MinKomp[[Stanowisko / Position ]:[Stanowisko / Position ]],0))="n/a","n/a",EZ227-INDEX(tab_MinKomp[MS Office (Word)],MATCH($B227,tab_MinKomp[[Stanowisko / Position ]:[Stanowisko / Position ]],0)))</f>
        <v>0</v>
      </c>
      <c r="FA228" s="343">
        <f>IF(INDEX(tab_MinKomp[MS Office (Power Point)],MATCH($B227,tab_MinKomp[[Stanowisko / Position ]:[Stanowisko / Position ]],0))="n/a","n/a",FA227-INDEX(tab_MinKomp[MS Office (Power Point)],MATCH($B227,tab_MinKomp[[Stanowisko / Position ]:[Stanowisko / Position ]],0)))</f>
        <v>0</v>
      </c>
      <c r="FB228" s="343" t="str">
        <f>IF(INDEX(tab_MinKomp[Język angielski / Englisch],MATCH($B227,tab_MinKomp[[Stanowisko / Position ]:[Stanowisko / Position ]],0))="n/a","n/a",FB227-INDEX(tab_MinKomp[Język angielski / Englisch],MATCH($B227,tab_MinKomp[[Stanowisko / Position ]:[Stanowisko / Position ]],0)))</f>
        <v>n/a</v>
      </c>
      <c r="FC228" s="343" t="str">
        <f>IF(INDEX(tab_MinKomp[Język niemiecki / Deutsch],MATCH($B227,tab_MinKomp[[Stanowisko / Position ]:[Stanowisko / Position ]],0))="n/a","n/a",FC227-INDEX(tab_MinKomp[Język niemiecki / Deutsch],MATCH($B227,tab_MinKomp[[Stanowisko / Position ]:[Stanowisko / Position ]],0)))</f>
        <v>n/a</v>
      </c>
      <c r="FD228" s="343">
        <f>IF(INDEX(tab_MinKomp[Zarządzanie dokumentacją procesową / Process dokumentation management],MATCH($B227,tab_MinKomp[[Stanowisko / Position ]:[Stanowisko / Position ]],0))="n/a","n/a",FD227-INDEX(tab_MinKomp[Zarządzanie dokumentacją procesową / Process dokumentation management],MATCH($B227,tab_MinKomp[[Stanowisko / Position ]:[Stanowisko / Position ]],0)))</f>
        <v>0</v>
      </c>
      <c r="FE228" s="343">
        <f>IF(INDEX(tab_MinKomp[Znajomość procesów z obszaru / Kenntiss der prozesse in dem Bereich],MATCH($B227,tab_MinKomp[[Stanowisko / Position ]:[Stanowisko / Position ]],0))="n/a","n/a",FE227-INDEX(tab_MinKomp[Znajomość procesów z obszaru / Kenntiss der prozesse in dem Bereich],MATCH($B227,tab_MinKomp[[Stanowisko / Position ]:[Stanowisko / Position ]],0)))</f>
        <v>0</v>
      </c>
      <c r="FF228" s="343">
        <f>IF(INDEX(tab_MinKomp[optymalizacja procesów / Prozessoptymalisierung],MATCH($B227,tab_MinKomp[[Stanowisko / Position ]:[Stanowisko / Position ]],0))="n/a","n/a",FF227-INDEX(tab_MinKomp[optymalizacja procesów / Prozessoptymalisierung],MATCH($B227,tab_MinKomp[[Stanowisko / Position ]:[Stanowisko / Position ]],0)))</f>
        <v>0</v>
      </c>
      <c r="FG228" s="343">
        <f>IF(INDEX(tab_MinKomp[Umiejętności szkoleniowe / Trainingsfähigkeiten],MATCH($B227,tab_MinKomp[[Stanowisko / Position ]:[Stanowisko / Position ]],0))="n/a","n/a",FG227-INDEX(tab_MinKomp[Umiejętności szkoleniowe / Trainingsfähigkeiten],MATCH($B227,tab_MinKomp[[Stanowisko / Position ]:[Stanowisko / Position ]],0)))</f>
        <v>1</v>
      </c>
      <c r="FH228" s="343">
        <f>IF(INDEX(tab_MinKomp[Analityczne myślenie, podejście / Analitysches Denken, Einstellung],MATCH($B227,tab_MinKomp[[Stanowisko / Position ]:[Stanowisko / Position ]],0))="n/a","n/a",FH227-INDEX(tab_MinKomp[Analityczne myślenie, podejście / Analitysches Denken, Einstellung],MATCH($B227,tab_MinKomp[[Stanowisko / Position ]:[Stanowisko / Position ]],0)))</f>
        <v>0</v>
      </c>
      <c r="FI228" s="343">
        <f>IF(INDEX(tab_MinKomp[Dokładność, precyzja w dzialaniu / Genauigkeit, Präzision in die Arbeit],MATCH($B227,tab_MinKomp[[Stanowisko / Position ]:[Stanowisko / Position ]],0))="n/a","n/a",FI227-INDEX(tab_MinKomp[Dokładność, precyzja w dzialaniu / Genauigkeit, Präzision in die Arbeit],MATCH($B227,tab_MinKomp[[Stanowisko / Position ]:[Stanowisko / Position ]],0)))</f>
        <v>0</v>
      </c>
      <c r="FJ228" s="343">
        <f>IF(INDEX(tab_MinKomp[Dyspozycyjność / Verfügbarkeit],MATCH($B227,tab_MinKomp[[Stanowisko / Position ]:[Stanowisko / Position ]],0))="n/a","n/a",FJ227-INDEX(tab_MinKomp[Dyspozycyjność / Verfügbarkeit],MATCH($B227,tab_MinKomp[[Stanowisko / Position ]:[Stanowisko / Position ]],0)))</f>
        <v>0</v>
      </c>
      <c r="FK228" s="343">
        <f>IF(INDEX(tab_MinKomp[Zaangażowanie / 
Engagement],MATCH($B227,tab_MinKomp[[Stanowisko / Position ]:[Stanowisko / Position ]],0))="n/a","n/a",FK227-INDEX(tab_MinKomp[Zaangażowanie / 
Engagement],MATCH($B227,tab_MinKomp[[Stanowisko / Position ]:[Stanowisko / Position ]],0)))</f>
        <v>0</v>
      </c>
      <c r="FL228" s="343">
        <f>IF(INDEX(tab_MinKomp[Planowanie strategiczne / Strategische Planung],MATCH($B227,tab_MinKomp[[Stanowisko / Position ]:[Stanowisko / Position ]],0))="n/a","n/a",FL227-INDEX(tab_MinKomp[Planowanie strategiczne / Strategische Planung],MATCH($B227,tab_MinKomp[[Stanowisko / Position ]:[Stanowisko / Position ]],0)))</f>
        <v>0</v>
      </c>
      <c r="FM228" s="343">
        <f>IF(INDEX(tab_MinKomp[Konsekwentne i dynamiczne działanie],MATCH($B227,tab_MinKomp[[Stanowisko / Position ]:[Stanowisko / Position ]],0))="n/a","n/a",FM227-INDEX(tab_MinKomp[Konsekwentne i dynamiczne działanie],MATCH($B227,tab_MinKomp[[Stanowisko / Position ]:[Stanowisko / Position ]],0)))</f>
        <v>0</v>
      </c>
      <c r="FN228" s="343">
        <f>IF(INDEX(tab_MinKomp[Elastyczność w działaniu],MATCH($B227,tab_MinKomp[[Stanowisko / Position ]:[Stanowisko / Position ]],0))="n/a","n/a",FN227-INDEX(tab_MinKomp[Elastyczność w działaniu],MATCH($B227,tab_MinKomp[[Stanowisko / Position ]:[Stanowisko / Position ]],0)))</f>
        <v>0</v>
      </c>
      <c r="FO228" s="343">
        <f>IF(INDEX(tab_MinKomp[Komunikatywność],MATCH($B227,tab_MinKomp[[Stanowisko / Position ]:[Stanowisko / Position ]],0))="n/a","n/a",FO227-INDEX(tab_MinKomp[Komunikatywność],MATCH($B227,tab_MinKomp[[Stanowisko / Position ]:[Stanowisko / Position ]],0)))</f>
        <v>0</v>
      </c>
      <c r="FP228" s="342">
        <f>IF(INDEX(tab_MinKomp[Motywowanie i budowanie zaangażowania zespołu],MATCH($B227,tab_MinKomp[[Stanowisko / Position ]:[Stanowisko / Position ]],0))="n/a","n/a",FP227-INDEX(tab_MinKomp[Motywowanie i budowanie zaangażowania zespołu],MATCH($B227,tab_MinKomp[[Stanowisko / Position ]:[Stanowisko / Position ]],0)))</f>
        <v>0</v>
      </c>
      <c r="FQ228" s="346" t="str">
        <f>IFERROR(IF(INDEX(tab_MinKomp[BRAK / Keine],MATCH($B227,tab_MinKomp[[Stanowisko / Position ]:[Stanowisko / Position ]],0))="n/a","n/a",INDEX(tab_MinKomp[BRAK / Keine],MATCH($B227,tab_MinKomp[[Stanowisko / Position ]:[Stanowisko / Position ]],0))-FQ227),"")</f>
        <v>n/a</v>
      </c>
      <c r="FR228" s="343" t="str">
        <f>IF(INDEX(tab_MinKomp[MINIMUM 1 ROK / min. 1 Jahr],MATCH($B227,tab_MinKomp[[Stanowisko / Position ]:[Stanowisko / Position ]],0))="n/a","n/a",INDEX(tab_MinKomp[MINIMUM 1 ROK / min. 1 Jahr],MATCH($B227,tab_MinKomp[[Stanowisko / Position ]:[Stanowisko / Position ]],0)))</f>
        <v>x</v>
      </c>
      <c r="FS228" s="343" t="str">
        <f>IF(INDEX(tab_MinKomp[MINIMUM 2 LATA / min. 2 Jahre],MATCH($B227,tab_MinKomp[[Stanowisko / Position ]:[Stanowisko / Position ]],0))="n/a","n/a",INDEX(tab_MinKomp[MINIMUM 2 LATA / min. 2 Jahre],MATCH($B227,tab_MinKomp[[Stanowisko / Position ]:[Stanowisko / Position ]],0)))</f>
        <v>n/a</v>
      </c>
      <c r="FT228" s="343" t="str">
        <f>IF(INDEX(tab_MinKomp[MINIMUM 3 LATA / min. 3 Jahre],MATCH($B227,tab_MinKomp[[Stanowisko / Position ]:[Stanowisko / Position ]],0))="n/a","n/a",INDEX(tab_MinKomp[MINIMUM 3 LATA / min. 3 Jahre],MATCH($B227,tab_MinKomp[[Stanowisko / Position ]:[Stanowisko / Position ]],0)))</f>
        <v>n/a</v>
      </c>
      <c r="FU228" s="343" t="str">
        <f>IF(INDEX(tab_MinKomp[MINIMUM 4 LATA / min. 4 Jahre],MATCH($B227,tab_MinKomp[[Stanowisko / Position ]:[Stanowisko / Position ]],0))="n/a","n/a",INDEX(tab_MinKomp[MINIMUM 4 LATA / min. 4 Jahre],MATCH($B227,tab_MinKomp[[Stanowisko / Position ]:[Stanowisko / Position ]],0)))</f>
        <v>n/a</v>
      </c>
      <c r="FV228" s="347" t="str">
        <f>IF(INDEX(tab_MinKomp[MINIMUM 5 LAT / min. 5 Jahre],MATCH($B227,tab_MinKomp[[Stanowisko / Position ]:[Stanowisko / Position ]],0))="n/a","n/a",INDEX(tab_MinKomp[MINIMUM 5 LAT / min. 5 Jahre],MATCH($B227,tab_MinKomp[[Stanowisko / Position ]:[Stanowisko / Position ]],0)))</f>
        <v>n/a</v>
      </c>
      <c r="FW228" s="346" t="str">
        <f>IF(INDEX(tab_MinKomp[BRAK / Keine9],MATCH($B227,tab_MinKomp[[Stanowisko / Position ]:[Stanowisko / Position ]],0))="n/a","n/a",INDEX(tab_MinKomp[BRAK / Keine9],MATCH($B227,tab_MinKomp[[Stanowisko / Position ]:[Stanowisko / Position ]],0)))</f>
        <v>n/a</v>
      </c>
      <c r="FX228" s="343" t="str">
        <f>IF(INDEX(tab_MinKomp[ZAWODOWE / Berufsausbildung],MATCH($B227,tab_MinKomp[[Stanowisko / Position ]:[Stanowisko / Position ]],0))="n/a","n/a",INDEX(tab_MinKomp[ZAWODOWE / Berufsausbildung],MATCH($B227,tab_MinKomp[[Stanowisko / Position ]:[Stanowisko / Position ]],0)))</f>
        <v>x</v>
      </c>
      <c r="FY228" s="343" t="str">
        <f>IF(INDEX(tab_MinKomp[ŚREDNIE OGÓLNE / Abitur allgemeine],MATCH($B227,tab_MinKomp[[Stanowisko / Position ]:[Stanowisko / Position ]],0))="n/a","n/a",INDEX(tab_MinKomp[ŚREDNIE OGÓLNE / Abitur allgemeine],MATCH($B227,tab_MinKomp[[Stanowisko / Position ]:[Stanowisko / Position ]],0)))</f>
        <v>n/a</v>
      </c>
      <c r="FZ228" s="343" t="str">
        <f>IF(INDEX(tab_MinKomp[ŚREDNIE KIERUNKOWE / berufliches Gymnasium],MATCH($B227,tab_MinKomp[[Stanowisko / Position ]:[Stanowisko / Position ]],0))="n/a","n/a",INDEX(tab_MinKomp[ŚREDNIE KIERUNKOWE / berufliches Gymnasium],MATCH($B227,tab_MinKomp[[Stanowisko / Position ]:[Stanowisko / Position ]],0)))</f>
        <v>n/a</v>
      </c>
      <c r="GA228" s="343" t="str">
        <f>IF(INDEX(tab_MinKomp[WYŻSZE OGÓLNE / Hochschule allgemeine],MATCH($B227,tab_MinKomp[[Stanowisko / Position ]:[Stanowisko / Position ]],0))="n/a","n/a",INDEX(tab_MinKomp[WYŻSZE OGÓLNE / Hochschule allgemeine],MATCH($B227,tab_MinKomp[[Stanowisko / Position ]:[Stanowisko / Position ]],0)))</f>
        <v>n/a</v>
      </c>
      <c r="GB228" s="347" t="str">
        <f>IF(INDEX(tab_MinKomp[WYŻSZE KIERUNKOWE / Hochschule berufliche],MATCH($B227,tab_MinKomp[[Stanowisko / Position ]:[Stanowisko / Position ]],0))="n/a","n/a",INDEX(tab_MinKomp[WYŻSZE KIERUNKOWE / Hochschule berufliche],MATCH($B227,tab_MinKomp[[Stanowisko / Position ]:[Stanowisko / Position ]],0)))</f>
        <v>n/a</v>
      </c>
      <c r="GC228" s="346" t="str">
        <f>IF(INDEX(tab_MinKomp[PIERWSZA POMOC / Erste Hilfe],MATCH($B227,tab_MinKomp[[Stanowisko / Position ]:[Stanowisko / Position ]],0))="n/a","n/a",INDEX(tab_MinKomp[PIERWSZA POMOC / Erste Hilfe],MATCH($B227,tab_MinKomp[[Stanowisko / Position ]:[Stanowisko / Position ]],0)))</f>
        <v>x</v>
      </c>
      <c r="GD228" s="343" t="str">
        <f>IF(INDEX(tab_MinKomp[Specjalista BHP / BHP Spezialist],MATCH($B227,tab_MinKomp[[Stanowisko / Position ]:[Stanowisko / Position ]],0))="n/a","n/a",INDEX(tab_MinKomp[Specjalista BHP / BHP Spezialist],MATCH($B227,tab_MinKomp[[Stanowisko / Position ]:[Stanowisko / Position ]],0)))</f>
        <v>n/a</v>
      </c>
      <c r="GE228" s="343" t="str">
        <f>IF(INDEX(tab_MinKomp[Inspektor ochrony PPOŻ / Brandschutzinspektor],MATCH($B227,tab_MinKomp[[Stanowisko / Position ]:[Stanowisko / Position ]],0))="n/a","n/a",INDEX(tab_MinKomp[Inspektor ochrony PPOŻ / Brandschutzinspektor],MATCH($B227,tab_MinKomp[[Stanowisko / Position ]:[Stanowisko / Position ]],0)))</f>
        <v>n/a</v>
      </c>
      <c r="GF228" s="343" t="str">
        <f>IF(INDEX(tab_MinKomp[WÓZKI JEZDNIOWE / Gebelstapler],MATCH($B227,tab_MinKomp[[Stanowisko / Position ]:[Stanowisko / Position ]],0))="n/a","n/a",INDEX(tab_MinKomp[WÓZKI JEZDNIOWE / Gebelstapler],MATCH($B227,tab_MinKomp[[Stanowisko / Position ]:[Stanowisko / Position ]],0)))</f>
        <v>x</v>
      </c>
      <c r="GG228" s="343" t="str">
        <f>IF(INDEX(tab_MinKomp[SEP],MATCH($B227,tab_MinKomp[[Stanowisko / Position ]:[Stanowisko / Position ]],0))="n/a","n/a",INDEX(tab_MinKomp[SEP],MATCH($B227,tab_MinKomp[[Stanowisko / Position ]:[Stanowisko / Position ]],0)))</f>
        <v>n/a</v>
      </c>
      <c r="GH228" s="343" t="str">
        <f>IF(INDEX(tab_MinKomp[SEP  DOZÓR / SEP Aufsicht],MATCH($B227,tab_MinKomp[[Stanowisko / Position ]:[Stanowisko / Position ]],0))="n/a","n/a",INDEX(tab_MinKomp[SEP  DOZÓR / SEP Aufsicht],MATCH($B227,tab_MinKomp[[Stanowisko / Position ]:[Stanowisko / Position ]],0)))</f>
        <v>n/a</v>
      </c>
      <c r="GI228" s="343" t="str">
        <f>IF(INDEX(tab_MinKomp[PODNOŚNIKI / Hebevorrichtung],MATCH($B227,tab_MinKomp[[Stanowisko / Position ]:[Stanowisko / Position ]],0))="n/a","n/a",INDEX(tab_MinKomp[PODNOŚNIKI / Hebevorrichtung],MATCH($B227,tab_MinKomp[[Stanowisko / Position ]:[Stanowisko / Position ]],0)))</f>
        <v>n/a</v>
      </c>
      <c r="GJ228" s="343" t="str">
        <f>IF(INDEX(tab_MinKomp[SUWNICE / Laufkran],MATCH($B227,tab_MinKomp[[Stanowisko / Position ]:[Stanowisko / Position ]],0))="n/a","n/a",INDEX(tab_MinKomp[SUWNICE / Laufkran],MATCH($B227,tab_MinKomp[[Stanowisko / Position ]:[Stanowisko / Position ]],0)))</f>
        <v>n/a</v>
      </c>
      <c r="GK228" s="347" t="str">
        <f>IF(INDEX(tab_MinKomp[WYSOKOŚCIOWE / Höhenberechtigungen],MATCH($B227,tab_MinKomp[[Stanowisko / Position ]:[Stanowisko / Position ]],0))="n/a","n/a",INDEX(tab_MinKomp[WYSOKOŚCIOWE / Höhenberechtigungen],MATCH($B227,tab_MinKomp[[Stanowisko / Position ]:[Stanowisko / Position ]],0)))</f>
        <v>n/a</v>
      </c>
      <c r="GL228" s="320">
        <f>SUM(G228:FP228)/(GL227-(SUM(G228:FP228)))</f>
        <v>2.6315789473684209E-2</v>
      </c>
    </row>
    <row r="229" spans="1:194" ht="36.75" customHeight="1" x14ac:dyDescent="0.25">
      <c r="A229" s="135" t="s">
        <v>179</v>
      </c>
      <c r="B229" s="135" t="s">
        <v>581</v>
      </c>
      <c r="C229" s="138" t="s">
        <v>558</v>
      </c>
      <c r="D229" s="135">
        <v>1628</v>
      </c>
      <c r="E229" s="565" t="s">
        <v>727</v>
      </c>
      <c r="F229" s="307" t="s">
        <v>165</v>
      </c>
      <c r="G229" s="308">
        <v>2</v>
      </c>
      <c r="H229" s="308">
        <v>2</v>
      </c>
      <c r="I229" s="308">
        <v>1</v>
      </c>
      <c r="J229" s="308">
        <v>1</v>
      </c>
      <c r="K229" s="308">
        <v>1</v>
      </c>
      <c r="L229" s="308">
        <v>1</v>
      </c>
      <c r="M229" s="308" t="s">
        <v>176</v>
      </c>
      <c r="N229" s="308" t="s">
        <v>176</v>
      </c>
      <c r="O229" s="308">
        <v>1</v>
      </c>
      <c r="P229" s="308">
        <v>1</v>
      </c>
      <c r="Q229" s="308" t="s">
        <v>176</v>
      </c>
      <c r="R229" s="308" t="s">
        <v>176</v>
      </c>
      <c r="S229" s="308" t="s">
        <v>176</v>
      </c>
      <c r="T229" s="308">
        <v>1</v>
      </c>
      <c r="U229" s="308" t="s">
        <v>176</v>
      </c>
      <c r="V229" s="308" t="s">
        <v>176</v>
      </c>
      <c r="W229" s="308" t="s">
        <v>176</v>
      </c>
      <c r="X229" s="308" t="s">
        <v>176</v>
      </c>
      <c r="Y229" s="308" t="s">
        <v>176</v>
      </c>
      <c r="Z229" s="308" t="s">
        <v>176</v>
      </c>
      <c r="AA229" s="308" t="s">
        <v>176</v>
      </c>
      <c r="AB229" s="308" t="s">
        <v>176</v>
      </c>
      <c r="AC229" s="308" t="s">
        <v>176</v>
      </c>
      <c r="AD229" s="308" t="s">
        <v>176</v>
      </c>
      <c r="AE229" s="308" t="s">
        <v>176</v>
      </c>
      <c r="AF229" s="308" t="s">
        <v>176</v>
      </c>
      <c r="AG229" s="308" t="s">
        <v>176</v>
      </c>
      <c r="AH229" s="308" t="s">
        <v>176</v>
      </c>
      <c r="AI229" s="308" t="s">
        <v>176</v>
      </c>
      <c r="AJ229" s="308" t="s">
        <v>176</v>
      </c>
      <c r="AK229" s="308" t="s">
        <v>176</v>
      </c>
      <c r="AL229" s="308" t="s">
        <v>176</v>
      </c>
      <c r="AM229" s="308" t="s">
        <v>176</v>
      </c>
      <c r="AN229" s="308" t="s">
        <v>176</v>
      </c>
      <c r="AO229" s="308">
        <v>2</v>
      </c>
      <c r="AP229" s="308" t="s">
        <v>176</v>
      </c>
      <c r="AQ229" s="308">
        <v>1</v>
      </c>
      <c r="AR229" s="308" t="s">
        <v>176</v>
      </c>
      <c r="AS229" s="308" t="s">
        <v>176</v>
      </c>
      <c r="AT229" s="308" t="s">
        <v>176</v>
      </c>
      <c r="AU229" s="308"/>
      <c r="AV229" s="308">
        <v>1</v>
      </c>
      <c r="AW229" s="308">
        <v>1</v>
      </c>
      <c r="AX229" s="308"/>
      <c r="AY229" s="308" t="s">
        <v>176</v>
      </c>
      <c r="AZ229" s="308" t="s">
        <v>176</v>
      </c>
      <c r="BA229" s="308">
        <v>1</v>
      </c>
      <c r="BB229" s="308">
        <v>1</v>
      </c>
      <c r="BC229" s="308" t="s">
        <v>176</v>
      </c>
      <c r="BD229" s="308" t="s">
        <v>176</v>
      </c>
      <c r="BE229" s="308" t="s">
        <v>176</v>
      </c>
      <c r="BF229" s="308" t="s">
        <v>176</v>
      </c>
      <c r="BG229" s="308" t="s">
        <v>176</v>
      </c>
      <c r="BH229" s="308" t="s">
        <v>176</v>
      </c>
      <c r="BI229" s="308" t="s">
        <v>176</v>
      </c>
      <c r="BJ229" s="308" t="s">
        <v>176</v>
      </c>
      <c r="BK229" s="308" t="s">
        <v>176</v>
      </c>
      <c r="BL229" s="308" t="s">
        <v>176</v>
      </c>
      <c r="BM229" s="308">
        <v>3</v>
      </c>
      <c r="BN229" s="308"/>
      <c r="BO229" s="308" t="s">
        <v>176</v>
      </c>
      <c r="BP229" s="308" t="s">
        <v>176</v>
      </c>
      <c r="BQ229" s="308" t="s">
        <v>176</v>
      </c>
      <c r="BR229" s="308" t="s">
        <v>176</v>
      </c>
      <c r="BS229" s="308" t="s">
        <v>176</v>
      </c>
      <c r="BT229" s="308">
        <v>1</v>
      </c>
      <c r="BU229" s="308" t="s">
        <v>176</v>
      </c>
      <c r="BV229" s="308">
        <v>1</v>
      </c>
      <c r="BW229" s="308" t="s">
        <v>176</v>
      </c>
      <c r="BX229" s="308" t="s">
        <v>176</v>
      </c>
      <c r="BY229" s="308" t="s">
        <v>176</v>
      </c>
      <c r="BZ229" s="308" t="s">
        <v>176</v>
      </c>
      <c r="CA229" s="308" t="s">
        <v>176</v>
      </c>
      <c r="CB229" s="308" t="s">
        <v>176</v>
      </c>
      <c r="CC229" s="308" t="s">
        <v>176</v>
      </c>
      <c r="CD229" s="308" t="s">
        <v>176</v>
      </c>
      <c r="CE229" s="308" t="s">
        <v>176</v>
      </c>
      <c r="CF229" s="308" t="s">
        <v>176</v>
      </c>
      <c r="CG229" s="308">
        <v>2</v>
      </c>
      <c r="CH229" s="308" t="s">
        <v>176</v>
      </c>
      <c r="CI229" s="308" t="s">
        <v>176</v>
      </c>
      <c r="CJ229" s="308" t="s">
        <v>176</v>
      </c>
      <c r="CK229" s="308" t="s">
        <v>176</v>
      </c>
      <c r="CL229" s="308" t="s">
        <v>176</v>
      </c>
      <c r="CM229" s="308"/>
      <c r="CN229" s="308"/>
      <c r="CO229" s="308"/>
      <c r="CP229" s="308"/>
      <c r="CQ229" s="308" t="s">
        <v>176</v>
      </c>
      <c r="CR229" s="308" t="s">
        <v>176</v>
      </c>
      <c r="CS229" s="308" t="s">
        <v>176</v>
      </c>
      <c r="CT229" s="308" t="s">
        <v>176</v>
      </c>
      <c r="CU229" s="308" t="s">
        <v>176</v>
      </c>
      <c r="CV229" s="308" t="s">
        <v>176</v>
      </c>
      <c r="CW229" s="308" t="s">
        <v>176</v>
      </c>
      <c r="CX229" s="308" t="s">
        <v>176</v>
      </c>
      <c r="CY229" s="308" t="s">
        <v>176</v>
      </c>
      <c r="CZ229" s="308" t="s">
        <v>176</v>
      </c>
      <c r="DA229" s="308" t="s">
        <v>176</v>
      </c>
      <c r="DB229" s="308" t="s">
        <v>176</v>
      </c>
      <c r="DC229" s="308" t="s">
        <v>176</v>
      </c>
      <c r="DD229" s="308" t="s">
        <v>176</v>
      </c>
      <c r="DE229" s="308" t="s">
        <v>176</v>
      </c>
      <c r="DF229" s="308" t="s">
        <v>176</v>
      </c>
      <c r="DG229" s="308" t="s">
        <v>176</v>
      </c>
      <c r="DH229" s="308" t="s">
        <v>176</v>
      </c>
      <c r="DI229" s="308" t="s">
        <v>176</v>
      </c>
      <c r="DJ229" s="308" t="s">
        <v>176</v>
      </c>
      <c r="DK229" s="308" t="s">
        <v>176</v>
      </c>
      <c r="DL229" s="308" t="s">
        <v>176</v>
      </c>
      <c r="DM229" s="308" t="s">
        <v>176</v>
      </c>
      <c r="DN229" s="308" t="s">
        <v>176</v>
      </c>
      <c r="DO229" s="308" t="s">
        <v>176</v>
      </c>
      <c r="DP229" s="308" t="s">
        <v>176</v>
      </c>
      <c r="DQ229" s="308" t="s">
        <v>176</v>
      </c>
      <c r="DR229" s="308" t="s">
        <v>176</v>
      </c>
      <c r="DS229" s="308" t="s">
        <v>176</v>
      </c>
      <c r="DT229" s="308" t="s">
        <v>176</v>
      </c>
      <c r="DU229" s="308" t="s">
        <v>176</v>
      </c>
      <c r="DV229" s="308" t="s">
        <v>176</v>
      </c>
      <c r="DW229" s="308" t="s">
        <v>176</v>
      </c>
      <c r="DX229" s="308" t="s">
        <v>176</v>
      </c>
      <c r="DY229" s="308" t="s">
        <v>176</v>
      </c>
      <c r="DZ229" s="308" t="s">
        <v>176</v>
      </c>
      <c r="EA229" s="308" t="s">
        <v>176</v>
      </c>
      <c r="EB229" s="308" t="s">
        <v>176</v>
      </c>
      <c r="EC229" s="308" t="s">
        <v>176</v>
      </c>
      <c r="ED229" s="308" t="s">
        <v>176</v>
      </c>
      <c r="EE229" s="308" t="s">
        <v>176</v>
      </c>
      <c r="EF229" s="308" t="s">
        <v>176</v>
      </c>
      <c r="EG229" s="308" t="s">
        <v>176</v>
      </c>
      <c r="EH229" s="308" t="s">
        <v>176</v>
      </c>
      <c r="EI229" s="308" t="s">
        <v>176</v>
      </c>
      <c r="EJ229" s="308" t="s">
        <v>176</v>
      </c>
      <c r="EK229" s="308" t="s">
        <v>176</v>
      </c>
      <c r="EL229" s="308" t="s">
        <v>176</v>
      </c>
      <c r="EM229" s="308" t="s">
        <v>176</v>
      </c>
      <c r="EN229" s="308" t="s">
        <v>176</v>
      </c>
      <c r="EO229" s="308" t="s">
        <v>176</v>
      </c>
      <c r="EP229" s="308" t="s">
        <v>176</v>
      </c>
      <c r="EQ229" s="308" t="s">
        <v>176</v>
      </c>
      <c r="ER229" s="308" t="s">
        <v>176</v>
      </c>
      <c r="ES229" s="308" t="s">
        <v>176</v>
      </c>
      <c r="ET229" s="308" t="s">
        <v>176</v>
      </c>
      <c r="EU229" s="308" t="s">
        <v>176</v>
      </c>
      <c r="EV229" s="308" t="s">
        <v>176</v>
      </c>
      <c r="EW229" s="308" t="s">
        <v>176</v>
      </c>
      <c r="EX229" s="308" t="s">
        <v>176</v>
      </c>
      <c r="EY229" s="308">
        <v>1</v>
      </c>
      <c r="EZ229" s="308">
        <v>1</v>
      </c>
      <c r="FA229" s="308">
        <v>1</v>
      </c>
      <c r="FB229" s="308" t="s">
        <v>176</v>
      </c>
      <c r="FC229" s="308" t="s">
        <v>176</v>
      </c>
      <c r="FD229" s="308">
        <v>1</v>
      </c>
      <c r="FE229" s="308">
        <v>2</v>
      </c>
      <c r="FF229" s="308">
        <v>2</v>
      </c>
      <c r="FG229" s="308">
        <v>2</v>
      </c>
      <c r="FH229" s="308">
        <v>2</v>
      </c>
      <c r="FI229" s="308">
        <v>1</v>
      </c>
      <c r="FJ229" s="308">
        <v>2</v>
      </c>
      <c r="FK229" s="308">
        <v>2</v>
      </c>
      <c r="FL229" s="308">
        <v>2</v>
      </c>
      <c r="FM229" s="308">
        <v>1</v>
      </c>
      <c r="FN229" s="308">
        <v>2</v>
      </c>
      <c r="FO229" s="308">
        <v>2</v>
      </c>
      <c r="FP229" s="308">
        <v>1</v>
      </c>
      <c r="FQ229" s="308" t="s">
        <v>176</v>
      </c>
      <c r="FR229" s="308" t="s">
        <v>176</v>
      </c>
      <c r="FS229" s="308" t="s">
        <v>176</v>
      </c>
      <c r="FT229" s="308" t="s">
        <v>176</v>
      </c>
      <c r="FU229" s="308" t="s">
        <v>176</v>
      </c>
      <c r="FV229" s="308" t="s">
        <v>176</v>
      </c>
      <c r="FW229" s="308" t="s">
        <v>176</v>
      </c>
      <c r="FX229" s="308" t="s">
        <v>176</v>
      </c>
      <c r="FY229" s="308" t="s">
        <v>176</v>
      </c>
      <c r="FZ229" s="308" t="s">
        <v>176</v>
      </c>
      <c r="GA229" s="308" t="s">
        <v>176</v>
      </c>
      <c r="GB229" s="308" t="s">
        <v>176</v>
      </c>
      <c r="GC229" s="308"/>
      <c r="GD229" s="308" t="s">
        <v>176</v>
      </c>
      <c r="GE229" s="308" t="s">
        <v>176</v>
      </c>
      <c r="GF229" s="308"/>
      <c r="GG229" s="308" t="s">
        <v>176</v>
      </c>
      <c r="GH229" s="308" t="s">
        <v>176</v>
      </c>
      <c r="GI229" s="308" t="s">
        <v>176</v>
      </c>
      <c r="GJ229" s="308" t="s">
        <v>176</v>
      </c>
      <c r="GK229" s="308" t="s">
        <v>176</v>
      </c>
      <c r="GL229" s="311">
        <f>SUM(G229:FP229)</f>
        <v>50</v>
      </c>
    </row>
    <row r="230" spans="1:194" ht="9" customHeight="1" thickBot="1" x14ac:dyDescent="0.3">
      <c r="A230" s="138" t="s">
        <v>179</v>
      </c>
      <c r="B230" s="138" t="str">
        <f>B229</f>
        <v>Teamleder zespołu produkcji</v>
      </c>
      <c r="C230" s="138" t="s">
        <v>558</v>
      </c>
      <c r="D230" s="138">
        <f>D229</f>
        <v>1628</v>
      </c>
      <c r="E230" s="566" t="str">
        <f>E229</f>
        <v>Jankowska Gabriela</v>
      </c>
      <c r="F230" s="312" t="s">
        <v>166</v>
      </c>
      <c r="G230" s="341">
        <f>IF(INDEX(tab_MinKomp[Przepisy BHP / BHP Vorschriften],MATCH($B229,tab_MinKomp[[Stanowisko / Position ]:[Stanowisko / Position ]],0))="n/a","n/a",G229-INDEX(tab_MinKomp[Przepisy BHP / BHP Vorschriften],MATCH($B229,tab_MinKomp[[Stanowisko / Position ]:[Stanowisko / Position ]],0)))</f>
        <v>0</v>
      </c>
      <c r="H230" s="342">
        <f>IF(INDEX(tab_MinKomp[Przepisy PPOŻ / Brandschutzbestimmungen],MATCH($B229,tab_MinKomp[[Stanowisko / Position ]:[Stanowisko / Position ]],0))="n/a","n/a",H229-INDEX(tab_MinKomp[Przepisy PPOŻ / Brandschutzbestimmungen],MATCH($B229,tab_MinKomp[[Stanowisko / Position ]:[Stanowisko / Position ]],0)))</f>
        <v>0</v>
      </c>
      <c r="I230" s="342">
        <f>IF(INDEX(tab_MinKomp[Ryzyko zawodowe na stanowiskach pracyv/ Berufliche Risiken an Arbeitsstellen],MATCH($B229,tab_MinKomp[[Stanowisko / Position ]:[Stanowisko / Position ]],0))="n/a","n/a",I229-INDEX(tab_MinKomp[Ryzyko zawodowe na stanowiskach pracyv/ Berufliche Risiken an Arbeitsstellen],MATCH($B229,tab_MinKomp[[Stanowisko / Position ]:[Stanowisko / Position ]],0)))</f>
        <v>0</v>
      </c>
      <c r="J230" s="342">
        <f>IF(INDEX(tab_MinKomp[Gospodarka substancjami niebezpiecznymi / Gefahrstoffmanagement],MATCH($B229,tab_MinKomp[[Stanowisko / Position ]:[Stanowisko / Position ]],0))="n/a","n/a",J229-INDEX(tab_MinKomp[Gospodarka substancjami niebezpiecznymi / Gefahrstoffmanagement],MATCH($B229,tab_MinKomp[[Stanowisko / Position ]:[Stanowisko / Position ]],0)))</f>
        <v>0</v>
      </c>
      <c r="K230" s="342">
        <f>IF(INDEX(tab_MinKomp[Gospodarka odpadami / Abfallwirtschaft],MATCH($B229,tab_MinKomp[[Stanowisko / Position ]:[Stanowisko / Position ]],0))="n/a","n/a",K229-INDEX(tab_MinKomp[Gospodarka odpadami / Abfallwirtschaft],MATCH($B229,tab_MinKomp[[Stanowisko / Position ]:[Stanowisko / Position ]],0)))</f>
        <v>0</v>
      </c>
      <c r="L230" s="343">
        <f>IF(INDEX(tab_MinKomp[Przepisy kodeksu pracy / Bestimmungen des Arbeitsgesetzes],MATCH($B229,tab_MinKomp[[Stanowisko / Position ]:[Stanowisko / Position ]],0))="n/a","n/a",L229-INDEX(tab_MinKomp[Przepisy kodeksu pracy / Bestimmungen des Arbeitsgesetzes],MATCH($B229,tab_MinKomp[[Stanowisko / Position ]:[Stanowisko / Position ]],0)))</f>
        <v>0</v>
      </c>
      <c r="M230" s="344" t="str">
        <f>IF(INDEX(tab_MinKomp[Przepisy o ub.społ. ZUS  / Sozialversicherungsvorschriften],MATCH($B229,tab_MinKomp[[Stanowisko / Position ]:[Stanowisko / Position ]],0))="n/a","n/a",M229-INDEX(tab_MinKomp[Przepisy o ub.społ. ZUS  / Sozialversicherungsvorschriften],MATCH($B229,tab_MinKomp[[Stanowisko / Position ]:[Stanowisko / Position ]],0)))</f>
        <v>n/a</v>
      </c>
      <c r="N230" s="343" t="str">
        <f>IF(INDEX(tab_MinKomp[PRZEPISY O PDOF /persönlich Einkommensteuergesetz ],MATCH($B229,tab_MinKomp[[Stanowisko / Position ]:[Stanowisko / Position ]],0))="n/a","n/a",N229-INDEX(tab_MinKomp[PRZEPISY O PDOF /persönlich Einkommensteuergesetz ],MATCH($B229,tab_MinKomp[[Stanowisko / Position ]:[Stanowisko / Position ]],0)))</f>
        <v>n/a</v>
      </c>
      <c r="O230" s="343">
        <f>IF(INDEX(tab_MinKomp[Regulamin pracy / Arbeitsordnung],MATCH($B229,tab_MinKomp[[Stanowisko / Position ]:[Stanowisko / Position ]],0))="n/a","n/a",O229-INDEX(tab_MinKomp[Regulamin pracy / Arbeitsordnung],MATCH($B229,tab_MinKomp[[Stanowisko / Position ]:[Stanowisko / Position ]],0)))</f>
        <v>0</v>
      </c>
      <c r="P230" s="343">
        <f>IF(INDEX(tab_MinKomp[Regulamin wynagradzania / Vergütungsordnung],MATCH($B229,tab_MinKomp[[Stanowisko / Position ]:[Stanowisko / Position ]],0))="n/a","n/a",P229-INDEX(tab_MinKomp[Regulamin wynagradzania / Vergütungsordnung],MATCH($B229,tab_MinKomp[[Stanowisko / Position ]:[Stanowisko / Position ]],0)))</f>
        <v>0</v>
      </c>
      <c r="Q230" s="343" t="str">
        <f>IF(INDEX(tab_MinKomp[System R2PŁATNIK PRO: Płace / Lohnabrechnung],MATCH($B229,tab_MinKomp[[Stanowisko / Position ]:[Stanowisko / Position ]],0))="n/a","n/a",Q229-INDEX(tab_MinKomp[System R2PŁATNIK PRO: Płace / Lohnabrechnung],MATCH($B229,tab_MinKomp[[Stanowisko / Position ]:[Stanowisko / Position ]],0)))</f>
        <v>n/a</v>
      </c>
      <c r="R230" s="343" t="str">
        <f>IF(INDEX(tab_MinKomp[SystemR2PŁATNIK PRO: KADRY / Personaldaten],MATCH($B229,tab_MinKomp[[Stanowisko / Position ]:[Stanowisko / Position ]],0))="n/a","n/a",R229-INDEX(tab_MinKomp[SystemR2PŁATNIK PRO: KADRY / Personaldaten],MATCH($B229,tab_MinKomp[[Stanowisko / Position ]:[Stanowisko / Position ]],0)))</f>
        <v>n/a</v>
      </c>
      <c r="S230" s="343" t="str">
        <f>IF(INDEX(tab_MinKomp[SYSTEM R2PŁATNIK PRO: zarządzanie pracownikami / Arbeitsverwaltung],MATCH($B229,tab_MinKomp[[Stanowisko / Position ]:[Stanowisko / Position ]],0))="n/a","n/a",S229-INDEX(tab_MinKomp[SYSTEM R2PŁATNIK PRO: zarządzanie pracownikami / Arbeitsverwaltung],MATCH($B229,tab_MinKomp[[Stanowisko / Position ]:[Stanowisko / Position ]],0)))</f>
        <v>n/a</v>
      </c>
      <c r="T230" s="343">
        <f>IF(INDEX(tab_MinKomp[Doradztwo, wsparcie personalne / Personalberatung und Unterstützung],MATCH($B229,tab_MinKomp[[Stanowisko / Position ]:[Stanowisko / Position ]],0))="n/a","n/a",T229-INDEX(tab_MinKomp[Doradztwo, wsparcie personalne / Personalberatung und Unterstützung],MATCH($B229,tab_MinKomp[[Stanowisko / Position ]:[Stanowisko / Position ]],0)))</f>
        <v>0</v>
      </c>
      <c r="U230" s="343" t="str">
        <f>IF(INDEX(tab_MinKomp[Przepisy o podatku VAT / MwSt.- Gesetz],MATCH($B229,tab_MinKomp[[Stanowisko / Position ]:[Stanowisko / Position ]],0))="n/a","n/a",U229-INDEX(tab_MinKomp[Przepisy o podatku VAT / MwSt.- Gesetz],MATCH($B229,tab_MinKomp[[Stanowisko / Position ]:[Stanowisko / Position ]],0)))</f>
        <v>n/a</v>
      </c>
      <c r="V230" s="343" t="str">
        <f>IF(INDEX(tab_MinKomp[PrzepisyPDOP / geschäftlich Einkommensteuergesetz],MATCH($B229,tab_MinKomp[[Stanowisko / Position ]:[Stanowisko / Position ]],0))="n/a","n/a",V229-INDEX(tab_MinKomp[PrzepisyPDOP / geschäftlich Einkommensteuergesetz],MATCH($B229,tab_MinKomp[[Stanowisko / Position ]:[Stanowisko / Position ]],0)))</f>
        <v>n/a</v>
      </c>
      <c r="W230" s="343" t="str">
        <f>IF(INDEX(tab_MinKomp[System BAAN / FINANSE (FIBU)],MATCH($B229,tab_MinKomp[[Stanowisko / Position ]:[Stanowisko / Position ]],0))="n/a","n/a",W229-INDEX(tab_MinKomp[System BAAN / FINANSE (FIBU)],MATCH($B229,tab_MinKomp[[Stanowisko / Position ]:[Stanowisko / Position ]],0)))</f>
        <v>n/a</v>
      </c>
      <c r="X230" s="343" t="str">
        <f>IF(INDEX(tab_MinKomp[Systemy pomocnicze / Hilfssysteme(STOCKPROGRAM, KALK2000 etc.)],MATCH($B229,tab_MinKomp[[Stanowisko / Position ]:[Stanowisko / Position ]],0))="n/a","n/a",X229-INDEX(tab_MinKomp[Systemy pomocnicze / Hilfssysteme(STOCKPROGRAM, KALK2000 etc.)],MATCH($B229,tab_MinKomp[[Stanowisko / Position ]:[Stanowisko / Position ]],0)))</f>
        <v>n/a</v>
      </c>
      <c r="Y230" s="343" t="str">
        <f>IF(INDEX(tab_MinKomp[Polityka rachunkowości / Buchführungspolitik],MATCH($B229,tab_MinKomp[[Stanowisko / Position ]:[Stanowisko / Position ]],0))="n/a","n/a",Y229-INDEX(tab_MinKomp[Polityka rachunkowości / Buchführungspolitik],MATCH($B229,tab_MinKomp[[Stanowisko / Position ]:[Stanowisko / Position ]],0)))</f>
        <v>n/a</v>
      </c>
      <c r="Z230" s="343" t="str">
        <f>IF(INDEX(tab_MinKomp[Ustawa o rachunkowości / Rechnungslegungsgesetz],MATCH($B229,tab_MinKomp[[Stanowisko / Position ]:[Stanowisko / Position ]],0))="n/a","n/a",Z229-INDEX(tab_MinKomp[Ustawa o rachunkowości / Rechnungslegungsgesetz],MATCH($B229,tab_MinKomp[[Stanowisko / Position ]:[Stanowisko / Position ]],0)))</f>
        <v>n/a</v>
      </c>
      <c r="AA230" s="343" t="str">
        <f>IF(INDEX(tab_MinKomp[WORKFLOW - TS-100],MATCH($B229,tab_MinKomp[[Stanowisko / Position ]:[Stanowisko / Position ]],0))="n/a","n/a",AA229-INDEX(tab_MinKomp[WORKFLOW - TS-100],MATCH($B229,tab_MinKomp[[Stanowisko / Position ]:[Stanowisko / Position ]],0)))</f>
        <v>n/a</v>
      </c>
      <c r="AB230" s="343" t="str">
        <f>IF(INDEX(tab_MinKomp[WORKFLOW - SFMS],MATCH($B229,tab_MinKomp[[Stanowisko / Position ]:[Stanowisko / Position ]],0))="n/a","n/a",AB229-INDEX(tab_MinKomp[WORKFLOW - SFMS],MATCH($B229,tab_MinKomp[[Stanowisko / Position ]:[Stanowisko / Position ]],0)))</f>
        <v>n/a</v>
      </c>
      <c r="AC230" s="343" t="str">
        <f>IF(INDEX(tab_MinKomp[System ISO 9001:2015],MATCH($B229,tab_MinKomp[[Stanowisko / Position ]:[Stanowisko / Position ]],0))="n/a","n/a",AC229-INDEX(tab_MinKomp[System ISO 9001:2015],MATCH($B229,tab_MinKomp[[Stanowisko / Position ]:[Stanowisko / Position ]],0)))</f>
        <v>n/a</v>
      </c>
      <c r="AD230" s="343" t="str">
        <f>IF(INDEX(tab_MinKomp[System IATF 16949:2016],MATCH($B229,tab_MinKomp[[Stanowisko / Position ]:[Stanowisko / Position ]],0))="n/a","n/a",AD229-INDEX(tab_MinKomp[System IATF 16949:2016],MATCH($B229,tab_MinKomp[[Stanowisko / Position ]:[Stanowisko / Position ]],0)))</f>
        <v>n/a</v>
      </c>
      <c r="AE230" s="343" t="str">
        <f>IF(INDEX(tab_MinKomp[System ISO 14001:2015],MATCH($B229,tab_MinKomp[[Stanowisko / Position ]:[Stanowisko / Position ]],0))="n/a","n/a",AE229-INDEX(tab_MinKomp[System ISO 14001:2015],MATCH($B229,tab_MinKomp[[Stanowisko / Position ]:[Stanowisko / Position ]],0)))</f>
        <v>n/a</v>
      </c>
      <c r="AF230" s="343" t="str">
        <f>IF(INDEX(tab_MinKomp[System PN-N 18001:2004 / ISO 45001:2018],MATCH($B229,tab_MinKomp[[Stanowisko / Position ]:[Stanowisko / Position ]],0))="n/a","n/a",AF229-INDEX(tab_MinKomp[System PN-N 18001:2004 / ISO 45001:2018],MATCH($B229,tab_MinKomp[[Stanowisko / Position ]:[Stanowisko / Position ]],0)))</f>
        <v>n/a</v>
      </c>
      <c r="AG230" s="343" t="str">
        <f>IF(INDEX(tab_MinKomp[Wymagania VDA 6.3 Process / Forderungen],MATCH($B229,tab_MinKomp[[Stanowisko / Position ]:[Stanowisko / Position ]],0))="n/a","n/a",AG229-INDEX(tab_MinKomp[Wymagania VDA 6.3 Process / Forderungen],MATCH($B229,tab_MinKomp[[Stanowisko / Position ]:[Stanowisko / Position ]],0)))</f>
        <v>n/a</v>
      </c>
      <c r="AH230" s="343" t="str">
        <f>IF(INDEX(tab_MinKomp[Wymagania VDA 6.5 Product / Forderungen],MATCH($B229,tab_MinKomp[[Stanowisko / Position ]:[Stanowisko / Position ]],0))="n/a","n/a",AH229-INDEX(tab_MinKomp[Wymagania VDA 6.5 Product / Forderungen],MATCH($B229,tab_MinKomp[[Stanowisko / Position ]:[Stanowisko / Position ]],0)))</f>
        <v>n/a</v>
      </c>
      <c r="AI230" s="343" t="str">
        <f>IF(INDEX(tab_MinKomp[PSCR (VW Product Safety &amp; Conformity Representative)],MATCH($B229,tab_MinKomp[[Stanowisko / Position ]:[Stanowisko / Position ]],0))="n/a","n/a",AI229-INDEX(tab_MinKomp[PSCR (VW Product Safety &amp; Conformity Representative)],MATCH($B229,tab_MinKomp[[Stanowisko / Position ]:[Stanowisko / Position ]],0)))</f>
        <v>n/a</v>
      </c>
      <c r="AJ230" s="343" t="str">
        <f>IF(INDEX(tab_MinKomp[Auditor systemu ISO 17025:2018],MATCH($B229,tab_MinKomp[[Stanowisko / Position ]:[Stanowisko / Position ]],0))="n/a","n/a",AJ229-INDEX(tab_MinKomp[Auditor systemu ISO 17025:2018],MATCH($B229,tab_MinKomp[[Stanowisko / Position ]:[Stanowisko / Position ]],0)))</f>
        <v>n/a</v>
      </c>
      <c r="AK230" s="343" t="str">
        <f>IF(INDEX(tab_MinKomp[Pełnomocnik systemu / Systemvertreter],MATCH($B229,tab_MinKomp[[Stanowisko / Position ]:[Stanowisko / Position ]],0))="n/a","n/a",AK229-INDEX(tab_MinKomp[Pełnomocnik systemu / Systemvertreter],MATCH($B229,tab_MinKomp[[Stanowisko / Position ]:[Stanowisko / Position ]],0)))</f>
        <v>n/a</v>
      </c>
      <c r="AL230" s="343" t="str">
        <f>IF(INDEX(tab_MinKomp[Polityka Etyczna - Compliance],MATCH($B229,tab_MinKomp[[Stanowisko / Position ]:[Stanowisko / Position ]],0))="n/a","n/a",AL229-INDEX(tab_MinKomp[Polityka Etyczna - Compliance],MATCH($B229,tab_MinKomp[[Stanowisko / Position ]:[Stanowisko / Position ]],0)))</f>
        <v>n/a</v>
      </c>
      <c r="AM230" s="343" t="str">
        <f>IF(INDEX(tab_MinKomp[WDRAŻANIE NOWYCH PROJEKTÓW/ PROCEDURA CTM],MATCH($B229,tab_MinKomp[[Stanowisko / Position ]:[Stanowisko / Position ]],0))="n/a","n/a",AM229-INDEX(tab_MinKomp[WDRAŻANIE NOWYCH PROJEKTÓW/ PROCEDURA CTM],MATCH($B229,tab_MinKomp[[Stanowisko / Position ]:[Stanowisko / Position ]],0)))</f>
        <v>n/a</v>
      </c>
      <c r="AN230" s="343" t="str">
        <f>IF(INDEX(tab_MinKomp[KAMIENIE MILOWE MSL/PIFF],MATCH($B229,tab_MinKomp[[Stanowisko / Position ]:[Stanowisko / Position ]],0))="n/a","n/a",AN229-INDEX(tab_MinKomp[KAMIENIE MILOWE MSL/PIFF],MATCH($B229,tab_MinKomp[[Stanowisko / Position ]:[Stanowisko / Position ]],0)))</f>
        <v>n/a</v>
      </c>
      <c r="AO230" s="343">
        <f>IF(INDEX(tab_MinKomp[CP],MATCH($B229,tab_MinKomp[[Stanowisko / Position ]:[Stanowisko / Position ]],0))="n/a","n/a",AO229-INDEX(tab_MinKomp[CP],MATCH($B229,tab_MinKomp[[Stanowisko / Position ]:[Stanowisko / Position ]],0)))</f>
        <v>0</v>
      </c>
      <c r="AP230" s="343" t="str">
        <f>IF(INDEX(tab_MinKomp[FMEA],MATCH($B229,tab_MinKomp[[Stanowisko / Position ]:[Stanowisko / Position ]],0))="n/a","n/a",AP229-INDEX(tab_MinKomp[FMEA],MATCH($B229,tab_MinKomp[[Stanowisko / Position ]:[Stanowisko / Position ]],0)))</f>
        <v>n/a</v>
      </c>
      <c r="AQ230" s="343">
        <f>IF(INDEX(tab_MinKomp[FLOW CHART],MATCH($B229,tab_MinKomp[[Stanowisko / Position ]:[Stanowisko / Position ]],0))="n/a","n/a",AQ229-INDEX(tab_MinKomp[FLOW CHART],MATCH($B229,tab_MinKomp[[Stanowisko / Position ]:[Stanowisko / Position ]],0)))</f>
        <v>0</v>
      </c>
      <c r="AR230" s="343" t="str">
        <f>IF(INDEX(tab_MinKomp[APQP],MATCH($B229,tab_MinKomp[[Stanowisko / Position ]:[Stanowisko / Position ]],0))="n/a","n/a",AR229-INDEX(tab_MinKomp[APQP],MATCH($B229,tab_MinKomp[[Stanowisko / Position ]:[Stanowisko / Position ]],0)))</f>
        <v>n/a</v>
      </c>
      <c r="AS230" s="343" t="str">
        <f>IF(INDEX(tab_MinKomp[MSA],MATCH($B229,tab_MinKomp[[Stanowisko / Position ]:[Stanowisko / Position ]],0))="n/a","n/a",AS229-INDEX(tab_MinKomp[MSA],MATCH($B229,tab_MinKomp[[Stanowisko / Position ]:[Stanowisko / Position ]],0)))</f>
        <v>n/a</v>
      </c>
      <c r="AT230" s="343" t="str">
        <f>IF(INDEX(tab_MinKomp[SPC],MATCH($B229,tab_MinKomp[[Stanowisko / Position ]:[Stanowisko / Position ]],0))="n/a","n/a",AT229-INDEX(tab_MinKomp[SPC],MATCH($B229,tab_MinKomp[[Stanowisko / Position ]:[Stanowisko / Position ]],0)))</f>
        <v>n/a</v>
      </c>
      <c r="AU230" s="343">
        <f>IF(INDEX(tab_MinKomp[CSR (SPECYFICZNE WYMAGANIA KLIENTA)],MATCH($B229,tab_MinKomp[[Stanowisko / Position ]:[Stanowisko / Position ]],0))="n/a","n/a",AU229-INDEX(tab_MinKomp[CSR (SPECYFICZNE WYMAGANIA KLIENTA)],MATCH($B229,tab_MinKomp[[Stanowisko / Position ]:[Stanowisko / Position ]],0)))</f>
        <v>-1</v>
      </c>
      <c r="AV230" s="343">
        <f>IF(INDEX(tab_MinKomp[5S],MATCH($B229,tab_MinKomp[[Stanowisko / Position ]:[Stanowisko / Position ]],0))="n/a","n/a",AV229-INDEX(tab_MinKomp[5S],MATCH($B229,tab_MinKomp[[Stanowisko / Position ]:[Stanowisko / Position ]],0)))</f>
        <v>0</v>
      </c>
      <c r="AW230" s="343">
        <f>IF(INDEX(tab_MinKomp[LEAN MANAGEMENT],MATCH($B229,tab_MinKomp[[Stanowisko / Position ]:[Stanowisko / Position ]],0))="n/a","n/a",AW229-INDEX(tab_MinKomp[LEAN MANAGEMENT],MATCH($B229,tab_MinKomp[[Stanowisko / Position ]:[Stanowisko / Position ]],0)))</f>
        <v>0</v>
      </c>
      <c r="AX230" s="343" t="str">
        <f>IF(INDEX(tab_MinKomp[5R],MATCH($B229,tab_MinKomp[[Stanowisko / Position ]:[Stanowisko / Position ]],0))="n/a","n/a",AX229-INDEX(tab_MinKomp[5R],MATCH($B229,tab_MinKomp[[Stanowisko / Position ]:[Stanowisko / Position ]],0)))</f>
        <v>n/a</v>
      </c>
      <c r="AY230" s="343" t="str">
        <f>IF(INDEX(tab_MinKomp[Six Sigma],MATCH($B229,tab_MinKomp[[Stanowisko / Position ]:[Stanowisko / Position ]],0))="n/a","n/a",AY229-INDEX(tab_MinKomp[Six Sigma],MATCH($B229,tab_MinKomp[[Stanowisko / Position ]:[Stanowisko / Position ]],0)))</f>
        <v>n/a</v>
      </c>
      <c r="AZ230" s="343" t="str">
        <f>IF(INDEX(tab_MinKomp[System BAAN / Distribution &amp; Supply Chain],MATCH($B229,tab_MinKomp[[Stanowisko / Position ]:[Stanowisko / Position ]],0))="n/a","n/a",AZ229-INDEX(tab_MinKomp[System BAAN / Distribution &amp; Supply Chain],MATCH($B229,tab_MinKomp[[Stanowisko / Position ]:[Stanowisko / Position ]],0)))</f>
        <v>n/a</v>
      </c>
      <c r="BA230" s="343">
        <f>IF(INDEX(tab_MinKomp[Gospodarka magazynowa / Lagerverwaltung],MATCH($B229,tab_MinKomp[[Stanowisko / Position ]:[Stanowisko / Position ]],0))="n/a","n/a",BA229-INDEX(tab_MinKomp[Gospodarka magazynowa / Lagerverwaltung],MATCH($B229,tab_MinKomp[[Stanowisko / Position ]:[Stanowisko / Position ]],0)))</f>
        <v>0</v>
      </c>
      <c r="BB230" s="343">
        <f>IF(INDEX(tab_MinKomp[Inwentaryzacja - organizacja i przebieg / Inventurprozess],MATCH($B229,tab_MinKomp[[Stanowisko / Position ]:[Stanowisko / Position ]],0))="n/a","n/a",BB229-INDEX(tab_MinKomp[Inwentaryzacja - organizacja i przebieg / Inventurprozess],MATCH($B229,tab_MinKomp[[Stanowisko / Position ]:[Stanowisko / Position ]],0)))</f>
        <v>0</v>
      </c>
      <c r="BC230" s="343" t="str">
        <f>IF(INDEX(tab_MinKomp[Organizacja dostaw / Versorgungsorganisation],MATCH($B229,tab_MinKomp[[Stanowisko / Position ]:[Stanowisko / Position ]],0))="n/a","n/a",BC229-INDEX(tab_MinKomp[Organizacja dostaw / Versorgungsorganisation],MATCH($B229,tab_MinKomp[[Stanowisko / Position ]:[Stanowisko / Position ]],0)))</f>
        <v>n/a</v>
      </c>
      <c r="BD230" s="343" t="str">
        <f>IF(INDEX(tab_MinKomp[Organizacja wysyłek / Organisation von Lieferungen],MATCH($B229,tab_MinKomp[[Stanowisko / Position ]:[Stanowisko / Position ]],0))="n/a","n/a",BD229-INDEX(tab_MinKomp[Organizacja wysyłek / Organisation von Lieferungen],MATCH($B229,tab_MinKomp[[Stanowisko / Position ]:[Stanowisko / Position ]],0)))</f>
        <v>n/a</v>
      </c>
      <c r="BE230" s="343" t="str">
        <f>IF(INDEX(tab_MinKomp[Analiza magazynowa - Program Polen.mdb / Inventuranalyse],MATCH($B229,tab_MinKomp[[Stanowisko / Position ]:[Stanowisko / Position ]],0))="n/a","n/a",BE229-INDEX(tab_MinKomp[Analiza magazynowa - Program Polen.mdb / Inventuranalyse],MATCH($B229,tab_MinKomp[[Stanowisko / Position ]:[Stanowisko / Position ]],0)))</f>
        <v>n/a</v>
      </c>
      <c r="BF230" s="315" t="str">
        <f>IF(INDEX(tab_MinKomp[MMOG (Materials Management Operations Guidelines)],MATCH($B229,tab_MinKomp[[Stanowisko / Position ]:[Stanowisko / Position ]],0))="n/a","n/a",BF229-INDEX(tab_MinKomp[MMOG (Materials Management Operations Guidelines)],MATCH($B229,tab_MinKomp[[Stanowisko / Position ]:[Stanowisko / Position ]],0)))</f>
        <v>n/a</v>
      </c>
      <c r="BG230" s="315" t="str">
        <f>IF(INDEX(tab_MinKomp[GPP],MATCH($B229,tab_MinKomp[[Stanowisko / Position ]:[Stanowisko / Position ]],0))="n/a","n/a",BG229-INDEX(tab_MinKomp[GPP],MATCH($B229,tab_MinKomp[[Stanowisko / Position ]:[Stanowisko / Position ]],0)))</f>
        <v>n/a</v>
      </c>
      <c r="BH230" s="315" t="str">
        <f>IF(INDEX(tab_MinKomp[AIAG (Automotive Industry Action Group)],MATCH($B229,tab_MinKomp[[Stanowisko / Position ]:[Stanowisko / Position ]],0))="n/a","n/a",BH229-INDEX(tab_MinKomp[AIAG (Automotive Industry Action Group)],MATCH($B229,tab_MinKomp[[Stanowisko / Position ]:[Stanowisko / Position ]],0)))</f>
        <v>n/a</v>
      </c>
      <c r="BI230" s="315" t="str">
        <f>IF(INDEX(tab_MinKomp[Super-G disputes],MATCH($B229,tab_MinKomp[[Stanowisko / Position ]:[Stanowisko / Position ]],0))="n/a","n/a",BI229-INDEX(tab_MinKomp[Super-G disputes],MATCH($B229,tab_MinKomp[[Stanowisko / Position ]:[Stanowisko / Position ]],0)))</f>
        <v>n/a</v>
      </c>
      <c r="BJ230" s="315" t="str">
        <f>IF(INDEX(tab_MinKomp[CMMS3/eDDL (Direct Data Link)],MATCH($B229,tab_MinKomp[[Stanowisko / Position ]:[Stanowisko / Position ]],0))="n/a","n/a",BJ229-INDEX(tab_MinKomp[CMMS3/eDDL (Direct Data Link)],MATCH($B229,tab_MinKomp[[Stanowisko / Position ]:[Stanowisko / Position ]],0)))</f>
        <v>n/a</v>
      </c>
      <c r="BK230" s="315" t="str">
        <f>IF(INDEX(tab_MinKomp[MP&amp;L (Material Planning and Logistics)],MATCH($B229,tab_MinKomp[[Stanowisko / Position ]:[Stanowisko / Position ]],0))="n/a","n/a",BK229-INDEX(tab_MinKomp[MP&amp;L (Material Planning and Logistics)],MATCH($B229,tab_MinKomp[[Stanowisko / Position ]:[Stanowisko / Position ]],0)))</f>
        <v>n/a</v>
      </c>
      <c r="BL230" s="315" t="str">
        <f>IF(INDEX(tab_MinKomp[Supplier delivery rating],MATCH($B229,tab_MinKomp[[Stanowisko / Position ]:[Stanowisko / Position ]],0))="n/a","n/a",BL229-INDEX(tab_MinKomp[Supplier delivery rating],MATCH($B229,tab_MinKomp[[Stanowisko / Position ]:[Stanowisko / Position ]],0)))</f>
        <v>n/a</v>
      </c>
      <c r="BM230" s="343">
        <f>IF(INDEX(tab_MinKomp[Planowanie produkcji / Produktionsplanung],MATCH($B229,tab_MinKomp[[Stanowisko / Position ]:[Stanowisko / Position ]],0))="n/a","n/a",BM229-INDEX(tab_MinKomp[Planowanie produkcji / Produktionsplanung],MATCH($B229,tab_MinKomp[[Stanowisko / Position ]:[Stanowisko / Position ]],0)))</f>
        <v>0</v>
      </c>
      <c r="BN230" s="343">
        <v>0</v>
      </c>
      <c r="BO230" s="343" t="str">
        <f>IF(INDEX(tab_MinKomp[Obsługa maszyn KVT / KVT Maschinenbedienung],MATCH($B229,tab_MinKomp[[Stanowisko / Position ]:[Stanowisko / Position ]],0))="n/a","n/a",BO229-INDEX(tab_MinKomp[Obsługa maszyn KVT / KVT Maschinenbedienung],MATCH($B229,tab_MinKomp[[Stanowisko / Position ]:[Stanowisko / Position ]],0)))</f>
        <v>n/a</v>
      </c>
      <c r="BP230" s="343" t="str">
        <f>IF(INDEX(tab_MinKomp[Obsługa maszyn KVT / KVT Maschinenbedienung],MATCH($B229,tab_MinKomp[[Stanowisko / Position ]:[Stanowisko / Position ]],0))="n/a","n/a",BP229-INDEX(tab_MinKomp[Obsługa maszyn KVT / KVT Maschinenbedienung],MATCH($B229,tab_MinKomp[[Stanowisko / Position ]:[Stanowisko / Position ]],0)))</f>
        <v>n/a</v>
      </c>
      <c r="BQ230" s="343" t="str">
        <f>IF(INDEX(tab_MinKomp[Obsługa maszyn ASL / ASL Maschinenbedienung],MATCH($B229,tab_MinKomp[[Stanowisko / Position ]:[Stanowisko / Position ]],0))="n/a","n/a",BQ229-INDEX(tab_MinKomp[Obsługa maszyn ASL / ASL Maschinenbedienung],MATCH($B229,tab_MinKomp[[Stanowisko / Position ]:[Stanowisko / Position ]],0)))</f>
        <v>n/a</v>
      </c>
      <c r="BR230" s="343" t="str">
        <f>IF(INDEX(tab_MinKomp[Obsługa maszyn Branson / Branson Maschinenbedienung],MATCH($B229,tab_MinKomp[[Stanowisko / Position ]:[Stanowisko / Position ]],0))="n/a","n/a",BR229-INDEX(tab_MinKomp[Obsługa maszyn Branson / Branson Maschinenbedienung],MATCH($B229,tab_MinKomp[[Stanowisko / Position ]:[Stanowisko / Position ]],0)))</f>
        <v>n/a</v>
      </c>
      <c r="BS230" s="343" t="s">
        <v>176</v>
      </c>
      <c r="BT230" s="343" t="str">
        <f>IF(INDEX(tab_MinKomp[Obsługa maszyn Piovan / Piovan Maschinenbedienung],MATCH($B229,tab_MinKomp[[Stanowisko / Position ]:[Stanowisko / Position ]],0))="n/a","n/a",BT229-INDEX(tab_MinKomp[Obsługa maszyn Piovan / Piovan Maschinenbedienung],MATCH($B229,tab_MinKomp[[Stanowisko / Position ]:[Stanowisko / Position ]],0)))</f>
        <v>n/a</v>
      </c>
      <c r="BU230" s="343" t="s">
        <v>176</v>
      </c>
      <c r="BV230" s="343">
        <f>IF(INDEX(tab_MinKomp[Eliminacja awarii / Beseitigung von Ausfällen],MATCH($B229,tab_MinKomp[[Stanowisko / Position ]:[Stanowisko / Position ]],0))="n/a","n/a",BV229-INDEX(tab_MinKomp[Eliminacja awarii / Beseitigung von Ausfällen],MATCH($B229,tab_MinKomp[[Stanowisko / Position ]:[Stanowisko / Position ]],0)))</f>
        <v>-2</v>
      </c>
      <c r="BW230" s="343" t="str">
        <f>IF(INDEX(tab_MinKomp[Informatyka ogólna (techniczne i systemowe) / Allgemeine IT (Technik und System)],MATCH($B229,tab_MinKomp[[Stanowisko / Position ]:[Stanowisko / Position ]],0))="n/a","n/a",BW229-INDEX(tab_MinKomp[Informatyka ogólna (techniczne i systemowe) / Allgemeine IT (Technik und System)],MATCH($B229,tab_MinKomp[[Stanowisko / Position ]:[Stanowisko / Position ]],0)))</f>
        <v>n/a</v>
      </c>
      <c r="BX230" s="343" t="str">
        <f>IF(INDEX(tab_MinKomp[Sieci komputerowe / Computernetzwerke],MATCH($B229,tab_MinKomp[[Stanowisko / Position ]:[Stanowisko / Position ]],0))="n/a","n/a",BX229-INDEX(tab_MinKomp[Sieci komputerowe / Computernetzwerke],MATCH($B229,tab_MinKomp[[Stanowisko / Position ]:[Stanowisko / Position ]],0)))</f>
        <v>n/a</v>
      </c>
      <c r="BY230" s="343" t="str">
        <f>IF(INDEX(tab_MinKomp[Hardware (komputery PC, drukarki biurowe i etykietowe, telefonia stacjonarna i mobilna) (PC, Drucker, Telefpne, Handys)],MATCH($B229,tab_MinKomp[[Stanowisko / Position ]:[Stanowisko / Position ]],0))="n/a","n/a",BY229-INDEX(tab_MinKomp[Hardware (komputery PC, drukarki biurowe i etykietowe, telefonia stacjonarna i mobilna) (PC, Drucker, Telefpne, Handys)],MATCH($B229,tab_MinKomp[[Stanowisko / Position ]:[Stanowisko / Position ]],0)))</f>
        <v>n/a</v>
      </c>
      <c r="BZ230" s="343" t="str">
        <f>IF(INDEX(tab_MinKomp[Software &amp; Systems (MS Office, MS Remote Desktop)],MATCH($B229,tab_MinKomp[[Stanowisko / Position ]:[Stanowisko / Position ]],0))="n/a","n/a",BZ229-INDEX(tab_MinKomp[Software &amp; Systems (MS Office, MS Remote Desktop)],MATCH($B229,tab_MinKomp[[Stanowisko / Position ]:[Stanowisko / Position ]],0)))</f>
        <v>n/a</v>
      </c>
      <c r="CA230" s="343" t="str">
        <f>IF(INDEX(tab_MinKomp[Programowanie obiektowe (PHP) / Objektprogrammierung],MATCH($B229,tab_MinKomp[[Stanowisko / Position ]:[Stanowisko / Position ]],0))="n/a","n/a",CA229-INDEX(tab_MinKomp[Programowanie obiektowe (PHP) / Objektprogrammierung],MATCH($B229,tab_MinKomp[[Stanowisko / Position ]:[Stanowisko / Position ]],0)))</f>
        <v>n/a</v>
      </c>
      <c r="CB230" s="343" t="str">
        <f>IF(INDEX(tab_MinKomp[Scrum],MATCH($B229,tab_MinKomp[[Stanowisko / Position ]:[Stanowisko / Position ]],0))="n/a","n/a",CB229-INDEX(tab_MinKomp[Scrum],MATCH($B229,tab_MinKomp[[Stanowisko / Position ]:[Stanowisko / Position ]],0)))</f>
        <v>n/a</v>
      </c>
      <c r="CC230" s="343" t="str">
        <f>IF(INDEX(tab_MinKomp[SQL (MySQL)],MATCH($B229,tab_MinKomp[[Stanowisko / Position ]:[Stanowisko / Position ]],0))="n/a","n/a",CC229-INDEX(tab_MinKomp[SQL (MySQL)],MATCH($B229,tab_MinKomp[[Stanowisko / Position ]:[Stanowisko / Position ]],0)))</f>
        <v>n/a</v>
      </c>
      <c r="CD230" s="343" t="str">
        <f>IF(INDEX(tab_MinKomp[Javascript],MATCH($B229,tab_MinKomp[[Stanowisko / Position ]:[Stanowisko / Position ]],0))="n/a","n/a",CD229-INDEX(tab_MinKomp[Javascript],MATCH($B229,tab_MinKomp[[Stanowisko / Position ]:[Stanowisko / Position ]],0)))</f>
        <v>n/a</v>
      </c>
      <c r="CE230" s="343" t="str">
        <f>IF(INDEX(tab_MinKomp[Joomla],MATCH($B229,tab_MinKomp[[Stanowisko / Position ]:[Stanowisko / Position ]],0))="n/a","n/a",CE229-INDEX(tab_MinKomp[Joomla],MATCH($B229,tab_MinKomp[[Stanowisko / Position ]:[Stanowisko / Position ]],0)))</f>
        <v>n/a</v>
      </c>
      <c r="CF230" s="343" t="str">
        <f>IF(INDEX(tab_MinKomp[Bash],MATCH($B229,tab_MinKomp[[Stanowisko / Position ]:[Stanowisko / Position ]],0))="n/a","n/a",CF229-INDEX(tab_MinKomp[Bash],MATCH($B229,tab_MinKomp[[Stanowisko / Position ]:[Stanowisko / Position ]],0)))</f>
        <v>n/a</v>
      </c>
      <c r="CG230" s="343">
        <f>IF(INDEX(tab_MinKomp[Systemy MES (HYDRA / SFMS)],MATCH($B229,tab_MinKomp[[Stanowisko / Position ]:[Stanowisko / Position ]],0))="n/a","n/a",CG229-INDEX(tab_MinKomp[Systemy MES (HYDRA / SFMS)],MATCH($B229,tab_MinKomp[[Stanowisko / Position ]:[Stanowisko / Position ]],0)))</f>
        <v>0</v>
      </c>
      <c r="CH230" s="343" t="str">
        <f>IF(INDEX(tab_MinKomp[HTML / CSS],MATCH($B229,tab_MinKomp[[Stanowisko / Position ]:[Stanowisko / Position ]],0))="n/a","n/a",CH229-INDEX(tab_MinKomp[HTML / CSS],MATCH($B229,tab_MinKomp[[Stanowisko / Position ]:[Stanowisko / Position ]],0)))</f>
        <v>n/a</v>
      </c>
      <c r="CI230" s="343" t="str">
        <f>IF(INDEX(tab_MinKomp[SYSTEM PR],MATCH($B229,tab_MinKomp[[Stanowisko / Position ]:[Stanowisko / Position ]],0))="n/a","n/a",CI229-INDEX(tab_MinKomp[SYSTEM PR],MATCH($B229,tab_MinKomp[[Stanowisko / Position ]:[Stanowisko / Position ]],0)))</f>
        <v>n/a</v>
      </c>
      <c r="CJ230" s="343" t="str">
        <f>IF(INDEX(tab_MinKomp[System Einkauf XP / EBA],MATCH($B229,tab_MinKomp[[Stanowisko / Position ]:[Stanowisko / Position ]],0))="n/a","n/a",CJ229-INDEX(tab_MinKomp[System Einkauf XP / EBA],MATCH($B229,tab_MinKomp[[Stanowisko / Position ]:[Stanowisko / Position ]],0)))</f>
        <v>n/a</v>
      </c>
      <c r="CK230" s="343" t="str">
        <f>IF(INDEX(tab_MinKomp[Techniki negocjacyjne / Verhandlungstechniken],MATCH($B229,tab_MinKomp[[Stanowisko / Position ]:[Stanowisko / Position ]],0))="n/a","n/a",CK229-INDEX(tab_MinKomp[Techniki negocjacyjne / Verhandlungstechniken],MATCH($B229,tab_MinKomp[[Stanowisko / Position ]:[Stanowisko / Position ]],0)))</f>
        <v>n/a</v>
      </c>
      <c r="CL230" s="343" t="str">
        <f>IF(INDEX(tab_MinKomp[Znajomość rynku branżowego / Kenntnis des Industrie Marktes],MATCH($B229,tab_MinKomp[[Stanowisko / Position ]:[Stanowisko / Position ]],0))="n/a","n/a",CL229-INDEX(tab_MinKomp[Znajomość rynku branżowego / Kenntnis des Industrie Marktes],MATCH($B229,tab_MinKomp[[Stanowisko / Position ]:[Stanowisko / Position ]],0)))</f>
        <v>n/a</v>
      </c>
      <c r="CM230" s="343">
        <f>IF(INDEX(tab_MinKomp[RAPORTY 8D / 8D Berichten],MATCH($B229,tab_MinKomp[[Stanowisko / Position ]:[Stanowisko / Position ]],0))="n/a","n/a",CM229-INDEX(tab_MinKomp[RAPORTY 8D / 8D Berichten],MATCH($B229,tab_MinKomp[[Stanowisko / Position ]:[Stanowisko / Position ]],0)))</f>
        <v>-1</v>
      </c>
      <c r="CN230" s="343">
        <f>IF(INDEX(tab_MinKomp[NARZĘDZIA JAKOŚCIOWE (5WHY, Ishikawa, etc) / QS-Werkzeuge],MATCH($B229,tab_MinKomp[[Stanowisko / Position ]:[Stanowisko / Position ]],0))="n/a","n/a",CN229-INDEX(tab_MinKomp[NARZĘDZIA JAKOŚCIOWE (5WHY, Ishikawa, etc) / QS-Werkzeuge],MATCH($B229,tab_MinKomp[[Stanowisko / Position ]:[Stanowisko / Position ]],0)))</f>
        <v>-1</v>
      </c>
      <c r="CO230" s="343">
        <f>IF(INDEX(tab_MinKomp[PDCA],MATCH($B229,tab_MinKomp[[Stanowisko / Position ]:[Stanowisko / Position ]],0))="n/a","n/a",CO229-INDEX(tab_MinKomp[PDCA],MATCH($B229,tab_MinKomp[[Stanowisko / Position ]:[Stanowisko / Position ]],0)))</f>
        <v>-1</v>
      </c>
      <c r="CP230" s="343">
        <f>IF(INDEX(tab_MinKomp[Pareto],MATCH($B229,tab_MinKomp[[Stanowisko / Position ]:[Stanowisko / Position ]],0))="n/a","n/a",CP229-INDEX(tab_MinKomp[Pareto],MATCH($B229,tab_MinKomp[[Stanowisko / Position ]:[Stanowisko / Position ]],0)))</f>
        <v>-2</v>
      </c>
      <c r="CQ230" s="343" t="str">
        <f>IF(INDEX(tab_MinKomp[PPAP/PSW],MATCH($B229,tab_MinKomp[[Stanowisko / Position ]:[Stanowisko / Position ]],0))="n/a","n/a",CQ229-INDEX(tab_MinKomp[PPAP/PSW],MATCH($B229,tab_MinKomp[[Stanowisko / Position ]:[Stanowisko / Position ]],0)))</f>
        <v>n/a</v>
      </c>
      <c r="CR230" s="343" t="str">
        <f>IF(INDEX(tab_MinKomp[SUPPLIER MANAGEMENT],MATCH($B229,tab_MinKomp[[Stanowisko / Position ]:[Stanowisko / Position ]],0))="n/a","n/a",CR229-INDEX(tab_MinKomp[SUPPLIER MANAGEMENT],MATCH($B229,tab_MinKomp[[Stanowisko / Position ]:[Stanowisko / Position ]],0)))</f>
        <v>n/a</v>
      </c>
      <c r="CS230" s="343" t="str">
        <f>IF(INDEX(tab_MinKomp[OBSŁUGA PORTALI KLIENTA / Kundenportale],MATCH($B229,tab_MinKomp[[Stanowisko / Position ]:[Stanowisko / Position ]],0))="n/a","n/a",CS229-INDEX(tab_MinKomp[OBSŁUGA PORTALI KLIENTA / Kundenportale],MATCH($B229,tab_MinKomp[[Stanowisko / Position ]:[Stanowisko / Position ]],0)))</f>
        <v>n/a</v>
      </c>
      <c r="CT230" s="343" t="str">
        <f>IF(INDEX(tab_MinKomp[Obsługa systemu BABTECQ / BABTECQ System],MATCH($B229,tab_MinKomp[[Stanowisko / Position ]:[Stanowisko / Position ]],0))="n/a","n/a",CT229-INDEX(tab_MinKomp[Obsługa systemu BABTECQ / BABTECQ System],MATCH($B229,tab_MinKomp[[Stanowisko / Position ]:[Stanowisko / Position ]],0)))</f>
        <v>n/a</v>
      </c>
      <c r="CU230" s="343" t="str">
        <f>IF(INDEX(tab_MinKomp[Rysunek techniczny / technische Zeichnung],MATCH($B229,tab_MinKomp[[Stanowisko / Position ]:[Stanowisko / Position ]],0))="n/a","n/a",CU229-INDEX(tab_MinKomp[Rysunek techniczny / technische Zeichnung],MATCH($B229,tab_MinKomp[[Stanowisko / Position ]:[Stanowisko / Position ]],0)))</f>
        <v>n/a</v>
      </c>
      <c r="CV230" s="343" t="str">
        <f>IF(INDEX(tab_MinKomp[Kalibracja / Kalibrierung],MATCH($B229,tab_MinKomp[[Stanowisko / Position ]:[Stanowisko / Position ]],0))="n/a","n/a",CV229-INDEX(tab_MinKomp[Kalibracja / Kalibrierung],MATCH($B229,tab_MinKomp[[Stanowisko / Position ]:[Stanowisko / Position ]],0)))</f>
        <v>n/a</v>
      </c>
      <c r="CW230" s="343" t="str">
        <f>IF(INDEX(tab_MinKomp[Rekwalifikacja / Requalifizierung],MATCH($B229,tab_MinKomp[[Stanowisko / Position ]:[Stanowisko / Position ]],0))="n/a","n/a",CW229-INDEX(tab_MinKomp[Rekwalifikacja / Requalifizierung],MATCH($B229,tab_MinKomp[[Stanowisko / Position ]:[Stanowisko / Position ]],0)))</f>
        <v>n/a</v>
      </c>
      <c r="CX230" s="315" t="s">
        <v>176</v>
      </c>
      <c r="CY230" s="315" t="s">
        <v>176</v>
      </c>
      <c r="CZ230" s="315" t="s">
        <v>176</v>
      </c>
      <c r="DA230" s="315" t="s">
        <v>176</v>
      </c>
      <c r="DB230" s="315" t="s">
        <v>176</v>
      </c>
      <c r="DC230" s="315" t="s">
        <v>176</v>
      </c>
      <c r="DD230" s="315" t="s">
        <v>176</v>
      </c>
      <c r="DE230" s="315" t="s">
        <v>176</v>
      </c>
      <c r="DF230" s="315" t="s">
        <v>176</v>
      </c>
      <c r="DG230" s="315" t="s">
        <v>176</v>
      </c>
      <c r="DH230" s="315" t="s">
        <v>176</v>
      </c>
      <c r="DI230" s="315" t="s">
        <v>176</v>
      </c>
      <c r="DJ230" s="315" t="s">
        <v>176</v>
      </c>
      <c r="DK230" s="315" t="s">
        <v>176</v>
      </c>
      <c r="DL230" s="315" t="s">
        <v>176</v>
      </c>
      <c r="DM230" s="315" t="s">
        <v>176</v>
      </c>
      <c r="DN230" s="315" t="s">
        <v>176</v>
      </c>
      <c r="DO230" s="315" t="s">
        <v>176</v>
      </c>
      <c r="DP230" s="315" t="s">
        <v>176</v>
      </c>
      <c r="DQ230" s="315" t="s">
        <v>176</v>
      </c>
      <c r="DR230" s="315" t="s">
        <v>176</v>
      </c>
      <c r="DS230" s="315" t="s">
        <v>176</v>
      </c>
      <c r="DT230" s="315" t="s">
        <v>176</v>
      </c>
      <c r="DU230" s="343" t="str">
        <f>IF(INDEX(tab_MinKomp[MSA i SPC],MATCH($B229,tab_MinKomp[[Stanowisko / Position ]:[Stanowisko / Position ]],0))="n/a","n/a",DU229-INDEX(tab_MinKomp[MSA i SPC],MATCH($B229,tab_MinKomp[[Stanowisko / Position ]:[Stanowisko / Position ]],0)))</f>
        <v>n/a</v>
      </c>
      <c r="DV230" s="343" t="str">
        <f>IF(INDEX(tab_MinKomp[Kontrola wejściowa komponentów/ Eingangskontrolle],MATCH($B229,tab_MinKomp[[Stanowisko / Position ]:[Stanowisko / Position ]],0))="n/a","n/a",DV229-INDEX(tab_MinKomp[Kontrola wejściowa komponentów/ Eingangskontrolle],MATCH($B229,tab_MinKomp[[Stanowisko / Position ]:[Stanowisko / Position ]],0)))</f>
        <v>n/a</v>
      </c>
      <c r="DW230" s="343" t="str">
        <f>IF(INDEX(tab_MinKomp[Kontrola wyjściowa produktu / Ausgangskontrolle],MATCH($B229,tab_MinKomp[[Stanowisko / Position ]:[Stanowisko / Position ]],0))="n/a","n/a",DW229-INDEX(tab_MinKomp[Kontrola wyjściowa produktu / Ausgangskontrolle],MATCH($B229,tab_MinKomp[[Stanowisko / Position ]:[Stanowisko / Position ]],0)))</f>
        <v>n/a</v>
      </c>
      <c r="DX230" s="343" t="str">
        <f>IF(INDEX(tab_MinKomp[Kontrola codzienna produkcji / Tägliche Produktionskontrolle],MATCH($B229,tab_MinKomp[[Stanowisko / Position ]:[Stanowisko / Position ]],0))="n/a","n/a",DX229-INDEX(tab_MinKomp[Kontrola codzienna produkcji / Tägliche Produktionskontrolle],MATCH($B229,tab_MinKomp[[Stanowisko / Position ]:[Stanowisko / Position ]],0)))</f>
        <v>n/a</v>
      </c>
      <c r="DY230" s="343" t="str">
        <f>IF(INDEX(tab_MinKomp[Konserwacja Rep],MATCH($B229,tab_MinKomp[[Stanowisko / Position ]:[Stanowisko / Position ]],0))="n/a","n/a",DY229-INDEX(tab_MinKomp[Konserwacja Rep],MATCH($B229,tab_MinKomp[[Stanowisko / Position ]:[Stanowisko / Position ]],0)))</f>
        <v>n/a</v>
      </c>
      <c r="DZ230" s="343" t="str">
        <f>IF(INDEX(tab_MinKomp[[Konserwacja Engel ]],MATCH($B229,tab_MinKomp[[Stanowisko / Position ]:[Stanowisko / Position ]],0))="n/a","n/a",DZ229-INDEX(tab_MinKomp[[Konserwacja Engel ]],MATCH($B229,tab_MinKomp[[Stanowisko / Position ]:[Stanowisko / Position ]],0)))</f>
        <v>n/a</v>
      </c>
      <c r="EA230" s="343" t="str">
        <f>IF(INDEX(tab_MinKomp[Konserwacja B 50],MATCH($B229,tab_MinKomp[[Stanowisko / Position ]:[Stanowisko / Position ]],0))="n/a","n/a",EA229-INDEX(tab_MinKomp[Konserwacja B 50],MATCH($B229,tab_MinKomp[[Stanowisko / Position ]:[Stanowisko / Position ]],0)))</f>
        <v>n/a</v>
      </c>
      <c r="EB230" s="343" t="str">
        <f>IF(INDEX(tab_MinKomp[[Konserwacja EOL ]],MATCH($B229,tab_MinKomp[[Stanowisko / Position ]:[Stanowisko / Position ]],0))="n/a","n/a",EB229-INDEX(tab_MinKomp[[Konserwacja EOL ]],MATCH($B229,tab_MinKomp[[Stanowisko / Position ]:[Stanowisko / Position ]],0)))</f>
        <v>n/a</v>
      </c>
      <c r="EC230" s="343" t="str">
        <f>IF(INDEX(tab_MinKomp[Konserwacja Branson],MATCH($B229,tab_MinKomp[[Stanowisko / Position ]:[Stanowisko / Position ]],0))="n/a","n/a",EC229-INDEX(tab_MinKomp[Konserwacja Branson],MATCH($B229,tab_MinKomp[[Stanowisko / Position ]:[Stanowisko / Position ]],0)))</f>
        <v>n/a</v>
      </c>
      <c r="ED230" s="343" t="str">
        <f>IF(INDEX(tab_MinKomp[Konserwacja coolery],MATCH($B229,tab_MinKomp[[Stanowisko / Position ]:[Stanowisko / Position ]],0))="n/a","n/a",ED229-INDEX(tab_MinKomp[Konserwacja coolery],MATCH($B229,tab_MinKomp[[Stanowisko / Position ]:[Stanowisko / Position ]],0)))</f>
        <v>n/a</v>
      </c>
      <c r="EE230" s="343" t="str">
        <f>IF(INDEX(tab_MinKomp[Konserwacja piecy],MATCH($B229,tab_MinKomp[[Stanowisko / Position ]:[Stanowisko / Position ]],0))="n/a","n/a",EE229-INDEX(tab_MinKomp[Konserwacja piecy],MATCH($B229,tab_MinKomp[[Stanowisko / Position ]:[Stanowisko / Position ]],0)))</f>
        <v>n/a</v>
      </c>
      <c r="EF230" s="343" t="str">
        <f>IF(INDEX(tab_MinKomp[Rysunek techniczny- czytanie],MATCH($B229,tab_MinKomp[[Stanowisko / Position ]:[Stanowisko / Position ]],0))="n/a","n/a",EF229-INDEX(tab_MinKomp[Rysunek techniczny- czytanie],MATCH($B229,tab_MinKomp[[Stanowisko / Position ]:[Stanowisko / Position ]],0)))</f>
        <v>n/a</v>
      </c>
      <c r="EG230" s="343" t="str">
        <f>IF(INDEX(tab_MinKomp[Elektryka],MATCH($B229,tab_MinKomp[[Stanowisko / Position ]:[Stanowisko / Position ]],0))="n/a","n/a",EG229-INDEX(tab_MinKomp[Elektryka],MATCH($B229,tab_MinKomp[[Stanowisko / Position ]:[Stanowisko / Position ]],0)))</f>
        <v>n/a</v>
      </c>
      <c r="EH230" s="343" t="str">
        <f>IF(INDEX(tab_MinKomp[Pneumatyka],MATCH($B229,tab_MinKomp[[Stanowisko / Position ]:[Stanowisko / Position ]],0))="n/a","n/a",EH229-INDEX(tab_MinKomp[Pneumatyka],MATCH($B229,tab_MinKomp[[Stanowisko / Position ]:[Stanowisko / Position ]],0)))</f>
        <v>n/a</v>
      </c>
      <c r="EI230" s="343" t="str">
        <f>IF(INDEX(tab_MinKomp[[Hydraulika ]],MATCH($B229,tab_MinKomp[[Stanowisko / Position ]:[Stanowisko / Position ]],0))="n/a","n/a",EI229-INDEX(tab_MinKomp[[Hydraulika ]],MATCH($B229,tab_MinKomp[[Stanowisko / Position ]:[Stanowisko / Position ]],0)))</f>
        <v>n/a</v>
      </c>
      <c r="EJ230" s="343" t="str">
        <f>IF(INDEX(tab_MinKomp[Podciśnienie],MATCH($B229,tab_MinKomp[[Stanowisko / Position ]:[Stanowisko / Position ]],0))="n/a","n/a",EJ229-INDEX(tab_MinKomp[Podciśnienie],MATCH($B229,tab_MinKomp[[Stanowisko / Position ]:[Stanowisko / Position ]],0)))</f>
        <v>n/a</v>
      </c>
      <c r="EK230" s="343" t="str">
        <f>IF(INDEX(tab_MinKomp[Usuwanie awarii],MATCH($B229,tab_MinKomp[[Stanowisko / Position ]:[Stanowisko / Position ]],0))="n/a","n/a",EK229-INDEX(tab_MinKomp[Usuwanie awarii],MATCH($B229,tab_MinKomp[[Stanowisko / Position ]:[Stanowisko / Position ]],0)))</f>
        <v>n/a</v>
      </c>
      <c r="EL230" s="343" t="str">
        <f>IF(INDEX(tab_MinKomp[Obsługa robotów],MATCH($B229,tab_MinKomp[[Stanowisko / Position ]:[Stanowisko / Position ]],0))="n/a","n/a",EL229-INDEX(tab_MinKomp[Obsługa robotów],MATCH($B229,tab_MinKomp[[Stanowisko / Position ]:[Stanowisko / Position ]],0)))</f>
        <v>n/a</v>
      </c>
      <c r="EM230" s="343" t="str">
        <f>IF(INDEX(tab_MinKomp[Obsługa sterowania maszyny],MATCH($B229,tab_MinKomp[[Stanowisko / Position ]:[Stanowisko / Position ]],0))="n/a","n/a",EM229-INDEX(tab_MinKomp[Obsługa sterowania maszyny],MATCH($B229,tab_MinKomp[[Stanowisko / Position ]:[Stanowisko / Position ]],0)))</f>
        <v>n/a</v>
      </c>
      <c r="EN230" s="343" t="str">
        <f>IF(INDEX(tab_MinKomp[Usuwanie przyczyn żródłowych],MATCH($B229,tab_MinKomp[[Stanowisko / Position ]:[Stanowisko / Position ]],0))="n/a","n/a",EN229-INDEX(tab_MinKomp[Usuwanie przyczyn żródłowych],MATCH($B229,tab_MinKomp[[Stanowisko / Position ]:[Stanowisko / Position ]],0)))</f>
        <v>n/a</v>
      </c>
      <c r="EO230" s="343" t="str">
        <f>IF(INDEX(tab_MinKomp[Cmms stosowanie],MATCH($B229,tab_MinKomp[[Stanowisko / Position ]:[Stanowisko / Position ]],0))="n/a","n/a",EO229-INDEX(tab_MinKomp[Cmms stosowanie],MATCH($B229,tab_MinKomp[[Stanowisko / Position ]:[Stanowisko / Position ]],0)))</f>
        <v>n/a</v>
      </c>
      <c r="EP230" s="343" t="str">
        <f>IF(INDEX(tab_MinKomp[[Czyszczenie form gumowych ]],MATCH($B229,tab_MinKomp[[Stanowisko / Position ]:[Stanowisko / Position ]],0))="n/a","n/a",EP229-INDEX(tab_MinKomp[[Czyszczenie form gumowych ]],MATCH($B229,tab_MinKomp[[Stanowisko / Position ]:[Stanowisko / Position ]],0)))</f>
        <v>n/a</v>
      </c>
      <c r="EQ230" s="343" t="str">
        <f>IF(INDEX(tab_MinKomp[Czyszczenie form plastikowych],MATCH($B229,tab_MinKomp[[Stanowisko / Position ]:[Stanowisko / Position ]],0))="n/a","n/a",EQ229-INDEX(tab_MinKomp[Czyszczenie form plastikowych],MATCH($B229,tab_MinKomp[[Stanowisko / Position ]:[Stanowisko / Position ]],0)))</f>
        <v>n/a</v>
      </c>
      <c r="ER230" s="343" t="str">
        <f>IF(INDEX(tab_MinKomp[Wymiana form plastik],MATCH($B229,tab_MinKomp[[Stanowisko / Position ]:[Stanowisko / Position ]],0))="n/a","n/a",ER229-INDEX(tab_MinKomp[Wymiana form plastik],MATCH($B229,tab_MinKomp[[Stanowisko / Position ]:[Stanowisko / Position ]],0)))</f>
        <v>n/a</v>
      </c>
      <c r="ES230" s="343" t="str">
        <f>IF(INDEX(tab_MinKomp[Wymiana form guma],MATCH($B229,tab_MinKomp[[Stanowisko / Position ]:[Stanowisko / Position ]],0))="n/a","n/a",ES229-INDEX(tab_MinKomp[Wymiana form guma],MATCH($B229,tab_MinKomp[[Stanowisko / Position ]:[Stanowisko / Position ]],0)))</f>
        <v>n/a</v>
      </c>
      <c r="ET230" s="343" t="str">
        <f>IF(INDEX(tab_MinKomp[Konserwacja KK],MATCH($B229,tab_MinKomp[[Stanowisko / Position ]:[Stanowisko / Position ]],0))="n/a","n/a",ET229-INDEX(tab_MinKomp[Konserwacja KK],MATCH($B229,tab_MinKomp[[Stanowisko / Position ]:[Stanowisko / Position ]],0)))</f>
        <v>n/a</v>
      </c>
      <c r="EU230" s="343" t="str">
        <f>IF(INDEX(tab_MinKomp[Konserwacja form guma],MATCH($B229,tab_MinKomp[[Stanowisko / Position ]:[Stanowisko / Position ]],0))="n/a","n/a",EU229-INDEX(tab_MinKomp[Konserwacja form guma],MATCH($B229,tab_MinKomp[[Stanowisko / Position ]:[Stanowisko / Position ]],0)))</f>
        <v>n/a</v>
      </c>
      <c r="EV230" s="343" t="str">
        <f>IF(INDEX(tab_MinKomp[Konserwacja form plastiki],MATCH($B229,tab_MinKomp[[Stanowisko / Position ]:[Stanowisko / Position ]],0))="n/a","n/a",EV229-INDEX(tab_MinKomp[Konserwacja form plastiki],MATCH($B229,tab_MinKomp[[Stanowisko / Position ]:[Stanowisko / Position ]],0)))</f>
        <v>n/a</v>
      </c>
      <c r="EW230" s="330" t="str">
        <f>IF(INDEX(tab_MinKomp[Konserwacja form plastiki],MATCH($B229,tab_MinKomp[[Stanowisko / Position ]:[Stanowisko / Position ]],0))="n/a","n/a",EW229-INDEX(tab_MinKomp[Konserwacja form plastiki],MATCH($B229,tab_MinKomp[[Stanowisko / Position ]:[Stanowisko / Position ]],0)))</f>
        <v>n/a</v>
      </c>
      <c r="EX230" s="343" t="str">
        <f>IF(INDEX(tab_MinKomp[Konserwacja Gorącego Kanału],MATCH($B229,tab_MinKomp[[Stanowisko / Position ]:[Stanowisko / Position ]],0))="n/a","n/a",EX229-INDEX(tab_MinKomp[Konserwacja Gorącego Kanału],MATCH($B229,tab_MinKomp[[Stanowisko / Position ]:[Stanowisko / Position ]],0)))</f>
        <v>n/a</v>
      </c>
      <c r="EY230" s="343">
        <f>IF(INDEX(tab_MinKomp[MS Office (Excel)],MATCH($B229,tab_MinKomp[[Stanowisko / Position ]:[Stanowisko / Position ]],0))="n/a","n/a",EY229-INDEX(tab_MinKomp[MS Office (Excel)],MATCH($B229,tab_MinKomp[[Stanowisko / Position ]:[Stanowisko / Position ]],0)))</f>
        <v>0</v>
      </c>
      <c r="EZ230" s="343">
        <f>IF(INDEX(tab_MinKomp[MS Office (Word)],MATCH($B229,tab_MinKomp[[Stanowisko / Position ]:[Stanowisko / Position ]],0))="n/a","n/a",EZ229-INDEX(tab_MinKomp[MS Office (Word)],MATCH($B229,tab_MinKomp[[Stanowisko / Position ]:[Stanowisko / Position ]],0)))</f>
        <v>0</v>
      </c>
      <c r="FA230" s="343">
        <f>IF(INDEX(tab_MinKomp[MS Office (Power Point)],MATCH($B229,tab_MinKomp[[Stanowisko / Position ]:[Stanowisko / Position ]],0))="n/a","n/a",FA229-INDEX(tab_MinKomp[MS Office (Power Point)],MATCH($B229,tab_MinKomp[[Stanowisko / Position ]:[Stanowisko / Position ]],0)))</f>
        <v>0</v>
      </c>
      <c r="FB230" s="343" t="str">
        <f>IF(INDEX(tab_MinKomp[Język angielski / Englisch],MATCH($B229,tab_MinKomp[[Stanowisko / Position ]:[Stanowisko / Position ]],0))="n/a","n/a",FB229-INDEX(tab_MinKomp[Język angielski / Englisch],MATCH($B229,tab_MinKomp[[Stanowisko / Position ]:[Stanowisko / Position ]],0)))</f>
        <v>n/a</v>
      </c>
      <c r="FC230" s="343" t="str">
        <f>IF(INDEX(tab_MinKomp[Język niemiecki / Deutsch],MATCH($B229,tab_MinKomp[[Stanowisko / Position ]:[Stanowisko / Position ]],0))="n/a","n/a",FC229-INDEX(tab_MinKomp[Język niemiecki / Deutsch],MATCH($B229,tab_MinKomp[[Stanowisko / Position ]:[Stanowisko / Position ]],0)))</f>
        <v>n/a</v>
      </c>
      <c r="FD230" s="343">
        <f>IF(INDEX(tab_MinKomp[Zarządzanie dokumentacją procesową / Process dokumentation management],MATCH($B229,tab_MinKomp[[Stanowisko / Position ]:[Stanowisko / Position ]],0))="n/a","n/a",FD229-INDEX(tab_MinKomp[Zarządzanie dokumentacją procesową / Process dokumentation management],MATCH($B229,tab_MinKomp[[Stanowisko / Position ]:[Stanowisko / Position ]],0)))</f>
        <v>-1</v>
      </c>
      <c r="FE230" s="343">
        <f>IF(INDEX(tab_MinKomp[Znajomość procesów z obszaru / Kenntiss der prozesse in dem Bereich],MATCH($B229,tab_MinKomp[[Stanowisko / Position ]:[Stanowisko / Position ]],0))="n/a","n/a",FE229-INDEX(tab_MinKomp[Znajomość procesów z obszaru / Kenntiss der prozesse in dem Bereich],MATCH($B229,tab_MinKomp[[Stanowisko / Position ]:[Stanowisko / Position ]],0)))</f>
        <v>0</v>
      </c>
      <c r="FF230" s="343">
        <f>IF(INDEX(tab_MinKomp[optymalizacja procesów / Prozessoptymalisierung],MATCH($B229,tab_MinKomp[[Stanowisko / Position ]:[Stanowisko / Position ]],0))="n/a","n/a",FF229-INDEX(tab_MinKomp[optymalizacja procesów / Prozessoptymalisierung],MATCH($B229,tab_MinKomp[[Stanowisko / Position ]:[Stanowisko / Position ]],0)))</f>
        <v>0</v>
      </c>
      <c r="FG230" s="343">
        <f>IF(INDEX(tab_MinKomp[Umiejętności szkoleniowe / Trainingsfähigkeiten],MATCH($B229,tab_MinKomp[[Stanowisko / Position ]:[Stanowisko / Position ]],0))="n/a","n/a",FG229-INDEX(tab_MinKomp[Umiejętności szkoleniowe / Trainingsfähigkeiten],MATCH($B229,tab_MinKomp[[Stanowisko / Position ]:[Stanowisko / Position ]],0)))</f>
        <v>0</v>
      </c>
      <c r="FH230" s="343">
        <f>IF(INDEX(tab_MinKomp[Analityczne myślenie, podejście / Analitysches Denken, Einstellung],MATCH($B229,tab_MinKomp[[Stanowisko / Position ]:[Stanowisko / Position ]],0))="n/a","n/a",FH229-INDEX(tab_MinKomp[Analityczne myślenie, podejście / Analitysches Denken, Einstellung],MATCH($B229,tab_MinKomp[[Stanowisko / Position ]:[Stanowisko / Position ]],0)))</f>
        <v>0</v>
      </c>
      <c r="FI230" s="343">
        <f>IF(INDEX(tab_MinKomp[Dokładność, precyzja w dzialaniu / Genauigkeit, Präzision in die Arbeit],MATCH($B229,tab_MinKomp[[Stanowisko / Position ]:[Stanowisko / Position ]],0))="n/a","n/a",FI229-INDEX(tab_MinKomp[Dokładność, precyzja w dzialaniu / Genauigkeit, Präzision in die Arbeit],MATCH($B229,tab_MinKomp[[Stanowisko / Position ]:[Stanowisko / Position ]],0)))</f>
        <v>-1</v>
      </c>
      <c r="FJ230" s="343">
        <f>IF(INDEX(tab_MinKomp[Dyspozycyjność / Verfügbarkeit],MATCH($B229,tab_MinKomp[[Stanowisko / Position ]:[Stanowisko / Position ]],0))="n/a","n/a",FJ229-INDEX(tab_MinKomp[Dyspozycyjność / Verfügbarkeit],MATCH($B229,tab_MinKomp[[Stanowisko / Position ]:[Stanowisko / Position ]],0)))</f>
        <v>0</v>
      </c>
      <c r="FK230" s="343">
        <f>IF(INDEX(tab_MinKomp[Zaangażowanie / 
Engagement],MATCH($B229,tab_MinKomp[[Stanowisko / Position ]:[Stanowisko / Position ]],0))="n/a","n/a",FK229-INDEX(tab_MinKomp[Zaangażowanie / 
Engagement],MATCH($B229,tab_MinKomp[[Stanowisko / Position ]:[Stanowisko / Position ]],0)))</f>
        <v>0</v>
      </c>
      <c r="FL230" s="343">
        <f>IF(INDEX(tab_MinKomp[Planowanie strategiczne / Strategische Planung],MATCH($B229,tab_MinKomp[[Stanowisko / Position ]:[Stanowisko / Position ]],0))="n/a","n/a",FL229-INDEX(tab_MinKomp[Planowanie strategiczne / Strategische Planung],MATCH($B229,tab_MinKomp[[Stanowisko / Position ]:[Stanowisko / Position ]],0)))</f>
        <v>0</v>
      </c>
      <c r="FM230" s="343">
        <f>IF(INDEX(tab_MinKomp[Konsekwentne i dynamiczne działanie],MATCH($B229,tab_MinKomp[[Stanowisko / Position ]:[Stanowisko / Position ]],0))="n/a","n/a",FM229-INDEX(tab_MinKomp[Konsekwentne i dynamiczne działanie],MATCH($B229,tab_MinKomp[[Stanowisko / Position ]:[Stanowisko / Position ]],0)))</f>
        <v>-1</v>
      </c>
      <c r="FN230" s="343">
        <f>IF(INDEX(tab_MinKomp[Elastyczność w działaniu],MATCH($B229,tab_MinKomp[[Stanowisko / Position ]:[Stanowisko / Position ]],0))="n/a","n/a",FN229-INDEX(tab_MinKomp[Elastyczność w działaniu],MATCH($B229,tab_MinKomp[[Stanowisko / Position ]:[Stanowisko / Position ]],0)))</f>
        <v>0</v>
      </c>
      <c r="FO230" s="343">
        <f>IF(INDEX(tab_MinKomp[Komunikatywność],MATCH($B229,tab_MinKomp[[Stanowisko / Position ]:[Stanowisko / Position ]],0))="n/a","n/a",FO229-INDEX(tab_MinKomp[Komunikatywność],MATCH($B229,tab_MinKomp[[Stanowisko / Position ]:[Stanowisko / Position ]],0)))</f>
        <v>0</v>
      </c>
      <c r="FP230" s="342">
        <f>IF(INDEX(tab_MinKomp[Motywowanie i budowanie zaangażowania zespołu],MATCH($B229,tab_MinKomp[[Stanowisko / Position ]:[Stanowisko / Position ]],0))="n/a","n/a",FP229-INDEX(tab_MinKomp[Motywowanie i budowanie zaangażowania zespołu],MATCH($B229,tab_MinKomp[[Stanowisko / Position ]:[Stanowisko / Position ]],0)))</f>
        <v>-1</v>
      </c>
      <c r="FQ230" s="346" t="str">
        <f>IFERROR(IF(INDEX(tab_MinKomp[BRAK / Keine],MATCH($B229,tab_MinKomp[[Stanowisko / Position ]:[Stanowisko / Position ]],0))="n/a","n/a",INDEX(tab_MinKomp[BRAK / Keine],MATCH($B229,tab_MinKomp[[Stanowisko / Position ]:[Stanowisko / Position ]],0))-FQ229),"")</f>
        <v>n/a</v>
      </c>
      <c r="FR230" s="343" t="str">
        <f>IF(INDEX(tab_MinKomp[MINIMUM 1 ROK / min. 1 Jahr],MATCH($B229,tab_MinKomp[[Stanowisko / Position ]:[Stanowisko / Position ]],0))="n/a","n/a",INDEX(tab_MinKomp[MINIMUM 1 ROK / min. 1 Jahr],MATCH($B229,tab_MinKomp[[Stanowisko / Position ]:[Stanowisko / Position ]],0)))</f>
        <v>x</v>
      </c>
      <c r="FS230" s="343" t="str">
        <f>IF(INDEX(tab_MinKomp[MINIMUM 2 LATA / min. 2 Jahre],MATCH($B229,tab_MinKomp[[Stanowisko / Position ]:[Stanowisko / Position ]],0))="n/a","n/a",INDEX(tab_MinKomp[MINIMUM 2 LATA / min. 2 Jahre],MATCH($B229,tab_MinKomp[[Stanowisko / Position ]:[Stanowisko / Position ]],0)))</f>
        <v>n/a</v>
      </c>
      <c r="FT230" s="343" t="str">
        <f>IF(INDEX(tab_MinKomp[MINIMUM 3 LATA / min. 3 Jahre],MATCH($B229,tab_MinKomp[[Stanowisko / Position ]:[Stanowisko / Position ]],0))="n/a","n/a",INDEX(tab_MinKomp[MINIMUM 3 LATA / min. 3 Jahre],MATCH($B229,tab_MinKomp[[Stanowisko / Position ]:[Stanowisko / Position ]],0)))</f>
        <v>n/a</v>
      </c>
      <c r="FU230" s="343" t="str">
        <f>IF(INDEX(tab_MinKomp[MINIMUM 4 LATA / min. 4 Jahre],MATCH($B229,tab_MinKomp[[Stanowisko / Position ]:[Stanowisko / Position ]],0))="n/a","n/a",INDEX(tab_MinKomp[MINIMUM 4 LATA / min. 4 Jahre],MATCH($B229,tab_MinKomp[[Stanowisko / Position ]:[Stanowisko / Position ]],0)))</f>
        <v>n/a</v>
      </c>
      <c r="FV230" s="347" t="str">
        <f>IF(INDEX(tab_MinKomp[MINIMUM 5 LAT / min. 5 Jahre],MATCH($B229,tab_MinKomp[[Stanowisko / Position ]:[Stanowisko / Position ]],0))="n/a","n/a",INDEX(tab_MinKomp[MINIMUM 5 LAT / min. 5 Jahre],MATCH($B229,tab_MinKomp[[Stanowisko / Position ]:[Stanowisko / Position ]],0)))</f>
        <v>n/a</v>
      </c>
      <c r="FW230" s="346" t="str">
        <f>IF(INDEX(tab_MinKomp[BRAK / Keine9],MATCH($B229,tab_MinKomp[[Stanowisko / Position ]:[Stanowisko / Position ]],0))="n/a","n/a",INDEX(tab_MinKomp[BRAK / Keine9],MATCH($B229,tab_MinKomp[[Stanowisko / Position ]:[Stanowisko / Position ]],0)))</f>
        <v>n/a</v>
      </c>
      <c r="FX230" s="343" t="str">
        <f>IF(INDEX(tab_MinKomp[ZAWODOWE / Berufsausbildung],MATCH($B229,tab_MinKomp[[Stanowisko / Position ]:[Stanowisko / Position ]],0))="n/a","n/a",INDEX(tab_MinKomp[ZAWODOWE / Berufsausbildung],MATCH($B229,tab_MinKomp[[Stanowisko / Position ]:[Stanowisko / Position ]],0)))</f>
        <v>x</v>
      </c>
      <c r="FY230" s="343" t="str">
        <f>IF(INDEX(tab_MinKomp[ŚREDNIE OGÓLNE / Abitur allgemeine],MATCH($B229,tab_MinKomp[[Stanowisko / Position ]:[Stanowisko / Position ]],0))="n/a","n/a",INDEX(tab_MinKomp[ŚREDNIE OGÓLNE / Abitur allgemeine],MATCH($B229,tab_MinKomp[[Stanowisko / Position ]:[Stanowisko / Position ]],0)))</f>
        <v>n/a</v>
      </c>
      <c r="FZ230" s="343" t="str">
        <f>IF(INDEX(tab_MinKomp[ŚREDNIE KIERUNKOWE / berufliches Gymnasium],MATCH($B229,tab_MinKomp[[Stanowisko / Position ]:[Stanowisko / Position ]],0))="n/a","n/a",INDEX(tab_MinKomp[ŚREDNIE KIERUNKOWE / berufliches Gymnasium],MATCH($B229,tab_MinKomp[[Stanowisko / Position ]:[Stanowisko / Position ]],0)))</f>
        <v>n/a</v>
      </c>
      <c r="GA230" s="343" t="str">
        <f>IF(INDEX(tab_MinKomp[WYŻSZE OGÓLNE / Hochschule allgemeine],MATCH($B229,tab_MinKomp[[Stanowisko / Position ]:[Stanowisko / Position ]],0))="n/a","n/a",INDEX(tab_MinKomp[WYŻSZE OGÓLNE / Hochschule allgemeine],MATCH($B229,tab_MinKomp[[Stanowisko / Position ]:[Stanowisko / Position ]],0)))</f>
        <v>n/a</v>
      </c>
      <c r="GB230" s="347" t="str">
        <f>IF(INDEX(tab_MinKomp[WYŻSZE KIERUNKOWE / Hochschule berufliche],MATCH($B229,tab_MinKomp[[Stanowisko / Position ]:[Stanowisko / Position ]],0))="n/a","n/a",INDEX(tab_MinKomp[WYŻSZE KIERUNKOWE / Hochschule berufliche],MATCH($B229,tab_MinKomp[[Stanowisko / Position ]:[Stanowisko / Position ]],0)))</f>
        <v>n/a</v>
      </c>
      <c r="GC230" s="346" t="str">
        <f>IF(INDEX(tab_MinKomp[PIERWSZA POMOC / Erste Hilfe],MATCH($B229,tab_MinKomp[[Stanowisko / Position ]:[Stanowisko / Position ]],0))="n/a","n/a",INDEX(tab_MinKomp[PIERWSZA POMOC / Erste Hilfe],MATCH($B229,tab_MinKomp[[Stanowisko / Position ]:[Stanowisko / Position ]],0)))</f>
        <v>x</v>
      </c>
      <c r="GD230" s="343" t="str">
        <f>IF(INDEX(tab_MinKomp[Specjalista BHP / BHP Spezialist],MATCH($B229,tab_MinKomp[[Stanowisko / Position ]:[Stanowisko / Position ]],0))="n/a","n/a",INDEX(tab_MinKomp[Specjalista BHP / BHP Spezialist],MATCH($B229,tab_MinKomp[[Stanowisko / Position ]:[Stanowisko / Position ]],0)))</f>
        <v>n/a</v>
      </c>
      <c r="GE230" s="343" t="str">
        <f>IF(INDEX(tab_MinKomp[Inspektor ochrony PPOŻ / Brandschutzinspektor],MATCH($B229,tab_MinKomp[[Stanowisko / Position ]:[Stanowisko / Position ]],0))="n/a","n/a",INDEX(tab_MinKomp[Inspektor ochrony PPOŻ / Brandschutzinspektor],MATCH($B229,tab_MinKomp[[Stanowisko / Position ]:[Stanowisko / Position ]],0)))</f>
        <v>n/a</v>
      </c>
      <c r="GF230" s="343" t="str">
        <f>IF(INDEX(tab_MinKomp[WÓZKI JEZDNIOWE / Gebelstapler],MATCH($B229,tab_MinKomp[[Stanowisko / Position ]:[Stanowisko / Position ]],0))="n/a","n/a",INDEX(tab_MinKomp[WÓZKI JEZDNIOWE / Gebelstapler],MATCH($B229,tab_MinKomp[[Stanowisko / Position ]:[Stanowisko / Position ]],0)))</f>
        <v>x</v>
      </c>
      <c r="GG230" s="343" t="str">
        <f>IF(INDEX(tab_MinKomp[SEP],MATCH($B229,tab_MinKomp[[Stanowisko / Position ]:[Stanowisko / Position ]],0))="n/a","n/a",INDEX(tab_MinKomp[SEP],MATCH($B229,tab_MinKomp[[Stanowisko / Position ]:[Stanowisko / Position ]],0)))</f>
        <v>n/a</v>
      </c>
      <c r="GH230" s="343" t="str">
        <f>IF(INDEX(tab_MinKomp[SEP  DOZÓR / SEP Aufsicht],MATCH($B229,tab_MinKomp[[Stanowisko / Position ]:[Stanowisko / Position ]],0))="n/a","n/a",INDEX(tab_MinKomp[SEP  DOZÓR / SEP Aufsicht],MATCH($B229,tab_MinKomp[[Stanowisko / Position ]:[Stanowisko / Position ]],0)))</f>
        <v>n/a</v>
      </c>
      <c r="GI230" s="343" t="str">
        <f>IF(INDEX(tab_MinKomp[PODNOŚNIKI / Hebevorrichtung],MATCH($B229,tab_MinKomp[[Stanowisko / Position ]:[Stanowisko / Position ]],0))="n/a","n/a",INDEX(tab_MinKomp[PODNOŚNIKI / Hebevorrichtung],MATCH($B229,tab_MinKomp[[Stanowisko / Position ]:[Stanowisko / Position ]],0)))</f>
        <v>n/a</v>
      </c>
      <c r="GJ230" s="343" t="str">
        <f>IF(INDEX(tab_MinKomp[SUWNICE / Laufkran],MATCH($B229,tab_MinKomp[[Stanowisko / Position ]:[Stanowisko / Position ]],0))="n/a","n/a",INDEX(tab_MinKomp[SUWNICE / Laufkran],MATCH($B229,tab_MinKomp[[Stanowisko / Position ]:[Stanowisko / Position ]],0)))</f>
        <v>n/a</v>
      </c>
      <c r="GK230" s="347" t="str">
        <f>IF(INDEX(tab_MinKomp[WYSOKOŚCIOWE / Höhenberechtigungen],MATCH($B229,tab_MinKomp[[Stanowisko / Position ]:[Stanowisko / Position ]],0))="n/a","n/a",INDEX(tab_MinKomp[WYSOKOŚCIOWE / Höhenberechtigungen],MATCH($B229,tab_MinKomp[[Stanowisko / Position ]:[Stanowisko / Position ]],0)))</f>
        <v>n/a</v>
      </c>
      <c r="GL230" s="320">
        <f>SUM(G230:FP230)/(GL229-(SUM(G230:FP230)))</f>
        <v>-0.19354838709677419</v>
      </c>
    </row>
    <row r="231" spans="1:194" ht="22.5" customHeight="1" x14ac:dyDescent="0.25">
      <c r="A231" s="135" t="s">
        <v>184</v>
      </c>
      <c r="B231" s="135" t="s">
        <v>581</v>
      </c>
      <c r="C231" s="135" t="s">
        <v>229</v>
      </c>
      <c r="D231" s="135">
        <v>1721</v>
      </c>
      <c r="E231" s="565" t="s">
        <v>728</v>
      </c>
      <c r="F231" s="307" t="s">
        <v>165</v>
      </c>
      <c r="G231" s="308">
        <v>2</v>
      </c>
      <c r="H231" s="308">
        <v>2</v>
      </c>
      <c r="I231" s="308">
        <v>1</v>
      </c>
      <c r="J231" s="308">
        <v>1</v>
      </c>
      <c r="K231" s="308">
        <v>1</v>
      </c>
      <c r="L231" s="308">
        <v>1</v>
      </c>
      <c r="M231" s="308" t="s">
        <v>176</v>
      </c>
      <c r="N231" s="308" t="s">
        <v>176</v>
      </c>
      <c r="O231" s="308">
        <v>1</v>
      </c>
      <c r="P231" s="308">
        <v>1</v>
      </c>
      <c r="Q231" s="308" t="s">
        <v>176</v>
      </c>
      <c r="R231" s="308" t="s">
        <v>176</v>
      </c>
      <c r="S231" s="308" t="s">
        <v>176</v>
      </c>
      <c r="T231" s="308">
        <v>1</v>
      </c>
      <c r="U231" s="308" t="s">
        <v>176</v>
      </c>
      <c r="V231" s="308" t="s">
        <v>176</v>
      </c>
      <c r="W231" s="308" t="s">
        <v>176</v>
      </c>
      <c r="X231" s="308" t="s">
        <v>176</v>
      </c>
      <c r="Y231" s="308" t="s">
        <v>176</v>
      </c>
      <c r="Z231" s="308" t="s">
        <v>176</v>
      </c>
      <c r="AA231" s="308" t="s">
        <v>176</v>
      </c>
      <c r="AB231" s="308" t="s">
        <v>176</v>
      </c>
      <c r="AC231" s="308" t="s">
        <v>176</v>
      </c>
      <c r="AD231" s="308" t="s">
        <v>176</v>
      </c>
      <c r="AE231" s="308" t="s">
        <v>176</v>
      </c>
      <c r="AF231" s="308" t="s">
        <v>176</v>
      </c>
      <c r="AG231" s="308" t="s">
        <v>176</v>
      </c>
      <c r="AH231" s="308" t="s">
        <v>176</v>
      </c>
      <c r="AI231" s="308" t="s">
        <v>176</v>
      </c>
      <c r="AJ231" s="308" t="s">
        <v>176</v>
      </c>
      <c r="AK231" s="308" t="s">
        <v>176</v>
      </c>
      <c r="AL231" s="308" t="s">
        <v>176</v>
      </c>
      <c r="AM231" s="308" t="s">
        <v>176</v>
      </c>
      <c r="AN231" s="308" t="s">
        <v>176</v>
      </c>
      <c r="AO231" s="308">
        <v>2</v>
      </c>
      <c r="AP231" s="308" t="s">
        <v>176</v>
      </c>
      <c r="AQ231" s="308">
        <v>1</v>
      </c>
      <c r="AR231" s="308" t="s">
        <v>176</v>
      </c>
      <c r="AS231" s="308" t="s">
        <v>176</v>
      </c>
      <c r="AT231" s="308" t="s">
        <v>176</v>
      </c>
      <c r="AU231" s="308">
        <v>1</v>
      </c>
      <c r="AV231" s="308">
        <v>1</v>
      </c>
      <c r="AW231" s="308">
        <v>1</v>
      </c>
      <c r="AX231" s="308" t="s">
        <v>176</v>
      </c>
      <c r="AY231" s="308" t="s">
        <v>176</v>
      </c>
      <c r="AZ231" s="308" t="s">
        <v>176</v>
      </c>
      <c r="BA231" s="308">
        <v>1</v>
      </c>
      <c r="BB231" s="308">
        <v>2</v>
      </c>
      <c r="BC231" s="308" t="s">
        <v>176</v>
      </c>
      <c r="BD231" s="308" t="s">
        <v>176</v>
      </c>
      <c r="BE231" s="308" t="s">
        <v>176</v>
      </c>
      <c r="BF231" s="308" t="s">
        <v>176</v>
      </c>
      <c r="BG231" s="308" t="s">
        <v>176</v>
      </c>
      <c r="BH231" s="308" t="s">
        <v>176</v>
      </c>
      <c r="BI231" s="308" t="s">
        <v>176</v>
      </c>
      <c r="BJ231" s="308" t="s">
        <v>176</v>
      </c>
      <c r="BK231" s="308" t="s">
        <v>176</v>
      </c>
      <c r="BL231" s="308" t="s">
        <v>176</v>
      </c>
      <c r="BM231" s="308">
        <v>3</v>
      </c>
      <c r="BN231" s="308">
        <v>3</v>
      </c>
      <c r="BO231" s="308" t="s">
        <v>176</v>
      </c>
      <c r="BP231" s="308">
        <v>3</v>
      </c>
      <c r="BQ231" s="308" t="s">
        <v>176</v>
      </c>
      <c r="BR231" s="308">
        <v>3</v>
      </c>
      <c r="BS231" s="308" t="s">
        <v>176</v>
      </c>
      <c r="BT231" s="308">
        <v>3</v>
      </c>
      <c r="BU231" s="308" t="s">
        <v>176</v>
      </c>
      <c r="BV231" s="308">
        <v>3</v>
      </c>
      <c r="BW231" s="308" t="s">
        <v>176</v>
      </c>
      <c r="BX231" s="308" t="s">
        <v>176</v>
      </c>
      <c r="BY231" s="308" t="s">
        <v>176</v>
      </c>
      <c r="BZ231" s="308" t="s">
        <v>176</v>
      </c>
      <c r="CA231" s="308" t="s">
        <v>176</v>
      </c>
      <c r="CB231" s="308" t="s">
        <v>176</v>
      </c>
      <c r="CC231" s="308" t="s">
        <v>176</v>
      </c>
      <c r="CD231" s="308" t="s">
        <v>176</v>
      </c>
      <c r="CE231" s="308" t="s">
        <v>176</v>
      </c>
      <c r="CF231" s="308" t="s">
        <v>176</v>
      </c>
      <c r="CG231" s="308">
        <v>2</v>
      </c>
      <c r="CH231" s="308" t="s">
        <v>176</v>
      </c>
      <c r="CI231" s="308" t="s">
        <v>176</v>
      </c>
      <c r="CJ231" s="308" t="s">
        <v>176</v>
      </c>
      <c r="CK231" s="308" t="s">
        <v>176</v>
      </c>
      <c r="CL231" s="308" t="s">
        <v>176</v>
      </c>
      <c r="CM231" s="308">
        <v>1</v>
      </c>
      <c r="CN231" s="308">
        <v>1</v>
      </c>
      <c r="CO231" s="308">
        <v>1</v>
      </c>
      <c r="CP231" s="308">
        <v>2</v>
      </c>
      <c r="CQ231" s="308" t="s">
        <v>176</v>
      </c>
      <c r="CR231" s="308" t="s">
        <v>176</v>
      </c>
      <c r="CS231" s="308" t="s">
        <v>176</v>
      </c>
      <c r="CT231" s="308" t="s">
        <v>176</v>
      </c>
      <c r="CU231" s="308" t="s">
        <v>176</v>
      </c>
      <c r="CV231" s="308" t="s">
        <v>176</v>
      </c>
      <c r="CW231" s="308" t="s">
        <v>176</v>
      </c>
      <c r="CX231" s="308" t="s">
        <v>176</v>
      </c>
      <c r="CY231" s="308" t="s">
        <v>176</v>
      </c>
      <c r="CZ231" s="308" t="s">
        <v>176</v>
      </c>
      <c r="DA231" s="308" t="s">
        <v>176</v>
      </c>
      <c r="DB231" s="308" t="s">
        <v>176</v>
      </c>
      <c r="DC231" s="308" t="s">
        <v>176</v>
      </c>
      <c r="DD231" s="308" t="s">
        <v>176</v>
      </c>
      <c r="DE231" s="308" t="s">
        <v>176</v>
      </c>
      <c r="DF231" s="308" t="s">
        <v>176</v>
      </c>
      <c r="DG231" s="308" t="s">
        <v>176</v>
      </c>
      <c r="DH231" s="308" t="s">
        <v>176</v>
      </c>
      <c r="DI231" s="308" t="s">
        <v>176</v>
      </c>
      <c r="DJ231" s="308" t="s">
        <v>176</v>
      </c>
      <c r="DK231" s="308" t="s">
        <v>176</v>
      </c>
      <c r="DL231" s="308" t="s">
        <v>176</v>
      </c>
      <c r="DM231" s="308" t="s">
        <v>176</v>
      </c>
      <c r="DN231" s="308" t="s">
        <v>176</v>
      </c>
      <c r="DO231" s="308" t="s">
        <v>176</v>
      </c>
      <c r="DP231" s="308" t="s">
        <v>176</v>
      </c>
      <c r="DQ231" s="308" t="s">
        <v>176</v>
      </c>
      <c r="DR231" s="308" t="s">
        <v>176</v>
      </c>
      <c r="DS231" s="308" t="s">
        <v>176</v>
      </c>
      <c r="DT231" s="308" t="s">
        <v>176</v>
      </c>
      <c r="DU231" s="308" t="s">
        <v>176</v>
      </c>
      <c r="DV231" s="308" t="s">
        <v>176</v>
      </c>
      <c r="DW231" s="308" t="s">
        <v>176</v>
      </c>
      <c r="DX231" s="308" t="s">
        <v>176</v>
      </c>
      <c r="DY231" s="308" t="s">
        <v>176</v>
      </c>
      <c r="DZ231" s="308" t="s">
        <v>176</v>
      </c>
      <c r="EA231" s="308" t="s">
        <v>176</v>
      </c>
      <c r="EB231" s="308" t="s">
        <v>176</v>
      </c>
      <c r="EC231" s="308" t="s">
        <v>176</v>
      </c>
      <c r="ED231" s="308" t="s">
        <v>176</v>
      </c>
      <c r="EE231" s="308" t="s">
        <v>176</v>
      </c>
      <c r="EF231" s="308" t="s">
        <v>176</v>
      </c>
      <c r="EG231" s="308" t="s">
        <v>176</v>
      </c>
      <c r="EH231" s="308" t="s">
        <v>176</v>
      </c>
      <c r="EI231" s="308" t="s">
        <v>176</v>
      </c>
      <c r="EJ231" s="308" t="s">
        <v>176</v>
      </c>
      <c r="EK231" s="308" t="s">
        <v>176</v>
      </c>
      <c r="EL231" s="308" t="s">
        <v>176</v>
      </c>
      <c r="EM231" s="308" t="s">
        <v>176</v>
      </c>
      <c r="EN231" s="308" t="s">
        <v>176</v>
      </c>
      <c r="EO231" s="308" t="s">
        <v>176</v>
      </c>
      <c r="EP231" s="308" t="s">
        <v>176</v>
      </c>
      <c r="EQ231" s="308" t="s">
        <v>176</v>
      </c>
      <c r="ER231" s="308" t="s">
        <v>176</v>
      </c>
      <c r="ES231" s="308" t="s">
        <v>176</v>
      </c>
      <c r="ET231" s="308" t="s">
        <v>176</v>
      </c>
      <c r="EU231" s="308" t="s">
        <v>176</v>
      </c>
      <c r="EV231" s="308" t="s">
        <v>176</v>
      </c>
      <c r="EW231" s="308" t="s">
        <v>176</v>
      </c>
      <c r="EX231" s="308" t="s">
        <v>176</v>
      </c>
      <c r="EY231" s="308">
        <v>1</v>
      </c>
      <c r="EZ231" s="308">
        <v>1</v>
      </c>
      <c r="FA231" s="308">
        <v>1</v>
      </c>
      <c r="FB231" s="308" t="s">
        <v>176</v>
      </c>
      <c r="FC231" s="308" t="s">
        <v>176</v>
      </c>
      <c r="FD231" s="308">
        <v>2</v>
      </c>
      <c r="FE231" s="308">
        <v>2</v>
      </c>
      <c r="FF231" s="308">
        <v>2</v>
      </c>
      <c r="FG231" s="308">
        <v>3</v>
      </c>
      <c r="FH231" s="308">
        <v>2</v>
      </c>
      <c r="FI231" s="308">
        <v>2</v>
      </c>
      <c r="FJ231" s="308">
        <v>3</v>
      </c>
      <c r="FK231" s="308">
        <v>2</v>
      </c>
      <c r="FL231" s="308">
        <v>2</v>
      </c>
      <c r="FM231" s="308">
        <v>2</v>
      </c>
      <c r="FN231" s="308">
        <v>2</v>
      </c>
      <c r="FO231" s="308">
        <v>2</v>
      </c>
      <c r="FP231" s="308">
        <v>2</v>
      </c>
      <c r="FQ231" s="308" t="s">
        <v>176</v>
      </c>
      <c r="FR231" s="308" t="s">
        <v>176</v>
      </c>
      <c r="FS231" s="308" t="s">
        <v>176</v>
      </c>
      <c r="FT231" s="308" t="s">
        <v>176</v>
      </c>
      <c r="FU231" s="308" t="s">
        <v>176</v>
      </c>
      <c r="FV231" s="308" t="s">
        <v>176</v>
      </c>
      <c r="FW231" s="308" t="s">
        <v>176</v>
      </c>
      <c r="FX231" s="308" t="s">
        <v>176</v>
      </c>
      <c r="FY231" s="308" t="s">
        <v>176</v>
      </c>
      <c r="FZ231" s="308" t="s">
        <v>176</v>
      </c>
      <c r="GA231" s="308" t="s">
        <v>176</v>
      </c>
      <c r="GB231" s="308" t="s">
        <v>176</v>
      </c>
      <c r="GC231" s="308"/>
      <c r="GD231" s="308" t="s">
        <v>176</v>
      </c>
      <c r="GE231" s="308" t="s">
        <v>176</v>
      </c>
      <c r="GF231" s="308"/>
      <c r="GG231" s="308" t="s">
        <v>176</v>
      </c>
      <c r="GH231" s="308" t="s">
        <v>176</v>
      </c>
      <c r="GI231" s="308" t="s">
        <v>176</v>
      </c>
      <c r="GJ231" s="308" t="s">
        <v>176</v>
      </c>
      <c r="GK231" s="308" t="s">
        <v>176</v>
      </c>
      <c r="GL231" s="311">
        <f>SUM(G231:FP231)</f>
        <v>76</v>
      </c>
    </row>
    <row r="232" spans="1:194" ht="26.25" customHeight="1" thickBot="1" x14ac:dyDescent="0.3">
      <c r="A232" s="138" t="s">
        <v>184</v>
      </c>
      <c r="B232" s="138" t="str">
        <f>B231</f>
        <v>Teamleder zespołu produkcji</v>
      </c>
      <c r="C232" s="138" t="str">
        <f>C231</f>
        <v>KW</v>
      </c>
      <c r="D232" s="138">
        <f>D231</f>
        <v>1721</v>
      </c>
      <c r="E232" s="566" t="str">
        <f>E231</f>
        <v>Wiśniewski Tomasz</v>
      </c>
      <c r="F232" s="312" t="s">
        <v>166</v>
      </c>
      <c r="G232" s="341">
        <f>IF(INDEX(tab_MinKomp[Przepisy BHP / BHP Vorschriften],MATCH($B231,tab_MinKomp[[Stanowisko / Position ]:[Stanowisko / Position ]],0))="n/a","n/a",G231-INDEX(tab_MinKomp[Przepisy BHP / BHP Vorschriften],MATCH($B231,tab_MinKomp[[Stanowisko / Position ]:[Stanowisko / Position ]],0)))</f>
        <v>0</v>
      </c>
      <c r="H232" s="342">
        <f>IF(INDEX(tab_MinKomp[Przepisy PPOŻ / Brandschutzbestimmungen],MATCH($B231,tab_MinKomp[[Stanowisko / Position ]:[Stanowisko / Position ]],0))="n/a","n/a",H231-INDEX(tab_MinKomp[Przepisy PPOŻ / Brandschutzbestimmungen],MATCH($B231,tab_MinKomp[[Stanowisko / Position ]:[Stanowisko / Position ]],0)))</f>
        <v>0</v>
      </c>
      <c r="I232" s="342">
        <f>IF(INDEX(tab_MinKomp[Ryzyko zawodowe na stanowiskach pracyv/ Berufliche Risiken an Arbeitsstellen],MATCH($B231,tab_MinKomp[[Stanowisko / Position ]:[Stanowisko / Position ]],0))="n/a","n/a",I231-INDEX(tab_MinKomp[Ryzyko zawodowe na stanowiskach pracyv/ Berufliche Risiken an Arbeitsstellen],MATCH($B231,tab_MinKomp[[Stanowisko / Position ]:[Stanowisko / Position ]],0)))</f>
        <v>0</v>
      </c>
      <c r="J232" s="342">
        <f>IF(INDEX(tab_MinKomp[Gospodarka substancjami niebezpiecznymi / Gefahrstoffmanagement],MATCH($B231,tab_MinKomp[[Stanowisko / Position ]:[Stanowisko / Position ]],0))="n/a","n/a",J231-INDEX(tab_MinKomp[Gospodarka substancjami niebezpiecznymi / Gefahrstoffmanagement],MATCH($B231,tab_MinKomp[[Stanowisko / Position ]:[Stanowisko / Position ]],0)))</f>
        <v>0</v>
      </c>
      <c r="K232" s="342">
        <f>IF(INDEX(tab_MinKomp[Gospodarka odpadami / Abfallwirtschaft],MATCH($B231,tab_MinKomp[[Stanowisko / Position ]:[Stanowisko / Position ]],0))="n/a","n/a",K231-INDEX(tab_MinKomp[Gospodarka odpadami / Abfallwirtschaft],MATCH($B231,tab_MinKomp[[Stanowisko / Position ]:[Stanowisko / Position ]],0)))</f>
        <v>0</v>
      </c>
      <c r="L232" s="343">
        <f>IF(INDEX(tab_MinKomp[Przepisy kodeksu pracy / Bestimmungen des Arbeitsgesetzes],MATCH($B231,tab_MinKomp[[Stanowisko / Position ]:[Stanowisko / Position ]],0))="n/a","n/a",L231-INDEX(tab_MinKomp[Przepisy kodeksu pracy / Bestimmungen des Arbeitsgesetzes],MATCH($B231,tab_MinKomp[[Stanowisko / Position ]:[Stanowisko / Position ]],0)))</f>
        <v>0</v>
      </c>
      <c r="M232" s="344" t="str">
        <f>IF(INDEX(tab_MinKomp[Przepisy o ub.społ. ZUS  / Sozialversicherungsvorschriften],MATCH($B231,tab_MinKomp[[Stanowisko / Position ]:[Stanowisko / Position ]],0))="n/a","n/a",M231-INDEX(tab_MinKomp[Przepisy o ub.społ. ZUS  / Sozialversicherungsvorschriften],MATCH($B231,tab_MinKomp[[Stanowisko / Position ]:[Stanowisko / Position ]],0)))</f>
        <v>n/a</v>
      </c>
      <c r="N232" s="343" t="str">
        <f>IF(INDEX(tab_MinKomp[PRZEPISY O PDOF /persönlich Einkommensteuergesetz ],MATCH($B231,tab_MinKomp[[Stanowisko / Position ]:[Stanowisko / Position ]],0))="n/a","n/a",N231-INDEX(tab_MinKomp[PRZEPISY O PDOF /persönlich Einkommensteuergesetz ],MATCH($B231,tab_MinKomp[[Stanowisko / Position ]:[Stanowisko / Position ]],0)))</f>
        <v>n/a</v>
      </c>
      <c r="O232" s="343">
        <f>IF(INDEX(tab_MinKomp[Regulamin pracy / Arbeitsordnung],MATCH($B231,tab_MinKomp[[Stanowisko / Position ]:[Stanowisko / Position ]],0))="n/a","n/a",O231-INDEX(tab_MinKomp[Regulamin pracy / Arbeitsordnung],MATCH($B231,tab_MinKomp[[Stanowisko / Position ]:[Stanowisko / Position ]],0)))</f>
        <v>0</v>
      </c>
      <c r="P232" s="343">
        <f>IF(INDEX(tab_MinKomp[Regulamin wynagradzania / Vergütungsordnung],MATCH($B231,tab_MinKomp[[Stanowisko / Position ]:[Stanowisko / Position ]],0))="n/a","n/a",P231-INDEX(tab_MinKomp[Regulamin wynagradzania / Vergütungsordnung],MATCH($B231,tab_MinKomp[[Stanowisko / Position ]:[Stanowisko / Position ]],0)))</f>
        <v>0</v>
      </c>
      <c r="Q232" s="343" t="str">
        <f>IF(INDEX(tab_MinKomp[System R2PŁATNIK PRO: Płace / Lohnabrechnung],MATCH($B231,tab_MinKomp[[Stanowisko / Position ]:[Stanowisko / Position ]],0))="n/a","n/a",Q231-INDEX(tab_MinKomp[System R2PŁATNIK PRO: Płace / Lohnabrechnung],MATCH($B231,tab_MinKomp[[Stanowisko / Position ]:[Stanowisko / Position ]],0)))</f>
        <v>n/a</v>
      </c>
      <c r="R232" s="343" t="str">
        <f>IF(INDEX(tab_MinKomp[SystemR2PŁATNIK PRO: KADRY / Personaldaten],MATCH($B231,tab_MinKomp[[Stanowisko / Position ]:[Stanowisko / Position ]],0))="n/a","n/a",R231-INDEX(tab_MinKomp[SystemR2PŁATNIK PRO: KADRY / Personaldaten],MATCH($B231,tab_MinKomp[[Stanowisko / Position ]:[Stanowisko / Position ]],0)))</f>
        <v>n/a</v>
      </c>
      <c r="S232" s="343" t="str">
        <f>IF(INDEX(tab_MinKomp[SYSTEM R2PŁATNIK PRO: zarządzanie pracownikami / Arbeitsverwaltung],MATCH($B231,tab_MinKomp[[Stanowisko / Position ]:[Stanowisko / Position ]],0))="n/a","n/a",S231-INDEX(tab_MinKomp[SYSTEM R2PŁATNIK PRO: zarządzanie pracownikami / Arbeitsverwaltung],MATCH($B231,tab_MinKomp[[Stanowisko / Position ]:[Stanowisko / Position ]],0)))</f>
        <v>n/a</v>
      </c>
      <c r="T232" s="343">
        <f>IF(INDEX(tab_MinKomp[Doradztwo, wsparcie personalne / Personalberatung und Unterstützung],MATCH($B231,tab_MinKomp[[Stanowisko / Position ]:[Stanowisko / Position ]],0))="n/a","n/a",T231-INDEX(tab_MinKomp[Doradztwo, wsparcie personalne / Personalberatung und Unterstützung],MATCH($B231,tab_MinKomp[[Stanowisko / Position ]:[Stanowisko / Position ]],0)))</f>
        <v>0</v>
      </c>
      <c r="U232" s="343" t="str">
        <f>IF(INDEX(tab_MinKomp[Przepisy o podatku VAT / MwSt.- Gesetz],MATCH($B231,tab_MinKomp[[Stanowisko / Position ]:[Stanowisko / Position ]],0))="n/a","n/a",U231-INDEX(tab_MinKomp[Przepisy o podatku VAT / MwSt.- Gesetz],MATCH($B231,tab_MinKomp[[Stanowisko / Position ]:[Stanowisko / Position ]],0)))</f>
        <v>n/a</v>
      </c>
      <c r="V232" s="343" t="str">
        <f>IF(INDEX(tab_MinKomp[PrzepisyPDOP / geschäftlich Einkommensteuergesetz],MATCH($B231,tab_MinKomp[[Stanowisko / Position ]:[Stanowisko / Position ]],0))="n/a","n/a",V231-INDEX(tab_MinKomp[PrzepisyPDOP / geschäftlich Einkommensteuergesetz],MATCH($B231,tab_MinKomp[[Stanowisko / Position ]:[Stanowisko / Position ]],0)))</f>
        <v>n/a</v>
      </c>
      <c r="W232" s="343" t="str">
        <f>IF(INDEX(tab_MinKomp[System BAAN / FINANSE (FIBU)],MATCH($B231,tab_MinKomp[[Stanowisko / Position ]:[Stanowisko / Position ]],0))="n/a","n/a",W231-INDEX(tab_MinKomp[System BAAN / FINANSE (FIBU)],MATCH($B231,tab_MinKomp[[Stanowisko / Position ]:[Stanowisko / Position ]],0)))</f>
        <v>n/a</v>
      </c>
      <c r="X232" s="343" t="str">
        <f>IF(INDEX(tab_MinKomp[Systemy pomocnicze / Hilfssysteme(STOCKPROGRAM, KALK2000 etc.)],MATCH($B231,tab_MinKomp[[Stanowisko / Position ]:[Stanowisko / Position ]],0))="n/a","n/a",X231-INDEX(tab_MinKomp[Systemy pomocnicze / Hilfssysteme(STOCKPROGRAM, KALK2000 etc.)],MATCH($B231,tab_MinKomp[[Stanowisko / Position ]:[Stanowisko / Position ]],0)))</f>
        <v>n/a</v>
      </c>
      <c r="Y232" s="343" t="str">
        <f>IF(INDEX(tab_MinKomp[Polityka rachunkowości / Buchführungspolitik],MATCH($B231,tab_MinKomp[[Stanowisko / Position ]:[Stanowisko / Position ]],0))="n/a","n/a",Y231-INDEX(tab_MinKomp[Polityka rachunkowości / Buchführungspolitik],MATCH($B231,tab_MinKomp[[Stanowisko / Position ]:[Stanowisko / Position ]],0)))</f>
        <v>n/a</v>
      </c>
      <c r="Z232" s="343" t="str">
        <f>IF(INDEX(tab_MinKomp[Ustawa o rachunkowości / Rechnungslegungsgesetz],MATCH($B231,tab_MinKomp[[Stanowisko / Position ]:[Stanowisko / Position ]],0))="n/a","n/a",Z231-INDEX(tab_MinKomp[Ustawa o rachunkowości / Rechnungslegungsgesetz],MATCH($B231,tab_MinKomp[[Stanowisko / Position ]:[Stanowisko / Position ]],0)))</f>
        <v>n/a</v>
      </c>
      <c r="AA232" s="343" t="str">
        <f>IF(INDEX(tab_MinKomp[WORKFLOW - TS-100],MATCH($B231,tab_MinKomp[[Stanowisko / Position ]:[Stanowisko / Position ]],0))="n/a","n/a",AA231-INDEX(tab_MinKomp[WORKFLOW - TS-100],MATCH($B231,tab_MinKomp[[Stanowisko / Position ]:[Stanowisko / Position ]],0)))</f>
        <v>n/a</v>
      </c>
      <c r="AB232" s="343" t="str">
        <f>IF(INDEX(tab_MinKomp[WORKFLOW - SFMS],MATCH($B231,tab_MinKomp[[Stanowisko / Position ]:[Stanowisko / Position ]],0))="n/a","n/a",AB231-INDEX(tab_MinKomp[WORKFLOW - SFMS],MATCH($B231,tab_MinKomp[[Stanowisko / Position ]:[Stanowisko / Position ]],0)))</f>
        <v>n/a</v>
      </c>
      <c r="AC232" s="343" t="str">
        <f>IF(INDEX(tab_MinKomp[System ISO 9001:2015],MATCH($B231,tab_MinKomp[[Stanowisko / Position ]:[Stanowisko / Position ]],0))="n/a","n/a",AC231-INDEX(tab_MinKomp[System ISO 9001:2015],MATCH($B231,tab_MinKomp[[Stanowisko / Position ]:[Stanowisko / Position ]],0)))</f>
        <v>n/a</v>
      </c>
      <c r="AD232" s="343" t="str">
        <f>IF(INDEX(tab_MinKomp[System IATF 16949:2016],MATCH($B231,tab_MinKomp[[Stanowisko / Position ]:[Stanowisko / Position ]],0))="n/a","n/a",AD231-INDEX(tab_MinKomp[System IATF 16949:2016],MATCH($B231,tab_MinKomp[[Stanowisko / Position ]:[Stanowisko / Position ]],0)))</f>
        <v>n/a</v>
      </c>
      <c r="AE232" s="343" t="str">
        <f>IF(INDEX(tab_MinKomp[System ISO 14001:2015],MATCH($B231,tab_MinKomp[[Stanowisko / Position ]:[Stanowisko / Position ]],0))="n/a","n/a",AE231-INDEX(tab_MinKomp[System ISO 14001:2015],MATCH($B231,tab_MinKomp[[Stanowisko / Position ]:[Stanowisko / Position ]],0)))</f>
        <v>n/a</v>
      </c>
      <c r="AF232" s="343" t="str">
        <f>IF(INDEX(tab_MinKomp[System PN-N 18001:2004 / ISO 45001:2018],MATCH($B231,tab_MinKomp[[Stanowisko / Position ]:[Stanowisko / Position ]],0))="n/a","n/a",AF231-INDEX(tab_MinKomp[System PN-N 18001:2004 / ISO 45001:2018],MATCH($B231,tab_MinKomp[[Stanowisko / Position ]:[Stanowisko / Position ]],0)))</f>
        <v>n/a</v>
      </c>
      <c r="AG232" s="343" t="str">
        <f>IF(INDEX(tab_MinKomp[Wymagania VDA 6.3 Process / Forderungen],MATCH($B231,tab_MinKomp[[Stanowisko / Position ]:[Stanowisko / Position ]],0))="n/a","n/a",AG231-INDEX(tab_MinKomp[Wymagania VDA 6.3 Process / Forderungen],MATCH($B231,tab_MinKomp[[Stanowisko / Position ]:[Stanowisko / Position ]],0)))</f>
        <v>n/a</v>
      </c>
      <c r="AH232" s="343" t="str">
        <f>IF(INDEX(tab_MinKomp[Wymagania VDA 6.5 Product / Forderungen],MATCH($B231,tab_MinKomp[[Stanowisko / Position ]:[Stanowisko / Position ]],0))="n/a","n/a",AH231-INDEX(tab_MinKomp[Wymagania VDA 6.5 Product / Forderungen],MATCH($B231,tab_MinKomp[[Stanowisko / Position ]:[Stanowisko / Position ]],0)))</f>
        <v>n/a</v>
      </c>
      <c r="AI232" s="343" t="str">
        <f>IF(INDEX(tab_MinKomp[PSCR (VW Product Safety &amp; Conformity Representative)],MATCH($B231,tab_MinKomp[[Stanowisko / Position ]:[Stanowisko / Position ]],0))="n/a","n/a",AI231-INDEX(tab_MinKomp[PSCR (VW Product Safety &amp; Conformity Representative)],MATCH($B231,tab_MinKomp[[Stanowisko / Position ]:[Stanowisko / Position ]],0)))</f>
        <v>n/a</v>
      </c>
      <c r="AJ232" s="343" t="str">
        <f>IF(INDEX(tab_MinKomp[Auditor systemu ISO 17025:2018],MATCH($B231,tab_MinKomp[[Stanowisko / Position ]:[Stanowisko / Position ]],0))="n/a","n/a",AJ231-INDEX(tab_MinKomp[Auditor systemu ISO 17025:2018],MATCH($B231,tab_MinKomp[[Stanowisko / Position ]:[Stanowisko / Position ]],0)))</f>
        <v>n/a</v>
      </c>
      <c r="AK232" s="343" t="str">
        <f>IF(INDEX(tab_MinKomp[Pełnomocnik systemu / Systemvertreter],MATCH($B231,tab_MinKomp[[Stanowisko / Position ]:[Stanowisko / Position ]],0))="n/a","n/a",AK231-INDEX(tab_MinKomp[Pełnomocnik systemu / Systemvertreter],MATCH($B231,tab_MinKomp[[Stanowisko / Position ]:[Stanowisko / Position ]],0)))</f>
        <v>n/a</v>
      </c>
      <c r="AL232" s="343" t="str">
        <f>IF(INDEX(tab_MinKomp[Polityka Etyczna - Compliance],MATCH($B231,tab_MinKomp[[Stanowisko / Position ]:[Stanowisko / Position ]],0))="n/a","n/a",AL231-INDEX(tab_MinKomp[Polityka Etyczna - Compliance],MATCH($B231,tab_MinKomp[[Stanowisko / Position ]:[Stanowisko / Position ]],0)))</f>
        <v>n/a</v>
      </c>
      <c r="AM232" s="343" t="str">
        <f>IF(INDEX(tab_MinKomp[WDRAŻANIE NOWYCH PROJEKTÓW/ PROCEDURA CTM],MATCH($B231,tab_MinKomp[[Stanowisko / Position ]:[Stanowisko / Position ]],0))="n/a","n/a",AM231-INDEX(tab_MinKomp[WDRAŻANIE NOWYCH PROJEKTÓW/ PROCEDURA CTM],MATCH($B231,tab_MinKomp[[Stanowisko / Position ]:[Stanowisko / Position ]],0)))</f>
        <v>n/a</v>
      </c>
      <c r="AN232" s="343" t="str">
        <f>IF(INDEX(tab_MinKomp[KAMIENIE MILOWE MSL/PIFF],MATCH($B231,tab_MinKomp[[Stanowisko / Position ]:[Stanowisko / Position ]],0))="n/a","n/a",AN231-INDEX(tab_MinKomp[KAMIENIE MILOWE MSL/PIFF],MATCH($B231,tab_MinKomp[[Stanowisko / Position ]:[Stanowisko / Position ]],0)))</f>
        <v>n/a</v>
      </c>
      <c r="AO232" s="343">
        <f>IF(INDEX(tab_MinKomp[CP],MATCH($B231,tab_MinKomp[[Stanowisko / Position ]:[Stanowisko / Position ]],0))="n/a","n/a",AO231-INDEX(tab_MinKomp[CP],MATCH($B231,tab_MinKomp[[Stanowisko / Position ]:[Stanowisko / Position ]],0)))</f>
        <v>0</v>
      </c>
      <c r="AP232" s="343" t="str">
        <f>IF(INDEX(tab_MinKomp[FMEA],MATCH($B231,tab_MinKomp[[Stanowisko / Position ]:[Stanowisko / Position ]],0))="n/a","n/a",AP231-INDEX(tab_MinKomp[FMEA],MATCH($B231,tab_MinKomp[[Stanowisko / Position ]:[Stanowisko / Position ]],0)))</f>
        <v>n/a</v>
      </c>
      <c r="AQ232" s="343">
        <f>IF(INDEX(tab_MinKomp[FLOW CHART],MATCH($B231,tab_MinKomp[[Stanowisko / Position ]:[Stanowisko / Position ]],0))="n/a","n/a",AQ231-INDEX(tab_MinKomp[FLOW CHART],MATCH($B231,tab_MinKomp[[Stanowisko / Position ]:[Stanowisko / Position ]],0)))</f>
        <v>0</v>
      </c>
      <c r="AR232" s="343" t="str">
        <f>IF(INDEX(tab_MinKomp[APQP],MATCH($B231,tab_MinKomp[[Stanowisko / Position ]:[Stanowisko / Position ]],0))="n/a","n/a",AR231-INDEX(tab_MinKomp[APQP],MATCH($B231,tab_MinKomp[[Stanowisko / Position ]:[Stanowisko / Position ]],0)))</f>
        <v>n/a</v>
      </c>
      <c r="AS232" s="343" t="str">
        <f>IF(INDEX(tab_MinKomp[MSA],MATCH($B231,tab_MinKomp[[Stanowisko / Position ]:[Stanowisko / Position ]],0))="n/a","n/a",AS231-INDEX(tab_MinKomp[MSA],MATCH($B231,tab_MinKomp[[Stanowisko / Position ]:[Stanowisko / Position ]],0)))</f>
        <v>n/a</v>
      </c>
      <c r="AT232" s="343" t="str">
        <f>IF(INDEX(tab_MinKomp[SPC],MATCH($B231,tab_MinKomp[[Stanowisko / Position ]:[Stanowisko / Position ]],0))="n/a","n/a",AT231-INDEX(tab_MinKomp[SPC],MATCH($B231,tab_MinKomp[[Stanowisko / Position ]:[Stanowisko / Position ]],0)))</f>
        <v>n/a</v>
      </c>
      <c r="AU232" s="343">
        <f>IF(INDEX(tab_MinKomp[CSR (SPECYFICZNE WYMAGANIA KLIENTA)],MATCH($B231,tab_MinKomp[[Stanowisko / Position ]:[Stanowisko / Position ]],0))="n/a","n/a",AU231-INDEX(tab_MinKomp[CSR (SPECYFICZNE WYMAGANIA KLIENTA)],MATCH($B231,tab_MinKomp[[Stanowisko / Position ]:[Stanowisko / Position ]],0)))</f>
        <v>0</v>
      </c>
      <c r="AV232" s="343">
        <f>IF(INDEX(tab_MinKomp[5S],MATCH($B231,tab_MinKomp[[Stanowisko / Position ]:[Stanowisko / Position ]],0))="n/a","n/a",AV231-INDEX(tab_MinKomp[5S],MATCH($B231,tab_MinKomp[[Stanowisko / Position ]:[Stanowisko / Position ]],0)))</f>
        <v>0</v>
      </c>
      <c r="AW232" s="343">
        <f>IF(INDEX(tab_MinKomp[LEAN MANAGEMENT],MATCH($B231,tab_MinKomp[[Stanowisko / Position ]:[Stanowisko / Position ]],0))="n/a","n/a",AW231-INDEX(tab_MinKomp[LEAN MANAGEMENT],MATCH($B231,tab_MinKomp[[Stanowisko / Position ]:[Stanowisko / Position ]],0)))</f>
        <v>0</v>
      </c>
      <c r="AX232" s="343" t="str">
        <f>IF(INDEX(tab_MinKomp[5R],MATCH($B231,tab_MinKomp[[Stanowisko / Position ]:[Stanowisko / Position ]],0))="n/a","n/a",AX231-INDEX(tab_MinKomp[5R],MATCH($B231,tab_MinKomp[[Stanowisko / Position ]:[Stanowisko / Position ]],0)))</f>
        <v>n/a</v>
      </c>
      <c r="AY232" s="343" t="str">
        <f>IF(INDEX(tab_MinKomp[Six Sigma],MATCH($B231,tab_MinKomp[[Stanowisko / Position ]:[Stanowisko / Position ]],0))="n/a","n/a",AY231-INDEX(tab_MinKomp[Six Sigma],MATCH($B231,tab_MinKomp[[Stanowisko / Position ]:[Stanowisko / Position ]],0)))</f>
        <v>n/a</v>
      </c>
      <c r="AZ232" s="343" t="str">
        <f>IF(INDEX(tab_MinKomp[System BAAN / Distribution &amp; Supply Chain],MATCH($B231,tab_MinKomp[[Stanowisko / Position ]:[Stanowisko / Position ]],0))="n/a","n/a",AZ231-INDEX(tab_MinKomp[System BAAN / Distribution &amp; Supply Chain],MATCH($B231,tab_MinKomp[[Stanowisko / Position ]:[Stanowisko / Position ]],0)))</f>
        <v>n/a</v>
      </c>
      <c r="BA232" s="343">
        <f>IF(INDEX(tab_MinKomp[Gospodarka magazynowa / Lagerverwaltung],MATCH($B231,tab_MinKomp[[Stanowisko / Position ]:[Stanowisko / Position ]],0))="n/a","n/a",BA231-INDEX(tab_MinKomp[Gospodarka magazynowa / Lagerverwaltung],MATCH($B231,tab_MinKomp[[Stanowisko / Position ]:[Stanowisko / Position ]],0)))</f>
        <v>0</v>
      </c>
      <c r="BB232" s="343">
        <f>IF(INDEX(tab_MinKomp[Inwentaryzacja - organizacja i przebieg / Inventurprozess],MATCH($B231,tab_MinKomp[[Stanowisko / Position ]:[Stanowisko / Position ]],0))="n/a","n/a",BB231-INDEX(tab_MinKomp[Inwentaryzacja - organizacja i przebieg / Inventurprozess],MATCH($B231,tab_MinKomp[[Stanowisko / Position ]:[Stanowisko / Position ]],0)))</f>
        <v>1</v>
      </c>
      <c r="BC232" s="343" t="str">
        <f>IF(INDEX(tab_MinKomp[Organizacja dostaw / Versorgungsorganisation],MATCH($B231,tab_MinKomp[[Stanowisko / Position ]:[Stanowisko / Position ]],0))="n/a","n/a",BC231-INDEX(tab_MinKomp[Organizacja dostaw / Versorgungsorganisation],MATCH($B231,tab_MinKomp[[Stanowisko / Position ]:[Stanowisko / Position ]],0)))</f>
        <v>n/a</v>
      </c>
      <c r="BD232" s="343" t="str">
        <f>IF(INDEX(tab_MinKomp[Organizacja wysyłek / Organisation von Lieferungen],MATCH($B231,tab_MinKomp[[Stanowisko / Position ]:[Stanowisko / Position ]],0))="n/a","n/a",BD231-INDEX(tab_MinKomp[Organizacja wysyłek / Organisation von Lieferungen],MATCH($B231,tab_MinKomp[[Stanowisko / Position ]:[Stanowisko / Position ]],0)))</f>
        <v>n/a</v>
      </c>
      <c r="BE232" s="343" t="str">
        <f>IF(INDEX(tab_MinKomp[Analiza magazynowa - Program Polen.mdb / Inventuranalyse],MATCH($B231,tab_MinKomp[[Stanowisko / Position ]:[Stanowisko / Position ]],0))="n/a","n/a",BE231-INDEX(tab_MinKomp[Analiza magazynowa - Program Polen.mdb / Inventuranalyse],MATCH($B231,tab_MinKomp[[Stanowisko / Position ]:[Stanowisko / Position ]],0)))</f>
        <v>n/a</v>
      </c>
      <c r="BF232" s="315" t="str">
        <f>IF(INDEX(tab_MinKomp[MMOG (Materials Management Operations Guidelines)],MATCH($B231,tab_MinKomp[[Stanowisko / Position ]:[Stanowisko / Position ]],0))="n/a","n/a",BF231-INDEX(tab_MinKomp[MMOG (Materials Management Operations Guidelines)],MATCH($B231,tab_MinKomp[[Stanowisko / Position ]:[Stanowisko / Position ]],0)))</f>
        <v>n/a</v>
      </c>
      <c r="BG232" s="315" t="str">
        <f>IF(INDEX(tab_MinKomp[GPP],MATCH($B231,tab_MinKomp[[Stanowisko / Position ]:[Stanowisko / Position ]],0))="n/a","n/a",BG231-INDEX(tab_MinKomp[GPP],MATCH($B231,tab_MinKomp[[Stanowisko / Position ]:[Stanowisko / Position ]],0)))</f>
        <v>n/a</v>
      </c>
      <c r="BH232" s="315" t="str">
        <f>IF(INDEX(tab_MinKomp[AIAG (Automotive Industry Action Group)],MATCH($B231,tab_MinKomp[[Stanowisko / Position ]:[Stanowisko / Position ]],0))="n/a","n/a",BH231-INDEX(tab_MinKomp[AIAG (Automotive Industry Action Group)],MATCH($B231,tab_MinKomp[[Stanowisko / Position ]:[Stanowisko / Position ]],0)))</f>
        <v>n/a</v>
      </c>
      <c r="BI232" s="315" t="str">
        <f>IF(INDEX(tab_MinKomp[Super-G disputes],MATCH($B231,tab_MinKomp[[Stanowisko / Position ]:[Stanowisko / Position ]],0))="n/a","n/a",BI231-INDEX(tab_MinKomp[Super-G disputes],MATCH($B231,tab_MinKomp[[Stanowisko / Position ]:[Stanowisko / Position ]],0)))</f>
        <v>n/a</v>
      </c>
      <c r="BJ232" s="315" t="str">
        <f>IF(INDEX(tab_MinKomp[CMMS3/eDDL (Direct Data Link)],MATCH($B231,tab_MinKomp[[Stanowisko / Position ]:[Stanowisko / Position ]],0))="n/a","n/a",BJ231-INDEX(tab_MinKomp[CMMS3/eDDL (Direct Data Link)],MATCH($B231,tab_MinKomp[[Stanowisko / Position ]:[Stanowisko / Position ]],0)))</f>
        <v>n/a</v>
      </c>
      <c r="BK232" s="315" t="str">
        <f>IF(INDEX(tab_MinKomp[MP&amp;L (Material Planning and Logistics)],MATCH($B231,tab_MinKomp[[Stanowisko / Position ]:[Stanowisko / Position ]],0))="n/a","n/a",BK231-INDEX(tab_MinKomp[MP&amp;L (Material Planning and Logistics)],MATCH($B231,tab_MinKomp[[Stanowisko / Position ]:[Stanowisko / Position ]],0)))</f>
        <v>n/a</v>
      </c>
      <c r="BL232" s="315" t="str">
        <f>IF(INDEX(tab_MinKomp[Supplier delivery rating],MATCH($B231,tab_MinKomp[[Stanowisko / Position ]:[Stanowisko / Position ]],0))="n/a","n/a",BL231-INDEX(tab_MinKomp[Supplier delivery rating],MATCH($B231,tab_MinKomp[[Stanowisko / Position ]:[Stanowisko / Position ]],0)))</f>
        <v>n/a</v>
      </c>
      <c r="BM232" s="343">
        <f>IF(INDEX(tab_MinKomp[Planowanie produkcji / Produktionsplanung],MATCH($B231,tab_MinKomp[[Stanowisko / Position ]:[Stanowisko / Position ]],0))="n/a","n/a",BM231-INDEX(tab_MinKomp[Planowanie produkcji / Produktionsplanung],MATCH($B231,tab_MinKomp[[Stanowisko / Position ]:[Stanowisko / Position ]],0)))</f>
        <v>0</v>
      </c>
      <c r="BN232" s="343" t="str">
        <f>IF(INDEX(tab_MinKomp[Obsługa maszyn Engel / Engel Maschinenbedienung],MATCH($B231,tab_MinKomp[[Stanowisko / Position ]:[Stanowisko / Position ]],0))="n/a","n/a",BN231-INDEX(tab_MinKomp[Obsługa maszyn Engel / Engel Maschinenbedienung],MATCH($B231,tab_MinKomp[[Stanowisko / Position ]:[Stanowisko / Position ]],0)))</f>
        <v>n/a</v>
      </c>
      <c r="BO232" s="343" t="str">
        <f>IF(INDEX(tab_MinKomp[Obsługa maszyn KVT / KVT Maschinenbedienung],MATCH($B231,tab_MinKomp[[Stanowisko / Position ]:[Stanowisko / Position ]],0))="n/a","n/a",BO231-INDEX(tab_MinKomp[Obsługa maszyn KVT / KVT Maschinenbedienung],MATCH($B231,tab_MinKomp[[Stanowisko / Position ]:[Stanowisko / Position ]],0)))</f>
        <v>n/a</v>
      </c>
      <c r="BP232" s="343" t="str">
        <f>IF(INDEX(tab_MinKomp[Obsługa maszyn KVT / KVT Maschinenbedienung],MATCH($B231,tab_MinKomp[[Stanowisko / Position ]:[Stanowisko / Position ]],0))="n/a","n/a",BP231-INDEX(tab_MinKomp[Obsługa maszyn KVT / KVT Maschinenbedienung],MATCH($B231,tab_MinKomp[[Stanowisko / Position ]:[Stanowisko / Position ]],0)))</f>
        <v>n/a</v>
      </c>
      <c r="BQ232" s="343" t="str">
        <f>IF(INDEX(tab_MinKomp[Obsługa maszyn ASL / ASL Maschinenbedienung],MATCH($B231,tab_MinKomp[[Stanowisko / Position ]:[Stanowisko / Position ]],0))="n/a","n/a",BQ231-INDEX(tab_MinKomp[Obsługa maszyn ASL / ASL Maschinenbedienung],MATCH($B231,tab_MinKomp[[Stanowisko / Position ]:[Stanowisko / Position ]],0)))</f>
        <v>n/a</v>
      </c>
      <c r="BR232" s="343" t="str">
        <f>IF(INDEX(tab_MinKomp[Obsługa maszyn Branson / Branson Maschinenbedienung],MATCH($B231,tab_MinKomp[[Stanowisko / Position ]:[Stanowisko / Position ]],0))="n/a","n/a",BR231-INDEX(tab_MinKomp[Obsługa maszyn Branson / Branson Maschinenbedienung],MATCH($B231,tab_MinKomp[[Stanowisko / Position ]:[Stanowisko / Position ]],0)))</f>
        <v>n/a</v>
      </c>
      <c r="BS232" s="343" t="e">
        <f>IF(INDEX(tab_MinKomp[Obsługa maszyn Novapax / Novapax Maschinenbedienung],MATCH($B231,tab_MinKomp[[Stanowisko / Position ]:[Stanowisko / Position ]],0))="n/a","n/a",BS231-INDEX(tab_MinKomp[Obsługa maszyn Novapax / Novapax Maschinenbedienung],MATCH($B231,tab_MinKomp[[Stanowisko / Position ]:[Stanowisko / Position ]],0)))</f>
        <v>#VALUE!</v>
      </c>
      <c r="BT232" s="343" t="str">
        <f>IF(INDEX(tab_MinKomp[Obsługa maszyn Piovan / Piovan Maschinenbedienung],MATCH($B231,tab_MinKomp[[Stanowisko / Position ]:[Stanowisko / Position ]],0))="n/a","n/a",BT231-INDEX(tab_MinKomp[Obsługa maszyn Piovan / Piovan Maschinenbedienung],MATCH($B231,tab_MinKomp[[Stanowisko / Position ]:[Stanowisko / Position ]],0)))</f>
        <v>n/a</v>
      </c>
      <c r="BU232" s="343"/>
      <c r="BV232" s="343"/>
      <c r="BW232" s="343" t="str">
        <f>IF(INDEX(tab_MinKomp[Informatyka ogólna (techniczne i systemowe) / Allgemeine IT (Technik und System)],MATCH($B231,tab_MinKomp[[Stanowisko / Position ]:[Stanowisko / Position ]],0))="n/a","n/a",BW231-INDEX(tab_MinKomp[Informatyka ogólna (techniczne i systemowe) / Allgemeine IT (Technik und System)],MATCH($B231,tab_MinKomp[[Stanowisko / Position ]:[Stanowisko / Position ]],0)))</f>
        <v>n/a</v>
      </c>
      <c r="BX232" s="343" t="str">
        <f>IF(INDEX(tab_MinKomp[Sieci komputerowe / Computernetzwerke],MATCH($B231,tab_MinKomp[[Stanowisko / Position ]:[Stanowisko / Position ]],0))="n/a","n/a",BX231-INDEX(tab_MinKomp[Sieci komputerowe / Computernetzwerke],MATCH($B231,tab_MinKomp[[Stanowisko / Position ]:[Stanowisko / Position ]],0)))</f>
        <v>n/a</v>
      </c>
      <c r="BY232" s="343" t="str">
        <f>IF(INDEX(tab_MinKomp[Hardware (komputery PC, drukarki biurowe i etykietowe, telefonia stacjonarna i mobilna) (PC, Drucker, Telefpne, Handys)],MATCH($B231,tab_MinKomp[[Stanowisko / Position ]:[Stanowisko / Position ]],0))="n/a","n/a",BY231-INDEX(tab_MinKomp[Hardware (komputery PC, drukarki biurowe i etykietowe, telefonia stacjonarna i mobilna) (PC, Drucker, Telefpne, Handys)],MATCH($B231,tab_MinKomp[[Stanowisko / Position ]:[Stanowisko / Position ]],0)))</f>
        <v>n/a</v>
      </c>
      <c r="BZ232" s="343" t="str">
        <f>IF(INDEX(tab_MinKomp[Software &amp; Systems (MS Office, MS Remote Desktop)],MATCH($B231,tab_MinKomp[[Stanowisko / Position ]:[Stanowisko / Position ]],0))="n/a","n/a",BZ231-INDEX(tab_MinKomp[Software &amp; Systems (MS Office, MS Remote Desktop)],MATCH($B231,tab_MinKomp[[Stanowisko / Position ]:[Stanowisko / Position ]],0)))</f>
        <v>n/a</v>
      </c>
      <c r="CA232" s="343" t="str">
        <f>IF(INDEX(tab_MinKomp[Programowanie obiektowe (PHP) / Objektprogrammierung],MATCH($B231,tab_MinKomp[[Stanowisko / Position ]:[Stanowisko / Position ]],0))="n/a","n/a",CA231-INDEX(tab_MinKomp[Programowanie obiektowe (PHP) / Objektprogrammierung],MATCH($B231,tab_MinKomp[[Stanowisko / Position ]:[Stanowisko / Position ]],0)))</f>
        <v>n/a</v>
      </c>
      <c r="CB232" s="343" t="str">
        <f>IF(INDEX(tab_MinKomp[Scrum],MATCH($B231,tab_MinKomp[[Stanowisko / Position ]:[Stanowisko / Position ]],0))="n/a","n/a",CB231-INDEX(tab_MinKomp[Scrum],MATCH($B231,tab_MinKomp[[Stanowisko / Position ]:[Stanowisko / Position ]],0)))</f>
        <v>n/a</v>
      </c>
      <c r="CC232" s="343" t="str">
        <f>IF(INDEX(tab_MinKomp[SQL (MySQL)],MATCH($B231,tab_MinKomp[[Stanowisko / Position ]:[Stanowisko / Position ]],0))="n/a","n/a",CC231-INDEX(tab_MinKomp[SQL (MySQL)],MATCH($B231,tab_MinKomp[[Stanowisko / Position ]:[Stanowisko / Position ]],0)))</f>
        <v>n/a</v>
      </c>
      <c r="CD232" s="343" t="str">
        <f>IF(INDEX(tab_MinKomp[Javascript],MATCH($B231,tab_MinKomp[[Stanowisko / Position ]:[Stanowisko / Position ]],0))="n/a","n/a",CD231-INDEX(tab_MinKomp[Javascript],MATCH($B231,tab_MinKomp[[Stanowisko / Position ]:[Stanowisko / Position ]],0)))</f>
        <v>n/a</v>
      </c>
      <c r="CE232" s="343" t="str">
        <f>IF(INDEX(tab_MinKomp[Joomla],MATCH($B231,tab_MinKomp[[Stanowisko / Position ]:[Stanowisko / Position ]],0))="n/a","n/a",CE231-INDEX(tab_MinKomp[Joomla],MATCH($B231,tab_MinKomp[[Stanowisko / Position ]:[Stanowisko / Position ]],0)))</f>
        <v>n/a</v>
      </c>
      <c r="CF232" s="343" t="str">
        <f>IF(INDEX(tab_MinKomp[Bash],MATCH($B231,tab_MinKomp[[Stanowisko / Position ]:[Stanowisko / Position ]],0))="n/a","n/a",CF231-INDEX(tab_MinKomp[Bash],MATCH($B231,tab_MinKomp[[Stanowisko / Position ]:[Stanowisko / Position ]],0)))</f>
        <v>n/a</v>
      </c>
      <c r="CG232" s="343">
        <f>IF(INDEX(tab_MinKomp[Systemy MES (HYDRA / SFMS)],MATCH($B231,tab_MinKomp[[Stanowisko / Position ]:[Stanowisko / Position ]],0))="n/a","n/a",CG231-INDEX(tab_MinKomp[Systemy MES (HYDRA / SFMS)],MATCH($B231,tab_MinKomp[[Stanowisko / Position ]:[Stanowisko / Position ]],0)))</f>
        <v>0</v>
      </c>
      <c r="CH232" s="343" t="str">
        <f>IF(INDEX(tab_MinKomp[HTML / CSS],MATCH($B231,tab_MinKomp[[Stanowisko / Position ]:[Stanowisko / Position ]],0))="n/a","n/a",CH231-INDEX(tab_MinKomp[HTML / CSS],MATCH($B231,tab_MinKomp[[Stanowisko / Position ]:[Stanowisko / Position ]],0)))</f>
        <v>n/a</v>
      </c>
      <c r="CI232" s="343" t="str">
        <f>IF(INDEX(tab_MinKomp[SYSTEM PR],MATCH($B231,tab_MinKomp[[Stanowisko / Position ]:[Stanowisko / Position ]],0))="n/a","n/a",CI231-INDEX(tab_MinKomp[SYSTEM PR],MATCH($B231,tab_MinKomp[[Stanowisko / Position ]:[Stanowisko / Position ]],0)))</f>
        <v>n/a</v>
      </c>
      <c r="CJ232" s="343" t="str">
        <f>IF(INDEX(tab_MinKomp[System Einkauf XP / EBA],MATCH($B231,tab_MinKomp[[Stanowisko / Position ]:[Stanowisko / Position ]],0))="n/a","n/a",CJ231-INDEX(tab_MinKomp[System Einkauf XP / EBA],MATCH($B231,tab_MinKomp[[Stanowisko / Position ]:[Stanowisko / Position ]],0)))</f>
        <v>n/a</v>
      </c>
      <c r="CK232" s="343" t="str">
        <f>IF(INDEX(tab_MinKomp[Techniki negocjacyjne / Verhandlungstechniken],MATCH($B231,tab_MinKomp[[Stanowisko / Position ]:[Stanowisko / Position ]],0))="n/a","n/a",CK231-INDEX(tab_MinKomp[Techniki negocjacyjne / Verhandlungstechniken],MATCH($B231,tab_MinKomp[[Stanowisko / Position ]:[Stanowisko / Position ]],0)))</f>
        <v>n/a</v>
      </c>
      <c r="CL232" s="343" t="str">
        <f>IF(INDEX(tab_MinKomp[Znajomość rynku branżowego / Kenntnis des Industrie Marktes],MATCH($B231,tab_MinKomp[[Stanowisko / Position ]:[Stanowisko / Position ]],0))="n/a","n/a",CL231-INDEX(tab_MinKomp[Znajomość rynku branżowego / Kenntnis des Industrie Marktes],MATCH($B231,tab_MinKomp[[Stanowisko / Position ]:[Stanowisko / Position ]],0)))</f>
        <v>n/a</v>
      </c>
      <c r="CM232" s="343">
        <f>IF(INDEX(tab_MinKomp[RAPORTY 8D / 8D Berichten],MATCH($B231,tab_MinKomp[[Stanowisko / Position ]:[Stanowisko / Position ]],0))="n/a","n/a",CM231-INDEX(tab_MinKomp[RAPORTY 8D / 8D Berichten],MATCH($B231,tab_MinKomp[[Stanowisko / Position ]:[Stanowisko / Position ]],0)))</f>
        <v>0</v>
      </c>
      <c r="CN232" s="343">
        <f>IF(INDEX(tab_MinKomp[NARZĘDZIA JAKOŚCIOWE (5WHY, Ishikawa, etc) / QS-Werkzeuge],MATCH($B231,tab_MinKomp[[Stanowisko / Position ]:[Stanowisko / Position ]],0))="n/a","n/a",CN231-INDEX(tab_MinKomp[NARZĘDZIA JAKOŚCIOWE (5WHY, Ishikawa, etc) / QS-Werkzeuge],MATCH($B231,tab_MinKomp[[Stanowisko / Position ]:[Stanowisko / Position ]],0)))</f>
        <v>0</v>
      </c>
      <c r="CO232" s="343">
        <f>IF(INDEX(tab_MinKomp[PDCA],MATCH($B231,tab_MinKomp[[Stanowisko / Position ]:[Stanowisko / Position ]],0))="n/a","n/a",CO231-INDEX(tab_MinKomp[PDCA],MATCH($B231,tab_MinKomp[[Stanowisko / Position ]:[Stanowisko / Position ]],0)))</f>
        <v>0</v>
      </c>
      <c r="CP232" s="343">
        <f>IF(INDEX(tab_MinKomp[Pareto],MATCH($B231,tab_MinKomp[[Stanowisko / Position ]:[Stanowisko / Position ]],0))="n/a","n/a",CP231-INDEX(tab_MinKomp[Pareto],MATCH($B231,tab_MinKomp[[Stanowisko / Position ]:[Stanowisko / Position ]],0)))</f>
        <v>0</v>
      </c>
      <c r="CQ232" s="343" t="str">
        <f>IF(INDEX(tab_MinKomp[PPAP/PSW],MATCH($B231,tab_MinKomp[[Stanowisko / Position ]:[Stanowisko / Position ]],0))="n/a","n/a",CQ231-INDEX(tab_MinKomp[PPAP/PSW],MATCH($B231,tab_MinKomp[[Stanowisko / Position ]:[Stanowisko / Position ]],0)))</f>
        <v>n/a</v>
      </c>
      <c r="CR232" s="343" t="str">
        <f>IF(INDEX(tab_MinKomp[SUPPLIER MANAGEMENT],MATCH($B231,tab_MinKomp[[Stanowisko / Position ]:[Stanowisko / Position ]],0))="n/a","n/a",CR231-INDEX(tab_MinKomp[SUPPLIER MANAGEMENT],MATCH($B231,tab_MinKomp[[Stanowisko / Position ]:[Stanowisko / Position ]],0)))</f>
        <v>n/a</v>
      </c>
      <c r="CS232" s="343" t="str">
        <f>IF(INDEX(tab_MinKomp[OBSŁUGA PORTALI KLIENTA / Kundenportale],MATCH($B231,tab_MinKomp[[Stanowisko / Position ]:[Stanowisko / Position ]],0))="n/a","n/a",CS231-INDEX(tab_MinKomp[OBSŁUGA PORTALI KLIENTA / Kundenportale],MATCH($B231,tab_MinKomp[[Stanowisko / Position ]:[Stanowisko / Position ]],0)))</f>
        <v>n/a</v>
      </c>
      <c r="CT232" s="343" t="str">
        <f>IF(INDEX(tab_MinKomp[Obsługa systemu BABTECQ / BABTECQ System],MATCH($B231,tab_MinKomp[[Stanowisko / Position ]:[Stanowisko / Position ]],0))="n/a","n/a",CT231-INDEX(tab_MinKomp[Obsługa systemu BABTECQ / BABTECQ System],MATCH($B231,tab_MinKomp[[Stanowisko / Position ]:[Stanowisko / Position ]],0)))</f>
        <v>n/a</v>
      </c>
      <c r="CU232" s="343" t="str">
        <f>IF(INDEX(tab_MinKomp[Rysunek techniczny / technische Zeichnung],MATCH($B231,tab_MinKomp[[Stanowisko / Position ]:[Stanowisko / Position ]],0))="n/a","n/a",CU231-INDEX(tab_MinKomp[Rysunek techniczny / technische Zeichnung],MATCH($B231,tab_MinKomp[[Stanowisko / Position ]:[Stanowisko / Position ]],0)))</f>
        <v>n/a</v>
      </c>
      <c r="CV232" s="343" t="str">
        <f>IF(INDEX(tab_MinKomp[Kalibracja / Kalibrierung],MATCH($B231,tab_MinKomp[[Stanowisko / Position ]:[Stanowisko / Position ]],0))="n/a","n/a",CV231-INDEX(tab_MinKomp[Kalibracja / Kalibrierung],MATCH($B231,tab_MinKomp[[Stanowisko / Position ]:[Stanowisko / Position ]],0)))</f>
        <v>n/a</v>
      </c>
      <c r="CW232" s="343" t="str">
        <f>IF(INDEX(tab_MinKomp[Rekwalifikacja / Requalifizierung],MATCH($B231,tab_MinKomp[[Stanowisko / Position ]:[Stanowisko / Position ]],0))="n/a","n/a",CW231-INDEX(tab_MinKomp[Rekwalifikacja / Requalifizierung],MATCH($B231,tab_MinKomp[[Stanowisko / Position ]:[Stanowisko / Position ]],0)))</f>
        <v>n/a</v>
      </c>
      <c r="CX232" s="315" t="s">
        <v>176</v>
      </c>
      <c r="CY232" s="315" t="s">
        <v>176</v>
      </c>
      <c r="CZ232" s="315" t="s">
        <v>176</v>
      </c>
      <c r="DA232" s="315" t="s">
        <v>176</v>
      </c>
      <c r="DB232" s="315" t="s">
        <v>176</v>
      </c>
      <c r="DC232" s="315" t="s">
        <v>176</v>
      </c>
      <c r="DD232" s="315" t="s">
        <v>176</v>
      </c>
      <c r="DE232" s="315" t="s">
        <v>176</v>
      </c>
      <c r="DF232" s="315" t="s">
        <v>176</v>
      </c>
      <c r="DG232" s="315" t="s">
        <v>176</v>
      </c>
      <c r="DH232" s="315" t="s">
        <v>176</v>
      </c>
      <c r="DI232" s="315" t="s">
        <v>176</v>
      </c>
      <c r="DJ232" s="315" t="s">
        <v>176</v>
      </c>
      <c r="DK232" s="315" t="s">
        <v>176</v>
      </c>
      <c r="DL232" s="315" t="s">
        <v>176</v>
      </c>
      <c r="DM232" s="315" t="s">
        <v>176</v>
      </c>
      <c r="DN232" s="315" t="s">
        <v>176</v>
      </c>
      <c r="DO232" s="315" t="s">
        <v>176</v>
      </c>
      <c r="DP232" s="315" t="s">
        <v>176</v>
      </c>
      <c r="DQ232" s="315" t="s">
        <v>176</v>
      </c>
      <c r="DR232" s="315" t="s">
        <v>176</v>
      </c>
      <c r="DS232" s="315" t="s">
        <v>176</v>
      </c>
      <c r="DT232" s="315" t="s">
        <v>176</v>
      </c>
      <c r="DU232" s="343" t="str">
        <f>IF(INDEX(tab_MinKomp[MSA i SPC],MATCH($B231,tab_MinKomp[[Stanowisko / Position ]:[Stanowisko / Position ]],0))="n/a","n/a",DU231-INDEX(tab_MinKomp[MSA i SPC],MATCH($B231,tab_MinKomp[[Stanowisko / Position ]:[Stanowisko / Position ]],0)))</f>
        <v>n/a</v>
      </c>
      <c r="DV232" s="343" t="str">
        <f>IF(INDEX(tab_MinKomp[Kontrola wejściowa komponentów/ Eingangskontrolle],MATCH($B231,tab_MinKomp[[Stanowisko / Position ]:[Stanowisko / Position ]],0))="n/a","n/a",DV231-INDEX(tab_MinKomp[Kontrola wejściowa komponentów/ Eingangskontrolle],MATCH($B231,tab_MinKomp[[Stanowisko / Position ]:[Stanowisko / Position ]],0)))</f>
        <v>n/a</v>
      </c>
      <c r="DW232" s="343" t="str">
        <f>IF(INDEX(tab_MinKomp[Kontrola wyjściowa produktu / Ausgangskontrolle],MATCH($B231,tab_MinKomp[[Stanowisko / Position ]:[Stanowisko / Position ]],0))="n/a","n/a",DW231-INDEX(tab_MinKomp[Kontrola wyjściowa produktu / Ausgangskontrolle],MATCH($B231,tab_MinKomp[[Stanowisko / Position ]:[Stanowisko / Position ]],0)))</f>
        <v>n/a</v>
      </c>
      <c r="DX232" s="343" t="str">
        <f>IF(INDEX(tab_MinKomp[Kontrola codzienna produkcji / Tägliche Produktionskontrolle],MATCH($B231,tab_MinKomp[[Stanowisko / Position ]:[Stanowisko / Position ]],0))="n/a","n/a",DX231-INDEX(tab_MinKomp[Kontrola codzienna produkcji / Tägliche Produktionskontrolle],MATCH($B231,tab_MinKomp[[Stanowisko / Position ]:[Stanowisko / Position ]],0)))</f>
        <v>n/a</v>
      </c>
      <c r="DY232" s="343" t="str">
        <f>IF(INDEX(tab_MinKomp[Konserwacja Rep],MATCH($B231,tab_MinKomp[[Stanowisko / Position ]:[Stanowisko / Position ]],0))="n/a","n/a",DY231-INDEX(tab_MinKomp[Konserwacja Rep],MATCH($B231,tab_MinKomp[[Stanowisko / Position ]:[Stanowisko / Position ]],0)))</f>
        <v>n/a</v>
      </c>
      <c r="DZ232" s="343" t="str">
        <f>IF(INDEX(tab_MinKomp[[Konserwacja Engel ]],MATCH($B231,tab_MinKomp[[Stanowisko / Position ]:[Stanowisko / Position ]],0))="n/a","n/a",DZ231-INDEX(tab_MinKomp[[Konserwacja Engel ]],MATCH($B231,tab_MinKomp[[Stanowisko / Position ]:[Stanowisko / Position ]],0)))</f>
        <v>n/a</v>
      </c>
      <c r="EA232" s="343" t="str">
        <f>IF(INDEX(tab_MinKomp[Konserwacja B 50],MATCH($B231,tab_MinKomp[[Stanowisko / Position ]:[Stanowisko / Position ]],0))="n/a","n/a",EA231-INDEX(tab_MinKomp[Konserwacja B 50],MATCH($B231,tab_MinKomp[[Stanowisko / Position ]:[Stanowisko / Position ]],0)))</f>
        <v>n/a</v>
      </c>
      <c r="EB232" s="343" t="str">
        <f>IF(INDEX(tab_MinKomp[[Konserwacja EOL ]],MATCH($B231,tab_MinKomp[[Stanowisko / Position ]:[Stanowisko / Position ]],0))="n/a","n/a",EB231-INDEX(tab_MinKomp[[Konserwacja EOL ]],MATCH($B231,tab_MinKomp[[Stanowisko / Position ]:[Stanowisko / Position ]],0)))</f>
        <v>n/a</v>
      </c>
      <c r="EC232" s="343" t="str">
        <f>IF(INDEX(tab_MinKomp[Konserwacja Branson],MATCH($B231,tab_MinKomp[[Stanowisko / Position ]:[Stanowisko / Position ]],0))="n/a","n/a",EC231-INDEX(tab_MinKomp[Konserwacja Branson],MATCH($B231,tab_MinKomp[[Stanowisko / Position ]:[Stanowisko / Position ]],0)))</f>
        <v>n/a</v>
      </c>
      <c r="ED232" s="343" t="str">
        <f>IF(INDEX(tab_MinKomp[Konserwacja coolery],MATCH($B231,tab_MinKomp[[Stanowisko / Position ]:[Stanowisko / Position ]],0))="n/a","n/a",ED231-INDEX(tab_MinKomp[Konserwacja coolery],MATCH($B231,tab_MinKomp[[Stanowisko / Position ]:[Stanowisko / Position ]],0)))</f>
        <v>n/a</v>
      </c>
      <c r="EE232" s="343" t="str">
        <f>IF(INDEX(tab_MinKomp[Konserwacja piecy],MATCH($B231,tab_MinKomp[[Stanowisko / Position ]:[Stanowisko / Position ]],0))="n/a","n/a",EE231-INDEX(tab_MinKomp[Konserwacja piecy],MATCH($B231,tab_MinKomp[[Stanowisko / Position ]:[Stanowisko / Position ]],0)))</f>
        <v>n/a</v>
      </c>
      <c r="EF232" s="343" t="str">
        <f>IF(INDEX(tab_MinKomp[Rysunek techniczny- czytanie],MATCH($B231,tab_MinKomp[[Stanowisko / Position ]:[Stanowisko / Position ]],0))="n/a","n/a",EF231-INDEX(tab_MinKomp[Rysunek techniczny- czytanie],MATCH($B231,tab_MinKomp[[Stanowisko / Position ]:[Stanowisko / Position ]],0)))</f>
        <v>n/a</v>
      </c>
      <c r="EG232" s="343" t="str">
        <f>IF(INDEX(tab_MinKomp[Elektryka],MATCH($B231,tab_MinKomp[[Stanowisko / Position ]:[Stanowisko / Position ]],0))="n/a","n/a",EG231-INDEX(tab_MinKomp[Elektryka],MATCH($B231,tab_MinKomp[[Stanowisko / Position ]:[Stanowisko / Position ]],0)))</f>
        <v>n/a</v>
      </c>
      <c r="EH232" s="343" t="str">
        <f>IF(INDEX(tab_MinKomp[Pneumatyka],MATCH($B231,tab_MinKomp[[Stanowisko / Position ]:[Stanowisko / Position ]],0))="n/a","n/a",EH231-INDEX(tab_MinKomp[Pneumatyka],MATCH($B231,tab_MinKomp[[Stanowisko / Position ]:[Stanowisko / Position ]],0)))</f>
        <v>n/a</v>
      </c>
      <c r="EI232" s="343" t="str">
        <f>IF(INDEX(tab_MinKomp[[Hydraulika ]],MATCH($B231,tab_MinKomp[[Stanowisko / Position ]:[Stanowisko / Position ]],0))="n/a","n/a",EI231-INDEX(tab_MinKomp[[Hydraulika ]],MATCH($B231,tab_MinKomp[[Stanowisko / Position ]:[Stanowisko / Position ]],0)))</f>
        <v>n/a</v>
      </c>
      <c r="EJ232" s="343" t="str">
        <f>IF(INDEX(tab_MinKomp[Podciśnienie],MATCH($B231,tab_MinKomp[[Stanowisko / Position ]:[Stanowisko / Position ]],0))="n/a","n/a",EJ231-INDEX(tab_MinKomp[Podciśnienie],MATCH($B231,tab_MinKomp[[Stanowisko / Position ]:[Stanowisko / Position ]],0)))</f>
        <v>n/a</v>
      </c>
      <c r="EK232" s="343" t="str">
        <f>IF(INDEX(tab_MinKomp[Usuwanie awarii],MATCH($B231,tab_MinKomp[[Stanowisko / Position ]:[Stanowisko / Position ]],0))="n/a","n/a",EK231-INDEX(tab_MinKomp[Usuwanie awarii],MATCH($B231,tab_MinKomp[[Stanowisko / Position ]:[Stanowisko / Position ]],0)))</f>
        <v>n/a</v>
      </c>
      <c r="EL232" s="343" t="str">
        <f>IF(INDEX(tab_MinKomp[Obsługa robotów],MATCH($B231,tab_MinKomp[[Stanowisko / Position ]:[Stanowisko / Position ]],0))="n/a","n/a",EL231-INDEX(tab_MinKomp[Obsługa robotów],MATCH($B231,tab_MinKomp[[Stanowisko / Position ]:[Stanowisko / Position ]],0)))</f>
        <v>n/a</v>
      </c>
      <c r="EM232" s="343" t="str">
        <f>IF(INDEX(tab_MinKomp[Obsługa sterowania maszyny],MATCH($B231,tab_MinKomp[[Stanowisko / Position ]:[Stanowisko / Position ]],0))="n/a","n/a",EM231-INDEX(tab_MinKomp[Obsługa sterowania maszyny],MATCH($B231,tab_MinKomp[[Stanowisko / Position ]:[Stanowisko / Position ]],0)))</f>
        <v>n/a</v>
      </c>
      <c r="EN232" s="343" t="str">
        <f>IF(INDEX(tab_MinKomp[Usuwanie przyczyn żródłowych],MATCH($B231,tab_MinKomp[[Stanowisko / Position ]:[Stanowisko / Position ]],0))="n/a","n/a",EN231-INDEX(tab_MinKomp[Usuwanie przyczyn żródłowych],MATCH($B231,tab_MinKomp[[Stanowisko / Position ]:[Stanowisko / Position ]],0)))</f>
        <v>n/a</v>
      </c>
      <c r="EO232" s="343" t="str">
        <f>IF(INDEX(tab_MinKomp[Cmms stosowanie],MATCH($B231,tab_MinKomp[[Stanowisko / Position ]:[Stanowisko / Position ]],0))="n/a","n/a",EO231-INDEX(tab_MinKomp[Cmms stosowanie],MATCH($B231,tab_MinKomp[[Stanowisko / Position ]:[Stanowisko / Position ]],0)))</f>
        <v>n/a</v>
      </c>
      <c r="EP232" s="343" t="str">
        <f>IF(INDEX(tab_MinKomp[[Czyszczenie form gumowych ]],MATCH($B231,tab_MinKomp[[Stanowisko / Position ]:[Stanowisko / Position ]],0))="n/a","n/a",EP231-INDEX(tab_MinKomp[[Czyszczenie form gumowych ]],MATCH($B231,tab_MinKomp[[Stanowisko / Position ]:[Stanowisko / Position ]],0)))</f>
        <v>n/a</v>
      </c>
      <c r="EQ232" s="343" t="str">
        <f>IF(INDEX(tab_MinKomp[Czyszczenie form plastikowych],MATCH($B231,tab_MinKomp[[Stanowisko / Position ]:[Stanowisko / Position ]],0))="n/a","n/a",EQ231-INDEX(tab_MinKomp[Czyszczenie form plastikowych],MATCH($B231,tab_MinKomp[[Stanowisko / Position ]:[Stanowisko / Position ]],0)))</f>
        <v>n/a</v>
      </c>
      <c r="ER232" s="343" t="str">
        <f>IF(INDEX(tab_MinKomp[Wymiana form plastik],MATCH($B231,tab_MinKomp[[Stanowisko / Position ]:[Stanowisko / Position ]],0))="n/a","n/a",ER231-INDEX(tab_MinKomp[Wymiana form plastik],MATCH($B231,tab_MinKomp[[Stanowisko / Position ]:[Stanowisko / Position ]],0)))</f>
        <v>n/a</v>
      </c>
      <c r="ES232" s="343" t="str">
        <f>IF(INDEX(tab_MinKomp[Wymiana form guma],MATCH($B231,tab_MinKomp[[Stanowisko / Position ]:[Stanowisko / Position ]],0))="n/a","n/a",ES231-INDEX(tab_MinKomp[Wymiana form guma],MATCH($B231,tab_MinKomp[[Stanowisko / Position ]:[Stanowisko / Position ]],0)))</f>
        <v>n/a</v>
      </c>
      <c r="ET232" s="343" t="str">
        <f>IF(INDEX(tab_MinKomp[Konserwacja KK],MATCH($B231,tab_MinKomp[[Stanowisko / Position ]:[Stanowisko / Position ]],0))="n/a","n/a",ET231-INDEX(tab_MinKomp[Konserwacja KK],MATCH($B231,tab_MinKomp[[Stanowisko / Position ]:[Stanowisko / Position ]],0)))</f>
        <v>n/a</v>
      </c>
      <c r="EU232" s="343" t="str">
        <f>IF(INDEX(tab_MinKomp[Konserwacja form guma],MATCH($B231,tab_MinKomp[[Stanowisko / Position ]:[Stanowisko / Position ]],0))="n/a","n/a",EU231-INDEX(tab_MinKomp[Konserwacja form guma],MATCH($B231,tab_MinKomp[[Stanowisko / Position ]:[Stanowisko / Position ]],0)))</f>
        <v>n/a</v>
      </c>
      <c r="EV232" s="343" t="str">
        <f>IF(INDEX(tab_MinKomp[Konserwacja form plastiki],MATCH($B231,tab_MinKomp[[Stanowisko / Position ]:[Stanowisko / Position ]],0))="n/a","n/a",EV231-INDEX(tab_MinKomp[Konserwacja form plastiki],MATCH($B231,tab_MinKomp[[Stanowisko / Position ]:[Stanowisko / Position ]],0)))</f>
        <v>n/a</v>
      </c>
      <c r="EW232" s="330" t="str">
        <f>IF(INDEX(tab_MinKomp[Konserwacja form plastiki],MATCH($B231,tab_MinKomp[[Stanowisko / Position ]:[Stanowisko / Position ]],0))="n/a","n/a",EW231-INDEX(tab_MinKomp[Konserwacja form plastiki],MATCH($B231,tab_MinKomp[[Stanowisko / Position ]:[Stanowisko / Position ]],0)))</f>
        <v>n/a</v>
      </c>
      <c r="EX232" s="343" t="str">
        <f>IF(INDEX(tab_MinKomp[Konserwacja Gorącego Kanału],MATCH($B231,tab_MinKomp[[Stanowisko / Position ]:[Stanowisko / Position ]],0))="n/a","n/a",EX231-INDEX(tab_MinKomp[Konserwacja Gorącego Kanału],MATCH($B231,tab_MinKomp[[Stanowisko / Position ]:[Stanowisko / Position ]],0)))</f>
        <v>n/a</v>
      </c>
      <c r="EY232" s="343">
        <f>IF(INDEX(tab_MinKomp[MS Office (Excel)],MATCH($B231,tab_MinKomp[[Stanowisko / Position ]:[Stanowisko / Position ]],0))="n/a","n/a",EY231-INDEX(tab_MinKomp[MS Office (Excel)],MATCH($B231,tab_MinKomp[[Stanowisko / Position ]:[Stanowisko / Position ]],0)))</f>
        <v>0</v>
      </c>
      <c r="EZ232" s="343">
        <f>IF(INDEX(tab_MinKomp[MS Office (Word)],MATCH($B231,tab_MinKomp[[Stanowisko / Position ]:[Stanowisko / Position ]],0))="n/a","n/a",EZ231-INDEX(tab_MinKomp[MS Office (Word)],MATCH($B231,tab_MinKomp[[Stanowisko / Position ]:[Stanowisko / Position ]],0)))</f>
        <v>0</v>
      </c>
      <c r="FA232" s="343">
        <f>IF(INDEX(tab_MinKomp[MS Office (Power Point)],MATCH($B231,tab_MinKomp[[Stanowisko / Position ]:[Stanowisko / Position ]],0))="n/a","n/a",FA231-INDEX(tab_MinKomp[MS Office (Power Point)],MATCH($B231,tab_MinKomp[[Stanowisko / Position ]:[Stanowisko / Position ]],0)))</f>
        <v>0</v>
      </c>
      <c r="FB232" s="343" t="str">
        <f>IF(INDEX(tab_MinKomp[Język angielski / Englisch],MATCH($B231,tab_MinKomp[[Stanowisko / Position ]:[Stanowisko / Position ]],0))="n/a","n/a",FB231-INDEX(tab_MinKomp[Język angielski / Englisch],MATCH($B231,tab_MinKomp[[Stanowisko / Position ]:[Stanowisko / Position ]],0)))</f>
        <v>n/a</v>
      </c>
      <c r="FC232" s="343" t="str">
        <f>IF(INDEX(tab_MinKomp[Język niemiecki / Deutsch],MATCH($B231,tab_MinKomp[[Stanowisko / Position ]:[Stanowisko / Position ]],0))="n/a","n/a",FC231-INDEX(tab_MinKomp[Język niemiecki / Deutsch],MATCH($B231,tab_MinKomp[[Stanowisko / Position ]:[Stanowisko / Position ]],0)))</f>
        <v>n/a</v>
      </c>
      <c r="FD232" s="343">
        <f>IF(INDEX(tab_MinKomp[Zarządzanie dokumentacją procesową / Process dokumentation management],MATCH($B231,tab_MinKomp[[Stanowisko / Position ]:[Stanowisko / Position ]],0))="n/a","n/a",FD231-INDEX(tab_MinKomp[Zarządzanie dokumentacją procesową / Process dokumentation management],MATCH($B231,tab_MinKomp[[Stanowisko / Position ]:[Stanowisko / Position ]],0)))</f>
        <v>0</v>
      </c>
      <c r="FE232" s="343">
        <f>IF(INDEX(tab_MinKomp[Znajomość procesów z obszaru / Kenntiss der prozesse in dem Bereich],MATCH($B231,tab_MinKomp[[Stanowisko / Position ]:[Stanowisko / Position ]],0))="n/a","n/a",FE231-INDEX(tab_MinKomp[Znajomość procesów z obszaru / Kenntiss der prozesse in dem Bereich],MATCH($B231,tab_MinKomp[[Stanowisko / Position ]:[Stanowisko / Position ]],0)))</f>
        <v>0</v>
      </c>
      <c r="FF232" s="343">
        <f>IF(INDEX(tab_MinKomp[optymalizacja procesów / Prozessoptymalisierung],MATCH($B231,tab_MinKomp[[Stanowisko / Position ]:[Stanowisko / Position ]],0))="n/a","n/a",FF231-INDEX(tab_MinKomp[optymalizacja procesów / Prozessoptymalisierung],MATCH($B231,tab_MinKomp[[Stanowisko / Position ]:[Stanowisko / Position ]],0)))</f>
        <v>0</v>
      </c>
      <c r="FG232" s="343">
        <f>IF(INDEX(tab_MinKomp[Umiejętności szkoleniowe / Trainingsfähigkeiten],MATCH($B231,tab_MinKomp[[Stanowisko / Position ]:[Stanowisko / Position ]],0))="n/a","n/a",FG231-INDEX(tab_MinKomp[Umiejętności szkoleniowe / Trainingsfähigkeiten],MATCH($B231,tab_MinKomp[[Stanowisko / Position ]:[Stanowisko / Position ]],0)))</f>
        <v>1</v>
      </c>
      <c r="FH232" s="343">
        <f>IF(INDEX(tab_MinKomp[Analityczne myślenie, podejście / Analitysches Denken, Einstellung],MATCH($B231,tab_MinKomp[[Stanowisko / Position ]:[Stanowisko / Position ]],0))="n/a","n/a",FH231-INDEX(tab_MinKomp[Analityczne myślenie, podejście / Analitysches Denken, Einstellung],MATCH($B231,tab_MinKomp[[Stanowisko / Position ]:[Stanowisko / Position ]],0)))</f>
        <v>0</v>
      </c>
      <c r="FI232" s="343">
        <f>IF(INDEX(tab_MinKomp[Dokładność, precyzja w dzialaniu / Genauigkeit, Präzision in die Arbeit],MATCH($B231,tab_MinKomp[[Stanowisko / Position ]:[Stanowisko / Position ]],0))="n/a","n/a",FI231-INDEX(tab_MinKomp[Dokładność, precyzja w dzialaniu / Genauigkeit, Präzision in die Arbeit],MATCH($B231,tab_MinKomp[[Stanowisko / Position ]:[Stanowisko / Position ]],0)))</f>
        <v>0</v>
      </c>
      <c r="FJ232" s="343">
        <f>IF(INDEX(tab_MinKomp[Dyspozycyjność / Verfügbarkeit],MATCH($B231,tab_MinKomp[[Stanowisko / Position ]:[Stanowisko / Position ]],0))="n/a","n/a",FJ231-INDEX(tab_MinKomp[Dyspozycyjność / Verfügbarkeit],MATCH($B231,tab_MinKomp[[Stanowisko / Position ]:[Stanowisko / Position ]],0)))</f>
        <v>1</v>
      </c>
      <c r="FK232" s="343">
        <f>IF(INDEX(tab_MinKomp[Zaangażowanie / 
Engagement],MATCH($B231,tab_MinKomp[[Stanowisko / Position ]:[Stanowisko / Position ]],0))="n/a","n/a",FK231-INDEX(tab_MinKomp[Zaangażowanie / 
Engagement],MATCH($B231,tab_MinKomp[[Stanowisko / Position ]:[Stanowisko / Position ]],0)))</f>
        <v>0</v>
      </c>
      <c r="FL232" s="343">
        <f>IF(INDEX(tab_MinKomp[Planowanie strategiczne / Strategische Planung],MATCH($B231,tab_MinKomp[[Stanowisko / Position ]:[Stanowisko / Position ]],0))="n/a","n/a",FL231-INDEX(tab_MinKomp[Planowanie strategiczne / Strategische Planung],MATCH($B231,tab_MinKomp[[Stanowisko / Position ]:[Stanowisko / Position ]],0)))</f>
        <v>0</v>
      </c>
      <c r="FM232" s="343">
        <f>IF(INDEX(tab_MinKomp[Konsekwentne i dynamiczne działanie],MATCH($B231,tab_MinKomp[[Stanowisko / Position ]:[Stanowisko / Position ]],0))="n/a","n/a",FM231-INDEX(tab_MinKomp[Konsekwentne i dynamiczne działanie],MATCH($B231,tab_MinKomp[[Stanowisko / Position ]:[Stanowisko / Position ]],0)))</f>
        <v>0</v>
      </c>
      <c r="FN232" s="343">
        <f>IF(INDEX(tab_MinKomp[Elastyczność w działaniu],MATCH($B231,tab_MinKomp[[Stanowisko / Position ]:[Stanowisko / Position ]],0))="n/a","n/a",FN231-INDEX(tab_MinKomp[Elastyczność w działaniu],MATCH($B231,tab_MinKomp[[Stanowisko / Position ]:[Stanowisko / Position ]],0)))</f>
        <v>0</v>
      </c>
      <c r="FO232" s="343">
        <f>IF(INDEX(tab_MinKomp[Komunikatywność],MATCH($B231,tab_MinKomp[[Stanowisko / Position ]:[Stanowisko / Position ]],0))="n/a","n/a",FO231-INDEX(tab_MinKomp[Komunikatywność],MATCH($B231,tab_MinKomp[[Stanowisko / Position ]:[Stanowisko / Position ]],0)))</f>
        <v>0</v>
      </c>
      <c r="FP232" s="342">
        <f>IF(INDEX(tab_MinKomp[Motywowanie i budowanie zaangażowania zespołu],MATCH($B231,tab_MinKomp[[Stanowisko / Position ]:[Stanowisko / Position ]],0))="n/a","n/a",FP231-INDEX(tab_MinKomp[Motywowanie i budowanie zaangażowania zespołu],MATCH($B231,tab_MinKomp[[Stanowisko / Position ]:[Stanowisko / Position ]],0)))</f>
        <v>0</v>
      </c>
      <c r="FQ232" s="346" t="str">
        <f>IFERROR(IF(INDEX(tab_MinKomp[BRAK / Keine],MATCH($B231,tab_MinKomp[[Stanowisko / Position ]:[Stanowisko / Position ]],0))="n/a","n/a",INDEX(tab_MinKomp[BRAK / Keine],MATCH($B231,tab_MinKomp[[Stanowisko / Position ]:[Stanowisko / Position ]],0))-FQ231),"")</f>
        <v>n/a</v>
      </c>
      <c r="FR232" s="343" t="str">
        <f>IF(INDEX(tab_MinKomp[MINIMUM 1 ROK / min. 1 Jahr],MATCH($B231,tab_MinKomp[[Stanowisko / Position ]:[Stanowisko / Position ]],0))="n/a","n/a",INDEX(tab_MinKomp[MINIMUM 1 ROK / min. 1 Jahr],MATCH($B231,tab_MinKomp[[Stanowisko / Position ]:[Stanowisko / Position ]],0)))</f>
        <v>x</v>
      </c>
      <c r="FS232" s="343" t="str">
        <f>IF(INDEX(tab_MinKomp[MINIMUM 2 LATA / min. 2 Jahre],MATCH($B231,tab_MinKomp[[Stanowisko / Position ]:[Stanowisko / Position ]],0))="n/a","n/a",INDEX(tab_MinKomp[MINIMUM 2 LATA / min. 2 Jahre],MATCH($B231,tab_MinKomp[[Stanowisko / Position ]:[Stanowisko / Position ]],0)))</f>
        <v>n/a</v>
      </c>
      <c r="FT232" s="343" t="str">
        <f>IF(INDEX(tab_MinKomp[MINIMUM 3 LATA / min. 3 Jahre],MATCH($B231,tab_MinKomp[[Stanowisko / Position ]:[Stanowisko / Position ]],0))="n/a","n/a",INDEX(tab_MinKomp[MINIMUM 3 LATA / min. 3 Jahre],MATCH($B231,tab_MinKomp[[Stanowisko / Position ]:[Stanowisko / Position ]],0)))</f>
        <v>n/a</v>
      </c>
      <c r="FU232" s="343" t="str">
        <f>IF(INDEX(tab_MinKomp[MINIMUM 4 LATA / min. 4 Jahre],MATCH($B231,tab_MinKomp[[Stanowisko / Position ]:[Stanowisko / Position ]],0))="n/a","n/a",INDEX(tab_MinKomp[MINIMUM 4 LATA / min. 4 Jahre],MATCH($B231,tab_MinKomp[[Stanowisko / Position ]:[Stanowisko / Position ]],0)))</f>
        <v>n/a</v>
      </c>
      <c r="FV232" s="347" t="str">
        <f>IF(INDEX(tab_MinKomp[MINIMUM 5 LAT / min. 5 Jahre],MATCH($B231,tab_MinKomp[[Stanowisko / Position ]:[Stanowisko / Position ]],0))="n/a","n/a",INDEX(tab_MinKomp[MINIMUM 5 LAT / min. 5 Jahre],MATCH($B231,tab_MinKomp[[Stanowisko / Position ]:[Stanowisko / Position ]],0)))</f>
        <v>n/a</v>
      </c>
      <c r="FW232" s="346" t="str">
        <f>IF(INDEX(tab_MinKomp[BRAK / Keine9],MATCH($B231,tab_MinKomp[[Stanowisko / Position ]:[Stanowisko / Position ]],0))="n/a","n/a",INDEX(tab_MinKomp[BRAK / Keine9],MATCH($B231,tab_MinKomp[[Stanowisko / Position ]:[Stanowisko / Position ]],0)))</f>
        <v>n/a</v>
      </c>
      <c r="FX232" s="343" t="str">
        <f>IF(INDEX(tab_MinKomp[ZAWODOWE / Berufsausbildung],MATCH($B231,tab_MinKomp[[Stanowisko / Position ]:[Stanowisko / Position ]],0))="n/a","n/a",INDEX(tab_MinKomp[ZAWODOWE / Berufsausbildung],MATCH($B231,tab_MinKomp[[Stanowisko / Position ]:[Stanowisko / Position ]],0)))</f>
        <v>x</v>
      </c>
      <c r="FY232" s="343" t="str">
        <f>IF(INDEX(tab_MinKomp[ŚREDNIE OGÓLNE / Abitur allgemeine],MATCH($B231,tab_MinKomp[[Stanowisko / Position ]:[Stanowisko / Position ]],0))="n/a","n/a",INDEX(tab_MinKomp[ŚREDNIE OGÓLNE / Abitur allgemeine],MATCH($B231,tab_MinKomp[[Stanowisko / Position ]:[Stanowisko / Position ]],0)))</f>
        <v>n/a</v>
      </c>
      <c r="FZ232" s="343" t="str">
        <f>IF(INDEX(tab_MinKomp[ŚREDNIE KIERUNKOWE / berufliches Gymnasium],MATCH($B231,tab_MinKomp[[Stanowisko / Position ]:[Stanowisko / Position ]],0))="n/a","n/a",INDEX(tab_MinKomp[ŚREDNIE KIERUNKOWE / berufliches Gymnasium],MATCH($B231,tab_MinKomp[[Stanowisko / Position ]:[Stanowisko / Position ]],0)))</f>
        <v>n/a</v>
      </c>
      <c r="GA232" s="343" t="str">
        <f>IF(INDEX(tab_MinKomp[WYŻSZE OGÓLNE / Hochschule allgemeine],MATCH($B231,tab_MinKomp[[Stanowisko / Position ]:[Stanowisko / Position ]],0))="n/a","n/a",INDEX(tab_MinKomp[WYŻSZE OGÓLNE / Hochschule allgemeine],MATCH($B231,tab_MinKomp[[Stanowisko / Position ]:[Stanowisko / Position ]],0)))</f>
        <v>n/a</v>
      </c>
      <c r="GB232" s="347" t="str">
        <f>IF(INDEX(tab_MinKomp[WYŻSZE KIERUNKOWE / Hochschule berufliche],MATCH($B231,tab_MinKomp[[Stanowisko / Position ]:[Stanowisko / Position ]],0))="n/a","n/a",INDEX(tab_MinKomp[WYŻSZE KIERUNKOWE / Hochschule berufliche],MATCH($B231,tab_MinKomp[[Stanowisko / Position ]:[Stanowisko / Position ]],0)))</f>
        <v>n/a</v>
      </c>
      <c r="GC232" s="346" t="str">
        <f>IF(INDEX(tab_MinKomp[PIERWSZA POMOC / Erste Hilfe],MATCH($B231,tab_MinKomp[[Stanowisko / Position ]:[Stanowisko / Position ]],0))="n/a","n/a",INDEX(tab_MinKomp[PIERWSZA POMOC / Erste Hilfe],MATCH($B231,tab_MinKomp[[Stanowisko / Position ]:[Stanowisko / Position ]],0)))</f>
        <v>x</v>
      </c>
      <c r="GD232" s="343" t="str">
        <f>IF(INDEX(tab_MinKomp[Specjalista BHP / BHP Spezialist],MATCH($B231,tab_MinKomp[[Stanowisko / Position ]:[Stanowisko / Position ]],0))="n/a","n/a",INDEX(tab_MinKomp[Specjalista BHP / BHP Spezialist],MATCH($B231,tab_MinKomp[[Stanowisko / Position ]:[Stanowisko / Position ]],0)))</f>
        <v>n/a</v>
      </c>
      <c r="GE232" s="343" t="str">
        <f>IF(INDEX(tab_MinKomp[Inspektor ochrony PPOŻ / Brandschutzinspektor],MATCH($B231,tab_MinKomp[[Stanowisko / Position ]:[Stanowisko / Position ]],0))="n/a","n/a",INDEX(tab_MinKomp[Inspektor ochrony PPOŻ / Brandschutzinspektor],MATCH($B231,tab_MinKomp[[Stanowisko / Position ]:[Stanowisko / Position ]],0)))</f>
        <v>n/a</v>
      </c>
      <c r="GF232" s="343" t="str">
        <f>IF(INDEX(tab_MinKomp[WÓZKI JEZDNIOWE / Gebelstapler],MATCH($B231,tab_MinKomp[[Stanowisko / Position ]:[Stanowisko / Position ]],0))="n/a","n/a",INDEX(tab_MinKomp[WÓZKI JEZDNIOWE / Gebelstapler],MATCH($B231,tab_MinKomp[[Stanowisko / Position ]:[Stanowisko / Position ]],0)))</f>
        <v>x</v>
      </c>
      <c r="GG232" s="343" t="str">
        <f>IF(INDEX(tab_MinKomp[SEP],MATCH($B231,tab_MinKomp[[Stanowisko / Position ]:[Stanowisko / Position ]],0))="n/a","n/a",INDEX(tab_MinKomp[SEP],MATCH($B231,tab_MinKomp[[Stanowisko / Position ]:[Stanowisko / Position ]],0)))</f>
        <v>n/a</v>
      </c>
      <c r="GH232" s="343" t="str">
        <f>IF(INDEX(tab_MinKomp[SEP  DOZÓR / SEP Aufsicht],MATCH($B231,tab_MinKomp[[Stanowisko / Position ]:[Stanowisko / Position ]],0))="n/a","n/a",INDEX(tab_MinKomp[SEP  DOZÓR / SEP Aufsicht],MATCH($B231,tab_MinKomp[[Stanowisko / Position ]:[Stanowisko / Position ]],0)))</f>
        <v>n/a</v>
      </c>
      <c r="GI232" s="343" t="str">
        <f>IF(INDEX(tab_MinKomp[PODNOŚNIKI / Hebevorrichtung],MATCH($B231,tab_MinKomp[[Stanowisko / Position ]:[Stanowisko / Position ]],0))="n/a","n/a",INDEX(tab_MinKomp[PODNOŚNIKI / Hebevorrichtung],MATCH($B231,tab_MinKomp[[Stanowisko / Position ]:[Stanowisko / Position ]],0)))</f>
        <v>n/a</v>
      </c>
      <c r="GJ232" s="343" t="str">
        <f>IF(INDEX(tab_MinKomp[SUWNICE / Laufkran],MATCH($B231,tab_MinKomp[[Stanowisko / Position ]:[Stanowisko / Position ]],0))="n/a","n/a",INDEX(tab_MinKomp[SUWNICE / Laufkran],MATCH($B231,tab_MinKomp[[Stanowisko / Position ]:[Stanowisko / Position ]],0)))</f>
        <v>n/a</v>
      </c>
      <c r="GK232" s="347" t="str">
        <f>IF(INDEX(tab_MinKomp[WYSOKOŚCIOWE / Höhenberechtigungen],MATCH($B231,tab_MinKomp[[Stanowisko / Position ]:[Stanowisko / Position ]],0))="n/a","n/a",INDEX(tab_MinKomp[WYSOKOŚCIOWE / Höhenberechtigungen],MATCH($B231,tab_MinKomp[[Stanowisko / Position ]:[Stanowisko / Position ]],0)))</f>
        <v>n/a</v>
      </c>
      <c r="GL232" s="320" t="e">
        <f>SUM(G232:FP232)/(GL231-(SUM(G232:FP232)))</f>
        <v>#VALUE!</v>
      </c>
    </row>
  </sheetData>
  <sheetProtection algorithmName="SHA-512" hashValue="/BB8voEXHx9LulduyqlhyEx4fe4za7bhzLkIqNxzR//FLVWjffV2i1VEXQxLq3+L1PxqBFRj8JMSyeSoAfHLRQ==" saltValue="TeOmzerfRGZ8T6l28V0Mbw==" spinCount="100000" sheet="1" formatCells="0" formatColumns="0" formatRows="0" sort="0" autoFilter="0"/>
  <autoFilter ref="A8:E232" xr:uid="{00000000-0009-0000-0000-000002000000}"/>
  <dataConsolidate/>
  <mergeCells count="154">
    <mergeCell ref="E231:E232"/>
    <mergeCell ref="E87:E88"/>
    <mergeCell ref="E157:E158"/>
    <mergeCell ref="E85:E86"/>
    <mergeCell ref="E71:E72"/>
    <mergeCell ref="E227:E228"/>
    <mergeCell ref="E229:E230"/>
    <mergeCell ref="E225:E226"/>
    <mergeCell ref="E221:E222"/>
    <mergeCell ref="E195:E196"/>
    <mergeCell ref="E179:E180"/>
    <mergeCell ref="E165:E166"/>
    <mergeCell ref="E161:E162"/>
    <mergeCell ref="E83:E84"/>
    <mergeCell ref="E109:E110"/>
    <mergeCell ref="E217:E218"/>
    <mergeCell ref="E215:E216"/>
    <mergeCell ref="E219:E220"/>
    <mergeCell ref="E211:E212"/>
    <mergeCell ref="E205:E206"/>
    <mergeCell ref="E191:E192"/>
    <mergeCell ref="E223:E224"/>
    <mergeCell ref="E169:E170"/>
    <mergeCell ref="E213:E214"/>
    <mergeCell ref="B169:B170"/>
    <mergeCell ref="B167:B168"/>
    <mergeCell ref="E167:E168"/>
    <mergeCell ref="E79:E80"/>
    <mergeCell ref="E11:E12"/>
    <mergeCell ref="E105:E106"/>
    <mergeCell ref="E159:E160"/>
    <mergeCell ref="E51:E52"/>
    <mergeCell ref="E115:E116"/>
    <mergeCell ref="E101:E102"/>
    <mergeCell ref="E73:E74"/>
    <mergeCell ref="E103:E104"/>
    <mergeCell ref="E77:E78"/>
    <mergeCell ref="E127:E128"/>
    <mergeCell ref="E135:E136"/>
    <mergeCell ref="E145:E146"/>
    <mergeCell ref="E97:E98"/>
    <mergeCell ref="E111:E112"/>
    <mergeCell ref="E93:E94"/>
    <mergeCell ref="E57:E58"/>
    <mergeCell ref="E49:E50"/>
    <mergeCell ref="E89:E90"/>
    <mergeCell ref="E143:E144"/>
    <mergeCell ref="E125:E126"/>
    <mergeCell ref="M2:M3"/>
    <mergeCell ref="AC7:AL7"/>
    <mergeCell ref="U7:AB7"/>
    <mergeCell ref="E23:E24"/>
    <mergeCell ref="A7:E7"/>
    <mergeCell ref="E31:E32"/>
    <mergeCell ref="E47:E48"/>
    <mergeCell ref="E13:E14"/>
    <mergeCell ref="E27:E28"/>
    <mergeCell ref="E17:E18"/>
    <mergeCell ref="E45:E46"/>
    <mergeCell ref="E29:E30"/>
    <mergeCell ref="E25:E26"/>
    <mergeCell ref="E39:E40"/>
    <mergeCell ref="A2:B2"/>
    <mergeCell ref="E43:E44"/>
    <mergeCell ref="E41:E42"/>
    <mergeCell ref="G7:K7"/>
    <mergeCell ref="FC2:FI2"/>
    <mergeCell ref="AY2:BA2"/>
    <mergeCell ref="EP7:EX7"/>
    <mergeCell ref="EB2:EO2"/>
    <mergeCell ref="E99:E100"/>
    <mergeCell ref="E107:E108"/>
    <mergeCell ref="O2:O3"/>
    <mergeCell ref="CU7:DX7"/>
    <mergeCell ref="N2:N3"/>
    <mergeCell ref="E65:E66"/>
    <mergeCell ref="L7:T7"/>
    <mergeCell ref="L2:L3"/>
    <mergeCell ref="E15:E16"/>
    <mergeCell ref="E63:E64"/>
    <mergeCell ref="E19:E20"/>
    <mergeCell ref="AR2:AR3"/>
    <mergeCell ref="E33:E34"/>
    <mergeCell ref="E61:E62"/>
    <mergeCell ref="E59:E60"/>
    <mergeCell ref="E53:E54"/>
    <mergeCell ref="E21:E22"/>
    <mergeCell ref="E9:E10"/>
    <mergeCell ref="E37:E38"/>
    <mergeCell ref="E95:E96"/>
    <mergeCell ref="FQ1:GL1"/>
    <mergeCell ref="CI7:CL7"/>
    <mergeCell ref="AG5:AO5"/>
    <mergeCell ref="AP5:AQ5"/>
    <mergeCell ref="AG6:AO6"/>
    <mergeCell ref="AP6:AQ6"/>
    <mergeCell ref="FQ6:GK6"/>
    <mergeCell ref="GC7:GK7"/>
    <mergeCell ref="FQ7:FV7"/>
    <mergeCell ref="FW7:GB7"/>
    <mergeCell ref="AM7:AU7"/>
    <mergeCell ref="AV7:AY7"/>
    <mergeCell ref="AZ7:BL7"/>
    <mergeCell ref="BM7:BV7"/>
    <mergeCell ref="BW7:CH7"/>
    <mergeCell ref="EY7:FK7"/>
    <mergeCell ref="FL7:FP7"/>
    <mergeCell ref="ES2:EX2"/>
    <mergeCell ref="G1:BL1"/>
    <mergeCell ref="CM7:CT7"/>
    <mergeCell ref="DY7:EO7"/>
    <mergeCell ref="BM1:FP1"/>
    <mergeCell ref="EY6:FP6"/>
    <mergeCell ref="EY2:EZ2"/>
    <mergeCell ref="E69:E70"/>
    <mergeCell ref="E209:E210"/>
    <mergeCell ref="E137:E138"/>
    <mergeCell ref="E35:E36"/>
    <mergeCell ref="E81:E82"/>
    <mergeCell ref="E55:E56"/>
    <mergeCell ref="E67:E68"/>
    <mergeCell ref="E91:E92"/>
    <mergeCell ref="E155:E156"/>
    <mergeCell ref="E129:E130"/>
    <mergeCell ref="E113:E114"/>
    <mergeCell ref="E147:E148"/>
    <mergeCell ref="E151:E152"/>
    <mergeCell ref="E185:E186"/>
    <mergeCell ref="E131:E132"/>
    <mergeCell ref="E119:E120"/>
    <mergeCell ref="E117:E118"/>
    <mergeCell ref="E177:E178"/>
    <mergeCell ref="E121:E122"/>
    <mergeCell ref="E123:E124"/>
    <mergeCell ref="E75:E76"/>
    <mergeCell ref="E203:E204"/>
    <mergeCell ref="E187:E188"/>
    <mergeCell ref="E133:E134"/>
    <mergeCell ref="E141:E142"/>
    <mergeCell ref="E139:E140"/>
    <mergeCell ref="E189:E190"/>
    <mergeCell ref="E197:E198"/>
    <mergeCell ref="E201:E202"/>
    <mergeCell ref="E207:E208"/>
    <mergeCell ref="E175:E176"/>
    <mergeCell ref="E171:E172"/>
    <mergeCell ref="E149:E150"/>
    <mergeCell ref="E193:E194"/>
    <mergeCell ref="E181:E182"/>
    <mergeCell ref="E199:E200"/>
    <mergeCell ref="E173:E174"/>
    <mergeCell ref="E163:E164"/>
    <mergeCell ref="E183:E184"/>
    <mergeCell ref="E153:E154"/>
  </mergeCells>
  <phoneticPr fontId="71" type="noConversion"/>
  <conditionalFormatting sqref="G201:AA201">
    <cfRule type="expression" dxfId="1227" priority="14290">
      <formula>G201=2</formula>
    </cfRule>
    <cfRule type="expression" dxfId="1226" priority="14289">
      <formula>G201=3</formula>
    </cfRule>
    <cfRule type="expression" dxfId="1225" priority="14291">
      <formula>G201=1</formula>
    </cfRule>
    <cfRule type="expression" dxfId="1224" priority="14288">
      <formula>G201="n/a"</formula>
    </cfRule>
  </conditionalFormatting>
  <conditionalFormatting sqref="G179:AC179">
    <cfRule type="expression" dxfId="1223" priority="12188">
      <formula>G179="n/a"</formula>
    </cfRule>
    <cfRule type="expression" dxfId="1222" priority="12206">
      <formula>G179=3</formula>
    </cfRule>
    <cfRule type="expression" dxfId="1221" priority="12208">
      <formula>G179=1</formula>
    </cfRule>
    <cfRule type="expression" dxfId="1220" priority="12207">
      <formula>G179=2</formula>
    </cfRule>
  </conditionalFormatting>
  <conditionalFormatting sqref="G137:AF137">
    <cfRule type="expression" dxfId="1219" priority="2404">
      <formula>G137=3</formula>
    </cfRule>
    <cfRule type="expression" dxfId="1218" priority="2406">
      <formula>G137=1</formula>
    </cfRule>
    <cfRule type="expression" dxfId="1217" priority="2405">
      <formula>G137=2</formula>
    </cfRule>
  </conditionalFormatting>
  <conditionalFormatting sqref="G139:AF139">
    <cfRule type="expression" dxfId="1216" priority="2397">
      <formula>G139=3</formula>
    </cfRule>
    <cfRule type="expression" dxfId="1215" priority="2398">
      <formula>G139=2</formula>
    </cfRule>
    <cfRule type="expression" dxfId="1214" priority="2399">
      <formula>G139=1</formula>
    </cfRule>
  </conditionalFormatting>
  <conditionalFormatting sqref="G159:AF159">
    <cfRule type="expression" dxfId="1213" priority="2392">
      <formula>G159=1</formula>
    </cfRule>
    <cfRule type="expression" dxfId="1212" priority="2390">
      <formula>G159=3</formula>
    </cfRule>
    <cfRule type="expression" dxfId="1211" priority="2391">
      <formula>G159=2</formula>
    </cfRule>
  </conditionalFormatting>
  <conditionalFormatting sqref="G177:AF177">
    <cfRule type="expression" dxfId="1210" priority="229">
      <formula>G177="n/a"</formula>
    </cfRule>
    <cfRule type="expression" dxfId="1209" priority="232">
      <formula>G177=1</formula>
    </cfRule>
    <cfRule type="expression" dxfId="1208" priority="231">
      <formula>G177=2</formula>
    </cfRule>
    <cfRule type="expression" dxfId="1207" priority="230">
      <formula>G177=3</formula>
    </cfRule>
  </conditionalFormatting>
  <conditionalFormatting sqref="G215:AJ215">
    <cfRule type="expression" dxfId="1206" priority="5757">
      <formula>G215=2</formula>
    </cfRule>
    <cfRule type="expression" dxfId="1205" priority="5756">
      <formula>G215=3</formula>
    </cfRule>
    <cfRule type="expression" dxfId="1204" priority="5758">
      <formula>G215=1</formula>
    </cfRule>
  </conditionalFormatting>
  <conditionalFormatting sqref="G129:AK129">
    <cfRule type="expression" dxfId="1203" priority="13325">
      <formula>G129=1</formula>
    </cfRule>
    <cfRule type="expression" dxfId="1202" priority="13324">
      <formula>G129=2</formula>
    </cfRule>
    <cfRule type="expression" dxfId="1201" priority="13322">
      <formula>G129="n/a"</formula>
    </cfRule>
    <cfRule type="expression" dxfId="1200" priority="13323">
      <formula>G129=3</formula>
    </cfRule>
  </conditionalFormatting>
  <conditionalFormatting sqref="G37:AO37 AR37:AT37">
    <cfRule type="expression" dxfId="1199" priority="37045">
      <formula>G37=3</formula>
    </cfRule>
    <cfRule type="expression" dxfId="1198" priority="37047">
      <formula>G37=1</formula>
    </cfRule>
    <cfRule type="expression" dxfId="1197" priority="37044">
      <formula>G37="n/a"</formula>
    </cfRule>
    <cfRule type="expression" dxfId="1196" priority="37046">
      <formula>G37=2</formula>
    </cfRule>
  </conditionalFormatting>
  <conditionalFormatting sqref="G119:AW119">
    <cfRule type="expression" dxfId="1195" priority="32271">
      <formula>G119=1</formula>
    </cfRule>
    <cfRule type="expression" dxfId="1194" priority="32270">
      <formula>G119=2</formula>
    </cfRule>
    <cfRule type="expression" dxfId="1193" priority="32269">
      <formula>G119=3</formula>
    </cfRule>
  </conditionalFormatting>
  <conditionalFormatting sqref="G130:BL130">
    <cfRule type="expression" dxfId="1192" priority="1993">
      <formula>G130&lt;0</formula>
    </cfRule>
  </conditionalFormatting>
  <conditionalFormatting sqref="G153:BO153">
    <cfRule type="expression" dxfId="1191" priority="1368">
      <formula>G153=2</formula>
    </cfRule>
    <cfRule type="expression" dxfId="1190" priority="1367">
      <formula>G153=3</formula>
    </cfRule>
    <cfRule type="expression" dxfId="1189" priority="1366">
      <formula>G153="n/a"</formula>
    </cfRule>
    <cfRule type="expression" dxfId="1188" priority="1369">
      <formula>G153=1</formula>
    </cfRule>
  </conditionalFormatting>
  <conditionalFormatting sqref="G149:BV149">
    <cfRule type="expression" dxfId="1187" priority="12459">
      <formula>G149=1</formula>
    </cfRule>
    <cfRule type="expression" dxfId="1186" priority="12458">
      <formula>G149=2</formula>
    </cfRule>
    <cfRule type="expression" dxfId="1185" priority="12457">
      <formula>G149=3</formula>
    </cfRule>
  </conditionalFormatting>
  <conditionalFormatting sqref="G93:BW93">
    <cfRule type="expression" dxfId="1184" priority="3133">
      <formula>G93=1</formula>
    </cfRule>
    <cfRule type="expression" dxfId="1183" priority="3132">
      <formula>G93=2</formula>
    </cfRule>
    <cfRule type="expression" dxfId="1182" priority="3131">
      <formula>G93=3</formula>
    </cfRule>
  </conditionalFormatting>
  <conditionalFormatting sqref="G95:BW95">
    <cfRule type="expression" dxfId="1181" priority="3089">
      <formula>G95=2</formula>
    </cfRule>
    <cfRule type="expression" dxfId="1180" priority="3088">
      <formula>G95=3</formula>
    </cfRule>
    <cfRule type="expression" dxfId="1179" priority="3090">
      <formula>G95=1</formula>
    </cfRule>
  </conditionalFormatting>
  <conditionalFormatting sqref="G149:CI149">
    <cfRule type="expression" dxfId="1178" priority="5766">
      <formula>G149="n/a"</formula>
    </cfRule>
  </conditionalFormatting>
  <conditionalFormatting sqref="G83:CM83">
    <cfRule type="expression" dxfId="1177" priority="2441">
      <formula>G83=3</formula>
    </cfRule>
    <cfRule type="expression" dxfId="1176" priority="2442">
      <formula>G83=2</formula>
    </cfRule>
    <cfRule type="expression" dxfId="1175" priority="2443">
      <formula>G83=1</formula>
    </cfRule>
  </conditionalFormatting>
  <conditionalFormatting sqref="G151:CM151">
    <cfRule type="expression" dxfId="1174" priority="28327">
      <formula>G151=3</formula>
    </cfRule>
    <cfRule type="expression" dxfId="1173" priority="28328">
      <formula>G151=2</formula>
    </cfRule>
    <cfRule type="expression" dxfId="1172" priority="28329">
      <formula>G151=1</formula>
    </cfRule>
  </conditionalFormatting>
  <conditionalFormatting sqref="G215:CM215">
    <cfRule type="expression" dxfId="1171" priority="5751">
      <formula>G215="n/a"</formula>
    </cfRule>
  </conditionalFormatting>
  <conditionalFormatting sqref="G15:CS15">
    <cfRule type="expression" dxfId="1170" priority="12">
      <formula>G15=1</formula>
    </cfRule>
    <cfRule type="expression" dxfId="1169" priority="11">
      <formula>G15=2</formula>
    </cfRule>
    <cfRule type="expression" dxfId="1168" priority="10">
      <formula>G15=3</formula>
    </cfRule>
    <cfRule type="expression" dxfId="1167" priority="9">
      <formula>G15="n/a"</formula>
    </cfRule>
  </conditionalFormatting>
  <conditionalFormatting sqref="G203:CT203">
    <cfRule type="expression" dxfId="1166" priority="1570">
      <formula>G203=3</formula>
    </cfRule>
    <cfRule type="expression" dxfId="1165" priority="1572">
      <formula>G203=1</formula>
    </cfRule>
    <cfRule type="expression" dxfId="1164" priority="1569">
      <formula>G203="n/a"</formula>
    </cfRule>
    <cfRule type="expression" dxfId="1163" priority="1571">
      <formula>G203=2</formula>
    </cfRule>
  </conditionalFormatting>
  <conditionalFormatting sqref="G38:CX38">
    <cfRule type="expression" dxfId="1162" priority="12771">
      <formula>G38&lt;0</formula>
    </cfRule>
  </conditionalFormatting>
  <conditionalFormatting sqref="G40:CX40">
    <cfRule type="expression" dxfId="1161" priority="260">
      <formula>G40&lt;0</formula>
    </cfRule>
  </conditionalFormatting>
  <conditionalFormatting sqref="G42:CX42">
    <cfRule type="expression" dxfId="1160" priority="12753">
      <formula>G42&lt;0</formula>
    </cfRule>
  </conditionalFormatting>
  <conditionalFormatting sqref="G46:CX46">
    <cfRule type="expression" dxfId="1159" priority="12735">
      <formula>G46&lt;0</formula>
    </cfRule>
  </conditionalFormatting>
  <conditionalFormatting sqref="G172:CX172">
    <cfRule type="expression" dxfId="1158" priority="3601">
      <formula>G172&lt;0</formula>
    </cfRule>
  </conditionalFormatting>
  <conditionalFormatting sqref="G174:CX174">
    <cfRule type="expression" dxfId="1157" priority="16474">
      <formula>G174&lt;0</formula>
    </cfRule>
  </conditionalFormatting>
  <conditionalFormatting sqref="G197:DE197 DG197:DT197">
    <cfRule type="expression" dxfId="1156" priority="18781">
      <formula>G197=2</formula>
    </cfRule>
    <cfRule type="expression" dxfId="1155" priority="18780">
      <formula>G197=3</formula>
    </cfRule>
    <cfRule type="expression" dxfId="1154" priority="18782">
      <formula>G197=1</formula>
    </cfRule>
  </conditionalFormatting>
  <conditionalFormatting sqref="G197:DR197">
    <cfRule type="expression" dxfId="1153" priority="2000">
      <formula>G197="n/a"</formula>
    </cfRule>
  </conditionalFormatting>
  <conditionalFormatting sqref="G185:DT185">
    <cfRule type="expression" dxfId="1152" priority="18998">
      <formula>G185=1</formula>
    </cfRule>
    <cfRule type="expression" dxfId="1151" priority="18997">
      <formula>G185=2</formula>
    </cfRule>
    <cfRule type="expression" dxfId="1150" priority="18996">
      <formula>G185=3</formula>
    </cfRule>
    <cfRule type="expression" dxfId="1149" priority="18995">
      <formula>G185="n/a"</formula>
    </cfRule>
  </conditionalFormatting>
  <conditionalFormatting sqref="G189:DT189">
    <cfRule type="expression" dxfId="1148" priority="18926">
      <formula>G189=1</formula>
    </cfRule>
    <cfRule type="expression" dxfId="1147" priority="18925">
      <formula>G189=2</formula>
    </cfRule>
    <cfRule type="expression" dxfId="1146" priority="18924">
      <formula>G189=3</formula>
    </cfRule>
    <cfRule type="expression" dxfId="1145" priority="18923">
      <formula>G189="n/a"</formula>
    </cfRule>
  </conditionalFormatting>
  <conditionalFormatting sqref="G207:DT207">
    <cfRule type="expression" dxfId="1144" priority="17840">
      <formula>G207="n/a"</formula>
    </cfRule>
    <cfRule type="expression" dxfId="1143" priority="17843">
      <formula>G207=1</formula>
    </cfRule>
    <cfRule type="expression" dxfId="1142" priority="17842">
      <formula>G207=2</formula>
    </cfRule>
    <cfRule type="expression" dxfId="1141" priority="17841">
      <formula>G207=3</formula>
    </cfRule>
  </conditionalFormatting>
  <conditionalFormatting sqref="G209:DT209">
    <cfRule type="expression" dxfId="1140" priority="17771">
      <formula>G209=1</formula>
    </cfRule>
    <cfRule type="expression" dxfId="1139" priority="17768">
      <formula>G209="n/a"</formula>
    </cfRule>
    <cfRule type="expression" dxfId="1138" priority="17769">
      <formula>G209=3</formula>
    </cfRule>
    <cfRule type="expression" dxfId="1137" priority="17770">
      <formula>G209=2</formula>
    </cfRule>
  </conditionalFormatting>
  <conditionalFormatting sqref="G217:DT217">
    <cfRule type="expression" dxfId="1136" priority="17411">
      <formula>G217=1</formula>
    </cfRule>
    <cfRule type="expression" dxfId="1135" priority="17410">
      <formula>G217=2</formula>
    </cfRule>
    <cfRule type="expression" dxfId="1134" priority="17409">
      <formula>G217=3</formula>
    </cfRule>
    <cfRule type="expression" dxfId="1133" priority="17408">
      <formula>G217="n/a"</formula>
    </cfRule>
  </conditionalFormatting>
  <conditionalFormatting sqref="G171:DU171">
    <cfRule type="expression" dxfId="1132" priority="3411">
      <formula>G171=1</formula>
    </cfRule>
    <cfRule type="expression" dxfId="1131" priority="3408">
      <formula>G171="n/a"</formula>
    </cfRule>
    <cfRule type="expression" dxfId="1130" priority="3409">
      <formula>G171=3</formula>
    </cfRule>
    <cfRule type="expression" dxfId="1129" priority="3410">
      <formula>G171=2</formula>
    </cfRule>
  </conditionalFormatting>
  <conditionalFormatting sqref="G175:DU175">
    <cfRule type="expression" dxfId="1128" priority="13121">
      <formula>G175=1</formula>
    </cfRule>
    <cfRule type="expression" dxfId="1127" priority="13120">
      <formula>G175=2</formula>
    </cfRule>
    <cfRule type="expression" dxfId="1126" priority="13119">
      <formula>G175=3</formula>
    </cfRule>
    <cfRule type="expression" dxfId="1125" priority="13118">
      <formula>G175="n/a"</formula>
    </cfRule>
  </conditionalFormatting>
  <conditionalFormatting sqref="G81:DV81">
    <cfRule type="expression" dxfId="1124" priority="5916">
      <formula>G81=2</formula>
    </cfRule>
    <cfRule type="expression" dxfId="1123" priority="5917">
      <formula>G81=1</formula>
    </cfRule>
    <cfRule type="expression" dxfId="1122" priority="5915">
      <formula>G81=3</formula>
    </cfRule>
  </conditionalFormatting>
  <conditionalFormatting sqref="G99:DX99">
    <cfRule type="expression" dxfId="1121" priority="151">
      <formula>G99=1</formula>
    </cfRule>
    <cfRule type="expression" dxfId="1120" priority="150">
      <formula>G99=2</formula>
    </cfRule>
    <cfRule type="expression" dxfId="1119" priority="149">
      <formula>G99=3</formula>
    </cfRule>
  </conditionalFormatting>
  <conditionalFormatting sqref="G145:EJ145">
    <cfRule type="expression" dxfId="1118" priority="2656">
      <formula>G145=2</formula>
    </cfRule>
    <cfRule type="expression" dxfId="1117" priority="2655">
      <formula>G145=3</formula>
    </cfRule>
    <cfRule type="expression" dxfId="1116" priority="2657">
      <formula>G145=1</formula>
    </cfRule>
  </conditionalFormatting>
  <conditionalFormatting sqref="G151:EV151">
    <cfRule type="expression" dxfId="1115" priority="20933">
      <formula>G151="n/a"</formula>
    </cfRule>
  </conditionalFormatting>
  <conditionalFormatting sqref="G155:EV155">
    <cfRule type="expression" dxfId="1114" priority="27954">
      <formula>G155=1</formula>
    </cfRule>
    <cfRule type="expression" dxfId="1113" priority="27951">
      <formula>G155="n/a"</formula>
    </cfRule>
    <cfRule type="expression" dxfId="1112" priority="27952">
      <formula>G155=3</formula>
    </cfRule>
    <cfRule type="expression" dxfId="1111" priority="27953">
      <formula>G155=2</formula>
    </cfRule>
  </conditionalFormatting>
  <conditionalFormatting sqref="G157:EV157">
    <cfRule type="expression" dxfId="1110" priority="27893">
      <formula>G157="n/a"</formula>
    </cfRule>
    <cfRule type="expression" dxfId="1109" priority="27902">
      <formula>G157=2</formula>
    </cfRule>
    <cfRule type="expression" dxfId="1108" priority="27903">
      <formula>G157=1</formula>
    </cfRule>
    <cfRule type="expression" dxfId="1107" priority="27894">
      <formula>G157=3</formula>
    </cfRule>
  </conditionalFormatting>
  <conditionalFormatting sqref="G163:EV163">
    <cfRule type="expression" dxfId="1106" priority="19842">
      <formula>G163=3</formula>
    </cfRule>
    <cfRule type="expression" dxfId="1105" priority="19843">
      <formula>G163=2</formula>
    </cfRule>
    <cfRule type="expression" dxfId="1104" priority="19844">
      <formula>G163=1</formula>
    </cfRule>
    <cfRule type="expression" dxfId="1103" priority="19841">
      <formula>G163="n/a"</formula>
    </cfRule>
  </conditionalFormatting>
  <conditionalFormatting sqref="G165:EV165">
    <cfRule type="expression" dxfId="1102" priority="19779">
      <formula>G165=2</formula>
    </cfRule>
    <cfRule type="expression" dxfId="1101" priority="19778">
      <formula>G165=3</formula>
    </cfRule>
    <cfRule type="expression" dxfId="1100" priority="19777">
      <formula>G165="n/a"</formula>
    </cfRule>
    <cfRule type="expression" dxfId="1099" priority="19780">
      <formula>G165=1</formula>
    </cfRule>
  </conditionalFormatting>
  <conditionalFormatting sqref="G167:EV167">
    <cfRule type="expression" dxfId="1098" priority="6693">
      <formula>G167=3</formula>
    </cfRule>
    <cfRule type="expression" dxfId="1097" priority="6695">
      <formula>G167=1</formula>
    </cfRule>
    <cfRule type="expression" dxfId="1096" priority="6694">
      <formula>G167=2</formula>
    </cfRule>
    <cfRule type="expression" dxfId="1095" priority="6692">
      <formula>G167="n/a"</formula>
    </cfRule>
  </conditionalFormatting>
  <conditionalFormatting sqref="G169:EV169">
    <cfRule type="expression" dxfId="1094" priority="6902">
      <formula>G169=1</formula>
    </cfRule>
    <cfRule type="expression" dxfId="1093" priority="6901">
      <formula>G169=2</formula>
    </cfRule>
    <cfRule type="expression" dxfId="1092" priority="6900">
      <formula>G169=3</formula>
    </cfRule>
    <cfRule type="expression" dxfId="1091" priority="6899">
      <formula>G169="n/a"</formula>
    </cfRule>
  </conditionalFormatting>
  <conditionalFormatting sqref="G173:EV173">
    <cfRule type="expression" dxfId="1090" priority="13182">
      <formula>G173="n/a"</formula>
    </cfRule>
    <cfRule type="expression" dxfId="1089" priority="13183">
      <formula>G173=3</formula>
    </cfRule>
    <cfRule type="expression" dxfId="1088" priority="13184">
      <formula>G173=2</formula>
    </cfRule>
    <cfRule type="expression" dxfId="1087" priority="13185">
      <formula>G173=1</formula>
    </cfRule>
  </conditionalFormatting>
  <conditionalFormatting sqref="G69:EW69">
    <cfRule type="expression" dxfId="1086" priority="898">
      <formula>G69=3</formula>
    </cfRule>
    <cfRule type="expression" dxfId="1085" priority="897">
      <formula>G69="n/a"</formula>
    </cfRule>
    <cfRule type="expression" dxfId="1084" priority="899">
      <formula>G69=2</formula>
    </cfRule>
    <cfRule type="expression" dxfId="1083" priority="900">
      <formula>G69=1</formula>
    </cfRule>
  </conditionalFormatting>
  <conditionalFormatting sqref="G25:EX25">
    <cfRule type="expression" dxfId="1082" priority="447">
      <formula>G25=3</formula>
    </cfRule>
    <cfRule type="expression" dxfId="1081" priority="448">
      <formula>G25=2</formula>
    </cfRule>
    <cfRule type="expression" dxfId="1080" priority="449">
      <formula>G25=1</formula>
    </cfRule>
  </conditionalFormatting>
  <conditionalFormatting sqref="G81:EZ81">
    <cfRule type="expression" dxfId="1079" priority="862">
      <formula>G81="n/a"</formula>
    </cfRule>
  </conditionalFormatting>
  <conditionalFormatting sqref="G132:FF132">
    <cfRule type="expression" dxfId="1078" priority="731">
      <formula>G132&lt;0</formula>
    </cfRule>
  </conditionalFormatting>
  <conditionalFormatting sqref="G198:FF198">
    <cfRule type="expression" dxfId="1077" priority="561">
      <formula>G198&lt;0</formula>
    </cfRule>
  </conditionalFormatting>
  <conditionalFormatting sqref="G199:FF199">
    <cfRule type="expression" dxfId="1076" priority="557">
      <formula>G199="n/a"</formula>
    </cfRule>
    <cfRule type="expression" dxfId="1075" priority="558">
      <formula>G199=3</formula>
    </cfRule>
    <cfRule type="expression" dxfId="1074" priority="559">
      <formula>G199=2</formula>
    </cfRule>
    <cfRule type="expression" dxfId="1073" priority="560">
      <formula>G199=1</formula>
    </cfRule>
  </conditionalFormatting>
  <conditionalFormatting sqref="G10:FP10">
    <cfRule type="expression" dxfId="1072" priority="1042">
      <formula>G10&lt;0</formula>
    </cfRule>
  </conditionalFormatting>
  <conditionalFormatting sqref="G12:FP12">
    <cfRule type="expression" dxfId="1071" priority="1037">
      <formula>G12&lt;0</formula>
    </cfRule>
  </conditionalFormatting>
  <conditionalFormatting sqref="G13:FP13">
    <cfRule type="expression" dxfId="1070" priority="4">
      <formula>G13=1</formula>
    </cfRule>
    <cfRule type="expression" dxfId="1069" priority="3">
      <formula>G13=2</formula>
    </cfRule>
    <cfRule type="expression" dxfId="1068" priority="2">
      <formula>G13=3</formula>
    </cfRule>
  </conditionalFormatting>
  <conditionalFormatting sqref="G14:FP14">
    <cfRule type="expression" dxfId="1067" priority="1034">
      <formula>G14&lt;0</formula>
    </cfRule>
  </conditionalFormatting>
  <conditionalFormatting sqref="G17:FP17">
    <cfRule type="expression" dxfId="1066" priority="18">
      <formula>G17=3</formula>
    </cfRule>
    <cfRule type="expression" dxfId="1065" priority="19">
      <formula>G17=2</formula>
    </cfRule>
    <cfRule type="expression" dxfId="1064" priority="20">
      <formula>G17=1</formula>
    </cfRule>
  </conditionalFormatting>
  <conditionalFormatting sqref="G18:FP18">
    <cfRule type="expression" dxfId="1063" priority="1016">
      <formula>G18&lt;0</formula>
    </cfRule>
  </conditionalFormatting>
  <conditionalFormatting sqref="G20:FP20">
    <cfRule type="expression" dxfId="1062" priority="1011">
      <formula>G20&lt;0</formula>
    </cfRule>
  </conditionalFormatting>
  <conditionalFormatting sqref="G21:FP21">
    <cfRule type="expression" dxfId="1061" priority="35">
      <formula>G21=2</formula>
    </cfRule>
    <cfRule type="expression" dxfId="1060" priority="36">
      <formula>G21=1</formula>
    </cfRule>
    <cfRule type="expression" dxfId="1059" priority="34">
      <formula>G21=3</formula>
    </cfRule>
  </conditionalFormatting>
  <conditionalFormatting sqref="G22:FP22">
    <cfRule type="expression" dxfId="1058" priority="1001">
      <formula>G22&lt;0</formula>
    </cfRule>
  </conditionalFormatting>
  <conditionalFormatting sqref="G23:FP23">
    <cfRule type="expression" dxfId="1057" priority="44">
      <formula>G23=1</formula>
    </cfRule>
    <cfRule type="expression" dxfId="1056" priority="43">
      <formula>G23=2</formula>
    </cfRule>
    <cfRule type="expression" dxfId="1055" priority="42">
      <formula>G23=3</formula>
    </cfRule>
  </conditionalFormatting>
  <conditionalFormatting sqref="G24:FP24">
    <cfRule type="expression" dxfId="1054" priority="996">
      <formula>G24&lt;0</formula>
    </cfRule>
  </conditionalFormatting>
  <conditionalFormatting sqref="G27:FP27">
    <cfRule type="expression" dxfId="1053" priority="990">
      <formula>G27=1</formula>
    </cfRule>
    <cfRule type="expression" dxfId="1052" priority="989">
      <formula>G27=2</formula>
    </cfRule>
    <cfRule type="expression" dxfId="1051" priority="988">
      <formula>G27=3</formula>
    </cfRule>
  </conditionalFormatting>
  <conditionalFormatting sqref="G28:FP28 G30:FP30">
    <cfRule type="expression" dxfId="1050" priority="986">
      <formula>G28&lt;0</formula>
    </cfRule>
  </conditionalFormatting>
  <conditionalFormatting sqref="G29:FP29">
    <cfRule type="expression" dxfId="1049" priority="366">
      <formula>G29=1</formula>
    </cfRule>
    <cfRule type="expression" dxfId="1048" priority="365">
      <formula>G29=2</formula>
    </cfRule>
    <cfRule type="expression" dxfId="1047" priority="364">
      <formula>G29=3</formula>
    </cfRule>
  </conditionalFormatting>
  <conditionalFormatting sqref="G31:FP31">
    <cfRule type="expression" dxfId="1046" priority="984">
      <formula>G31=2</formula>
    </cfRule>
    <cfRule type="expression" dxfId="1045" priority="983">
      <formula>G31=3</formula>
    </cfRule>
    <cfRule type="expression" dxfId="1044" priority="985">
      <formula>G31=1</formula>
    </cfRule>
  </conditionalFormatting>
  <conditionalFormatting sqref="G32:FP32">
    <cfRule type="expression" dxfId="1043" priority="981">
      <formula>G32&lt;0</formula>
    </cfRule>
  </conditionalFormatting>
  <conditionalFormatting sqref="G33:FP33">
    <cfRule type="expression" dxfId="1042" priority="980">
      <formula>G33=1</formula>
    </cfRule>
    <cfRule type="expression" dxfId="1041" priority="979">
      <formula>G33=2</formula>
    </cfRule>
    <cfRule type="expression" dxfId="1040" priority="978">
      <formula>G33=3</formula>
    </cfRule>
  </conditionalFormatting>
  <conditionalFormatting sqref="G34:FP34">
    <cfRule type="expression" dxfId="1039" priority="976">
      <formula>G34&lt;0</formula>
    </cfRule>
  </conditionalFormatting>
  <conditionalFormatting sqref="G35:FP35">
    <cfRule type="expression" dxfId="1038" priority="973">
      <formula>G35=3</formula>
    </cfRule>
    <cfRule type="expression" dxfId="1037" priority="975">
      <formula>G35=1</formula>
    </cfRule>
    <cfRule type="expression" dxfId="1036" priority="974">
      <formula>G35=2</formula>
    </cfRule>
  </conditionalFormatting>
  <conditionalFormatting sqref="G36:FP36">
    <cfRule type="expression" dxfId="1035" priority="971">
      <formula>G36&lt;0</formula>
    </cfRule>
  </conditionalFormatting>
  <conditionalFormatting sqref="G39:FP39">
    <cfRule type="expression" dxfId="1034" priority="262">
      <formula>G39=2</formula>
    </cfRule>
    <cfRule type="expression" dxfId="1033" priority="261">
      <formula>G39=3</formula>
    </cfRule>
    <cfRule type="expression" dxfId="1032" priority="263">
      <formula>G39=1</formula>
    </cfRule>
  </conditionalFormatting>
  <conditionalFormatting sqref="G41:FP41">
    <cfRule type="expression" dxfId="1031" priority="960">
      <formula>G41=1</formula>
    </cfRule>
    <cfRule type="expression" dxfId="1030" priority="959">
      <formula>G41=2</formula>
    </cfRule>
    <cfRule type="expression" dxfId="1029" priority="958">
      <formula>G41=3</formula>
    </cfRule>
  </conditionalFormatting>
  <conditionalFormatting sqref="G43:FP43">
    <cfRule type="expression" dxfId="1028" priority="955">
      <formula>G43=1</formula>
    </cfRule>
    <cfRule type="expression" dxfId="1027" priority="954">
      <formula>G43=2</formula>
    </cfRule>
    <cfRule type="expression" dxfId="1026" priority="953">
      <formula>G43=3</formula>
    </cfRule>
  </conditionalFormatting>
  <conditionalFormatting sqref="G44:FP44">
    <cfRule type="expression" dxfId="1025" priority="951">
      <formula>G44&lt;0</formula>
    </cfRule>
  </conditionalFormatting>
  <conditionalFormatting sqref="G45:FP45">
    <cfRule type="expression" dxfId="1024" priority="949">
      <formula>G45=2</formula>
    </cfRule>
    <cfRule type="expression" dxfId="1023" priority="950">
      <formula>G45=1</formula>
    </cfRule>
    <cfRule type="expression" dxfId="1022" priority="948">
      <formula>G45=3</formula>
    </cfRule>
  </conditionalFormatting>
  <conditionalFormatting sqref="G48:FP48">
    <cfRule type="expression" dxfId="1021" priority="941">
      <formula>G48&lt;0</formula>
    </cfRule>
  </conditionalFormatting>
  <conditionalFormatting sqref="G49:FP49">
    <cfRule type="expression" dxfId="1020" priority="933">
      <formula>G49=3</formula>
    </cfRule>
    <cfRule type="expression" dxfId="1019" priority="934">
      <formula>G49=2</formula>
    </cfRule>
    <cfRule type="expression" dxfId="1018" priority="935">
      <formula>G49=1</formula>
    </cfRule>
  </conditionalFormatting>
  <conditionalFormatting sqref="G50:FP50">
    <cfRule type="expression" dxfId="1017" priority="931">
      <formula>G50&lt;0</formula>
    </cfRule>
  </conditionalFormatting>
  <conditionalFormatting sqref="G51:FP51">
    <cfRule type="expression" dxfId="1016" priority="928">
      <formula>G51=3</formula>
    </cfRule>
    <cfRule type="expression" dxfId="1015" priority="929">
      <formula>G51=2</formula>
    </cfRule>
    <cfRule type="expression" dxfId="1014" priority="930">
      <formula>G51=1</formula>
    </cfRule>
  </conditionalFormatting>
  <conditionalFormatting sqref="G52:FP52">
    <cfRule type="expression" dxfId="1013" priority="926">
      <formula>G52&lt;0</formula>
    </cfRule>
  </conditionalFormatting>
  <conditionalFormatting sqref="G54:FP54">
    <cfRule type="expression" dxfId="1012" priority="921">
      <formula>G54&lt;0</formula>
    </cfRule>
  </conditionalFormatting>
  <conditionalFormatting sqref="G58:FP58 G60:FP60">
    <cfRule type="expression" dxfId="1011" priority="1102">
      <formula>G58&lt;0</formula>
    </cfRule>
  </conditionalFormatting>
  <conditionalFormatting sqref="G62:FP62">
    <cfRule type="expression" dxfId="1010" priority="1097">
      <formula>G62&lt;0</formula>
    </cfRule>
  </conditionalFormatting>
  <conditionalFormatting sqref="G64:FP64">
    <cfRule type="expression" dxfId="1009" priority="1092">
      <formula>G64&lt;0</formula>
    </cfRule>
  </conditionalFormatting>
  <conditionalFormatting sqref="G70:FP70">
    <cfRule type="expression" dxfId="1008" priority="896">
      <formula>G70&lt;0</formula>
    </cfRule>
  </conditionalFormatting>
  <conditionalFormatting sqref="G72:FP72">
    <cfRule type="expression" dxfId="1007" priority="886">
      <formula>G72&lt;0</formula>
    </cfRule>
  </conditionalFormatting>
  <conditionalFormatting sqref="G74:FP74">
    <cfRule type="expression" dxfId="1006" priority="881">
      <formula>G74&lt;0</formula>
    </cfRule>
  </conditionalFormatting>
  <conditionalFormatting sqref="G76:FP76">
    <cfRule type="expression" dxfId="1005" priority="180">
      <formula>G76&lt;0</formula>
    </cfRule>
  </conditionalFormatting>
  <conditionalFormatting sqref="G78:FP78">
    <cfRule type="expression" dxfId="1004" priority="876">
      <formula>G78&lt;0</formula>
    </cfRule>
  </conditionalFormatting>
  <conditionalFormatting sqref="G79:FP79">
    <cfRule type="expression" dxfId="1003" priority="874">
      <formula>G79=2</formula>
    </cfRule>
    <cfRule type="expression" dxfId="1002" priority="875">
      <formula>G79=1</formula>
    </cfRule>
    <cfRule type="expression" dxfId="1001" priority="872">
      <formula>G79="n/a"</formula>
    </cfRule>
    <cfRule type="expression" dxfId="1000" priority="873">
      <formula>G79=3</formula>
    </cfRule>
  </conditionalFormatting>
  <conditionalFormatting sqref="G80:FP80">
    <cfRule type="expression" dxfId="999" priority="871">
      <formula>G80&lt;0</formula>
    </cfRule>
  </conditionalFormatting>
  <conditionalFormatting sqref="G90:FP90">
    <cfRule type="expression" dxfId="998" priority="841">
      <formula>G90&lt;0</formula>
    </cfRule>
  </conditionalFormatting>
  <conditionalFormatting sqref="G92:FP92">
    <cfRule type="expression" dxfId="997" priority="836">
      <formula>G92&lt;0</formula>
    </cfRule>
  </conditionalFormatting>
  <conditionalFormatting sqref="G102:FP102">
    <cfRule type="expression" dxfId="996" priority="811">
      <formula>G102&lt;0</formula>
    </cfRule>
  </conditionalFormatting>
  <conditionalFormatting sqref="G104:FP104">
    <cfRule type="expression" dxfId="995" priority="806">
      <formula>G104&lt;0</formula>
    </cfRule>
  </conditionalFormatting>
  <conditionalFormatting sqref="G106:FP106">
    <cfRule type="expression" dxfId="994" priority="796">
      <formula>G106&lt;0</formula>
    </cfRule>
  </conditionalFormatting>
  <conditionalFormatting sqref="G108:FP108">
    <cfRule type="expression" dxfId="993" priority="791">
      <formula>G108&lt;0</formula>
    </cfRule>
  </conditionalFormatting>
  <conditionalFormatting sqref="G110:FP110">
    <cfRule type="expression" dxfId="992" priority="786">
      <formula>G110&lt;0</formula>
    </cfRule>
  </conditionalFormatting>
  <conditionalFormatting sqref="G112:FP112">
    <cfRule type="expression" dxfId="991" priority="781">
      <formula>G112&lt;0</formula>
    </cfRule>
  </conditionalFormatting>
  <conditionalFormatting sqref="G113:FP113">
    <cfRule type="expression" dxfId="990" priority="52">
      <formula>G113=1</formula>
    </cfRule>
    <cfRule type="expression" dxfId="989" priority="50">
      <formula>G113=3</formula>
    </cfRule>
    <cfRule type="expression" dxfId="988" priority="51">
      <formula>G113=2</formula>
    </cfRule>
  </conditionalFormatting>
  <conditionalFormatting sqref="G114:FP114">
    <cfRule type="expression" dxfId="987" priority="75">
      <formula>G114&lt;0</formula>
    </cfRule>
  </conditionalFormatting>
  <conditionalFormatting sqref="G116:FP116">
    <cfRule type="expression" dxfId="986" priority="771">
      <formula>G116&lt;0</formula>
    </cfRule>
  </conditionalFormatting>
  <conditionalFormatting sqref="G118:FP118">
    <cfRule type="expression" dxfId="985" priority="766">
      <formula>G118&lt;0</formula>
    </cfRule>
  </conditionalFormatting>
  <conditionalFormatting sqref="G120:FP120">
    <cfRule type="expression" dxfId="984" priority="761">
      <formula>G120&lt;0</formula>
    </cfRule>
  </conditionalFormatting>
  <conditionalFormatting sqref="G122:FP122">
    <cfRule type="expression" dxfId="983" priority="196">
      <formula>G122&lt;0</formula>
    </cfRule>
  </conditionalFormatting>
  <conditionalFormatting sqref="G124:FP124">
    <cfRule type="expression" dxfId="982" priority="188">
      <formula>G124&lt;0</formula>
    </cfRule>
  </conditionalFormatting>
  <conditionalFormatting sqref="G126:FP126">
    <cfRule type="expression" dxfId="981" priority="751">
      <formula>G126&lt;0</formula>
    </cfRule>
  </conditionalFormatting>
  <conditionalFormatting sqref="G127:FP127">
    <cfRule type="expression" dxfId="980" priority="745">
      <formula>G127=1</formula>
    </cfRule>
    <cfRule type="expression" dxfId="979" priority="744">
      <formula>G127=2</formula>
    </cfRule>
    <cfRule type="expression" dxfId="978" priority="743">
      <formula>G127=3</formula>
    </cfRule>
  </conditionalFormatting>
  <conditionalFormatting sqref="G128:FP128">
    <cfRule type="expression" dxfId="977" priority="741">
      <formula>G128&lt;0</formula>
    </cfRule>
  </conditionalFormatting>
  <conditionalFormatting sqref="G131:FP131">
    <cfRule type="expression" dxfId="976" priority="733">
      <formula>G131=3</formula>
    </cfRule>
    <cfRule type="expression" dxfId="975" priority="735">
      <formula>G131=1</formula>
    </cfRule>
    <cfRule type="expression" dxfId="974" priority="734">
      <formula>G131=2</formula>
    </cfRule>
  </conditionalFormatting>
  <conditionalFormatting sqref="G134:FP134">
    <cfRule type="expression" dxfId="973" priority="681">
      <formula>G134&lt;0</formula>
    </cfRule>
  </conditionalFormatting>
  <conditionalFormatting sqref="G138:FP138">
    <cfRule type="expression" dxfId="972" priority="706">
      <formula>G138&lt;0</formula>
    </cfRule>
  </conditionalFormatting>
  <conditionalFormatting sqref="G140:FP140">
    <cfRule type="expression" dxfId="971" priority="696">
      <formula>G140&lt;0</formula>
    </cfRule>
  </conditionalFormatting>
  <conditionalFormatting sqref="G141:FP141">
    <cfRule type="expression" dxfId="970" priority="1081">
      <formula>G141=1</formula>
    </cfRule>
    <cfRule type="expression" dxfId="969" priority="1080">
      <formula>G141=2</formula>
    </cfRule>
    <cfRule type="expression" dxfId="968" priority="1079">
      <formula>G141=3</formula>
    </cfRule>
  </conditionalFormatting>
  <conditionalFormatting sqref="G142:FP142">
    <cfRule type="expression" dxfId="967" priority="1077">
      <formula>G142&lt;0</formula>
    </cfRule>
  </conditionalFormatting>
  <conditionalFormatting sqref="G143:FP143">
    <cfRule type="expression" dxfId="966" priority="1076">
      <formula>G143=1</formula>
    </cfRule>
    <cfRule type="expression" dxfId="965" priority="1074">
      <formula>G143=3</formula>
    </cfRule>
    <cfRule type="expression" dxfId="964" priority="1075">
      <formula>G143=2</formula>
    </cfRule>
  </conditionalFormatting>
  <conditionalFormatting sqref="G144:FP144">
    <cfRule type="expression" dxfId="963" priority="1072">
      <formula>G144&lt;0</formula>
    </cfRule>
  </conditionalFormatting>
  <conditionalFormatting sqref="G146:FP146">
    <cfRule type="expression" dxfId="962" priority="1067">
      <formula>G146&lt;0</formula>
    </cfRule>
  </conditionalFormatting>
  <conditionalFormatting sqref="G147:FP147">
    <cfRule type="expression" dxfId="961" priority="92">
      <formula>G147=1</formula>
    </cfRule>
    <cfRule type="expression" dxfId="960" priority="91">
      <formula>G147=2</formula>
    </cfRule>
    <cfRule type="expression" dxfId="959" priority="90">
      <formula>G147=3</formula>
    </cfRule>
  </conditionalFormatting>
  <conditionalFormatting sqref="G148:FP148">
    <cfRule type="expression" dxfId="958" priority="88">
      <formula>G148&lt;0</formula>
    </cfRule>
  </conditionalFormatting>
  <conditionalFormatting sqref="G150:FP150">
    <cfRule type="expression" dxfId="957" priority="1052">
      <formula>G150&lt;0</formula>
    </cfRule>
  </conditionalFormatting>
  <conditionalFormatting sqref="G154:FP154">
    <cfRule type="expression" dxfId="956" priority="686">
      <formula>G154&lt;0</formula>
    </cfRule>
  </conditionalFormatting>
  <conditionalFormatting sqref="G156:FP156">
    <cfRule type="expression" dxfId="955" priority="676">
      <formula>G156&lt;0</formula>
    </cfRule>
  </conditionalFormatting>
  <conditionalFormatting sqref="G158:FP158">
    <cfRule type="expression" dxfId="954" priority="671">
      <formula>G158&lt;0</formula>
    </cfRule>
  </conditionalFormatting>
  <conditionalFormatting sqref="G160:FP160">
    <cfRule type="expression" dxfId="953" priority="661">
      <formula>G160&lt;0</formula>
    </cfRule>
  </conditionalFormatting>
  <conditionalFormatting sqref="G161:FP161">
    <cfRule type="expression" dxfId="952" priority="658">
      <formula>G161=3</formula>
    </cfRule>
    <cfRule type="expression" dxfId="951" priority="659">
      <formula>G161=2</formula>
    </cfRule>
    <cfRule type="expression" dxfId="950" priority="660">
      <formula>G161=1</formula>
    </cfRule>
  </conditionalFormatting>
  <conditionalFormatting sqref="G162:FP162">
    <cfRule type="expression" dxfId="949" priority="656">
      <formula>G162&lt;0</formula>
    </cfRule>
  </conditionalFormatting>
  <conditionalFormatting sqref="G164:FP164">
    <cfRule type="expression" dxfId="948" priority="651">
      <formula>G164&lt;0</formula>
    </cfRule>
  </conditionalFormatting>
  <conditionalFormatting sqref="G166:FP166">
    <cfRule type="expression" dxfId="947" priority="646">
      <formula>G166&lt;0</formula>
    </cfRule>
  </conditionalFormatting>
  <conditionalFormatting sqref="G168:FP168">
    <cfRule type="expression" dxfId="946" priority="641">
      <formula>G168&lt;0</formula>
    </cfRule>
  </conditionalFormatting>
  <conditionalFormatting sqref="G170:FP170">
    <cfRule type="expression" dxfId="945" priority="636">
      <formula>G170&lt;0</formula>
    </cfRule>
  </conditionalFormatting>
  <conditionalFormatting sqref="G176:FP176">
    <cfRule type="expression" dxfId="944" priority="621">
      <formula>G176&lt;0</formula>
    </cfRule>
  </conditionalFormatting>
  <conditionalFormatting sqref="G178:FP178">
    <cfRule type="expression" dxfId="943" priority="224">
      <formula>G178&lt;0</formula>
    </cfRule>
  </conditionalFormatting>
  <conditionalFormatting sqref="G182:FP182">
    <cfRule type="expression" dxfId="942" priority="611">
      <formula>G182&lt;0</formula>
    </cfRule>
  </conditionalFormatting>
  <conditionalFormatting sqref="G184:FP184">
    <cfRule type="expression" dxfId="941" priority="606">
      <formula>G184&lt;0</formula>
    </cfRule>
  </conditionalFormatting>
  <conditionalFormatting sqref="G186:FP186">
    <cfRule type="expression" dxfId="940" priority="596">
      <formula>G186&lt;0</formula>
    </cfRule>
  </conditionalFormatting>
  <conditionalFormatting sqref="G187:FP187">
    <cfRule type="expression" dxfId="939" priority="593">
      <formula>G187=3</formula>
    </cfRule>
    <cfRule type="expression" dxfId="938" priority="594">
      <formula>G187=2</formula>
    </cfRule>
    <cfRule type="expression" dxfId="937" priority="595">
      <formula>G187=1</formula>
    </cfRule>
  </conditionalFormatting>
  <conditionalFormatting sqref="G188:FP188">
    <cfRule type="expression" dxfId="936" priority="591">
      <formula>G188&lt;0</formula>
    </cfRule>
  </conditionalFormatting>
  <conditionalFormatting sqref="G190:FP190">
    <cfRule type="expression" dxfId="935" priority="586">
      <formula>G190&lt;0</formula>
    </cfRule>
  </conditionalFormatting>
  <conditionalFormatting sqref="G191:FP191">
    <cfRule type="expression" dxfId="934" priority="59">
      <formula>G191=2</formula>
    </cfRule>
    <cfRule type="expression" dxfId="933" priority="58">
      <formula>G191=3</formula>
    </cfRule>
    <cfRule type="expression" dxfId="932" priority="60">
      <formula>G191=1</formula>
    </cfRule>
  </conditionalFormatting>
  <conditionalFormatting sqref="G192:FP192">
    <cfRule type="expression" dxfId="931" priority="70">
      <formula>G192&lt;0</formula>
    </cfRule>
  </conditionalFormatting>
  <conditionalFormatting sqref="G193:FP193">
    <cfRule type="expression" dxfId="930" priority="67">
      <formula>G193=3</formula>
    </cfRule>
    <cfRule type="expression" dxfId="929" priority="68">
      <formula>G193=2</formula>
    </cfRule>
    <cfRule type="expression" dxfId="928" priority="69">
      <formula>G193=1</formula>
    </cfRule>
  </conditionalFormatting>
  <conditionalFormatting sqref="G194:FP194">
    <cfRule type="expression" dxfId="927" priority="65">
      <formula>G194&lt;0</formula>
    </cfRule>
  </conditionalFormatting>
  <conditionalFormatting sqref="G196:FP196">
    <cfRule type="expression" dxfId="926" priority="566">
      <formula>G196&lt;0</formula>
    </cfRule>
  </conditionalFormatting>
  <conditionalFormatting sqref="G200:FP200">
    <cfRule type="expression" dxfId="925" priority="556">
      <formula>G200&lt;0</formula>
    </cfRule>
  </conditionalFormatting>
  <conditionalFormatting sqref="G202:FP202">
    <cfRule type="expression" dxfId="924" priority="546">
      <formula>G202&lt;0</formula>
    </cfRule>
  </conditionalFormatting>
  <conditionalFormatting sqref="G204:FP204">
    <cfRule type="expression" dxfId="923" priority="536">
      <formula>G204&lt;0</formula>
    </cfRule>
  </conditionalFormatting>
  <conditionalFormatting sqref="G205:FP205">
    <cfRule type="expression" dxfId="922" priority="290">
      <formula>G205=3</formula>
    </cfRule>
    <cfRule type="expression" dxfId="921" priority="291">
      <formula>G205=2</formula>
    </cfRule>
    <cfRule type="expression" dxfId="920" priority="292">
      <formula>G205=1</formula>
    </cfRule>
  </conditionalFormatting>
  <conditionalFormatting sqref="G206:FP206">
    <cfRule type="expression" dxfId="919" priority="288">
      <formula>G206&lt;0</formula>
    </cfRule>
  </conditionalFormatting>
  <conditionalFormatting sqref="G210:FP210">
    <cfRule type="expression" dxfId="918" priority="516">
      <formula>G210&lt;0</formula>
    </cfRule>
  </conditionalFormatting>
  <conditionalFormatting sqref="G211:FP211">
    <cfRule type="expression" dxfId="917" priority="345">
      <formula>G211=3</formula>
    </cfRule>
    <cfRule type="expression" dxfId="916" priority="346">
      <formula>G211=2</formula>
    </cfRule>
    <cfRule type="expression" dxfId="915" priority="347">
      <formula>G211=1</formula>
    </cfRule>
  </conditionalFormatting>
  <conditionalFormatting sqref="G212:FP212 G214:FP214">
    <cfRule type="expression" dxfId="914" priority="511">
      <formula>G212&lt;0</formula>
    </cfRule>
  </conditionalFormatting>
  <conditionalFormatting sqref="G213:FP213">
    <cfRule type="expression" dxfId="913" priority="338">
      <formula>G213=3</formula>
    </cfRule>
    <cfRule type="expression" dxfId="912" priority="339">
      <formula>G213=2</formula>
    </cfRule>
    <cfRule type="expression" dxfId="911" priority="340">
      <formula>G213=1</formula>
    </cfRule>
  </conditionalFormatting>
  <conditionalFormatting sqref="G218:FP218">
    <cfRule type="expression" dxfId="910" priority="501">
      <formula>G218&lt;0</formula>
    </cfRule>
  </conditionalFormatting>
  <conditionalFormatting sqref="G220:FP220">
    <cfRule type="expression" dxfId="909" priority="491">
      <formula>G220&lt;0</formula>
    </cfRule>
  </conditionalFormatting>
  <conditionalFormatting sqref="G222:FP222">
    <cfRule type="expression" dxfId="908" priority="486">
      <formula>G222&lt;0</formula>
    </cfRule>
  </conditionalFormatting>
  <conditionalFormatting sqref="G224:FP224">
    <cfRule type="expression" dxfId="907" priority="481">
      <formula>G224&lt;0</formula>
    </cfRule>
  </conditionalFormatting>
  <conditionalFormatting sqref="G226:FP226">
    <cfRule type="expression" dxfId="906" priority="476">
      <formula>G226&lt;0</formula>
    </cfRule>
  </conditionalFormatting>
  <conditionalFormatting sqref="G228:FP228">
    <cfRule type="expression" dxfId="905" priority="471">
      <formula>G228&lt;0</formula>
    </cfRule>
  </conditionalFormatting>
  <conditionalFormatting sqref="G230:FP230">
    <cfRule type="expression" dxfId="904" priority="466">
      <formula>G230&lt;0</formula>
    </cfRule>
  </conditionalFormatting>
  <conditionalFormatting sqref="G232:FP232">
    <cfRule type="expression" dxfId="903" priority="461">
      <formula>G232&lt;0</formula>
    </cfRule>
  </conditionalFormatting>
  <conditionalFormatting sqref="G89:FQ89">
    <cfRule type="expression" dxfId="902" priority="844">
      <formula>G89=2</formula>
    </cfRule>
    <cfRule type="expression" dxfId="901" priority="843">
      <formula>G89=3</formula>
    </cfRule>
    <cfRule type="expression" dxfId="900" priority="845">
      <formula>G89=1</formula>
    </cfRule>
  </conditionalFormatting>
  <conditionalFormatting sqref="G91:FQ91">
    <cfRule type="expression" dxfId="899" priority="283">
      <formula>G91=1</formula>
    </cfRule>
    <cfRule type="expression" dxfId="898" priority="282">
      <formula>G91=2</formula>
    </cfRule>
    <cfRule type="expression" dxfId="897" priority="281">
      <formula>G91=3</formula>
    </cfRule>
  </conditionalFormatting>
  <conditionalFormatting sqref="G101:FQ101">
    <cfRule type="expression" dxfId="896" priority="815">
      <formula>G101=1</formula>
    </cfRule>
    <cfRule type="expression" dxfId="895" priority="813">
      <formula>G101=3</formula>
    </cfRule>
    <cfRule type="expression" dxfId="894" priority="814">
      <formula>G101=2</formula>
    </cfRule>
  </conditionalFormatting>
  <conditionalFormatting sqref="G103:FQ103">
    <cfRule type="expression" dxfId="893" priority="809">
      <formula>G103=2</formula>
    </cfRule>
    <cfRule type="expression" dxfId="892" priority="808">
      <formula>G103=3</formula>
    </cfRule>
    <cfRule type="expression" dxfId="891" priority="810">
      <formula>G103=1</formula>
    </cfRule>
  </conditionalFormatting>
  <conditionalFormatting sqref="G105:FQ105">
    <cfRule type="expression" dxfId="890" priority="800">
      <formula>G105=1</formula>
    </cfRule>
    <cfRule type="expression" dxfId="889" priority="799">
      <formula>G105=2</formula>
    </cfRule>
    <cfRule type="expression" dxfId="888" priority="798">
      <formula>G105=3</formula>
    </cfRule>
  </conditionalFormatting>
  <conditionalFormatting sqref="G107:FQ107">
    <cfRule type="expression" dxfId="887" priority="795">
      <formula>G107=1</formula>
    </cfRule>
    <cfRule type="expression" dxfId="886" priority="794">
      <formula>G107=2</formula>
    </cfRule>
    <cfRule type="expression" dxfId="885" priority="793">
      <formula>G107=3</formula>
    </cfRule>
  </conditionalFormatting>
  <conditionalFormatting sqref="G109:FQ109">
    <cfRule type="expression" dxfId="884" priority="790">
      <formula>G109=1</formula>
    </cfRule>
    <cfRule type="expression" dxfId="883" priority="789">
      <formula>G109=2</formula>
    </cfRule>
    <cfRule type="expression" dxfId="882" priority="788">
      <formula>G109=3</formula>
    </cfRule>
  </conditionalFormatting>
  <conditionalFormatting sqref="G111:FQ111">
    <cfRule type="expression" dxfId="881" priority="783">
      <formula>G111=3</formula>
    </cfRule>
    <cfRule type="expression" dxfId="880" priority="784">
      <formula>G111=2</formula>
    </cfRule>
    <cfRule type="expression" dxfId="879" priority="785">
      <formula>G111=1</formula>
    </cfRule>
  </conditionalFormatting>
  <conditionalFormatting sqref="G219:FQ219">
    <cfRule type="expression" dxfId="878" priority="495">
      <formula>G219=1</formula>
    </cfRule>
    <cfRule type="expression" dxfId="877" priority="494">
      <formula>G219=2</formula>
    </cfRule>
    <cfRule type="expression" dxfId="876" priority="493">
      <formula>G219=3</formula>
    </cfRule>
  </conditionalFormatting>
  <conditionalFormatting sqref="G221:FQ221">
    <cfRule type="expression" dxfId="875" priority="488">
      <formula>G221=3</formula>
    </cfRule>
    <cfRule type="expression" dxfId="874" priority="489">
      <formula>G221=2</formula>
    </cfRule>
    <cfRule type="expression" dxfId="873" priority="490">
      <formula>G221=1</formula>
    </cfRule>
  </conditionalFormatting>
  <conditionalFormatting sqref="G223:FQ223">
    <cfRule type="expression" dxfId="872" priority="483">
      <formula>G223=3</formula>
    </cfRule>
    <cfRule type="expression" dxfId="871" priority="484">
      <formula>G223=2</formula>
    </cfRule>
    <cfRule type="expression" dxfId="870" priority="485">
      <formula>G223=1</formula>
    </cfRule>
  </conditionalFormatting>
  <conditionalFormatting sqref="G225:FQ225">
    <cfRule type="expression" dxfId="869" priority="479">
      <formula>G225=2</formula>
    </cfRule>
    <cfRule type="expression" dxfId="868" priority="478">
      <formula>G225=3</formula>
    </cfRule>
    <cfRule type="expression" dxfId="867" priority="480">
      <formula>G225=1</formula>
    </cfRule>
  </conditionalFormatting>
  <conditionalFormatting sqref="G227:FQ227">
    <cfRule type="expression" dxfId="866" priority="285">
      <formula>G227=3</formula>
    </cfRule>
    <cfRule type="expression" dxfId="865" priority="286">
      <formula>G227=2</formula>
    </cfRule>
    <cfRule type="expression" dxfId="864" priority="287">
      <formula>G227=1</formula>
    </cfRule>
  </conditionalFormatting>
  <conditionalFormatting sqref="G229:FQ229">
    <cfRule type="expression" dxfId="863" priority="469">
      <formula>G229=2</formula>
    </cfRule>
    <cfRule type="expression" dxfId="862" priority="468">
      <formula>G229=3</formula>
    </cfRule>
    <cfRule type="expression" dxfId="861" priority="470">
      <formula>G229=1</formula>
    </cfRule>
  </conditionalFormatting>
  <conditionalFormatting sqref="G231:FQ231">
    <cfRule type="expression" dxfId="860" priority="277">
      <formula>G231=3</formula>
    </cfRule>
    <cfRule type="expression" dxfId="859" priority="279">
      <formula>G231=1</formula>
    </cfRule>
    <cfRule type="expression" dxfId="858" priority="278">
      <formula>G231=2</formula>
    </cfRule>
  </conditionalFormatting>
  <conditionalFormatting sqref="G57:FR57">
    <cfRule type="expression" dxfId="857" priority="1104">
      <formula>G57=3</formula>
    </cfRule>
    <cfRule type="expression" dxfId="856" priority="1105">
      <formula>G57=2</formula>
    </cfRule>
    <cfRule type="expression" dxfId="855" priority="1106">
      <formula>G57=1</formula>
    </cfRule>
  </conditionalFormatting>
  <conditionalFormatting sqref="G59:FR59">
    <cfRule type="expression" dxfId="854" priority="301">
      <formula>G59=3</formula>
    </cfRule>
    <cfRule type="expression" dxfId="853" priority="302">
      <formula>G59=2</formula>
    </cfRule>
    <cfRule type="expression" dxfId="852" priority="303">
      <formula>G59=1</formula>
    </cfRule>
  </conditionalFormatting>
  <conditionalFormatting sqref="G61:FR61">
    <cfRule type="expression" dxfId="851" priority="1100">
      <formula>G61=2</formula>
    </cfRule>
    <cfRule type="expression" dxfId="850" priority="1099">
      <formula>G61=3</formula>
    </cfRule>
    <cfRule type="expression" dxfId="849" priority="1101">
      <formula>G61=1</formula>
    </cfRule>
  </conditionalFormatting>
  <conditionalFormatting sqref="G63:FR63">
    <cfRule type="expression" dxfId="848" priority="1095">
      <formula>G63=2</formula>
    </cfRule>
    <cfRule type="expression" dxfId="847" priority="1094">
      <formula>G63=3</formula>
    </cfRule>
    <cfRule type="expression" dxfId="846" priority="1096">
      <formula>G63=1</formula>
    </cfRule>
  </conditionalFormatting>
  <conditionalFormatting sqref="G71:FR71">
    <cfRule type="expression" dxfId="845" priority="888">
      <formula>G71=3</formula>
    </cfRule>
    <cfRule type="expression" dxfId="844" priority="889">
      <formula>G71=2</formula>
    </cfRule>
    <cfRule type="expression" dxfId="843" priority="890">
      <formula>G71=1</formula>
    </cfRule>
  </conditionalFormatting>
  <conditionalFormatting sqref="G117:FR117">
    <cfRule type="expression" dxfId="842" priority="769">
      <formula>G117=2</formula>
    </cfRule>
    <cfRule type="expression" dxfId="841" priority="768">
      <formula>G117=3</formula>
    </cfRule>
    <cfRule type="expression" dxfId="840" priority="770">
      <formula>G117=1</formula>
    </cfRule>
  </conditionalFormatting>
  <conditionalFormatting sqref="G181:FR181">
    <cfRule type="expression" dxfId="839" priority="613">
      <formula>G181=3</formula>
    </cfRule>
    <cfRule type="expression" dxfId="838" priority="614">
      <formula>G181=2</formula>
    </cfRule>
    <cfRule type="expression" dxfId="837" priority="615">
      <formula>G181=1</formula>
    </cfRule>
  </conditionalFormatting>
  <conditionalFormatting sqref="G183:FR183">
    <cfRule type="expression" dxfId="836" priority="608">
      <formula>G183=3</formula>
    </cfRule>
    <cfRule type="expression" dxfId="835" priority="609">
      <formula>G183=2</formula>
    </cfRule>
    <cfRule type="expression" dxfId="834" priority="610">
      <formula>G183=1</formula>
    </cfRule>
  </conditionalFormatting>
  <conditionalFormatting sqref="G195:FR195">
    <cfRule type="expression" dxfId="833" priority="569">
      <formula>G195=2</formula>
    </cfRule>
    <cfRule type="expression" dxfId="832" priority="570">
      <formula>G195=1</formula>
    </cfRule>
    <cfRule type="expression" dxfId="831" priority="568">
      <formula>G195=3</formula>
    </cfRule>
  </conditionalFormatting>
  <conditionalFormatting sqref="G208:FR208">
    <cfRule type="expression" dxfId="830" priority="521">
      <formula>G208&lt;0</formula>
    </cfRule>
  </conditionalFormatting>
  <conditionalFormatting sqref="G216:FR216">
    <cfRule type="expression" dxfId="829" priority="506">
      <formula>G216&lt;0</formula>
    </cfRule>
  </conditionalFormatting>
  <conditionalFormatting sqref="G135:FS135">
    <cfRule type="expression" dxfId="828" priority="720">
      <formula>G135=1</formula>
    </cfRule>
    <cfRule type="expression" dxfId="827" priority="719">
      <formula>G135=2</formula>
    </cfRule>
    <cfRule type="expression" dxfId="826" priority="718">
      <formula>G135=3</formula>
    </cfRule>
  </conditionalFormatting>
  <conditionalFormatting sqref="G26:FT26">
    <cfRule type="expression" dxfId="825" priority="991">
      <formula>G26&lt;0</formula>
    </cfRule>
  </conditionalFormatting>
  <conditionalFormatting sqref="G205:FW205">
    <cfRule type="expression" dxfId="824" priority="289">
      <formula>G205="n/a"</formula>
    </cfRule>
  </conditionalFormatting>
  <conditionalFormatting sqref="G121:FZ121">
    <cfRule type="expression" dxfId="823" priority="200">
      <formula>G121=1</formula>
    </cfRule>
    <cfRule type="expression" dxfId="822" priority="199">
      <formula>G121=2</formula>
    </cfRule>
    <cfRule type="expression" dxfId="821" priority="198">
      <formula>G121=3</formula>
    </cfRule>
  </conditionalFormatting>
  <conditionalFormatting sqref="G123:FZ123">
    <cfRule type="expression" dxfId="820" priority="190">
      <formula>G123=3</formula>
    </cfRule>
    <cfRule type="expression" dxfId="819" priority="192">
      <formula>G123=1</formula>
    </cfRule>
    <cfRule type="expression" dxfId="818" priority="191">
      <formula>G123=2</formula>
    </cfRule>
  </conditionalFormatting>
  <conditionalFormatting sqref="G125:FZ125">
    <cfRule type="expression" dxfId="817" priority="753">
      <formula>G125=3</formula>
    </cfRule>
    <cfRule type="expression" dxfId="816" priority="755">
      <formula>G125=1</formula>
    </cfRule>
    <cfRule type="expression" dxfId="815" priority="754">
      <formula>G125=2</formula>
    </cfRule>
  </conditionalFormatting>
  <conditionalFormatting sqref="G25:GA25">
    <cfRule type="expression" dxfId="814" priority="446">
      <formula>G25="n/a"</formula>
    </cfRule>
  </conditionalFormatting>
  <conditionalFormatting sqref="G161:GA161">
    <cfRule type="expression" dxfId="813" priority="657">
      <formula>G161="n/a"</formula>
    </cfRule>
  </conditionalFormatting>
  <conditionalFormatting sqref="G152:GC152">
    <cfRule type="expression" dxfId="812" priority="691">
      <formula>G152&lt;0</formula>
    </cfRule>
  </conditionalFormatting>
  <conditionalFormatting sqref="G141:GE141">
    <cfRule type="expression" dxfId="811" priority="1078">
      <formula>G141="n/a"</formula>
    </cfRule>
  </conditionalFormatting>
  <conditionalFormatting sqref="G143:GE143">
    <cfRule type="expression" dxfId="810" priority="1073">
      <formula>G143="n/a"</formula>
    </cfRule>
  </conditionalFormatting>
  <conditionalFormatting sqref="G145:GE145">
    <cfRule type="expression" dxfId="809" priority="1068">
      <formula>G145="n/a"</formula>
    </cfRule>
  </conditionalFormatting>
  <conditionalFormatting sqref="G147:GE147">
    <cfRule type="expression" dxfId="808" priority="89">
      <formula>G147="n/a"</formula>
    </cfRule>
  </conditionalFormatting>
  <conditionalFormatting sqref="G9:GK9">
    <cfRule type="expression" dxfId="807" priority="2054">
      <formula>G9=1</formula>
    </cfRule>
    <cfRule type="expression" dxfId="806" priority="2053">
      <formula>G9=2</formula>
    </cfRule>
    <cfRule type="expression" dxfId="805" priority="2052">
      <formula>G9=3</formula>
    </cfRule>
    <cfRule type="expression" dxfId="804" priority="2051">
      <formula>G9="n/a"</formula>
    </cfRule>
  </conditionalFormatting>
  <conditionalFormatting sqref="G11:GK11">
    <cfRule type="expression" dxfId="803" priority="1031">
      <formula>G11=3</formula>
    </cfRule>
    <cfRule type="expression" dxfId="802" priority="1033">
      <formula>G11=1</formula>
    </cfRule>
    <cfRule type="expression" dxfId="801" priority="1032">
      <formula>G11=2</formula>
    </cfRule>
    <cfRule type="expression" dxfId="800" priority="1030">
      <formula>G11="n/a"</formula>
    </cfRule>
  </conditionalFormatting>
  <conditionalFormatting sqref="G13:GK13">
    <cfRule type="expression" dxfId="799" priority="1">
      <formula>G13="n/a"</formula>
    </cfRule>
  </conditionalFormatting>
  <conditionalFormatting sqref="G16:GK16">
    <cfRule type="expression" dxfId="798" priority="1021">
      <formula>G16&lt;0</formula>
    </cfRule>
  </conditionalFormatting>
  <conditionalFormatting sqref="G17:GK17">
    <cfRule type="expression" dxfId="797" priority="17">
      <formula>G17="n/a"</formula>
    </cfRule>
  </conditionalFormatting>
  <conditionalFormatting sqref="G19:GK19">
    <cfRule type="expression" dxfId="796" priority="27">
      <formula>G19=2</formula>
    </cfRule>
    <cfRule type="expression" dxfId="795" priority="28">
      <formula>G19=1</formula>
    </cfRule>
    <cfRule type="expression" dxfId="794" priority="25">
      <formula>G19="n/a"</formula>
    </cfRule>
    <cfRule type="expression" dxfId="793" priority="26">
      <formula>G19=3</formula>
    </cfRule>
  </conditionalFormatting>
  <conditionalFormatting sqref="G21:GK21">
    <cfRule type="expression" dxfId="792" priority="33">
      <formula>G21="n/a"</formula>
    </cfRule>
  </conditionalFormatting>
  <conditionalFormatting sqref="G23:GK23">
    <cfRule type="expression" dxfId="791" priority="41">
      <formula>G23="n/a"</formula>
    </cfRule>
  </conditionalFormatting>
  <conditionalFormatting sqref="G27:GK27">
    <cfRule type="expression" dxfId="790" priority="987">
      <formula>G27="n/a"</formula>
    </cfRule>
  </conditionalFormatting>
  <conditionalFormatting sqref="G29:GK29">
    <cfRule type="expression" dxfId="789" priority="363">
      <formula>G29="n/a"</formula>
    </cfRule>
  </conditionalFormatting>
  <conditionalFormatting sqref="G31:GK31">
    <cfRule type="expression" dxfId="788" priority="982">
      <formula>G31="n/a"</formula>
    </cfRule>
  </conditionalFormatting>
  <conditionalFormatting sqref="G33:GK33">
    <cfRule type="expression" dxfId="787" priority="977">
      <formula>G33="n/a"</formula>
    </cfRule>
  </conditionalFormatting>
  <conditionalFormatting sqref="G35:GK35">
    <cfRule type="expression" dxfId="786" priority="972">
      <formula>G35="n/a"</formula>
    </cfRule>
  </conditionalFormatting>
  <conditionalFormatting sqref="G39:GK39">
    <cfRule type="expression" dxfId="785" priority="259">
      <formula>G39="n/a"</formula>
    </cfRule>
  </conditionalFormatting>
  <conditionalFormatting sqref="G41:GK41">
    <cfRule type="expression" dxfId="784" priority="957">
      <formula>G41="n/a"</formula>
    </cfRule>
  </conditionalFormatting>
  <conditionalFormatting sqref="G43:GK43">
    <cfRule type="expression" dxfId="783" priority="952">
      <formula>G43="n/a"</formula>
    </cfRule>
  </conditionalFormatting>
  <conditionalFormatting sqref="G45:GK45">
    <cfRule type="expression" dxfId="782" priority="947">
      <formula>G45="n/a"</formula>
    </cfRule>
  </conditionalFormatting>
  <conditionalFormatting sqref="G47:GK47">
    <cfRule type="expression" dxfId="781" priority="945">
      <formula>G47=1</formula>
    </cfRule>
    <cfRule type="expression" dxfId="780" priority="943">
      <formula>G47=3</formula>
    </cfRule>
    <cfRule type="expression" dxfId="779" priority="944">
      <formula>G47=2</formula>
    </cfRule>
    <cfRule type="expression" dxfId="778" priority="942">
      <formula>G47="n/a"</formula>
    </cfRule>
  </conditionalFormatting>
  <conditionalFormatting sqref="G49:GK49">
    <cfRule type="expression" dxfId="777" priority="932">
      <formula>G49="n/a"</formula>
    </cfRule>
  </conditionalFormatting>
  <conditionalFormatting sqref="G51:GK51">
    <cfRule type="expression" dxfId="776" priority="927">
      <formula>G51="n/a"</formula>
    </cfRule>
  </conditionalFormatting>
  <conditionalFormatting sqref="G53:GK53">
    <cfRule type="expression" dxfId="775" priority="925">
      <formula>G53=1</formula>
    </cfRule>
    <cfRule type="expression" dxfId="774" priority="922">
      <formula>G53="n/a"</formula>
    </cfRule>
    <cfRule type="expression" dxfId="773" priority="923">
      <formula>G53=3</formula>
    </cfRule>
    <cfRule type="expression" dxfId="772" priority="924">
      <formula>G53=2</formula>
    </cfRule>
  </conditionalFormatting>
  <conditionalFormatting sqref="G55:GK55">
    <cfRule type="expression" dxfId="771" priority="2509">
      <formula>G55=2</formula>
    </cfRule>
    <cfRule type="expression" dxfId="770" priority="2510">
      <formula>G55=1</formula>
    </cfRule>
    <cfRule type="expression" dxfId="769" priority="2508">
      <formula>G55=3</formula>
    </cfRule>
    <cfRule type="expression" dxfId="768" priority="2507">
      <formula>G55="n/a"</formula>
    </cfRule>
  </conditionalFormatting>
  <conditionalFormatting sqref="G56:GK56">
    <cfRule type="expression" dxfId="767" priority="2515">
      <formula>G56&lt;0</formula>
    </cfRule>
  </conditionalFormatting>
  <conditionalFormatting sqref="G57:GK57">
    <cfRule type="expression" dxfId="766" priority="1103">
      <formula>G57="n/a"</formula>
    </cfRule>
  </conditionalFormatting>
  <conditionalFormatting sqref="G59:GK59">
    <cfRule type="expression" dxfId="765" priority="300">
      <formula>G59="n/a"</formula>
    </cfRule>
  </conditionalFormatting>
  <conditionalFormatting sqref="G61:GK61">
    <cfRule type="expression" dxfId="764" priority="1098">
      <formula>G61="n/a"</formula>
    </cfRule>
  </conditionalFormatting>
  <conditionalFormatting sqref="G63:GK63">
    <cfRule type="expression" dxfId="763" priority="1093">
      <formula>G63="n/a"</formula>
    </cfRule>
  </conditionalFormatting>
  <conditionalFormatting sqref="G65:GK65">
    <cfRule type="expression" dxfId="762" priority="1088">
      <formula>G65="n/a"</formula>
    </cfRule>
    <cfRule type="expression" dxfId="761" priority="1091">
      <formula>G65=1</formula>
    </cfRule>
    <cfRule type="expression" dxfId="760" priority="1089">
      <formula>G65=3</formula>
    </cfRule>
    <cfRule type="expression" dxfId="759" priority="1090">
      <formula>G65=2</formula>
    </cfRule>
  </conditionalFormatting>
  <conditionalFormatting sqref="G66:GK66">
    <cfRule type="expression" dxfId="758" priority="1087">
      <formula>G66&lt;0</formula>
    </cfRule>
  </conditionalFormatting>
  <conditionalFormatting sqref="G67:GK67">
    <cfRule type="expression" dxfId="757" priority="902">
      <formula>G67="n/a"</formula>
    </cfRule>
    <cfRule type="expression" dxfId="756" priority="905">
      <formula>G67=1</formula>
    </cfRule>
    <cfRule type="expression" dxfId="755" priority="904">
      <formula>G67=2</formula>
    </cfRule>
    <cfRule type="expression" dxfId="754" priority="903">
      <formula>G67=3</formula>
    </cfRule>
  </conditionalFormatting>
  <conditionalFormatting sqref="G68:GK68">
    <cfRule type="expression" dxfId="753" priority="901">
      <formula>G68&lt;0</formula>
    </cfRule>
  </conditionalFormatting>
  <conditionalFormatting sqref="G71:GK71">
    <cfRule type="expression" dxfId="752" priority="887">
      <formula>G71="n/a"</formula>
    </cfRule>
  </conditionalFormatting>
  <conditionalFormatting sqref="G73:GK73">
    <cfRule type="expression" dxfId="751" priority="884">
      <formula>G73=2</formula>
    </cfRule>
    <cfRule type="expression" dxfId="750" priority="883">
      <formula>G73=3</formula>
    </cfRule>
    <cfRule type="expression" dxfId="749" priority="882">
      <formula>G73="n/a"</formula>
    </cfRule>
    <cfRule type="expression" dxfId="748" priority="885">
      <formula>G73=1</formula>
    </cfRule>
  </conditionalFormatting>
  <conditionalFormatting sqref="G75:GK75">
    <cfRule type="expression" dxfId="747" priority="184">
      <formula>G75=1</formula>
    </cfRule>
    <cfRule type="expression" dxfId="746" priority="183">
      <formula>G75=2</formula>
    </cfRule>
    <cfRule type="expression" dxfId="745" priority="182">
      <formula>G75=3</formula>
    </cfRule>
    <cfRule type="expression" dxfId="744" priority="181">
      <formula>G75="n/a"</formula>
    </cfRule>
  </conditionalFormatting>
  <conditionalFormatting sqref="G77:GK77">
    <cfRule type="expression" dxfId="743" priority="877">
      <formula>G77="n/a"</formula>
    </cfRule>
    <cfRule type="expression" dxfId="742" priority="878">
      <formula>G77=3</formula>
    </cfRule>
    <cfRule type="expression" dxfId="741" priority="879">
      <formula>G77=2</formula>
    </cfRule>
    <cfRule type="expression" dxfId="740" priority="880">
      <formula>G77=1</formula>
    </cfRule>
  </conditionalFormatting>
  <conditionalFormatting sqref="G82:GK82">
    <cfRule type="expression" dxfId="739" priority="861">
      <formula>G82&lt;0</formula>
    </cfRule>
  </conditionalFormatting>
  <conditionalFormatting sqref="G84:GK84">
    <cfRule type="expression" dxfId="738" priority="856">
      <formula>G84&lt;0</formula>
    </cfRule>
  </conditionalFormatting>
  <conditionalFormatting sqref="G85:GK85">
    <cfRule type="expression" dxfId="737" priority="852">
      <formula>G85="n/a"</formula>
    </cfRule>
    <cfRule type="expression" dxfId="736" priority="853">
      <formula>G85=3</formula>
    </cfRule>
    <cfRule type="expression" dxfId="735" priority="854">
      <formula>G85=2</formula>
    </cfRule>
    <cfRule type="expression" dxfId="734" priority="855">
      <formula>G85=1</formula>
    </cfRule>
  </conditionalFormatting>
  <conditionalFormatting sqref="G86:GK86">
    <cfRule type="expression" dxfId="733" priority="851">
      <formula>G86&lt;0</formula>
    </cfRule>
  </conditionalFormatting>
  <conditionalFormatting sqref="G87:GK87">
    <cfRule type="expression" dxfId="732" priority="850">
      <formula>G87=1</formula>
    </cfRule>
    <cfRule type="expression" dxfId="731" priority="849">
      <formula>G87=2</formula>
    </cfRule>
    <cfRule type="expression" dxfId="730" priority="848">
      <formula>G87=3</formula>
    </cfRule>
    <cfRule type="expression" dxfId="729" priority="847">
      <formula>G87="n/a"</formula>
    </cfRule>
  </conditionalFormatting>
  <conditionalFormatting sqref="G88:GK88">
    <cfRule type="expression" dxfId="728" priority="846">
      <formula>G88&lt;0</formula>
    </cfRule>
  </conditionalFormatting>
  <conditionalFormatting sqref="G89:GK89">
    <cfRule type="expression" dxfId="727" priority="842">
      <formula>G89="n/a"</formula>
    </cfRule>
  </conditionalFormatting>
  <conditionalFormatting sqref="G91:GK91">
    <cfRule type="expression" dxfId="726" priority="280">
      <formula>G91="n/a"</formula>
    </cfRule>
  </conditionalFormatting>
  <conditionalFormatting sqref="G93:GK93">
    <cfRule type="expression" dxfId="725" priority="832">
      <formula>G93="n/a"</formula>
    </cfRule>
  </conditionalFormatting>
  <conditionalFormatting sqref="G94:GK94">
    <cfRule type="expression" dxfId="724" priority="831">
      <formula>G94&lt;0</formula>
    </cfRule>
  </conditionalFormatting>
  <conditionalFormatting sqref="G95:GK95">
    <cfRule type="expression" dxfId="723" priority="152">
      <formula>G95="n/a"</formula>
    </cfRule>
  </conditionalFormatting>
  <conditionalFormatting sqref="G96:GK96">
    <cfRule type="expression" dxfId="722" priority="156">
      <formula>G96&lt;0</formula>
    </cfRule>
  </conditionalFormatting>
  <conditionalFormatting sqref="G97:GK97">
    <cfRule type="expression" dxfId="721" priority="825">
      <formula>G97=1</formula>
    </cfRule>
    <cfRule type="expression" dxfId="720" priority="822">
      <formula>G97="n/a"</formula>
    </cfRule>
    <cfRule type="expression" dxfId="719" priority="823">
      <formula>G97=3</formula>
    </cfRule>
    <cfRule type="expression" dxfId="718" priority="824">
      <formula>G97=2</formula>
    </cfRule>
  </conditionalFormatting>
  <conditionalFormatting sqref="G98:GK98">
    <cfRule type="expression" dxfId="717" priority="821">
      <formula>G98&lt;0</formula>
    </cfRule>
  </conditionalFormatting>
  <conditionalFormatting sqref="G99:GK99">
    <cfRule type="expression" dxfId="716" priority="148">
      <formula>G99="n/a"</formula>
    </cfRule>
  </conditionalFormatting>
  <conditionalFormatting sqref="G100:GK100">
    <cfRule type="expression" dxfId="715" priority="816">
      <formula>G100&lt;0</formula>
    </cfRule>
  </conditionalFormatting>
  <conditionalFormatting sqref="G101:GK101">
    <cfRule type="expression" dxfId="714" priority="812">
      <formula>G101="n/a"</formula>
    </cfRule>
  </conditionalFormatting>
  <conditionalFormatting sqref="G103:GK103">
    <cfRule type="expression" dxfId="713" priority="807">
      <formula>G103="n/a"</formula>
    </cfRule>
  </conditionalFormatting>
  <conditionalFormatting sqref="G105:GK105">
    <cfRule type="expression" dxfId="712" priority="797">
      <formula>G105="n/a"</formula>
    </cfRule>
  </conditionalFormatting>
  <conditionalFormatting sqref="G107:GK107">
    <cfRule type="expression" dxfId="711" priority="792">
      <formula>G107="n/a"</formula>
    </cfRule>
  </conditionalFormatting>
  <conditionalFormatting sqref="G109:GK109">
    <cfRule type="expression" dxfId="710" priority="787">
      <formula>G109="n/a"</formula>
    </cfRule>
  </conditionalFormatting>
  <conditionalFormatting sqref="G111:GK111">
    <cfRule type="expression" dxfId="709" priority="782">
      <formula>G111="n/a"</formula>
    </cfRule>
  </conditionalFormatting>
  <conditionalFormatting sqref="G113:GK113">
    <cfRule type="expression" dxfId="708" priority="49">
      <formula>G113="n/a"</formula>
    </cfRule>
  </conditionalFormatting>
  <conditionalFormatting sqref="G115:GK115">
    <cfRule type="expression" dxfId="707" priority="772">
      <formula>G115="n/a"</formula>
    </cfRule>
    <cfRule type="expression" dxfId="706" priority="773">
      <formula>G115=3</formula>
    </cfRule>
    <cfRule type="expression" dxfId="705" priority="774">
      <formula>G115=2</formula>
    </cfRule>
    <cfRule type="expression" dxfId="704" priority="775">
      <formula>G115=1</formula>
    </cfRule>
  </conditionalFormatting>
  <conditionalFormatting sqref="G117:GK117">
    <cfRule type="expression" dxfId="703" priority="767">
      <formula>G117="n/a"</formula>
    </cfRule>
  </conditionalFormatting>
  <conditionalFormatting sqref="G119:GK119">
    <cfRule type="expression" dxfId="702" priority="762">
      <formula>G119="n/a"</formula>
    </cfRule>
  </conditionalFormatting>
  <conditionalFormatting sqref="G121:GK121">
    <cfRule type="expression" dxfId="701" priority="197">
      <formula>G121="n/a"</formula>
    </cfRule>
  </conditionalFormatting>
  <conditionalFormatting sqref="G123:GK123">
    <cfRule type="expression" dxfId="700" priority="189">
      <formula>G123="n/a"</formula>
    </cfRule>
  </conditionalFormatting>
  <conditionalFormatting sqref="G125:GK125">
    <cfRule type="expression" dxfId="699" priority="752">
      <formula>G125="n/a"</formula>
    </cfRule>
  </conditionalFormatting>
  <conditionalFormatting sqref="G127:GK127">
    <cfRule type="expression" dxfId="698" priority="136">
      <formula>G127="n/a"</formula>
    </cfRule>
  </conditionalFormatting>
  <conditionalFormatting sqref="G131:GK131">
    <cfRule type="expression" dxfId="697" priority="732">
      <formula>G131="n/a"</formula>
    </cfRule>
  </conditionalFormatting>
  <conditionalFormatting sqref="G133:GK133">
    <cfRule type="expression" dxfId="696" priority="682">
      <formula>G133="n/a"</formula>
    </cfRule>
    <cfRule type="expression" dxfId="695" priority="684">
      <formula>G133=2</formula>
    </cfRule>
    <cfRule type="expression" dxfId="694" priority="685">
      <formula>G133=1</formula>
    </cfRule>
    <cfRule type="expression" dxfId="693" priority="683">
      <formula>G133=3</formula>
    </cfRule>
  </conditionalFormatting>
  <conditionalFormatting sqref="G135:GK135">
    <cfRule type="expression" dxfId="692" priority="717">
      <formula>G135="n/a"</formula>
    </cfRule>
  </conditionalFormatting>
  <conditionalFormatting sqref="G136:GK136">
    <cfRule type="expression" dxfId="691" priority="716">
      <formula>G136&lt;0</formula>
    </cfRule>
  </conditionalFormatting>
  <conditionalFormatting sqref="G137:GK137">
    <cfRule type="expression" dxfId="690" priority="707">
      <formula>G137="n/a"</formula>
    </cfRule>
  </conditionalFormatting>
  <conditionalFormatting sqref="G139:GK139">
    <cfRule type="expression" dxfId="689" priority="697">
      <formula>G139="n/a"</formula>
    </cfRule>
  </conditionalFormatting>
  <conditionalFormatting sqref="G180:GK180">
    <cfRule type="expression" dxfId="688" priority="616">
      <formula>G180&lt;0</formula>
    </cfRule>
  </conditionalFormatting>
  <conditionalFormatting sqref="G181:GK181">
    <cfRule type="expression" dxfId="687" priority="612">
      <formula>G181="n/a"</formula>
    </cfRule>
  </conditionalFormatting>
  <conditionalFormatting sqref="G183:GK183">
    <cfRule type="expression" dxfId="686" priority="607">
      <formula>G183="n/a"</formula>
    </cfRule>
  </conditionalFormatting>
  <conditionalFormatting sqref="G187:GK187">
    <cfRule type="expression" dxfId="685" priority="592">
      <formula>G187="n/a"</formula>
    </cfRule>
  </conditionalFormatting>
  <conditionalFormatting sqref="G191:GK191">
    <cfRule type="expression" dxfId="684" priority="57">
      <formula>G191="n/a"</formula>
    </cfRule>
  </conditionalFormatting>
  <conditionalFormatting sqref="G193:GK193">
    <cfRule type="expression" dxfId="683" priority="66">
      <formula>G193="n/a"</formula>
    </cfRule>
  </conditionalFormatting>
  <conditionalFormatting sqref="G195:GK195">
    <cfRule type="expression" dxfId="682" priority="567">
      <formula>G195="n/a"</formula>
    </cfRule>
  </conditionalFormatting>
  <conditionalFormatting sqref="G211:GK211">
    <cfRule type="expression" dxfId="681" priority="344">
      <formula>G211="n/a"</formula>
    </cfRule>
  </conditionalFormatting>
  <conditionalFormatting sqref="G213:GK213">
    <cfRule type="expression" dxfId="680" priority="337">
      <formula>G213="n/a"</formula>
    </cfRule>
  </conditionalFormatting>
  <conditionalFormatting sqref="G219:GK219">
    <cfRule type="expression" dxfId="679" priority="492">
      <formula>G219="n/a"</formula>
    </cfRule>
  </conditionalFormatting>
  <conditionalFormatting sqref="G221:GK221">
    <cfRule type="expression" dxfId="678" priority="487">
      <formula>G221="n/a"</formula>
    </cfRule>
  </conditionalFormatting>
  <conditionalFormatting sqref="G223:GK223">
    <cfRule type="expression" dxfId="677" priority="482">
      <formula>G223="n/a"</formula>
    </cfRule>
  </conditionalFormatting>
  <conditionalFormatting sqref="G225:GK225">
    <cfRule type="expression" dxfId="676" priority="477">
      <formula>G225="n/a"</formula>
    </cfRule>
  </conditionalFormatting>
  <conditionalFormatting sqref="G227:GK227">
    <cfRule type="expression" dxfId="675" priority="284">
      <formula>G227="n/a"</formula>
    </cfRule>
  </conditionalFormatting>
  <conditionalFormatting sqref="G229:GK229">
    <cfRule type="expression" dxfId="674" priority="467">
      <formula>G229="n/a"</formula>
    </cfRule>
  </conditionalFormatting>
  <conditionalFormatting sqref="G231:GK231">
    <cfRule type="expression" dxfId="673" priority="276">
      <formula>G231="n/a"</formula>
    </cfRule>
  </conditionalFormatting>
  <conditionalFormatting sqref="AB201:AH201 AJ201:AX201">
    <cfRule type="expression" dxfId="672" priority="14317">
      <formula>AB201&lt;0</formula>
    </cfRule>
  </conditionalFormatting>
  <conditionalFormatting sqref="AC151:AE151">
    <cfRule type="expression" dxfId="671" priority="20939">
      <formula>AC151=2</formula>
    </cfRule>
    <cfRule type="expression" dxfId="670" priority="20938">
      <formula>AC151=3</formula>
    </cfRule>
    <cfRule type="expression" dxfId="669" priority="20940">
      <formula>AC151=1</formula>
    </cfRule>
  </conditionalFormatting>
  <conditionalFormatting sqref="AC151:AF151">
    <cfRule type="expression" dxfId="668" priority="20936">
      <formula>AC151=1</formula>
    </cfRule>
    <cfRule type="expression" dxfId="667" priority="20934">
      <formula>AC151=3</formula>
    </cfRule>
    <cfRule type="expression" dxfId="666" priority="20935">
      <formula>AC151=2</formula>
    </cfRule>
  </conditionalFormatting>
  <conditionalFormatting sqref="AC159:AF159">
    <cfRule type="expression" dxfId="665" priority="2393">
      <formula>AC159=3</formula>
    </cfRule>
    <cfRule type="expression" dxfId="664" priority="2394">
      <formula>AC159=2</formula>
    </cfRule>
    <cfRule type="expression" dxfId="663" priority="2395">
      <formula>AC159=1</formula>
    </cfRule>
  </conditionalFormatting>
  <conditionalFormatting sqref="AC177:AF177">
    <cfRule type="expression" dxfId="662" priority="233">
      <formula>AC177=3</formula>
    </cfRule>
    <cfRule type="expression" dxfId="661" priority="234">
      <formula>AC177=2</formula>
    </cfRule>
    <cfRule type="expression" dxfId="660" priority="235">
      <formula>AC177=1</formula>
    </cfRule>
  </conditionalFormatting>
  <conditionalFormatting sqref="AC137:EV137">
    <cfRule type="expression" dxfId="659" priority="2407">
      <formula>AC137=3</formula>
    </cfRule>
    <cfRule type="expression" dxfId="658" priority="2408">
      <formula>AC137=2</formula>
    </cfRule>
    <cfRule type="expression" dxfId="657" priority="2409">
      <formula>AC137=1</formula>
    </cfRule>
  </conditionalFormatting>
  <conditionalFormatting sqref="AC139:EV139">
    <cfRule type="expression" dxfId="656" priority="2401">
      <formula>AC139=2</formula>
    </cfRule>
    <cfRule type="expression" dxfId="655" priority="2402">
      <formula>AC139=1</formula>
    </cfRule>
    <cfRule type="expression" dxfId="654" priority="2400">
      <formula>AC139=3</formula>
    </cfRule>
  </conditionalFormatting>
  <conditionalFormatting sqref="AD179">
    <cfRule type="expression" dxfId="653" priority="2071">
      <formula>AD179&lt;0</formula>
    </cfRule>
  </conditionalFormatting>
  <conditionalFormatting sqref="AE179:FR179">
    <cfRule type="expression" dxfId="652" priority="618">
      <formula>AE179=3</formula>
    </cfRule>
    <cfRule type="expression" dxfId="651" priority="620">
      <formula>AE179=1</formula>
    </cfRule>
    <cfRule type="expression" dxfId="650" priority="619">
      <formula>AE179=2</formula>
    </cfRule>
  </conditionalFormatting>
  <conditionalFormatting sqref="AE179:GK179">
    <cfRule type="expression" dxfId="649" priority="617">
      <formula>AE179="n/a"</formula>
    </cfRule>
  </conditionalFormatting>
  <conditionalFormatting sqref="AG159:EO159">
    <cfRule type="expression" dxfId="648" priority="19971">
      <formula>AG159=2</formula>
    </cfRule>
    <cfRule type="expression" dxfId="647" priority="19972">
      <formula>AG159=1</formula>
    </cfRule>
    <cfRule type="expression" dxfId="646" priority="19969">
      <formula>AG159="n/a"</formula>
    </cfRule>
    <cfRule type="expression" dxfId="645" priority="19970">
      <formula>AG159=3</formula>
    </cfRule>
  </conditionalFormatting>
  <conditionalFormatting sqref="AG177:EO177">
    <cfRule type="expression" dxfId="644" priority="245">
      <formula>AG177=2</formula>
    </cfRule>
    <cfRule type="expression" dxfId="643" priority="244">
      <formula>AG177=3</formula>
    </cfRule>
    <cfRule type="expression" dxfId="642" priority="243">
      <formula>AG177="n/a"</formula>
    </cfRule>
    <cfRule type="expression" dxfId="641" priority="246">
      <formula>AG177=1</formula>
    </cfRule>
  </conditionalFormatting>
  <conditionalFormatting sqref="AI201">
    <cfRule type="expression" dxfId="640" priority="14285">
      <formula>AI201=3</formula>
    </cfRule>
    <cfRule type="expression" dxfId="639" priority="14286">
      <formula>AI201=2</formula>
    </cfRule>
    <cfRule type="expression" dxfId="638" priority="14287">
      <formula>AI201=1</formula>
    </cfRule>
    <cfRule type="expression" dxfId="637" priority="14284">
      <formula>AI201="n/a"</formula>
    </cfRule>
  </conditionalFormatting>
  <conditionalFormatting sqref="AK129:AL129">
    <cfRule type="expression" dxfId="636" priority="1996">
      <formula>AK129=2</formula>
    </cfRule>
    <cfRule type="expression" dxfId="635" priority="1995">
      <formula>AK129=3</formula>
    </cfRule>
    <cfRule type="expression" dxfId="634" priority="1997">
      <formula>AK129=1</formula>
    </cfRule>
    <cfRule type="expression" dxfId="633" priority="1994">
      <formula>AK129="n/a"</formula>
    </cfRule>
  </conditionalFormatting>
  <conditionalFormatting sqref="AK215:DT215">
    <cfRule type="expression" dxfId="632" priority="17482">
      <formula>AK215=2</formula>
    </cfRule>
    <cfRule type="expression" dxfId="631" priority="17483">
      <formula>AK215=1</formula>
    </cfRule>
    <cfRule type="expression" dxfId="630" priority="17481">
      <formula>AK215=3</formula>
    </cfRule>
  </conditionalFormatting>
  <conditionalFormatting sqref="AM129:AR129">
    <cfRule type="expression" dxfId="629" priority="8710">
      <formula>AM129=3</formula>
    </cfRule>
    <cfRule type="expression" dxfId="628" priority="8711">
      <formula>AM129=2</formula>
    </cfRule>
    <cfRule type="expression" dxfId="627" priority="8712">
      <formula>AM129=1</formula>
    </cfRule>
    <cfRule type="expression" dxfId="626" priority="8709">
      <formula>AM129="n/a"</formula>
    </cfRule>
  </conditionalFormatting>
  <conditionalFormatting sqref="AN83:AU83">
    <cfRule type="expression" dxfId="625" priority="2440">
      <formula>AN83="n/a"</formula>
    </cfRule>
  </conditionalFormatting>
  <conditionalFormatting sqref="AP37:AQ37 AU37">
    <cfRule type="cellIs" dxfId="624" priority="37056" stopIfTrue="1" operator="equal">
      <formula>3</formula>
    </cfRule>
    <cfRule type="cellIs" dxfId="623" priority="37057" stopIfTrue="1" operator="equal">
      <formula>2</formula>
    </cfRule>
    <cfRule type="cellIs" dxfId="622" priority="37059" stopIfTrue="1" operator="equal">
      <formula>0</formula>
    </cfRule>
    <cfRule type="cellIs" dxfId="621" priority="37058" stopIfTrue="1" operator="equal">
      <formula>1</formula>
    </cfRule>
  </conditionalFormatting>
  <conditionalFormatting sqref="AR129:BL129">
    <cfRule type="expression" dxfId="620" priority="8701">
      <formula>AR129="n/a"</formula>
    </cfRule>
    <cfRule type="expression" dxfId="619" priority="8702">
      <formula>AR129=3</formula>
    </cfRule>
    <cfRule type="expression" dxfId="618" priority="8703">
      <formula>AR129=2</formula>
    </cfRule>
    <cfRule type="expression" dxfId="617" priority="8704">
      <formula>AR129=1</formula>
    </cfRule>
  </conditionalFormatting>
  <conditionalFormatting sqref="AS129:AT129">
    <cfRule type="expression" dxfId="616" priority="8698">
      <formula>AS129=3</formula>
    </cfRule>
    <cfRule type="expression" dxfId="615" priority="8699">
      <formula>AS129=2</formula>
    </cfRule>
    <cfRule type="expression" dxfId="614" priority="8700">
      <formula>AS129=1</formula>
    </cfRule>
    <cfRule type="expression" dxfId="613" priority="8697">
      <formula>AS129="n/a"</formula>
    </cfRule>
  </conditionalFormatting>
  <conditionalFormatting sqref="AV37:FP37">
    <cfRule type="expression" dxfId="612" priority="969">
      <formula>AV37=2</formula>
    </cfRule>
    <cfRule type="expression" dxfId="611" priority="968">
      <formula>AV37=3</formula>
    </cfRule>
    <cfRule type="expression" dxfId="610" priority="970">
      <formula>AV37=1</formula>
    </cfRule>
  </conditionalFormatting>
  <conditionalFormatting sqref="AV37:GK37">
    <cfRule type="expression" dxfId="609" priority="967">
      <formula>AV37="n/a"</formula>
    </cfRule>
  </conditionalFormatting>
  <conditionalFormatting sqref="AW119:FR119">
    <cfRule type="expression" dxfId="608" priority="763">
      <formula>AW119=3</formula>
    </cfRule>
    <cfRule type="expression" dxfId="607" priority="765">
      <formula>AW119=1</formula>
    </cfRule>
    <cfRule type="expression" dxfId="606" priority="764">
      <formula>AW119=2</formula>
    </cfRule>
  </conditionalFormatting>
  <conditionalFormatting sqref="AY201:DT201">
    <cfRule type="expression" dxfId="605" priority="14255">
      <formula>AY201=1</formula>
    </cfRule>
    <cfRule type="expression" dxfId="604" priority="14252">
      <formula>AY201="n/a"</formula>
    </cfRule>
    <cfRule type="expression" dxfId="603" priority="14253">
      <formula>AY201=3</formula>
    </cfRule>
    <cfRule type="expression" dxfId="602" priority="14254">
      <formula>AY201=2</formula>
    </cfRule>
  </conditionalFormatting>
  <conditionalFormatting sqref="BM129">
    <cfRule type="expression" dxfId="601" priority="8686">
      <formula>BM129=3</formula>
    </cfRule>
    <cfRule type="expression" dxfId="600" priority="8688">
      <formula>BM129=1</formula>
    </cfRule>
    <cfRule type="expression" dxfId="599" priority="8687">
      <formula>BM129=2</formula>
    </cfRule>
    <cfRule type="expression" dxfId="598" priority="8685">
      <formula>BM129="n/a"</formula>
    </cfRule>
  </conditionalFormatting>
  <conditionalFormatting sqref="BM129:BN129">
    <cfRule type="expression" dxfId="597" priority="8691">
      <formula>BM129=2</formula>
    </cfRule>
    <cfRule type="expression" dxfId="596" priority="8690">
      <formula>BM129=3</formula>
    </cfRule>
    <cfRule type="expression" dxfId="595" priority="8692">
      <formula>BM129=1</formula>
    </cfRule>
    <cfRule type="expression" dxfId="594" priority="8689">
      <formula>BM129="n/a"</formula>
    </cfRule>
  </conditionalFormatting>
  <conditionalFormatting sqref="BN130 BV130:CI130">
    <cfRule type="expression" dxfId="593" priority="8723">
      <formula>BN130&lt;0</formula>
    </cfRule>
  </conditionalFormatting>
  <conditionalFormatting sqref="BO129:CT129">
    <cfRule type="expression" dxfId="592" priority="8667">
      <formula>BO129=2</formula>
    </cfRule>
    <cfRule type="expression" dxfId="591" priority="8668">
      <formula>BO129=1</formula>
    </cfRule>
    <cfRule type="expression" dxfId="590" priority="8666">
      <formula>BO129=3</formula>
    </cfRule>
    <cfRule type="expression" dxfId="589" priority="8665">
      <formula>BO129="n/a"</formula>
    </cfRule>
  </conditionalFormatting>
  <conditionalFormatting sqref="BP153:EV153 FG185:FP185 FM139:FO139 FQ139">
    <cfRule type="expression" dxfId="588" priority="38410">
      <formula>BP139=3</formula>
    </cfRule>
  </conditionalFormatting>
  <conditionalFormatting sqref="BP153:EV153">
    <cfRule type="expression" dxfId="587" priority="38409">
      <formula>BP153="n/a"</formula>
    </cfRule>
  </conditionalFormatting>
  <conditionalFormatting sqref="BU129">
    <cfRule type="expression" dxfId="586" priority="8662">
      <formula>BU129=3</formula>
    </cfRule>
    <cfRule type="expression" dxfId="585" priority="8663">
      <formula>BU129=2</formula>
    </cfRule>
    <cfRule type="expression" dxfId="584" priority="8664">
      <formula>BU129=1</formula>
    </cfRule>
    <cfRule type="expression" dxfId="583" priority="8661">
      <formula>BU129="n/a"</formula>
    </cfRule>
  </conditionalFormatting>
  <conditionalFormatting sqref="BW149:EK149">
    <cfRule type="expression" dxfId="582" priority="28814">
      <formula>BW149=1</formula>
    </cfRule>
    <cfRule type="expression" dxfId="581" priority="28813">
      <formula>BW149=2</formula>
    </cfRule>
    <cfRule type="expression" dxfId="580" priority="28812">
      <formula>BW149=3</formula>
    </cfRule>
  </conditionalFormatting>
  <conditionalFormatting sqref="BY93 CA93:CI93 CK93:CP93 CR93:CV93 CX93:DX93 DZ93:EQ93 FC93:FK93 FM93:FP93">
    <cfRule type="expression" dxfId="579" priority="3172">
      <formula>BY93=1</formula>
    </cfRule>
    <cfRule type="expression" dxfId="578" priority="3170">
      <formula>BY93=3</formula>
    </cfRule>
    <cfRule type="expression" dxfId="577" priority="3171">
      <formula>BY93=2</formula>
    </cfRule>
  </conditionalFormatting>
  <conditionalFormatting sqref="BY95 CA95:CI95 CK95:CP95 CR95:CV95 DZ95:EQ95 FC95:FK95 FM95:FP95">
    <cfRule type="expression" dxfId="576" priority="3127">
      <formula>BY95=3</formula>
    </cfRule>
    <cfRule type="expression" dxfId="575" priority="3128">
      <formula>BY95=2</formula>
    </cfRule>
    <cfRule type="expression" dxfId="574" priority="3129">
      <formula>BY95=1</formula>
    </cfRule>
  </conditionalFormatting>
  <conditionalFormatting sqref="CH151 CM151:EM151">
    <cfRule type="expression" dxfId="573" priority="28365">
      <formula>CH151=1</formula>
    </cfRule>
    <cfRule type="expression" dxfId="572" priority="28363">
      <formula>CH151=3</formula>
    </cfRule>
    <cfRule type="expression" dxfId="571" priority="28364">
      <formula>CH151=2</formula>
    </cfRule>
  </conditionalFormatting>
  <conditionalFormatting sqref="CH151">
    <cfRule type="expression" dxfId="570" priority="28362">
      <formula>CH151="n/a"</formula>
    </cfRule>
  </conditionalFormatting>
  <conditionalFormatting sqref="CI149">
    <cfRule type="expression" dxfId="569" priority="5767">
      <formula>CI149=3</formula>
    </cfRule>
    <cfRule type="expression" dxfId="568" priority="5769">
      <formula>CI149=1</formula>
    </cfRule>
    <cfRule type="expression" dxfId="567" priority="5768">
      <formula>CI149=2</formula>
    </cfRule>
  </conditionalFormatting>
  <conditionalFormatting sqref="CJ149:EK149">
    <cfRule type="expression" dxfId="566" priority="28811">
      <formula>CJ149="n/a"</formula>
    </cfRule>
  </conditionalFormatting>
  <conditionalFormatting sqref="CL130:DA130">
    <cfRule type="expression" dxfId="565" priority="336">
      <formula>CL130&lt;0</formula>
    </cfRule>
  </conditionalFormatting>
  <conditionalFormatting sqref="CM83:GF83">
    <cfRule type="expression" dxfId="564" priority="858">
      <formula>CM83=3</formula>
    </cfRule>
    <cfRule type="expression" dxfId="563" priority="860">
      <formula>CM83=1</formula>
    </cfRule>
    <cfRule type="expression" dxfId="562" priority="859">
      <formula>CM83=2</formula>
    </cfRule>
  </conditionalFormatting>
  <conditionalFormatting sqref="CN215:DT215">
    <cfRule type="expression" dxfId="561" priority="17480">
      <formula>CN215="n/a"</formula>
    </cfRule>
  </conditionalFormatting>
  <conditionalFormatting sqref="CT15:CW15">
    <cfRule type="expression" dxfId="560" priority="1364">
      <formula>CT15=1</formula>
    </cfRule>
  </conditionalFormatting>
  <conditionalFormatting sqref="CT15:CX15">
    <cfRule type="expression" dxfId="559" priority="1362">
      <formula>CT15=3</formula>
    </cfRule>
    <cfRule type="expression" dxfId="558" priority="1363">
      <formula>CT15=2</formula>
    </cfRule>
  </conditionalFormatting>
  <conditionalFormatting sqref="CT15:EV15">
    <cfRule type="expression" dxfId="557" priority="1359">
      <formula>CT15="n/a"</formula>
    </cfRule>
  </conditionalFormatting>
  <conditionalFormatting sqref="CU203:DT203">
    <cfRule type="expression" dxfId="556" priority="18206">
      <formula>CU203=1</formula>
    </cfRule>
    <cfRule type="expression" dxfId="555" priority="18204">
      <formula>CU203=3</formula>
    </cfRule>
    <cfRule type="expression" dxfId="554" priority="18205">
      <formula>CU203=2</formula>
    </cfRule>
    <cfRule type="expression" dxfId="553" priority="18203">
      <formula>CU203="n/a"</formula>
    </cfRule>
  </conditionalFormatting>
  <conditionalFormatting sqref="CU153:DX153">
    <cfRule type="expression" dxfId="552" priority="14014">
      <formula>CU153=3</formula>
    </cfRule>
    <cfRule type="expression" dxfId="551" priority="14016">
      <formula>CU153=1</formula>
    </cfRule>
    <cfRule type="expression" dxfId="550" priority="14015">
      <formula>CU153=2</formula>
    </cfRule>
    <cfRule type="expression" dxfId="549" priority="14013">
      <formula>CU153="n/a"</formula>
    </cfRule>
    <cfRule type="expression" dxfId="548" priority="13932">
      <formula>CU153=1</formula>
    </cfRule>
    <cfRule type="expression" dxfId="547" priority="13931">
      <formula>CU153=2</formula>
    </cfRule>
    <cfRule type="expression" dxfId="546" priority="13930">
      <formula>CU153=3</formula>
    </cfRule>
    <cfRule type="expression" dxfId="545" priority="13929">
      <formula>CU153="n/a"</formula>
    </cfRule>
  </conditionalFormatting>
  <conditionalFormatting sqref="CU155:DX155">
    <cfRule type="expression" dxfId="544" priority="20178">
      <formula>CU155=2</formula>
    </cfRule>
    <cfRule type="expression" dxfId="543" priority="20177">
      <formula>CU155=3</formula>
    </cfRule>
    <cfRule type="expression" dxfId="542" priority="20176">
      <formula>CU155="n/a"</formula>
    </cfRule>
    <cfRule type="expression" dxfId="541" priority="20179">
      <formula>CU155=1</formula>
    </cfRule>
  </conditionalFormatting>
  <conditionalFormatting sqref="CU157:DX157">
    <cfRule type="expression" dxfId="540" priority="20119">
      <formula>CU157=1</formula>
    </cfRule>
    <cfRule type="expression" dxfId="539" priority="20118">
      <formula>CU157=2</formula>
    </cfRule>
    <cfRule type="expression" dxfId="538" priority="20116">
      <formula>CU157="n/a"</formula>
    </cfRule>
    <cfRule type="expression" dxfId="537" priority="20117">
      <formula>CU157=3</formula>
    </cfRule>
  </conditionalFormatting>
  <conditionalFormatting sqref="CU151:EM151">
    <cfRule type="expression" dxfId="536" priority="20237">
      <formula>CU151=3</formula>
    </cfRule>
    <cfRule type="expression" dxfId="535" priority="20239">
      <formula>CU151=1</formula>
    </cfRule>
    <cfRule type="expression" dxfId="534" priority="20238">
      <formula>CU151=2</formula>
    </cfRule>
    <cfRule type="expression" dxfId="533" priority="20236">
      <formula>CU151="n/a"</formula>
    </cfRule>
  </conditionalFormatting>
  <conditionalFormatting sqref="CU129:FP129">
    <cfRule type="expression" dxfId="532" priority="738">
      <formula>CU129=3</formula>
    </cfRule>
    <cfRule type="expression" dxfId="531" priority="739">
      <formula>CU129=2</formula>
    </cfRule>
    <cfRule type="expression" dxfId="530" priority="740">
      <formula>CU129=1</formula>
    </cfRule>
  </conditionalFormatting>
  <conditionalFormatting sqref="CU129:GK129">
    <cfRule type="expression" dxfId="529" priority="737">
      <formula>CU129="n/a"</formula>
    </cfRule>
  </conditionalFormatting>
  <conditionalFormatting sqref="CX185:DR185">
    <cfRule type="expression" dxfId="528" priority="18952">
      <formula>CX185=3</formula>
    </cfRule>
    <cfRule type="expression" dxfId="527" priority="18953">
      <formula>CX185=2</formula>
    </cfRule>
    <cfRule type="expression" dxfId="526" priority="18951">
      <formula>CX185="n/a"</formula>
    </cfRule>
    <cfRule type="expression" dxfId="525" priority="18954">
      <formula>CX185=1</formula>
    </cfRule>
  </conditionalFormatting>
  <conditionalFormatting sqref="CX189:DR189">
    <cfRule type="expression" dxfId="524" priority="18880">
      <formula>CX189=3</formula>
    </cfRule>
    <cfRule type="expression" dxfId="523" priority="18881">
      <formula>CX189=2</formula>
    </cfRule>
    <cfRule type="expression" dxfId="522" priority="18882">
      <formula>CX189=1</formula>
    </cfRule>
    <cfRule type="expression" dxfId="521" priority="18879">
      <formula>CX189="n/a"</formula>
    </cfRule>
  </conditionalFormatting>
  <conditionalFormatting sqref="CX201:DR201">
    <cfRule type="expression" dxfId="520" priority="14219">
      <formula>CX201=1</formula>
    </cfRule>
    <cfRule type="expression" dxfId="519" priority="14217">
      <formula>CX201=3</formula>
    </cfRule>
    <cfRule type="expression" dxfId="518" priority="14216">
      <formula>CX201="n/a"</formula>
    </cfRule>
    <cfRule type="expression" dxfId="517" priority="14218">
      <formula>CX201=2</formula>
    </cfRule>
  </conditionalFormatting>
  <conditionalFormatting sqref="CX203:DR203">
    <cfRule type="expression" dxfId="516" priority="18159">
      <formula>CX203="n/a"</formula>
    </cfRule>
    <cfRule type="expression" dxfId="515" priority="18160">
      <formula>CX203=3</formula>
    </cfRule>
    <cfRule type="expression" dxfId="514" priority="18161">
      <formula>CX203=2</formula>
    </cfRule>
    <cfRule type="expression" dxfId="513" priority="18162">
      <formula>CX203=1</formula>
    </cfRule>
  </conditionalFormatting>
  <conditionalFormatting sqref="CX207:DR207">
    <cfRule type="expression" dxfId="512" priority="17799">
      <formula>CX207=1</formula>
    </cfRule>
    <cfRule type="expression" dxfId="511" priority="17798">
      <formula>CX207=2</formula>
    </cfRule>
    <cfRule type="expression" dxfId="510" priority="17797">
      <formula>CX207=3</formula>
    </cfRule>
    <cfRule type="expression" dxfId="509" priority="17796">
      <formula>CX207="n/a"</formula>
    </cfRule>
  </conditionalFormatting>
  <conditionalFormatting sqref="CX209:DR209">
    <cfRule type="expression" dxfId="508" priority="17724">
      <formula>CX209="n/a"</formula>
    </cfRule>
    <cfRule type="expression" dxfId="507" priority="17725">
      <formula>CX209=3</formula>
    </cfRule>
    <cfRule type="expression" dxfId="506" priority="17726">
      <formula>CX209=2</formula>
    </cfRule>
    <cfRule type="expression" dxfId="505" priority="17727">
      <formula>CX209=1</formula>
    </cfRule>
  </conditionalFormatting>
  <conditionalFormatting sqref="CX215:DR215">
    <cfRule type="expression" dxfId="504" priority="17438">
      <formula>CX215=2</formula>
    </cfRule>
    <cfRule type="expression" dxfId="503" priority="17439">
      <formula>CX215=1</formula>
    </cfRule>
    <cfRule type="expression" dxfId="502" priority="17436">
      <formula>CX215="n/a"</formula>
    </cfRule>
    <cfRule type="expression" dxfId="501" priority="17437">
      <formula>CX215=3</formula>
    </cfRule>
  </conditionalFormatting>
  <conditionalFormatting sqref="CX217:DR217">
    <cfRule type="expression" dxfId="500" priority="17364">
      <formula>CX217="n/a"</formula>
    </cfRule>
    <cfRule type="expression" dxfId="499" priority="17365">
      <formula>CX217=3</formula>
    </cfRule>
    <cfRule type="expression" dxfId="498" priority="17366">
      <formula>CX217=2</formula>
    </cfRule>
    <cfRule type="expression" dxfId="497" priority="17367">
      <formula>CX217=1</formula>
    </cfRule>
  </conditionalFormatting>
  <conditionalFormatting sqref="CX159:DT159">
    <cfRule type="expression" dxfId="496" priority="19923">
      <formula>CX159=1</formula>
    </cfRule>
    <cfRule type="expression" dxfId="495" priority="19920">
      <formula>CX159="n/a"</formula>
    </cfRule>
    <cfRule type="expression" dxfId="494" priority="19921">
      <formula>CX159=3</formula>
    </cfRule>
    <cfRule type="expression" dxfId="493" priority="19922">
      <formula>CX159=2</formula>
    </cfRule>
  </conditionalFormatting>
  <conditionalFormatting sqref="CX163:DT163">
    <cfRule type="expression" dxfId="492" priority="19792">
      <formula>CX163="n/a"</formula>
    </cfRule>
    <cfRule type="expression" dxfId="491" priority="19794">
      <formula>CX163=2</formula>
    </cfRule>
    <cfRule type="expression" dxfId="490" priority="19795">
      <formula>CX163=1</formula>
    </cfRule>
    <cfRule type="expression" dxfId="489" priority="19793">
      <formula>CX163=3</formula>
    </cfRule>
  </conditionalFormatting>
  <conditionalFormatting sqref="CX165:DT165">
    <cfRule type="expression" dxfId="488" priority="19730">
      <formula>CX165=2</formula>
    </cfRule>
    <cfRule type="expression" dxfId="487" priority="19731">
      <formula>CX165=1</formula>
    </cfRule>
    <cfRule type="expression" dxfId="486" priority="19729">
      <formula>CX165=3</formula>
    </cfRule>
    <cfRule type="expression" dxfId="485" priority="19728">
      <formula>CX165="n/a"</formula>
    </cfRule>
  </conditionalFormatting>
  <conditionalFormatting sqref="CX167:DT167">
    <cfRule type="expression" dxfId="484" priority="6654">
      <formula>CX167=2</formula>
    </cfRule>
    <cfRule type="expression" dxfId="483" priority="6653">
      <formula>CX167=3</formula>
    </cfRule>
    <cfRule type="expression" dxfId="482" priority="6652">
      <formula>CX167="n/a"</formula>
    </cfRule>
    <cfRule type="expression" dxfId="481" priority="6655">
      <formula>CX167=1</formula>
    </cfRule>
  </conditionalFormatting>
  <conditionalFormatting sqref="CX169:DT169">
    <cfRule type="expression" dxfId="480" priority="6859">
      <formula>CX169="n/a"</formula>
    </cfRule>
    <cfRule type="expression" dxfId="479" priority="6862">
      <formula>CX169=1</formula>
    </cfRule>
    <cfRule type="expression" dxfId="478" priority="6861">
      <formula>CX169=2</formula>
    </cfRule>
    <cfRule type="expression" dxfId="477" priority="6860">
      <formula>CX169=3</formula>
    </cfRule>
  </conditionalFormatting>
  <conditionalFormatting sqref="CX177:DT177">
    <cfRule type="expression" dxfId="476" priority="241">
      <formula>CX177=2</formula>
    </cfRule>
    <cfRule type="expression" dxfId="475" priority="240">
      <formula>CX177=3</formula>
    </cfRule>
    <cfRule type="expression" dxfId="474" priority="239">
      <formula>CX177="n/a"</formula>
    </cfRule>
    <cfRule type="expression" dxfId="473" priority="242">
      <formula>CX177=1</formula>
    </cfRule>
  </conditionalFormatting>
  <conditionalFormatting sqref="CX95:DX95">
    <cfRule type="expression" dxfId="472" priority="155">
      <formula>CX95=1</formula>
    </cfRule>
    <cfRule type="expression" dxfId="471" priority="154">
      <formula>CX95=2</formula>
    </cfRule>
    <cfRule type="expression" dxfId="470" priority="153">
      <formula>CX95=3</formula>
    </cfRule>
  </conditionalFormatting>
  <conditionalFormatting sqref="CX15:EV15">
    <cfRule type="expression" dxfId="469" priority="9075">
      <formula>CX15=1</formula>
    </cfRule>
  </conditionalFormatting>
  <conditionalFormatting sqref="CY197:DE197 DG197:DT197">
    <cfRule type="expression" dxfId="468" priority="18779">
      <formula>CY197="n/a"</formula>
    </cfRule>
  </conditionalFormatting>
  <conditionalFormatting sqref="CY197:DR197">
    <cfRule type="expression" dxfId="467" priority="2009">
      <formula>CY197=3</formula>
    </cfRule>
    <cfRule type="expression" dxfId="466" priority="2010">
      <formula>CY197=2</formula>
    </cfRule>
    <cfRule type="expression" dxfId="465" priority="2011">
      <formula>CY197=1</formula>
    </cfRule>
  </conditionalFormatting>
  <conditionalFormatting sqref="CY173:DU173">
    <cfRule type="expression" dxfId="464" priority="13144">
      <formula>CY173=2</formula>
    </cfRule>
    <cfRule type="expression" dxfId="463" priority="13145">
      <formula>CY173=1</formula>
    </cfRule>
    <cfRule type="expression" dxfId="462" priority="13142">
      <formula>CY173="n/a"</formula>
    </cfRule>
    <cfRule type="expression" dxfId="461" priority="13143">
      <formula>CY173=3</formula>
    </cfRule>
  </conditionalFormatting>
  <conditionalFormatting sqref="CY15:DX15">
    <cfRule type="expression" dxfId="460" priority="1357">
      <formula>CY15=3</formula>
    </cfRule>
    <cfRule type="expression" dxfId="459" priority="1358">
      <formula>CY15=2</formula>
    </cfRule>
  </conditionalFormatting>
  <conditionalFormatting sqref="CY171:EV171">
    <cfRule type="expression" dxfId="458" priority="3443">
      <formula>CY171=3</formula>
    </cfRule>
    <cfRule type="expression" dxfId="457" priority="3442">
      <formula>CY171="n/a"</formula>
    </cfRule>
    <cfRule type="expression" dxfId="456" priority="3445">
      <formula>CY171=1</formula>
    </cfRule>
    <cfRule type="expression" dxfId="455" priority="3444">
      <formula>CY171=2</formula>
    </cfRule>
  </conditionalFormatting>
  <conditionalFormatting sqref="CY175:EV175">
    <cfRule type="expression" dxfId="454" priority="19460">
      <formula>CY175=1</formula>
    </cfRule>
    <cfRule type="expression" dxfId="453" priority="19459">
      <formula>CY175=2</formula>
    </cfRule>
    <cfRule type="expression" dxfId="452" priority="19458">
      <formula>CY175=3</formula>
    </cfRule>
    <cfRule type="expression" dxfId="451" priority="19457">
      <formula>CY175="n/a"</formula>
    </cfRule>
  </conditionalFormatting>
  <conditionalFormatting sqref="CZ38:DB38">
    <cfRule type="expression" dxfId="450" priority="12768">
      <formula>CZ38&lt;0</formula>
    </cfRule>
  </conditionalFormatting>
  <conditionalFormatting sqref="CZ40:DB40">
    <cfRule type="expression" dxfId="449" priority="271">
      <formula>CZ40&lt;0</formula>
    </cfRule>
  </conditionalFormatting>
  <conditionalFormatting sqref="CZ42:DB42">
    <cfRule type="expression" dxfId="448" priority="12750">
      <formula>CZ42&lt;0</formula>
    </cfRule>
  </conditionalFormatting>
  <conditionalFormatting sqref="CZ46:DB46">
    <cfRule type="expression" dxfId="447" priority="12732">
      <formula>CZ46&lt;0</formula>
    </cfRule>
  </conditionalFormatting>
  <conditionalFormatting sqref="CZ172:DB172">
    <cfRule type="expression" dxfId="446" priority="3600">
      <formula>CZ172&lt;0</formula>
    </cfRule>
  </conditionalFormatting>
  <conditionalFormatting sqref="CZ174:DB174">
    <cfRule type="expression" dxfId="445" priority="16471">
      <formula>CZ174&lt;0</formula>
    </cfRule>
  </conditionalFormatting>
  <conditionalFormatting sqref="DC130:EN130">
    <cfRule type="expression" dxfId="444" priority="2022">
      <formula>DC130&lt;0</formula>
    </cfRule>
  </conditionalFormatting>
  <conditionalFormatting sqref="DD38:DS38">
    <cfRule type="expression" dxfId="443" priority="12764">
      <formula>DD38&lt;0</formula>
    </cfRule>
  </conditionalFormatting>
  <conditionalFormatting sqref="DD40:DS40">
    <cfRule type="expression" dxfId="442" priority="270">
      <formula>DD40&lt;0</formula>
    </cfRule>
  </conditionalFormatting>
  <conditionalFormatting sqref="DD42:DS42">
    <cfRule type="expression" dxfId="441" priority="12746">
      <formula>DD42&lt;0</formula>
    </cfRule>
  </conditionalFormatting>
  <conditionalFormatting sqref="DD46:DS46">
    <cfRule type="expression" dxfId="440" priority="12728">
      <formula>DD46&lt;0</formula>
    </cfRule>
  </conditionalFormatting>
  <conditionalFormatting sqref="DD172:DS172">
    <cfRule type="expression" dxfId="439" priority="3599">
      <formula>DD172&lt;0</formula>
    </cfRule>
  </conditionalFormatting>
  <conditionalFormatting sqref="DD174:DS174">
    <cfRule type="expression" dxfId="438" priority="16467">
      <formula>DD174&lt;0</formula>
    </cfRule>
  </conditionalFormatting>
  <conditionalFormatting sqref="DP149:DX149">
    <cfRule type="expression" dxfId="437" priority="20357">
      <formula>DP149=3</formula>
    </cfRule>
    <cfRule type="expression" dxfId="436" priority="20358">
      <formula>DP149=2</formula>
    </cfRule>
    <cfRule type="expression" dxfId="435" priority="20356">
      <formula>DP149="n/a"</formula>
    </cfRule>
    <cfRule type="expression" dxfId="434" priority="20359">
      <formula>DP149=1</formula>
    </cfRule>
  </conditionalFormatting>
  <conditionalFormatting sqref="DS203:DU203">
    <cfRule type="expression" dxfId="433" priority="18218">
      <formula>DS203=3</formula>
    </cfRule>
    <cfRule type="expression" dxfId="432" priority="18220">
      <formula>DS203=1</formula>
    </cfRule>
    <cfRule type="expression" dxfId="431" priority="18219">
      <formula>DS203=2</formula>
    </cfRule>
    <cfRule type="expression" dxfId="430" priority="18217">
      <formula>DS203="n/a"</formula>
    </cfRule>
  </conditionalFormatting>
  <conditionalFormatting sqref="DS197:EE197">
    <cfRule type="expression" dxfId="429" priority="18796">
      <formula>DS197=1</formula>
    </cfRule>
    <cfRule type="expression" dxfId="428" priority="18793">
      <formula>DS197="n/a"</formula>
    </cfRule>
    <cfRule type="expression" dxfId="427" priority="18795">
      <formula>DS197=2</formula>
    </cfRule>
    <cfRule type="expression" dxfId="426" priority="18794">
      <formula>DS197=3</formula>
    </cfRule>
  </conditionalFormatting>
  <conditionalFormatting sqref="DS215:EE215">
    <cfRule type="expression" dxfId="425" priority="17497">
      <formula>DS215=1</formula>
    </cfRule>
    <cfRule type="expression" dxfId="424" priority="17495">
      <formula>DS215=3</formula>
    </cfRule>
    <cfRule type="expression" dxfId="423" priority="17494">
      <formula>DS215="n/a"</formula>
    </cfRule>
    <cfRule type="expression" dxfId="422" priority="17496">
      <formula>DS215=2</formula>
    </cfRule>
  </conditionalFormatting>
  <conditionalFormatting sqref="DS185:EV185 FG185:GK185">
    <cfRule type="expression" dxfId="421" priority="19009">
      <formula>DS185="n/a"</formula>
    </cfRule>
  </conditionalFormatting>
  <conditionalFormatting sqref="DS185:EV185">
    <cfRule type="expression" dxfId="420" priority="19012">
      <formula>DS185=1</formula>
    </cfRule>
    <cfRule type="expression" dxfId="419" priority="19011">
      <formula>DS185=2</formula>
    </cfRule>
    <cfRule type="expression" dxfId="418" priority="19010">
      <formula>DS185=3</formula>
    </cfRule>
  </conditionalFormatting>
  <conditionalFormatting sqref="DS189:EV189">
    <cfRule type="expression" dxfId="417" priority="18939">
      <formula>DS189=2</formula>
    </cfRule>
    <cfRule type="expression" dxfId="416" priority="18937">
      <formula>DS189="n/a"</formula>
    </cfRule>
    <cfRule type="expression" dxfId="415" priority="18938">
      <formula>DS189=3</formula>
    </cfRule>
    <cfRule type="expression" dxfId="414" priority="18940">
      <formula>DS189=1</formula>
    </cfRule>
  </conditionalFormatting>
  <conditionalFormatting sqref="DS201:EV201">
    <cfRule type="expression" dxfId="413" priority="14265">
      <formula>DS201=3</formula>
    </cfRule>
    <cfRule type="expression" dxfId="412" priority="14267">
      <formula>DS201=1</formula>
    </cfRule>
    <cfRule type="expression" dxfId="411" priority="14264">
      <formula>DS201="n/a"</formula>
    </cfRule>
    <cfRule type="expression" dxfId="410" priority="14266">
      <formula>DS201=2</formula>
    </cfRule>
  </conditionalFormatting>
  <conditionalFormatting sqref="DS207:EV207">
    <cfRule type="expression" dxfId="409" priority="17856">
      <formula>DS207=2</formula>
    </cfRule>
    <cfRule type="expression" dxfId="408" priority="17855">
      <formula>DS207=3</formula>
    </cfRule>
    <cfRule type="expression" dxfId="407" priority="17857">
      <formula>DS207=1</formula>
    </cfRule>
    <cfRule type="expression" dxfId="406" priority="17854">
      <formula>DS207="n/a"</formula>
    </cfRule>
  </conditionalFormatting>
  <conditionalFormatting sqref="DS209:EV209">
    <cfRule type="expression" dxfId="405" priority="17782">
      <formula>DS209="n/a"</formula>
    </cfRule>
    <cfRule type="expression" dxfId="404" priority="17783">
      <formula>DS209=3</formula>
    </cfRule>
    <cfRule type="expression" dxfId="403" priority="17784">
      <formula>DS209=2</formula>
    </cfRule>
    <cfRule type="expression" dxfId="402" priority="17785">
      <formula>DS209=1</formula>
    </cfRule>
  </conditionalFormatting>
  <conditionalFormatting sqref="DS217:EV217">
    <cfRule type="expression" dxfId="401" priority="17424">
      <formula>DS217=2</formula>
    </cfRule>
    <cfRule type="expression" dxfId="400" priority="17425">
      <formula>DS217=1</formula>
    </cfRule>
    <cfRule type="expression" dxfId="399" priority="17423">
      <formula>DS217=3</formula>
    </cfRule>
    <cfRule type="expression" dxfId="398" priority="17422">
      <formula>DS217="n/a"</formula>
    </cfRule>
  </conditionalFormatting>
  <conditionalFormatting sqref="DU38:DW38">
    <cfRule type="expression" dxfId="397" priority="12761">
      <formula>DU38&lt;0</formula>
    </cfRule>
  </conditionalFormatting>
  <conditionalFormatting sqref="DU40:DW40">
    <cfRule type="expression" dxfId="396" priority="269">
      <formula>DU40&lt;0</formula>
    </cfRule>
  </conditionalFormatting>
  <conditionalFormatting sqref="DU42:DW42">
    <cfRule type="expression" dxfId="395" priority="12743">
      <formula>DU42&lt;0</formula>
    </cfRule>
  </conditionalFormatting>
  <conditionalFormatting sqref="DU46:DW46">
    <cfRule type="expression" dxfId="394" priority="12725">
      <formula>DU46&lt;0</formula>
    </cfRule>
  </conditionalFormatting>
  <conditionalFormatting sqref="DU172:DW172">
    <cfRule type="expression" dxfId="393" priority="3598">
      <formula>DU172&lt;0</formula>
    </cfRule>
  </conditionalFormatting>
  <conditionalFormatting sqref="DU174:DW174">
    <cfRule type="expression" dxfId="392" priority="16464">
      <formula>DU174&lt;0</formula>
    </cfRule>
  </conditionalFormatting>
  <conditionalFormatting sqref="DV203">
    <cfRule type="expression" dxfId="391" priority="8726">
      <formula>DV203=2</formula>
    </cfRule>
    <cfRule type="expression" dxfId="390" priority="8727">
      <formula>DV203=1</formula>
    </cfRule>
    <cfRule type="expression" dxfId="389" priority="8724">
      <formula>DV203="n/a"</formula>
    </cfRule>
    <cfRule type="expression" dxfId="388" priority="8725">
      <formula>DV203=3</formula>
    </cfRule>
  </conditionalFormatting>
  <conditionalFormatting sqref="DV203:EV203">
    <cfRule type="expression" dxfId="387" priority="8728">
      <formula>DV203="n/a"</formula>
    </cfRule>
    <cfRule type="expression" dxfId="386" priority="8729">
      <formula>DV203=3</formula>
    </cfRule>
    <cfRule type="expression" dxfId="385" priority="8730">
      <formula>DV203=2</formula>
    </cfRule>
    <cfRule type="expression" dxfId="384" priority="8731">
      <formula>DV203=1</formula>
    </cfRule>
  </conditionalFormatting>
  <conditionalFormatting sqref="DV81:EZ81">
    <cfRule type="expression" dxfId="383" priority="865">
      <formula>DV81=1</formula>
    </cfRule>
    <cfRule type="expression" dxfId="382" priority="863">
      <formula>DV81=3</formula>
    </cfRule>
    <cfRule type="expression" dxfId="381" priority="864">
      <formula>DV81=2</formula>
    </cfRule>
  </conditionalFormatting>
  <conditionalFormatting sqref="DY15:EV15">
    <cfRule type="expression" dxfId="380" priority="9073">
      <formula>DY15=3</formula>
    </cfRule>
    <cfRule type="expression" dxfId="379" priority="9074">
      <formula>DY15=2</formula>
    </cfRule>
  </conditionalFormatting>
  <conditionalFormatting sqref="DY151:EV151">
    <cfRule type="expression" dxfId="378" priority="28319">
      <formula>DY151=3</formula>
    </cfRule>
    <cfRule type="expression" dxfId="377" priority="28320">
      <formula>DY151=2</formula>
    </cfRule>
    <cfRule type="expression" dxfId="376" priority="28321">
      <formula>DY151=1</formula>
    </cfRule>
  </conditionalFormatting>
  <conditionalFormatting sqref="DY38:FP38">
    <cfRule type="expression" dxfId="375" priority="966">
      <formula>DY38&lt;0</formula>
    </cfRule>
  </conditionalFormatting>
  <conditionalFormatting sqref="DY40:FP40">
    <cfRule type="expression" dxfId="374" priority="264">
      <formula>DY40&lt;0</formula>
    </cfRule>
  </conditionalFormatting>
  <conditionalFormatting sqref="DY42:FP42">
    <cfRule type="expression" dxfId="373" priority="956">
      <formula>DY42&lt;0</formula>
    </cfRule>
  </conditionalFormatting>
  <conditionalFormatting sqref="DY46:FP46">
    <cfRule type="expression" dxfId="372" priority="946">
      <formula>DY46&lt;0</formula>
    </cfRule>
  </conditionalFormatting>
  <conditionalFormatting sqref="DY172:FP172">
    <cfRule type="expression" dxfId="371" priority="631">
      <formula>DY172&lt;0</formula>
    </cfRule>
  </conditionalFormatting>
  <conditionalFormatting sqref="DY174:FP174">
    <cfRule type="expression" dxfId="370" priority="626">
      <formula>DY174&lt;0</formula>
    </cfRule>
  </conditionalFormatting>
  <conditionalFormatting sqref="DZ99:EQ99 FC99:FK99 FM99:FP99">
    <cfRule type="expression" dxfId="369" priority="3086">
      <formula>DZ99=1</formula>
    </cfRule>
    <cfRule type="expression" dxfId="368" priority="3085">
      <formula>DZ99=2</formula>
    </cfRule>
    <cfRule type="expression" dxfId="367" priority="3084">
      <formula>DZ99=3</formula>
    </cfRule>
  </conditionalFormatting>
  <conditionalFormatting sqref="EF197:FP197">
    <cfRule type="expression" dxfId="366" priority="565">
      <formula>EF197=1</formula>
    </cfRule>
    <cfRule type="expression" dxfId="365" priority="564">
      <formula>EF197=2</formula>
    </cfRule>
    <cfRule type="expression" dxfId="364" priority="563">
      <formula>EF197=3</formula>
    </cfRule>
  </conditionalFormatting>
  <conditionalFormatting sqref="EF215:FP215">
    <cfRule type="expression" dxfId="363" priority="508">
      <formula>EF215=3</formula>
    </cfRule>
    <cfRule type="expression" dxfId="362" priority="510">
      <formula>EF215=1</formula>
    </cfRule>
    <cfRule type="expression" dxfId="361" priority="509">
      <formula>EF215=2</formula>
    </cfRule>
  </conditionalFormatting>
  <conditionalFormatting sqref="EF197:GK197">
    <cfRule type="expression" dxfId="360" priority="562">
      <formula>EF197="n/a"</formula>
    </cfRule>
  </conditionalFormatting>
  <conditionalFormatting sqref="EF215:GK215">
    <cfRule type="expression" dxfId="359" priority="507">
      <formula>EF215="n/a"</formula>
    </cfRule>
  </conditionalFormatting>
  <conditionalFormatting sqref="EK145:EL145">
    <cfRule type="expression" dxfId="358" priority="103">
      <formula>EK145=1</formula>
    </cfRule>
    <cfRule type="expression" dxfId="357" priority="101">
      <formula>EK145=3</formula>
    </cfRule>
    <cfRule type="expression" dxfId="356" priority="102">
      <formula>EK145=2</formula>
    </cfRule>
  </conditionalFormatting>
  <conditionalFormatting sqref="EL149:FR149">
    <cfRule type="expression" dxfId="355" priority="1056">
      <formula>EL149=1</formula>
    </cfRule>
    <cfRule type="expression" dxfId="354" priority="1054">
      <formula>EL149=3</formula>
    </cfRule>
    <cfRule type="expression" dxfId="353" priority="1055">
      <formula>EL149=2</formula>
    </cfRule>
  </conditionalFormatting>
  <conditionalFormatting sqref="EL149:GK149">
    <cfRule type="expression" dxfId="352" priority="1053">
      <formula>EL149="n/a"</formula>
    </cfRule>
  </conditionalFormatting>
  <conditionalFormatting sqref="EM145 EO145:ES145 EU145">
    <cfRule type="expression" dxfId="351" priority="2720">
      <formula>EM145=2</formula>
    </cfRule>
    <cfRule type="expression" dxfId="350" priority="2719">
      <formula>EM145=3</formula>
    </cfRule>
    <cfRule type="expression" dxfId="349" priority="2721">
      <formula>EM145=1</formula>
    </cfRule>
  </conditionalFormatting>
  <conditionalFormatting sqref="EN145">
    <cfRule type="expression" dxfId="348" priority="98">
      <formula>EN145=3</formula>
    </cfRule>
    <cfRule type="expression" dxfId="347" priority="99">
      <formula>EN145=2</formula>
    </cfRule>
    <cfRule type="expression" dxfId="346" priority="100">
      <formula>EN145=1</formula>
    </cfRule>
  </conditionalFormatting>
  <conditionalFormatting sqref="EP130:FI130">
    <cfRule type="expression" dxfId="345" priority="736">
      <formula>EP130&lt;0</formula>
    </cfRule>
  </conditionalFormatting>
  <conditionalFormatting sqref="EP159:FK159">
    <cfRule type="expression" dxfId="344" priority="207">
      <formula>EP159=1</formula>
    </cfRule>
    <cfRule type="expression" dxfId="343" priority="205">
      <formula>EP159=3</formula>
    </cfRule>
    <cfRule type="expression" dxfId="342" priority="206">
      <formula>EP159=2</formula>
    </cfRule>
  </conditionalFormatting>
  <conditionalFormatting sqref="EP177:FK177">
    <cfRule type="expression" dxfId="341" priority="217">
      <formula>EP177=1</formula>
    </cfRule>
    <cfRule type="expression" dxfId="340" priority="215">
      <formula>EP177=3</formula>
    </cfRule>
    <cfRule type="expression" dxfId="339" priority="216">
      <formula>EP177=2</formula>
    </cfRule>
  </conditionalFormatting>
  <conditionalFormatting sqref="EP159:GK159">
    <cfRule type="expression" dxfId="338" priority="204">
      <formula>EP159="n/a"</formula>
    </cfRule>
  </conditionalFormatting>
  <conditionalFormatting sqref="EP177:GK177">
    <cfRule type="expression" dxfId="337" priority="214">
      <formula>EP177="n/a"</formula>
    </cfRule>
  </conditionalFormatting>
  <conditionalFormatting sqref="ES93:FA93">
    <cfRule type="expression" dxfId="336" priority="835">
      <formula>ES93=1</formula>
    </cfRule>
    <cfRule type="expression" dxfId="335" priority="834">
      <formula>ES93=2</formula>
    </cfRule>
    <cfRule type="expression" dxfId="334" priority="833">
      <formula>ES93=3</formula>
    </cfRule>
  </conditionalFormatting>
  <conditionalFormatting sqref="ES95:FA95">
    <cfRule type="expression" dxfId="333" priority="830">
      <formula>ES95=1</formula>
    </cfRule>
    <cfRule type="expression" dxfId="332" priority="829">
      <formula>ES95=2</formula>
    </cfRule>
    <cfRule type="expression" dxfId="331" priority="828">
      <formula>ES95=3</formula>
    </cfRule>
  </conditionalFormatting>
  <conditionalFormatting sqref="ES99:FA99">
    <cfRule type="expression" dxfId="330" priority="820">
      <formula>ES99=1</formula>
    </cfRule>
    <cfRule type="expression" dxfId="329" priority="819">
      <formula>ES99=2</formula>
    </cfRule>
    <cfRule type="expression" dxfId="328" priority="818">
      <formula>ES99=3</formula>
    </cfRule>
  </conditionalFormatting>
  <conditionalFormatting sqref="ET145">
    <cfRule type="expression" dxfId="327" priority="114">
      <formula>ET145=3</formula>
    </cfRule>
    <cfRule type="expression" dxfId="326" priority="115">
      <formula>ET145=2</formula>
    </cfRule>
    <cfRule type="expression" dxfId="325" priority="116">
      <formula>ET145=1</formula>
    </cfRule>
  </conditionalFormatting>
  <conditionalFormatting sqref="EV145">
    <cfRule type="expression" dxfId="324" priority="117">
      <formula>EV145=3</formula>
    </cfRule>
    <cfRule type="expression" dxfId="323" priority="119">
      <formula>EV145=1</formula>
    </cfRule>
    <cfRule type="expression" dxfId="322" priority="118">
      <formula>EV145=2</formula>
    </cfRule>
  </conditionalFormatting>
  <conditionalFormatting sqref="EW83">
    <cfRule type="expression" dxfId="321" priority="857">
      <formula>EW83="n/a"</formula>
    </cfRule>
  </conditionalFormatting>
  <conditionalFormatting sqref="EW145">
    <cfRule type="expression" dxfId="320" priority="1071">
      <formula>EW145=1</formula>
    </cfRule>
    <cfRule type="expression" dxfId="319" priority="1070">
      <formula>EW145=2</formula>
    </cfRule>
    <cfRule type="expression" dxfId="318" priority="1069">
      <formula>EW145=3</formula>
    </cfRule>
  </conditionalFormatting>
  <conditionalFormatting sqref="EW151:FC151">
    <cfRule type="expression" dxfId="317" priority="695">
      <formula>EW151=1</formula>
    </cfRule>
    <cfRule type="expression" dxfId="316" priority="694">
      <formula>EW151=2</formula>
    </cfRule>
    <cfRule type="expression" dxfId="315" priority="693">
      <formula>EW151=3</formula>
    </cfRule>
  </conditionalFormatting>
  <conditionalFormatting sqref="EW185:FE185">
    <cfRule type="expression" dxfId="314" priority="598">
      <formula>EW185=3</formula>
    </cfRule>
    <cfRule type="expression" dxfId="313" priority="597">
      <formula>EW185="n/a"</formula>
    </cfRule>
    <cfRule type="expression" dxfId="312" priority="599">
      <formula>EW185=2</formula>
    </cfRule>
    <cfRule type="expression" dxfId="311" priority="600">
      <formula>EW185=1</formula>
    </cfRule>
  </conditionalFormatting>
  <conditionalFormatting sqref="EW137:FF137">
    <cfRule type="expression" dxfId="310" priority="710">
      <formula>EW137=1</formula>
    </cfRule>
    <cfRule type="expression" dxfId="309" priority="709">
      <formula>EW137=2</formula>
    </cfRule>
    <cfRule type="expression" dxfId="308" priority="708">
      <formula>EW137=3</formula>
    </cfRule>
  </conditionalFormatting>
  <conditionalFormatting sqref="EW139:FK139">
    <cfRule type="expression" dxfId="307" priority="700">
      <formula>EW139=1</formula>
    </cfRule>
    <cfRule type="expression" dxfId="306" priority="699">
      <formula>EW139=2</formula>
    </cfRule>
    <cfRule type="expression" dxfId="305" priority="698">
      <formula>EW139=3</formula>
    </cfRule>
  </conditionalFormatting>
  <conditionalFormatting sqref="EW15:FP15">
    <cfRule type="expression" dxfId="304" priority="1025">
      <formula>EW15=1</formula>
    </cfRule>
    <cfRule type="expression" dxfId="303" priority="1023">
      <formula>EW15=3</formula>
    </cfRule>
    <cfRule type="expression" dxfId="302" priority="1024">
      <formula>EW15=2</formula>
    </cfRule>
  </conditionalFormatting>
  <conditionalFormatting sqref="EW153:FP153">
    <cfRule type="expression" dxfId="301" priority="690">
      <formula>EW153=1</formula>
    </cfRule>
    <cfRule type="expression" dxfId="300" priority="688">
      <formula>EW153=3</formula>
    </cfRule>
    <cfRule type="expression" dxfId="299" priority="689">
      <formula>EW153=2</formula>
    </cfRule>
  </conditionalFormatting>
  <conditionalFormatting sqref="EW155:FP155">
    <cfRule type="expression" dxfId="298" priority="679">
      <formula>EW155=2</formula>
    </cfRule>
    <cfRule type="expression" dxfId="297" priority="680">
      <formula>EW155=1</formula>
    </cfRule>
    <cfRule type="expression" dxfId="296" priority="678">
      <formula>EW155=3</formula>
    </cfRule>
  </conditionalFormatting>
  <conditionalFormatting sqref="EW157:FP157">
    <cfRule type="expression" dxfId="295" priority="674">
      <formula>EW157=2</formula>
    </cfRule>
    <cfRule type="expression" dxfId="294" priority="673">
      <formula>EW157=3</formula>
    </cfRule>
    <cfRule type="expression" dxfId="293" priority="675">
      <formula>EW157=1</formula>
    </cfRule>
  </conditionalFormatting>
  <conditionalFormatting sqref="EW167:FP167">
    <cfRule type="expression" dxfId="292" priority="645">
      <formula>EW167=1</formula>
    </cfRule>
    <cfRule type="expression" dxfId="291" priority="644">
      <formula>EW167=2</formula>
    </cfRule>
    <cfRule type="expression" dxfId="290" priority="643">
      <formula>EW167=3</formula>
    </cfRule>
  </conditionalFormatting>
  <conditionalFormatting sqref="EW169:FP169">
    <cfRule type="expression" dxfId="289" priority="639">
      <formula>EW169=2</formula>
    </cfRule>
    <cfRule type="expression" dxfId="288" priority="640">
      <formula>EW169=1</formula>
    </cfRule>
    <cfRule type="expression" dxfId="287" priority="638">
      <formula>EW169=3</formula>
    </cfRule>
  </conditionalFormatting>
  <conditionalFormatting sqref="EW171:FP171">
    <cfRule type="expression" dxfId="286" priority="633">
      <formula>EW171=3</formula>
    </cfRule>
    <cfRule type="expression" dxfId="285" priority="635">
      <formula>EW171=1</formula>
    </cfRule>
    <cfRule type="expression" dxfId="284" priority="634">
      <formula>EW171=2</formula>
    </cfRule>
  </conditionalFormatting>
  <conditionalFormatting sqref="EW173:FP173">
    <cfRule type="expression" dxfId="283" priority="629">
      <formula>EW173=2</formula>
    </cfRule>
    <cfRule type="expression" dxfId="282" priority="628">
      <formula>EW173=3</formula>
    </cfRule>
    <cfRule type="expression" dxfId="281" priority="630">
      <formula>EW173=1</formula>
    </cfRule>
  </conditionalFormatting>
  <conditionalFormatting sqref="EW175:FP175">
    <cfRule type="expression" dxfId="280" priority="625">
      <formula>EW175=1</formula>
    </cfRule>
    <cfRule type="expression" dxfId="279" priority="624">
      <formula>EW175=2</formula>
    </cfRule>
    <cfRule type="expression" dxfId="278" priority="623">
      <formula>EW175=3</formula>
    </cfRule>
  </conditionalFormatting>
  <conditionalFormatting sqref="EW189:FP189">
    <cfRule type="expression" dxfId="277" priority="590">
      <formula>EW189=1</formula>
    </cfRule>
    <cfRule type="expression" dxfId="276" priority="588">
      <formula>EW189=3</formula>
    </cfRule>
    <cfRule type="expression" dxfId="275" priority="589">
      <formula>EW189=2</formula>
    </cfRule>
  </conditionalFormatting>
  <conditionalFormatting sqref="EW201:FP201">
    <cfRule type="expression" dxfId="274" priority="548">
      <formula>EW201=3</formula>
    </cfRule>
    <cfRule type="expression" dxfId="273" priority="549">
      <formula>EW201=2</formula>
    </cfRule>
    <cfRule type="expression" dxfId="272" priority="550">
      <formula>EW201=1</formula>
    </cfRule>
  </conditionalFormatting>
  <conditionalFormatting sqref="EW203:FP203">
    <cfRule type="expression" dxfId="271" priority="539">
      <formula>EW203=2</formula>
    </cfRule>
    <cfRule type="expression" dxfId="270" priority="540">
      <formula>EW203=1</formula>
    </cfRule>
    <cfRule type="expression" dxfId="269" priority="538">
      <formula>EW203=3</formula>
    </cfRule>
  </conditionalFormatting>
  <conditionalFormatting sqref="EW209:FP209">
    <cfRule type="expression" dxfId="268" priority="520">
      <formula>EW209=1</formula>
    </cfRule>
    <cfRule type="expression" dxfId="267" priority="519">
      <formula>EW209=2</formula>
    </cfRule>
    <cfRule type="expression" dxfId="266" priority="518">
      <formula>EW209=3</formula>
    </cfRule>
  </conditionalFormatting>
  <conditionalFormatting sqref="EW163:FQ163">
    <cfRule type="expression" dxfId="265" priority="653">
      <formula>EW163=3</formula>
    </cfRule>
    <cfRule type="expression" dxfId="264" priority="655">
      <formula>EW163=1</formula>
    </cfRule>
    <cfRule type="expression" dxfId="263" priority="654">
      <formula>EW163=2</formula>
    </cfRule>
  </conditionalFormatting>
  <conditionalFormatting sqref="EW165:FQ165">
    <cfRule type="expression" dxfId="262" priority="650">
      <formula>EW165=1</formula>
    </cfRule>
    <cfRule type="expression" dxfId="261" priority="649">
      <formula>EW165=2</formula>
    </cfRule>
    <cfRule type="expression" dxfId="260" priority="648">
      <formula>EW165=3</formula>
    </cfRule>
  </conditionalFormatting>
  <conditionalFormatting sqref="EW217:FQ217">
    <cfRule type="expression" dxfId="259" priority="503">
      <formula>EW217=3</formula>
    </cfRule>
    <cfRule type="expression" dxfId="258" priority="504">
      <formula>EW217=2</formula>
    </cfRule>
    <cfRule type="expression" dxfId="257" priority="505">
      <formula>EW217=1</formula>
    </cfRule>
  </conditionalFormatting>
  <conditionalFormatting sqref="EW207:FR207">
    <cfRule type="expression" dxfId="256" priority="523">
      <formula>EW207=3</formula>
    </cfRule>
    <cfRule type="expression" dxfId="255" priority="525">
      <formula>EW207=1</formula>
    </cfRule>
    <cfRule type="expression" dxfId="254" priority="524">
      <formula>EW207=2</formula>
    </cfRule>
    <cfRule type="expression" dxfId="253" priority="522">
      <formula>EW207="n/a"</formula>
    </cfRule>
  </conditionalFormatting>
  <conditionalFormatting sqref="EW209:FR209">
    <cfRule type="expression" dxfId="252" priority="517">
      <formula>EW209="n/a"</formula>
    </cfRule>
  </conditionalFormatting>
  <conditionalFormatting sqref="EW157:GA157">
    <cfRule type="expression" dxfId="251" priority="672">
      <formula>EW157="n/a"</formula>
    </cfRule>
  </conditionalFormatting>
  <conditionalFormatting sqref="EW167:GB167">
    <cfRule type="expression" dxfId="250" priority="642">
      <formula>EW167="n/a"</formula>
    </cfRule>
  </conditionalFormatting>
  <conditionalFormatting sqref="EW169:GB169">
    <cfRule type="expression" dxfId="249" priority="637">
      <formula>EW169="n/a"</formula>
    </cfRule>
  </conditionalFormatting>
  <conditionalFormatting sqref="EW151:GG151">
    <cfRule type="expression" dxfId="248" priority="692">
      <formula>EW151="n/a"</formula>
    </cfRule>
  </conditionalFormatting>
  <conditionalFormatting sqref="EW15:GK15">
    <cfRule type="expression" dxfId="247" priority="1022">
      <formula>EW15="n/a"</formula>
    </cfRule>
  </conditionalFormatting>
  <conditionalFormatting sqref="EW153:GK153">
    <cfRule type="expression" dxfId="246" priority="687">
      <formula>EW153="n/a"</formula>
    </cfRule>
  </conditionalFormatting>
  <conditionalFormatting sqref="EW155:GK155">
    <cfRule type="expression" dxfId="245" priority="677">
      <formula>EW155="n/a"</formula>
    </cfRule>
  </conditionalFormatting>
  <conditionalFormatting sqref="EW163:GK163">
    <cfRule type="expression" dxfId="244" priority="652">
      <formula>EW163="n/a"</formula>
    </cfRule>
  </conditionalFormatting>
  <conditionalFormatting sqref="EW165:GK165">
    <cfRule type="expression" dxfId="243" priority="647">
      <formula>EW165="n/a"</formula>
    </cfRule>
  </conditionalFormatting>
  <conditionalFormatting sqref="EW171:GK171">
    <cfRule type="expression" dxfId="242" priority="632">
      <formula>EW171="n/a"</formula>
    </cfRule>
  </conditionalFormatting>
  <conditionalFormatting sqref="EW173:GK173">
    <cfRule type="expression" dxfId="241" priority="627">
      <formula>EW173="n/a"</formula>
    </cfRule>
  </conditionalFormatting>
  <conditionalFormatting sqref="EW175:GK175">
    <cfRule type="expression" dxfId="240" priority="622">
      <formula>EW175="n/a"</formula>
    </cfRule>
  </conditionalFormatting>
  <conditionalFormatting sqref="EW189:GK189">
    <cfRule type="expression" dxfId="239" priority="587">
      <formula>EW189="n/a"</formula>
    </cfRule>
  </conditionalFormatting>
  <conditionalFormatting sqref="EW201:GK201">
    <cfRule type="expression" dxfId="238" priority="547">
      <formula>EW201="n/a"</formula>
    </cfRule>
  </conditionalFormatting>
  <conditionalFormatting sqref="EW203:GK203">
    <cfRule type="expression" dxfId="237" priority="537">
      <formula>EW203="n/a"</formula>
    </cfRule>
  </conditionalFormatting>
  <conditionalFormatting sqref="EW217:GK217">
    <cfRule type="expression" dxfId="236" priority="502">
      <formula>EW217="n/a"</formula>
    </cfRule>
  </conditionalFormatting>
  <conditionalFormatting sqref="EX69:EZ69">
    <cfRule type="expression" dxfId="235" priority="8779">
      <formula>EX69=2</formula>
    </cfRule>
    <cfRule type="expression" dxfId="234" priority="8780">
      <formula>EX69=1</formula>
    </cfRule>
    <cfRule type="expression" dxfId="233" priority="8778">
      <formula>EX69=3</formula>
    </cfRule>
  </conditionalFormatting>
  <conditionalFormatting sqref="EX145:FA145">
    <cfRule type="expression" dxfId="232" priority="127">
      <formula>EX145=1</formula>
    </cfRule>
    <cfRule type="expression" dxfId="231" priority="125">
      <formula>EX145=3</formula>
    </cfRule>
    <cfRule type="expression" dxfId="230" priority="126">
      <formula>EX145=2</formula>
    </cfRule>
  </conditionalFormatting>
  <conditionalFormatting sqref="EX25:FP25">
    <cfRule type="expression" dxfId="229" priority="452">
      <formula>EX25=1</formula>
    </cfRule>
    <cfRule type="expression" dxfId="228" priority="450">
      <formula>EX25=3</formula>
    </cfRule>
    <cfRule type="expression" dxfId="227" priority="451">
      <formula>EX25=2</formula>
    </cfRule>
  </conditionalFormatting>
  <conditionalFormatting sqref="EX69:GK69">
    <cfRule type="expression" dxfId="226" priority="8741">
      <formula>EX69="n/a"</formula>
    </cfRule>
  </conditionalFormatting>
  <conditionalFormatting sqref="EY151:EZ151">
    <cfRule type="expression" dxfId="225" priority="28356">
      <formula>EY151=2</formula>
    </cfRule>
    <cfRule type="expression" dxfId="224" priority="28357">
      <formula>EY151=1</formula>
    </cfRule>
    <cfRule type="expression" dxfId="223" priority="28355">
      <formula>EY151=3</formula>
    </cfRule>
  </conditionalFormatting>
  <conditionalFormatting sqref="EY69:FR69">
    <cfRule type="expression" dxfId="222" priority="8750">
      <formula>EY69=2</formula>
    </cfRule>
    <cfRule type="expression" dxfId="221" priority="8751">
      <formula>EY69=1</formula>
    </cfRule>
    <cfRule type="expression" dxfId="220" priority="8749">
      <formula>EY69=3</formula>
    </cfRule>
  </conditionalFormatting>
  <conditionalFormatting sqref="FA81">
    <cfRule type="expression" dxfId="219" priority="2072">
      <formula>FA81&lt;0</formula>
    </cfRule>
  </conditionalFormatting>
  <conditionalFormatting sqref="FB69:FC69">
    <cfRule type="expression" dxfId="218" priority="2381">
      <formula>FB69=2</formula>
    </cfRule>
    <cfRule type="expression" dxfId="217" priority="2380">
      <formula>FB69=3</formula>
    </cfRule>
    <cfRule type="expression" dxfId="216" priority="2382">
      <formula>FB69=1</formula>
    </cfRule>
  </conditionalFormatting>
  <conditionalFormatting sqref="FB81:FC81 FE81:FP81">
    <cfRule type="expression" dxfId="215" priority="5964">
      <formula>FB81=3</formula>
    </cfRule>
    <cfRule type="expression" dxfId="214" priority="5966">
      <formula>FB81=1</formula>
    </cfRule>
    <cfRule type="expression" dxfId="213" priority="5965">
      <formula>FB81=2</formula>
    </cfRule>
  </conditionalFormatting>
  <conditionalFormatting sqref="FB81:FC81 FE81:GK81">
    <cfRule type="expression" dxfId="212" priority="5906">
      <formula>FB81="n/a"</formula>
    </cfRule>
  </conditionalFormatting>
  <conditionalFormatting sqref="FB145:FF145">
    <cfRule type="expression" dxfId="211" priority="2670">
      <formula>FB145=1</formula>
    </cfRule>
    <cfRule type="expression" dxfId="210" priority="2669">
      <formula>FB145=2</formula>
    </cfRule>
    <cfRule type="expression" dxfId="209" priority="2668">
      <formula>FB145=3</formula>
    </cfRule>
  </conditionalFormatting>
  <conditionalFormatting sqref="FC151:FR151">
    <cfRule type="expression" dxfId="208" priority="28300">
      <formula>FC151=2</formula>
    </cfRule>
    <cfRule type="expression" dxfId="207" priority="28299">
      <formula>FC151=3</formula>
    </cfRule>
    <cfRule type="expression" dxfId="206" priority="28301">
      <formula>FC151=1</formula>
    </cfRule>
  </conditionalFormatting>
  <conditionalFormatting sqref="FD81">
    <cfRule type="expression" dxfId="205" priority="39601">
      <formula>FD81&lt;0</formula>
    </cfRule>
  </conditionalFormatting>
  <conditionalFormatting sqref="FF185">
    <cfRule type="expression" dxfId="204" priority="2505">
      <formula>FF185&lt;0</formula>
    </cfRule>
  </conditionalFormatting>
  <conditionalFormatting sqref="FG145">
    <cfRule type="expression" dxfId="203" priority="134">
      <formula>FG145=2</formula>
    </cfRule>
    <cfRule type="expression" dxfId="202" priority="133">
      <formula>FG145=3</formula>
    </cfRule>
    <cfRule type="expression" dxfId="201" priority="135">
      <formula>FG145=1</formula>
    </cfRule>
  </conditionalFormatting>
  <conditionalFormatting sqref="FG198:FG199">
    <cfRule type="expression" dxfId="200" priority="11590">
      <formula>FG198=1</formula>
    </cfRule>
    <cfRule type="expression" dxfId="199" priority="11587">
      <formula>FG198="n/a"</formula>
    </cfRule>
    <cfRule type="expression" dxfId="198" priority="11588">
      <formula>FG198=3</formula>
    </cfRule>
    <cfRule type="expression" dxfId="197" priority="11589">
      <formula>FG198=2</formula>
    </cfRule>
  </conditionalFormatting>
  <conditionalFormatting sqref="FH132:FK132 FM132:FP132">
    <cfRule type="expression" dxfId="196" priority="29791">
      <formula>FH132&lt;0</formula>
    </cfRule>
  </conditionalFormatting>
  <conditionalFormatting sqref="FH137:FK137 FM137:FO137">
    <cfRule type="expression" dxfId="195" priority="12030">
      <formula>FH137=3</formula>
    </cfRule>
    <cfRule type="expression" dxfId="194" priority="12032">
      <formula>FH137=1</formula>
    </cfRule>
    <cfRule type="expression" dxfId="193" priority="12031">
      <formula>FH137=2</formula>
    </cfRule>
  </conditionalFormatting>
  <conditionalFormatting sqref="FH198:FK198 FM198:FP198">
    <cfRule type="expression" dxfId="192" priority="25509">
      <formula>FH198&lt;0</formula>
    </cfRule>
  </conditionalFormatting>
  <conditionalFormatting sqref="FH145:FP145 FR145">
    <cfRule type="expression" dxfId="191" priority="2661">
      <formula>FH145=1</formula>
    </cfRule>
    <cfRule type="expression" dxfId="190" priority="2660">
      <formula>FH145=2</formula>
    </cfRule>
    <cfRule type="expression" dxfId="189" priority="2659">
      <formula>FH145=3</formula>
    </cfRule>
  </conditionalFormatting>
  <conditionalFormatting sqref="FH199:FP199">
    <cfRule type="expression" dxfId="188" priority="9663">
      <formula>FH199=2</formula>
    </cfRule>
    <cfRule type="expression" dxfId="187" priority="9661">
      <formula>FH199="n/a"</formula>
    </cfRule>
    <cfRule type="expression" dxfId="186" priority="9662">
      <formula>FH199=3</formula>
    </cfRule>
    <cfRule type="expression" dxfId="185" priority="9664">
      <formula>FH199=1</formula>
    </cfRule>
  </conditionalFormatting>
  <conditionalFormatting sqref="FK130 FM130:FP130">
    <cfRule type="expression" dxfId="184" priority="8722">
      <formula>FK130&lt;0</formula>
    </cfRule>
  </conditionalFormatting>
  <conditionalFormatting sqref="FL198">
    <cfRule type="expression" dxfId="183" priority="20928">
      <formula>FL198=1</formula>
    </cfRule>
    <cfRule type="expression" dxfId="182" priority="20927">
      <formula>FL198=2</formula>
    </cfRule>
    <cfRule type="expression" dxfId="181" priority="20926">
      <formula>FL198=3</formula>
    </cfRule>
    <cfRule type="expression" dxfId="180" priority="20925">
      <formula>FL198="n/a"</formula>
    </cfRule>
  </conditionalFormatting>
  <conditionalFormatting sqref="FM139:FO139 FQ139 BP153:EV153 FG185:FP185">
    <cfRule type="expression" dxfId="179" priority="38411">
      <formula>BP139=2</formula>
    </cfRule>
    <cfRule type="expression" dxfId="178" priority="38412">
      <formula>BP139=1</formula>
    </cfRule>
  </conditionalFormatting>
  <conditionalFormatting sqref="FM159:GK159">
    <cfRule type="expression" dxfId="177" priority="27206">
      <formula>FM159=2</formula>
    </cfRule>
    <cfRule type="expression" dxfId="176" priority="27205">
      <formula>FM159=3</formula>
    </cfRule>
    <cfRule type="expression" dxfId="175" priority="27207">
      <formula>FM159=1</formula>
    </cfRule>
  </conditionalFormatting>
  <conditionalFormatting sqref="FM177:GK177">
    <cfRule type="expression" dxfId="174" priority="248">
      <formula>FM177=2</formula>
    </cfRule>
    <cfRule type="expression" dxfId="173" priority="247">
      <formula>FM177=3</formula>
    </cfRule>
    <cfRule type="expression" dxfId="172" priority="249">
      <formula>FM177=1</formula>
    </cfRule>
  </conditionalFormatting>
  <conditionalFormatting sqref="FQ80">
    <cfRule type="expression" dxfId="171" priority="1207">
      <formula>FQ80=3</formula>
    </cfRule>
    <cfRule type="expression" dxfId="170" priority="1208">
      <formula>FQ80=2</formula>
    </cfRule>
    <cfRule type="expression" dxfId="169" priority="1209">
      <formula>FQ80=1</formula>
    </cfRule>
  </conditionalFormatting>
  <conditionalFormatting sqref="FQ198:FQ199">
    <cfRule type="expression" dxfId="168" priority="12230">
      <formula>FQ198="n/a"</formula>
    </cfRule>
    <cfRule type="expression" dxfId="167" priority="12233">
      <formula>FQ198=1</formula>
    </cfRule>
    <cfRule type="expression" dxfId="166" priority="12232">
      <formula>FQ198=2</formula>
    </cfRule>
    <cfRule type="expression" dxfId="165" priority="12231">
      <formula>FQ198=3</formula>
    </cfRule>
  </conditionalFormatting>
  <conditionalFormatting sqref="FQ137:FR137">
    <cfRule type="expression" dxfId="164" priority="12028">
      <formula>FQ137=1</formula>
    </cfRule>
    <cfRule type="expression" dxfId="163" priority="12026">
      <formula>FQ137=3</formula>
    </cfRule>
    <cfRule type="expression" dxfId="162" priority="12027">
      <formula>FQ137=2</formula>
    </cfRule>
  </conditionalFormatting>
  <conditionalFormatting sqref="FQ79:FW80">
    <cfRule type="expression" dxfId="161" priority="1203">
      <formula>FQ79="n/a"</formula>
    </cfRule>
  </conditionalFormatting>
  <conditionalFormatting sqref="FR141">
    <cfRule type="expression" dxfId="160" priority="7410">
      <formula>FR141=3</formula>
    </cfRule>
    <cfRule type="expression" dxfId="159" priority="7412">
      <formula>FR141=1</formula>
    </cfRule>
    <cfRule type="expression" dxfId="158" priority="7411">
      <formula>FR141=2</formula>
    </cfRule>
  </conditionalFormatting>
  <conditionalFormatting sqref="FR143">
    <cfRule type="expression" dxfId="157" priority="12371">
      <formula>FR143=2</formula>
    </cfRule>
    <cfRule type="expression" dxfId="156" priority="12372">
      <formula>FR143=1</formula>
    </cfRule>
    <cfRule type="expression" dxfId="155" priority="12370">
      <formula>FR143=3</formula>
    </cfRule>
  </conditionalFormatting>
  <conditionalFormatting sqref="FR147">
    <cfRule type="expression" dxfId="154" priority="2578">
      <formula>FR147=1</formula>
    </cfRule>
    <cfRule type="expression" dxfId="153" priority="2577">
      <formula>FR147=2</formula>
    </cfRule>
    <cfRule type="expression" dxfId="152" priority="2576">
      <formula>FR147=3</formula>
    </cfRule>
  </conditionalFormatting>
  <conditionalFormatting sqref="FR199:GK199">
    <cfRule type="expression" dxfId="151" priority="2335">
      <formula>FR199="n/a"</formula>
    </cfRule>
  </conditionalFormatting>
  <conditionalFormatting sqref="FS207:FS209">
    <cfRule type="expression" dxfId="150" priority="21746">
      <formula>FS207="n/a"</formula>
    </cfRule>
  </conditionalFormatting>
  <conditionalFormatting sqref="FS211 FX211">
    <cfRule type="expression" dxfId="149" priority="348">
      <formula>FS211=3</formula>
    </cfRule>
    <cfRule type="expression" dxfId="148" priority="349">
      <formula>FS211=2</formula>
    </cfRule>
    <cfRule type="expression" dxfId="147" priority="350">
      <formula>FS211=1</formula>
    </cfRule>
  </conditionalFormatting>
  <conditionalFormatting sqref="FS213 FX213">
    <cfRule type="expression" dxfId="146" priority="343">
      <formula>FS213=1</formula>
    </cfRule>
    <cfRule type="expression" dxfId="145" priority="341">
      <formula>FS213=3</formula>
    </cfRule>
    <cfRule type="expression" dxfId="144" priority="342">
      <formula>FS213=2</formula>
    </cfRule>
  </conditionalFormatting>
  <conditionalFormatting sqref="FS215">
    <cfRule type="expression" dxfId="143" priority="5720">
      <formula>FS215=3</formula>
    </cfRule>
    <cfRule type="expression" dxfId="142" priority="5721">
      <formula>FS215=2</formula>
    </cfRule>
    <cfRule type="expression" dxfId="141" priority="5722">
      <formula>FS215=1</formula>
    </cfRule>
  </conditionalFormatting>
  <conditionalFormatting sqref="FS219:FW219">
    <cfRule type="expression" dxfId="140" priority="10067">
      <formula>FS219=1</formula>
    </cfRule>
    <cfRule type="expression" dxfId="139" priority="10066">
      <formula>FS219=2</formula>
    </cfRule>
    <cfRule type="expression" dxfId="138" priority="10065">
      <formula>FS219=3</formula>
    </cfRule>
  </conditionalFormatting>
  <conditionalFormatting sqref="FS221:FW221">
    <cfRule type="expression" dxfId="137" priority="10049">
      <formula>FS221=3</formula>
    </cfRule>
    <cfRule type="expression" dxfId="136" priority="10051">
      <formula>FS221=1</formula>
    </cfRule>
    <cfRule type="expression" dxfId="135" priority="10050">
      <formula>FS221=2</formula>
    </cfRule>
  </conditionalFormatting>
  <conditionalFormatting sqref="FS223:FW223">
    <cfRule type="expression" dxfId="134" priority="9817">
      <formula>FS223=3</formula>
    </cfRule>
    <cfRule type="expression" dxfId="133" priority="9818">
      <formula>FS223=2</formula>
    </cfRule>
    <cfRule type="expression" dxfId="132" priority="9819">
      <formula>FS223=1</formula>
    </cfRule>
  </conditionalFormatting>
  <conditionalFormatting sqref="FS225:FW225">
    <cfRule type="expression" dxfId="131" priority="9810">
      <formula>FS225=2</formula>
    </cfRule>
    <cfRule type="expression" dxfId="130" priority="9811">
      <formula>FS225=1</formula>
    </cfRule>
    <cfRule type="expression" dxfId="129" priority="9809">
      <formula>FS225=3</formula>
    </cfRule>
  </conditionalFormatting>
  <conditionalFormatting sqref="FS227:FW227">
    <cfRule type="expression" dxfId="128" priority="8421">
      <formula>FS227=1</formula>
    </cfRule>
    <cfRule type="expression" dxfId="127" priority="8420">
      <formula>FS227=2</formula>
    </cfRule>
    <cfRule type="expression" dxfId="126" priority="8419">
      <formula>FS227=3</formula>
    </cfRule>
  </conditionalFormatting>
  <conditionalFormatting sqref="FS229:FW229">
    <cfRule type="expression" dxfId="125" priority="7947">
      <formula>FS229=1</formula>
    </cfRule>
    <cfRule type="expression" dxfId="124" priority="7946">
      <formula>FS229=2</formula>
    </cfRule>
    <cfRule type="expression" dxfId="123" priority="7945">
      <formula>FS229=3</formula>
    </cfRule>
  </conditionalFormatting>
  <conditionalFormatting sqref="FS231:FW231">
    <cfRule type="expression" dxfId="122" priority="7789">
      <formula>FS231=1</formula>
    </cfRule>
    <cfRule type="expression" dxfId="121" priority="7787">
      <formula>FS231=3</formula>
    </cfRule>
    <cfRule type="expression" dxfId="120" priority="7788">
      <formula>FS231=2</formula>
    </cfRule>
  </conditionalFormatting>
  <conditionalFormatting sqref="FT207:FZ207 GB207:GK207">
    <cfRule type="expression" dxfId="119" priority="22860">
      <formula>FT207=3</formula>
    </cfRule>
    <cfRule type="expression" dxfId="118" priority="22861">
      <formula>FT207=2</formula>
    </cfRule>
    <cfRule type="expression" dxfId="117" priority="22859">
      <formula>FT207="n/a"</formula>
    </cfRule>
    <cfRule type="expression" dxfId="116" priority="22862">
      <formula>FT207=1</formula>
    </cfRule>
  </conditionalFormatting>
  <conditionalFormatting sqref="FT208:FZ208 GB208:GK208">
    <cfRule type="expression" dxfId="115" priority="22863">
      <formula>FT208&lt;0</formula>
    </cfRule>
  </conditionalFormatting>
  <conditionalFormatting sqref="FT209:GB209">
    <cfRule type="expression" dxfId="114" priority="21752">
      <formula>FT209="n/a"</formula>
    </cfRule>
  </conditionalFormatting>
  <conditionalFormatting sqref="FT117:GK117">
    <cfRule type="expression" dxfId="113" priority="3235">
      <formula>FT117=2</formula>
    </cfRule>
    <cfRule type="expression" dxfId="112" priority="3234">
      <formula>FT117=3</formula>
    </cfRule>
    <cfRule type="expression" dxfId="111" priority="3236">
      <formula>FT117=1</formula>
    </cfRule>
  </conditionalFormatting>
  <conditionalFormatting sqref="FT216:GK216">
    <cfRule type="expression" dxfId="110" priority="14616">
      <formula>FT216&lt;0</formula>
    </cfRule>
  </conditionalFormatting>
  <conditionalFormatting sqref="FU26">
    <cfRule type="expression" dxfId="109" priority="2200">
      <formula>FU26="n/a"</formula>
    </cfRule>
  </conditionalFormatting>
  <conditionalFormatting sqref="FU127:GB127">
    <cfRule type="expression" dxfId="108" priority="145">
      <formula>FU127=3</formula>
    </cfRule>
    <cfRule type="expression" dxfId="107" priority="147">
      <formula>FU127=1</formula>
    </cfRule>
    <cfRule type="expression" dxfId="106" priority="146">
      <formula>FU127=2</formula>
    </cfRule>
  </conditionalFormatting>
  <conditionalFormatting sqref="FU135:GK135">
    <cfRule type="expression" dxfId="105" priority="2526">
      <formula>FU135=3</formula>
    </cfRule>
    <cfRule type="expression" dxfId="104" priority="2527">
      <formula>FU135=2</formula>
    </cfRule>
    <cfRule type="expression" dxfId="103" priority="2528">
      <formula>FU135=1</formula>
    </cfRule>
  </conditionalFormatting>
  <conditionalFormatting sqref="FV26:GA26 GC26:GK26">
    <cfRule type="expression" dxfId="102" priority="43122">
      <formula>FV26&lt;0</formula>
    </cfRule>
  </conditionalFormatting>
  <conditionalFormatting sqref="FY219:GB219">
    <cfRule type="expression" dxfId="101" priority="10037">
      <formula>FY219=3</formula>
    </cfRule>
    <cfRule type="expression" dxfId="100" priority="10038">
      <formula>FY219=2</formula>
    </cfRule>
    <cfRule type="expression" dxfId="99" priority="10039">
      <formula>FY219=1</formula>
    </cfRule>
  </conditionalFormatting>
  <conditionalFormatting sqref="FY221:GB221">
    <cfRule type="expression" dxfId="98" priority="10047">
      <formula>FY221=1</formula>
    </cfRule>
    <cfRule type="expression" dxfId="97" priority="10045">
      <formula>FY221=3</formula>
    </cfRule>
    <cfRule type="expression" dxfId="96" priority="10046">
      <formula>FY221=2</formula>
    </cfRule>
  </conditionalFormatting>
  <conditionalFormatting sqref="FY223:GB223">
    <cfRule type="expression" dxfId="95" priority="9807">
      <formula>FY223=1</formula>
    </cfRule>
    <cfRule type="expression" dxfId="94" priority="9806">
      <formula>FY223=2</formula>
    </cfRule>
    <cfRule type="expression" dxfId="93" priority="9805">
      <formula>FY223=3</formula>
    </cfRule>
  </conditionalFormatting>
  <conditionalFormatting sqref="FY225:GB225">
    <cfRule type="expression" dxfId="92" priority="9803">
      <formula>FY225=1</formula>
    </cfRule>
    <cfRule type="expression" dxfId="91" priority="9802">
      <formula>FY225=2</formula>
    </cfRule>
    <cfRule type="expression" dxfId="90" priority="9801">
      <formula>FY225=3</formula>
    </cfRule>
  </conditionalFormatting>
  <conditionalFormatting sqref="FY227:GB227">
    <cfRule type="expression" dxfId="89" priority="8416">
      <formula>FY227=2</formula>
    </cfRule>
    <cfRule type="expression" dxfId="88" priority="8415">
      <formula>FY227=3</formula>
    </cfRule>
    <cfRule type="expression" dxfId="87" priority="8417">
      <formula>FY227=1</formula>
    </cfRule>
  </conditionalFormatting>
  <conditionalFormatting sqref="FY229:GB229">
    <cfRule type="expression" dxfId="86" priority="7943">
      <formula>FY229=1</formula>
    </cfRule>
    <cfRule type="expression" dxfId="85" priority="7942">
      <formula>FY229=2</formula>
    </cfRule>
    <cfRule type="expression" dxfId="84" priority="7941">
      <formula>FY229=3</formula>
    </cfRule>
  </conditionalFormatting>
  <conditionalFormatting sqref="FY231:GB231">
    <cfRule type="expression" dxfId="83" priority="7783">
      <formula>FY231=3</formula>
    </cfRule>
    <cfRule type="expression" dxfId="82" priority="7784">
      <formula>FY231=2</formula>
    </cfRule>
    <cfRule type="expression" dxfId="81" priority="7785">
      <formula>FY231=1</formula>
    </cfRule>
  </conditionalFormatting>
  <conditionalFormatting sqref="FY79:GE80">
    <cfRule type="expression" dxfId="80" priority="1205">
      <formula>FY79="n/a"</formula>
    </cfRule>
  </conditionalFormatting>
  <conditionalFormatting sqref="FY205:GK205">
    <cfRule type="expression" dxfId="79" priority="293">
      <formula>FY205="n/a"</formula>
    </cfRule>
  </conditionalFormatting>
  <conditionalFormatting sqref="GA207:GA208">
    <cfRule type="expression" dxfId="78" priority="22847">
      <formula>GA207="n/a"</formula>
    </cfRule>
  </conditionalFormatting>
  <conditionalFormatting sqref="GB25:GB26 G159:AF159">
    <cfRule type="expression" dxfId="77" priority="2389">
      <formula>G25="n/a"</formula>
    </cfRule>
  </conditionalFormatting>
  <conditionalFormatting sqref="GB121:GK121">
    <cfRule type="expression" dxfId="76" priority="201">
      <formula>GB121=3</formula>
    </cfRule>
    <cfRule type="expression" dxfId="75" priority="203">
      <formula>GB121=1</formula>
    </cfRule>
    <cfRule type="expression" dxfId="74" priority="202">
      <formula>GB121=2</formula>
    </cfRule>
  </conditionalFormatting>
  <conditionalFormatting sqref="GB123:GK123">
    <cfRule type="expression" dxfId="73" priority="195">
      <formula>GB123=1</formula>
    </cfRule>
    <cfRule type="expression" dxfId="72" priority="193">
      <formula>GB123=3</formula>
    </cfRule>
    <cfRule type="expression" dxfId="71" priority="194">
      <formula>GB123=2</formula>
    </cfRule>
  </conditionalFormatting>
  <conditionalFormatting sqref="GB125:GK125">
    <cfRule type="expression" dxfId="70" priority="2540">
      <formula>GB125=1</formula>
    </cfRule>
    <cfRule type="expression" dxfId="69" priority="2539">
      <formula>GB125=2</formula>
    </cfRule>
    <cfRule type="expression" dxfId="68" priority="2538">
      <formula>GB125=3</formula>
    </cfRule>
  </conditionalFormatting>
  <conditionalFormatting sqref="GC167:GC170">
    <cfRule type="expression" dxfId="67" priority="6705">
      <formula>GC167="n/a"</formula>
    </cfRule>
  </conditionalFormatting>
  <conditionalFormatting sqref="GC25:GK25">
    <cfRule type="expression" dxfId="66" priority="453">
      <formula>GC25="n/a"</formula>
    </cfRule>
  </conditionalFormatting>
  <conditionalFormatting sqref="GC157:GK157">
    <cfRule type="expression" dxfId="65" priority="27897">
      <formula>GC157="n/a"</formula>
    </cfRule>
  </conditionalFormatting>
  <conditionalFormatting sqref="GC161:GK161">
    <cfRule type="expression" dxfId="64" priority="26469">
      <formula>GC161="n/a"</formula>
    </cfRule>
  </conditionalFormatting>
  <conditionalFormatting sqref="GD219:GE219">
    <cfRule type="expression" dxfId="63" priority="10022">
      <formula>GD219=2</formula>
    </cfRule>
    <cfRule type="expression" dxfId="62" priority="10023">
      <formula>GD219=1</formula>
    </cfRule>
    <cfRule type="expression" dxfId="61" priority="10021">
      <formula>GD219=3</formula>
    </cfRule>
  </conditionalFormatting>
  <conditionalFormatting sqref="GD221:GE221">
    <cfRule type="expression" dxfId="60" priority="10006">
      <formula>GD221=2</formula>
    </cfRule>
    <cfRule type="expression" dxfId="59" priority="10005">
      <formula>GD221=3</formula>
    </cfRule>
    <cfRule type="expression" dxfId="58" priority="10007">
      <formula>GD221=1</formula>
    </cfRule>
  </conditionalFormatting>
  <conditionalFormatting sqref="GD223:GE223">
    <cfRule type="expression" dxfId="57" priority="9799">
      <formula>GD223=1</formula>
    </cfRule>
    <cfRule type="expression" dxfId="56" priority="9798">
      <formula>GD223=2</formula>
    </cfRule>
    <cfRule type="expression" dxfId="55" priority="9797">
      <formula>GD223=3</formula>
    </cfRule>
  </conditionalFormatting>
  <conditionalFormatting sqref="GD225:GE225">
    <cfRule type="expression" dxfId="54" priority="9793">
      <formula>GD225=3</formula>
    </cfRule>
    <cfRule type="expression" dxfId="53" priority="9795">
      <formula>GD225=1</formula>
    </cfRule>
    <cfRule type="expression" dxfId="52" priority="9794">
      <formula>GD225=2</formula>
    </cfRule>
  </conditionalFormatting>
  <conditionalFormatting sqref="GD227:GE227">
    <cfRule type="expression" dxfId="51" priority="8412">
      <formula>GD227=2</formula>
    </cfRule>
    <cfRule type="expression" dxfId="50" priority="8413">
      <formula>GD227=1</formula>
    </cfRule>
    <cfRule type="expression" dxfId="49" priority="8411">
      <formula>GD227=3</formula>
    </cfRule>
  </conditionalFormatting>
  <conditionalFormatting sqref="GD229:GE229">
    <cfRule type="expression" dxfId="48" priority="7937">
      <formula>GD229=3</formula>
    </cfRule>
    <cfRule type="expression" dxfId="47" priority="7938">
      <formula>GD229=2</formula>
    </cfRule>
    <cfRule type="expression" dxfId="46" priority="7939">
      <formula>GD229=1</formula>
    </cfRule>
  </conditionalFormatting>
  <conditionalFormatting sqref="GD231:GE231">
    <cfRule type="expression" dxfId="45" priority="7781">
      <formula>GD231=1</formula>
    </cfRule>
    <cfRule type="expression" dxfId="44" priority="7779">
      <formula>GD231=3</formula>
    </cfRule>
    <cfRule type="expression" dxfId="43" priority="7780">
      <formula>GD231=2</formula>
    </cfRule>
  </conditionalFormatting>
  <conditionalFormatting sqref="GD127:GF127">
    <cfRule type="expression" dxfId="42" priority="141">
      <formula>GD127=3</formula>
    </cfRule>
    <cfRule type="expression" dxfId="41" priority="142">
      <formula>GD127=2</formula>
    </cfRule>
    <cfRule type="expression" dxfId="40" priority="143">
      <formula>GD127=1</formula>
    </cfRule>
  </conditionalFormatting>
  <conditionalFormatting sqref="GD167:GK167">
    <cfRule type="expression" dxfId="39" priority="6803">
      <formula>GD167="n/a"</formula>
    </cfRule>
  </conditionalFormatting>
  <conditionalFormatting sqref="GD169:GK169">
    <cfRule type="expression" dxfId="38" priority="7010">
      <formula>GD169="n/a"</formula>
    </cfRule>
  </conditionalFormatting>
  <conditionalFormatting sqref="GD209:GK209">
    <cfRule type="expression" dxfId="37" priority="21863">
      <formula>GD209="n/a"</formula>
    </cfRule>
  </conditionalFormatting>
  <conditionalFormatting sqref="GF152:GK152">
    <cfRule type="expression" dxfId="36" priority="28386">
      <formula>GF152&lt;0</formula>
    </cfRule>
  </conditionalFormatting>
  <conditionalFormatting sqref="GG219:GK219">
    <cfRule type="expression" dxfId="35" priority="10019">
      <formula>GG219=1</formula>
    </cfRule>
    <cfRule type="expression" dxfId="34" priority="10018">
      <formula>GG219=2</formula>
    </cfRule>
    <cfRule type="expression" dxfId="33" priority="10017">
      <formula>GG219=3</formula>
    </cfRule>
  </conditionalFormatting>
  <conditionalFormatting sqref="GG221:GK221">
    <cfRule type="expression" dxfId="32" priority="10002">
      <formula>GG221=2</formula>
    </cfRule>
    <cfRule type="expression" dxfId="31" priority="10001">
      <formula>GG221=3</formula>
    </cfRule>
    <cfRule type="expression" dxfId="30" priority="10003">
      <formula>GG221=1</formula>
    </cfRule>
  </conditionalFormatting>
  <conditionalFormatting sqref="GG223:GK223">
    <cfRule type="expression" dxfId="29" priority="9782">
      <formula>GG223=2</formula>
    </cfRule>
    <cfRule type="expression" dxfId="28" priority="9783">
      <formula>GG223=1</formula>
    </cfRule>
    <cfRule type="expression" dxfId="27" priority="9781">
      <formula>GG223=3</formula>
    </cfRule>
  </conditionalFormatting>
  <conditionalFormatting sqref="GG225:GK225">
    <cfRule type="expression" dxfId="26" priority="9777">
      <formula>GG225=3</formula>
    </cfRule>
    <cfRule type="expression" dxfId="25" priority="9778">
      <formula>GG225=2</formula>
    </cfRule>
    <cfRule type="expression" dxfId="24" priority="9779">
      <formula>GG225=1</formula>
    </cfRule>
  </conditionalFormatting>
  <conditionalFormatting sqref="GG227:GK227">
    <cfRule type="expression" dxfId="23" priority="8403">
      <formula>GG227=3</formula>
    </cfRule>
    <cfRule type="expression" dxfId="22" priority="8404">
      <formula>GG227=2</formula>
    </cfRule>
    <cfRule type="expression" dxfId="21" priority="8405">
      <formula>GG227=1</formula>
    </cfRule>
  </conditionalFormatting>
  <conditionalFormatting sqref="GG229:GK229">
    <cfRule type="expression" dxfId="20" priority="7930">
      <formula>GG229=2</formula>
    </cfRule>
    <cfRule type="expression" dxfId="19" priority="7929">
      <formula>GG229=3</formula>
    </cfRule>
    <cfRule type="expression" dxfId="18" priority="7931">
      <formula>GG229=1</formula>
    </cfRule>
  </conditionalFormatting>
  <conditionalFormatting sqref="GG231:GK231">
    <cfRule type="expression" dxfId="17" priority="7771">
      <formula>GG231=3</formula>
    </cfRule>
    <cfRule type="expression" dxfId="16" priority="7773">
      <formula>GG231=1</formula>
    </cfRule>
    <cfRule type="expression" dxfId="15" priority="7772">
      <formula>GG231=2</formula>
    </cfRule>
  </conditionalFormatting>
  <conditionalFormatting sqref="GH79:GI80">
    <cfRule type="expression" dxfId="14" priority="1204">
      <formula>GH79="n/a"</formula>
    </cfRule>
  </conditionalFormatting>
  <conditionalFormatting sqref="GH83:GK83 G83:AM83 AV83:EV83 EX83:GF83 GC209:GC210">
    <cfRule type="expression" dxfId="13" priority="43201">
      <formula>G83="n/a"</formula>
    </cfRule>
  </conditionalFormatting>
  <conditionalFormatting sqref="GH83:GK83">
    <cfRule type="expression" dxfId="12" priority="37902">
      <formula>GH83=3</formula>
    </cfRule>
    <cfRule type="expression" dxfId="11" priority="37903">
      <formula>GH83=2</formula>
    </cfRule>
    <cfRule type="expression" dxfId="10" priority="37904">
      <formula>GH83=1</formula>
    </cfRule>
  </conditionalFormatting>
  <conditionalFormatting sqref="GH141:GK141">
    <cfRule type="expression" dxfId="9" priority="7405">
      <formula>GH141="n/a"</formula>
    </cfRule>
  </conditionalFormatting>
  <conditionalFormatting sqref="GH143:GK143">
    <cfRule type="expression" dxfId="8" priority="12355">
      <formula>GH143="n/a"</formula>
    </cfRule>
  </conditionalFormatting>
  <conditionalFormatting sqref="GH145:GK145">
    <cfRule type="expression" dxfId="7" priority="2570">
      <formula>GH145="n/a"</formula>
    </cfRule>
  </conditionalFormatting>
  <conditionalFormatting sqref="GH147:GK147">
    <cfRule type="expression" dxfId="6" priority="2569">
      <formula>GH147="n/a"</formula>
    </cfRule>
  </conditionalFormatting>
  <conditionalFormatting sqref="GI127:GJ127">
    <cfRule type="expression" dxfId="5" priority="138">
      <formula>GI127=2</formula>
    </cfRule>
    <cfRule type="expression" dxfId="4" priority="137">
      <formula>GI127=3</formula>
    </cfRule>
    <cfRule type="expression" dxfId="3" priority="139">
      <formula>GI127=1</formula>
    </cfRule>
  </conditionalFormatting>
  <conditionalFormatting sqref="GI151:GK151">
    <cfRule type="expression" dxfId="2" priority="28297">
      <formula>GI151="n/a"</formula>
    </cfRule>
  </conditionalFormatting>
  <conditionalFormatting sqref="GK79:GK80">
    <cfRule type="expression" dxfId="1" priority="1206">
      <formula>GK79="n/a"</formula>
    </cfRule>
  </conditionalFormatting>
  <conditionalFormatting sqref="GM129">
    <cfRule type="expression" dxfId="0" priority="13512">
      <formula>GM129="n/a"</formula>
    </cfRule>
  </conditionalFormatting>
  <dataValidations count="5">
    <dataValidation type="list" allowBlank="1" showInputMessage="1" showErrorMessage="1" sqref="FQ193:GK193 GK80 FR80:FW80 GH80:GI80 FQ115:GK115 FQ77:GE77 GH77 GJ77 FR103:GK103 FT135 GC209:GC210 FR53:FZ53 GB53:GK53 FQ27:GK27 FR69:GK69 FR119:GK119 GH83:GK83 GK65 AY95 BA95:BL95 CK95:CL95 FL177 CR95:CT95 CX95:DT95 DZ95:EE95 ES95:EV95 FQ191:GK191 FQ75:GE75 FT95:GA95 GE95:GK95 GH75 GJ75 M99:N99 Q99:AB99 AE99:AK99 AN99 AY99 BA99:BL99 CJ99:CL99 BX99 CQ99:CT99 CW99:DT99 DY99:EE99 ER99:EV99 EX97 FL99 FQ99 FS99:GA99 GD99:GK99 CA95:CH95 Q97:AA97 FY19:GK19 FS19:FW19 FQ19 GH55:GJ55 FT55:GF55 FQ55:FR55 GH65:GI65 FQ65:GF65 GD97:GK97 CW97:DT97 CS97:CU97 BA97:BL97 AH97:AK97 AD97:AF97 GI133 BZ99:CH99 FQ29:GK29 FS11:FW11 FQ11 GA9:GK9 FY11:GK11 FU9:FY9 FQ187:GK187 M95:N95 Q95:AB95 AE95:AK95 FQ81:FW81 FQ167:GK167 GC168 FQ169:GK169 GJ141 FQ231:GK231 FQ229:GK229 FQ227:GK227 FR61:GJ61 FS97:GA97 FG137 FL137 FL139 FL159 FG139 FP139 FP137 FQ133:FS133 FQ189:GK189 FR151:GK151 FR195:GK195 FR179:GK179 FR139:GK139 FR85:GK85 FQ173:GK173 FW129 GC129:GK129 FR129 BZ97:CL97 DX97:EE97 EX95 FC97 FQ153:GK153 M97:N97 FY80:GE81 FM15 FO15 FQ223:GK223 FR219:GK219 FQ97 GC170 FR91:GK91 FR101:GK101 FU133:GF133 FR111:GK111 FR57:GJ57 FP83:GF83 FQ113:GK113 FQ49:GK49 FQ47:GK47 FQ45:GK45 FQ43:GK43 FQ41:GK41 FQ37:GK37 FQ35:GK35 FQ33:GK33 FQ31:GK31 FQ23:GK23 FQ9:FS9 FR183:GK183 FQ21:GK21 FQ13:GK13 FR199:GK199 FR63:GJ63 FR149:GJ149 FQ131:GK131 FR137:GK137 GJ143 FQ155:GK155 FQ157:GA157 FQ161:GK161 FR163:GK163 FR165:GK165 GC157:GK157 FQ225:GK225 FQ175:GK175 FR217:GK217 FQ17:GK17 FQ197:GK197 FR181:GK181 FQ203:GK203 FQ51:GK51 GA207:GA208 FR89:GK89 FQ185:GK185 AN95 FS207:FS208 GD209:GK209 FQ209:GB209 FR221:GK221 FQ15:GK15 FC95 ER97:EV97 FB99:FC99 EX99 GB26 FQ25:GK25 FU26 FT211:FW211 FQ211:FR211 FY211:GK211 FT213:FW213 FQ213:FR213 FY213:GK213 FR59:GJ59 FQ205:GK205 FQ39:GK39 FR71:GK71 FQ127:GK127" xr:uid="{00000000-0002-0000-0200-000001000000}">
      <formula1>$FO$4:$FO$5</formula1>
    </dataValidation>
    <dataValidation type="list" allowBlank="1" showInputMessage="1" showErrorMessage="1" sqref="GB207:GK207 FT207:FZ207 FL201:FP201 FQ198 FL198 FG198 FP19 G191:FP191 G215:GK215 G75:FP75 G151:FQ151 CQ137:DX137 G185:FE185 G203:FP203 G207:FR207 G147:GJ147 G71:EZ71 EW177 G163:FQ163 G161:FP161 FQ139 EW133 FL195:FQ195 G135:FS135 G49:FP49 G45:FP45 AN133:AO133 EP85:EX85 G21:FP21 G9:FP9 AY19:EX19 G23:FP23 G29:FP29 G27:FP27 G31:FP31 G33:FP33 G35:FP35 G37:FP37 AX85:BN85 G43:FP43 G41:FP41 G109:GK109 G111:FQ111 EW195 G189:FP189 EW99 CW133:EE133 G87:GK87 G103:FQ103 CV129:EX129 G57:FQ57 G155:FP155 EW183 CU183:DX183 CI199:EZ199 CX201:DT201 G219:FQ219 EP169:EX169 G221:FQ221 FU135:GK135 FP15 FN15 I153:K153 U153:AA153 AC153:AU153 M133:N133 AW153 EP137:EX137 G115:FP115 FB137:FC137 FB69:FC69 AM181:AS181 AM183:AS183 AZ129:BL129 BX129:CH129 CJ129:CL129 CQ129:CT129 BO129:BT129 AO173:AP173 FP173 EW173 FD175:FP175 G149:BS149 CU143:EE143 EP69:EX69 FP85:FQ85 FQ137 FQ179 FQ181 FL183:FQ183 BV195 M69:N69 AM195:AS195 M85:N85 Q85:AA85 AG85:AL85 G107:GK107 CJ83:CM83 FB119:FQ119 BV85:CH85 CJ85:CL85 CJ137:CM137 L137 AX137:BM137 BV137:CH137 BN199:BU199 FL69:FQ69 CM183:CP183 CN195:CQ195 CG195:CJ195 CQ85:DX85 EP83:EX83 CQ69:DX69 G199:P199 AU199:AV199 FL19:FN19 GG55 FS55 G139:FF139 M19:N19 G55:FP55 GG65 G47:FP47 G217:FQ217 G223:FP223 Q69:BM69 BV69:CM69 AL199 G67:GK67 G117:GK117 G197:FP197 FB71:FQ71 FB199:FQ199 BV181:BX181 BV183 FM139:FO139 FH139:FK139 FM159:GK159 G79:GK79 G91:FQ91 Q19:AB19 AI19:AK19 AM19:AN19 AR19 G187:FP187 G17:FP17 FB19:FC19 FF19 Q61:AU61 M61:N61 AX61:BM61 BP61:BT61 BV61:CH61 CJ61:CM61 CQ61:EE61 EL61 FB61:FC61 FG61 FL61 FP61:FQ61 G119:EZ119 G157:FP157 G127:FP127 FJ129 FL129 G225:FP225 G227:FP227 G229:FP229 M83:N83 Q83:AA83 AG83:AL83 FC133 AX83:BN83 BV83:CH83 CQ83:DX83 EQ81:EY81 FC85 FC83 FG185:FP185 CU141:EE141 FC169 M169:N169 Q169:R169 U169:AA169 AI169:AK169 AN169 AR169:AT169 BA169:BL169 BV169:CH169 CJ169:CL169 CQ169:CT169 CV169:EN169 EP167:EX167 FC167 M167:N167 Q167:R167 U167:AA167 AI167:AK167 AN167 AR167:AT167 BA167:BL167 BV167:CH167 CJ167:CL167 CQ167:CT167 CV167:EN167 G165:FQ165 AL194:AL195 AI133:AK133 CQ133:CT133 AR133 AT133 AY133:BL133 CL133 BW133:CH133 AY81:BN81 G51:FP51 M81:N81 Q81:AA81 AC81 AF81:AK81 AM81:AT81 AW81 BW81:CA81 CC81:CI81 CQ81:CU81 CW81:DY81 FB81:FD81 Q133:R133 U133:AA133 CI141 GJ65 Q137:AU137 GK55 AY153:FP153 G53:FP53 G11:FP11 CK81:CN81 BU149:EK149 G105:GK105 G13:FP13 G101:FQ101 G73:GK73 G113:FP113 FQ80 G77:FP77 G65:FP65 EW61 G145:GJ145 EM149:FQ149 DV99:DX99 G63:FQ63 EW141 EW143 G89:FQ89 EW95 EW97 G125:GK125 G131:FP131 G171:GK171 G175:FB175 EW179 EW181 G193:FP193 EW201 G209:FP209 G231:FP231 G25:FP25 EW211 EW213 G59:FQ59 G205:FP205 G39:FP39 FM177:GK177 G177:EO177 EY177:FK177 G159:EO159 EY159:FK159 EW159 G121:GK121 G123:GK123 GD95 FS95 FQ95 FL95 FB95 ER95 DV95:DY95 CW95 CQ95 CJ95 BZ95 BX95 G93:GK93 G15:FL15" xr:uid="{00000000-0002-0000-0200-000002000000}">
      <formula1>$A$3:$A$6</formula1>
    </dataValidation>
    <dataValidation type="list" allowBlank="1" showInputMessage="1" showErrorMessage="1" sqref="B169 B171:B232 B9:B167" xr:uid="{00000000-0002-0000-0200-000004000000}">
      <formula1>rng_Stanow</formula1>
    </dataValidation>
    <dataValidation type="list" allowBlank="1" showInputMessage="1" showErrorMessage="1" sqref="A9:A232" xr:uid="{00000000-0002-0000-0200-000003000000}">
      <formula1>rng_Dzial</formula1>
    </dataValidation>
    <dataValidation type="list" allowBlank="1" showInputMessage="1" showErrorMessage="1" sqref="C9:C232" xr:uid="{00000000-0002-0000-0200-000005000000}">
      <formula1>rng_Vorges</formula1>
    </dataValidation>
  </dataValidations>
  <pageMargins left="0.23622047244094491" right="0.23622047244094491" top="0.74803149606299213" bottom="0.74803149606299213" header="0.31496062992125984" footer="0.31496062992125984"/>
  <pageSetup paperSize="9" fitToWidth="0" orientation="landscape" r:id="rId1"/>
  <headerFooter>
    <oddFooter xml:space="preserve">&amp;L&amp;12Name: CL70 7.2  004a Matrix minimalnych kompetencji - nieprodukcyjni_V2     Issued/data: 2024/05/27 Release/zwolnił: M.Dudek    Plant: MRG   Dept./dział: HR    Lang./język: pl/en   Classification: Internal&amp;C&amp;P / &amp;N&amp;RPrint Date: &amp;D - &amp;T 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4" r:id="rId4" name="Button 12">
              <controlPr defaultSize="0" print="0" autoFill="0" autoPict="0" macro="[0]!merged_cells">
                <anchor moveWithCells="1" sizeWithCells="1">
                  <from>
                    <xdr:col>0</xdr:col>
                    <xdr:colOff>142875</xdr:colOff>
                    <xdr:row>7</xdr:row>
                    <xdr:rowOff>180975</xdr:rowOff>
                  </from>
                  <to>
                    <xdr:col>1</xdr:col>
                    <xdr:colOff>1362075</xdr:colOff>
                    <xdr:row>7</xdr:row>
                    <xdr:rowOff>523875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C91857-AAD6-4DF8-ACEA-8F6E8390A8BC}">
          <x14:formula1>
            <xm:f>Pracownicy!$B$3:$B$117</xm:f>
          </x14:formula1>
          <xm:sqref>E227:E232</xm:sqref>
        </x14:dataValidation>
        <x14:dataValidation type="list" allowBlank="1" showInputMessage="1" showErrorMessage="1" xr:uid="{00000000-0002-0000-0200-000007000000}">
          <x14:formula1>
            <xm:f>Pracownicy!$B$5:$B$1048576</xm:f>
          </x14:formula1>
          <xm:sqref>E17:E19 E215:E226 E93:E109 E175:E179 E69 E145 E149:E153 E183 E139:E140 E185 E189 E169 E91 E135 E87:E89 E85 E171:E172 E147 E197:E200 E213 E111 E127:E129 E131:E133 E155:E167 E211 E233:E1048576 E9:E15 E75:E83 E191:E195 E203:E209 E21:E53 E55:E61 E63:E67 E71:E73 E113:E121 E125 E123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E13"/>
  <sheetViews>
    <sheetView topLeftCell="A9" workbookViewId="0">
      <selection activeCell="C13" sqref="C13"/>
    </sheetView>
  </sheetViews>
  <sheetFormatPr defaultColWidth="9.42578125" defaultRowHeight="15" x14ac:dyDescent="0.25"/>
  <cols>
    <col min="2" max="2" width="24.42578125" bestFit="1" customWidth="1"/>
    <col min="3" max="3" width="26.5703125" customWidth="1"/>
    <col min="4" max="4" width="37.5703125" customWidth="1"/>
    <col min="5" max="5" width="37.42578125" bestFit="1" customWidth="1"/>
  </cols>
  <sheetData>
    <row r="1" spans="1:5" ht="29.85" customHeight="1" x14ac:dyDescent="0.25">
      <c r="A1" s="631" t="s">
        <v>554</v>
      </c>
      <c r="B1" s="632"/>
      <c r="C1" s="627" t="s">
        <v>555</v>
      </c>
      <c r="D1" s="627"/>
      <c r="E1" s="628"/>
    </row>
    <row r="2" spans="1:5" ht="23.1" customHeight="1" thickBot="1" x14ac:dyDescent="0.3">
      <c r="A2" s="633"/>
      <c r="B2" s="634"/>
      <c r="C2" s="629"/>
      <c r="D2" s="629"/>
      <c r="E2" s="630"/>
    </row>
    <row r="3" spans="1:5" ht="15.75" thickBot="1" x14ac:dyDescent="0.3"/>
    <row r="4" spans="1:5" ht="27" customHeight="1" x14ac:dyDescent="0.25">
      <c r="A4" s="635" t="s">
        <v>534</v>
      </c>
      <c r="B4" s="636"/>
      <c r="C4" s="637" t="s">
        <v>535</v>
      </c>
      <c r="D4" s="637"/>
      <c r="E4" s="638"/>
    </row>
    <row r="5" spans="1:5" ht="32.85" customHeight="1" thickBot="1" x14ac:dyDescent="0.3">
      <c r="A5" s="639" t="s">
        <v>536</v>
      </c>
      <c r="B5" s="640"/>
      <c r="C5" s="641" t="s">
        <v>556</v>
      </c>
      <c r="D5" s="641"/>
      <c r="E5" s="642"/>
    </row>
    <row r="6" spans="1:5" x14ac:dyDescent="0.25">
      <c r="C6" s="19"/>
      <c r="D6" s="19"/>
      <c r="E6" s="19"/>
    </row>
    <row r="7" spans="1:5" ht="15.75" thickBot="1" x14ac:dyDescent="0.3">
      <c r="C7" s="19"/>
      <c r="D7" s="19"/>
      <c r="E7" s="19"/>
    </row>
    <row r="8" spans="1:5" x14ac:dyDescent="0.25">
      <c r="A8" s="621" t="s">
        <v>537</v>
      </c>
      <c r="B8" s="622"/>
      <c r="C8" s="622" t="s">
        <v>538</v>
      </c>
      <c r="D8" s="625" t="s">
        <v>539</v>
      </c>
      <c r="E8" s="626"/>
    </row>
    <row r="9" spans="1:5" ht="15.75" thickBot="1" x14ac:dyDescent="0.3">
      <c r="A9" s="623"/>
      <c r="B9" s="624"/>
      <c r="C9" s="624"/>
      <c r="D9" s="93" t="s">
        <v>540</v>
      </c>
      <c r="E9" s="94" t="s">
        <v>541</v>
      </c>
    </row>
    <row r="10" spans="1:5" ht="63.75" x14ac:dyDescent="0.25">
      <c r="A10" s="89" t="s">
        <v>542</v>
      </c>
      <c r="B10" s="90" t="s">
        <v>176</v>
      </c>
      <c r="C10" s="76" t="s">
        <v>374</v>
      </c>
      <c r="D10" s="91" t="s">
        <v>543</v>
      </c>
      <c r="E10" s="92" t="s">
        <v>544</v>
      </c>
    </row>
    <row r="11" spans="1:5" ht="165" x14ac:dyDescent="0.25">
      <c r="A11" s="80" t="s">
        <v>542</v>
      </c>
      <c r="B11" s="86">
        <v>1</v>
      </c>
      <c r="C11" s="78" t="s">
        <v>7</v>
      </c>
      <c r="D11" s="77" t="s">
        <v>545</v>
      </c>
      <c r="E11" s="81" t="s">
        <v>546</v>
      </c>
    </row>
    <row r="12" spans="1:5" ht="144" customHeight="1" x14ac:dyDescent="0.25">
      <c r="A12" s="80" t="s">
        <v>542</v>
      </c>
      <c r="B12" s="87">
        <v>2</v>
      </c>
      <c r="C12" s="79" t="s">
        <v>8</v>
      </c>
      <c r="D12" s="77" t="s">
        <v>547</v>
      </c>
      <c r="E12" s="81" t="s">
        <v>548</v>
      </c>
    </row>
    <row r="13" spans="1:5" ht="195.75" thickBot="1" x14ac:dyDescent="0.3">
      <c r="A13" s="82" t="s">
        <v>542</v>
      </c>
      <c r="B13" s="88">
        <v>3</v>
      </c>
      <c r="C13" s="83" t="s">
        <v>10</v>
      </c>
      <c r="D13" s="84" t="s">
        <v>549</v>
      </c>
      <c r="E13" s="85" t="s">
        <v>550</v>
      </c>
    </row>
  </sheetData>
  <sheetProtection algorithmName="SHA-512" hashValue="2xOaIXekW2CsOa1oOGoNtxNHTv5kE4ylxkSLa0M+DfCPGNAWaGw6auAAnNnXbycN8Yv00LC8rDkT4JtK6sm0fA==" saltValue="+DiPXoN3hZsVwl9KQgdJpA==" spinCount="100000" sheet="1" objects="1" scenarios="1"/>
  <mergeCells count="9">
    <mergeCell ref="A8:B9"/>
    <mergeCell ref="C8:C9"/>
    <mergeCell ref="D8:E8"/>
    <mergeCell ref="C1:E2"/>
    <mergeCell ref="A1:B2"/>
    <mergeCell ref="A4:B4"/>
    <mergeCell ref="C4:E4"/>
    <mergeCell ref="A5:B5"/>
    <mergeCell ref="C5:E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0"/>
  <sheetViews>
    <sheetView topLeftCell="A94" workbookViewId="0">
      <selection activeCell="F113" sqref="F113"/>
    </sheetView>
  </sheetViews>
  <sheetFormatPr defaultColWidth="31.42578125" defaultRowHeight="12" x14ac:dyDescent="0.2"/>
  <cols>
    <col min="1" max="1" width="3.5703125" style="74" bestFit="1" customWidth="1"/>
    <col min="2" max="2" width="31.42578125" style="75" bestFit="1" customWidth="1"/>
    <col min="3" max="3" width="32.42578125" style="74" bestFit="1" customWidth="1"/>
    <col min="4" max="16384" width="31.42578125" style="67"/>
  </cols>
  <sheetData>
    <row r="1" spans="1:7" x14ac:dyDescent="0.2">
      <c r="A1" s="65" t="s">
        <v>392</v>
      </c>
      <c r="B1" s="66" t="s">
        <v>393</v>
      </c>
      <c r="C1" s="66" t="s">
        <v>394</v>
      </c>
      <c r="E1" s="95">
        <v>1</v>
      </c>
      <c r="F1" s="95">
        <v>2</v>
      </c>
      <c r="G1" s="95">
        <v>3</v>
      </c>
    </row>
    <row r="2" spans="1:7" x14ac:dyDescent="0.2">
      <c r="A2" s="65" t="s">
        <v>395</v>
      </c>
      <c r="B2" s="68" t="s">
        <v>14</v>
      </c>
      <c r="C2" s="69" t="s">
        <v>31</v>
      </c>
    </row>
    <row r="3" spans="1:7" x14ac:dyDescent="0.2">
      <c r="A3" s="65" t="s">
        <v>396</v>
      </c>
      <c r="B3" s="68" t="s">
        <v>14</v>
      </c>
      <c r="C3" s="69" t="s">
        <v>32</v>
      </c>
    </row>
    <row r="4" spans="1:7" ht="24" x14ac:dyDescent="0.2">
      <c r="A4" s="65" t="s">
        <v>397</v>
      </c>
      <c r="B4" s="68" t="s">
        <v>14</v>
      </c>
      <c r="C4" s="70" t="s">
        <v>372</v>
      </c>
    </row>
    <row r="5" spans="1:7" ht="24" x14ac:dyDescent="0.2">
      <c r="A5" s="65" t="s">
        <v>398</v>
      </c>
      <c r="B5" s="68" t="s">
        <v>14</v>
      </c>
      <c r="C5" s="70" t="s">
        <v>286</v>
      </c>
    </row>
    <row r="6" spans="1:7" x14ac:dyDescent="0.2">
      <c r="A6" s="65" t="s">
        <v>399</v>
      </c>
      <c r="B6" s="68" t="s">
        <v>14</v>
      </c>
      <c r="C6" s="70" t="s">
        <v>287</v>
      </c>
    </row>
    <row r="7" spans="1:7" ht="24" x14ac:dyDescent="0.2">
      <c r="A7" s="65" t="s">
        <v>400</v>
      </c>
      <c r="B7" s="68" t="s">
        <v>15</v>
      </c>
      <c r="C7" s="69" t="s">
        <v>33</v>
      </c>
    </row>
    <row r="8" spans="1:7" ht="24" x14ac:dyDescent="0.2">
      <c r="A8" s="65" t="s">
        <v>401</v>
      </c>
      <c r="B8" s="68" t="s">
        <v>15</v>
      </c>
      <c r="C8" s="69" t="s">
        <v>34</v>
      </c>
    </row>
    <row r="9" spans="1:7" ht="24" x14ac:dyDescent="0.2">
      <c r="A9" s="65" t="s">
        <v>402</v>
      </c>
      <c r="B9" s="68" t="s">
        <v>15</v>
      </c>
      <c r="C9" s="69" t="s">
        <v>35</v>
      </c>
    </row>
    <row r="10" spans="1:7" x14ac:dyDescent="0.2">
      <c r="A10" s="65" t="s">
        <v>403</v>
      </c>
      <c r="B10" s="68" t="s">
        <v>15</v>
      </c>
      <c r="C10" s="69" t="s">
        <v>36</v>
      </c>
    </row>
    <row r="11" spans="1:7" ht="24" x14ac:dyDescent="0.2">
      <c r="A11" s="65" t="s">
        <v>404</v>
      </c>
      <c r="B11" s="68" t="s">
        <v>15</v>
      </c>
      <c r="C11" s="69" t="s">
        <v>37</v>
      </c>
    </row>
    <row r="12" spans="1:7" ht="24" x14ac:dyDescent="0.2">
      <c r="A12" s="65" t="s">
        <v>405</v>
      </c>
      <c r="B12" s="68" t="s">
        <v>15</v>
      </c>
      <c r="C12" s="69" t="s">
        <v>38</v>
      </c>
    </row>
    <row r="13" spans="1:7" ht="24" x14ac:dyDescent="0.2">
      <c r="A13" s="65" t="s">
        <v>406</v>
      </c>
      <c r="B13" s="68" t="s">
        <v>15</v>
      </c>
      <c r="C13" s="69" t="s">
        <v>39</v>
      </c>
    </row>
    <row r="14" spans="1:7" ht="24" x14ac:dyDescent="0.2">
      <c r="A14" s="65" t="s">
        <v>407</v>
      </c>
      <c r="B14" s="68" t="s">
        <v>15</v>
      </c>
      <c r="C14" s="69" t="s">
        <v>40</v>
      </c>
    </row>
    <row r="15" spans="1:7" ht="24" x14ac:dyDescent="0.2">
      <c r="A15" s="65" t="s">
        <v>408</v>
      </c>
      <c r="B15" s="68" t="s">
        <v>15</v>
      </c>
      <c r="C15" s="70" t="s">
        <v>285</v>
      </c>
    </row>
    <row r="16" spans="1:7" x14ac:dyDescent="0.2">
      <c r="A16" s="65" t="s">
        <v>409</v>
      </c>
      <c r="B16" s="68" t="s">
        <v>16</v>
      </c>
      <c r="C16" s="69" t="s">
        <v>41</v>
      </c>
    </row>
    <row r="17" spans="1:3" ht="24" x14ac:dyDescent="0.2">
      <c r="A17" s="65" t="s">
        <v>410</v>
      </c>
      <c r="B17" s="68" t="s">
        <v>16</v>
      </c>
      <c r="C17" s="69" t="s">
        <v>275</v>
      </c>
    </row>
    <row r="18" spans="1:3" x14ac:dyDescent="0.2">
      <c r="A18" s="65" t="s">
        <v>411</v>
      </c>
      <c r="B18" s="68" t="s">
        <v>16</v>
      </c>
      <c r="C18" s="69" t="s">
        <v>42</v>
      </c>
    </row>
    <row r="19" spans="1:3" ht="36" x14ac:dyDescent="0.2">
      <c r="A19" s="65" t="s">
        <v>412</v>
      </c>
      <c r="B19" s="68" t="s">
        <v>16</v>
      </c>
      <c r="C19" s="69" t="s">
        <v>43</v>
      </c>
    </row>
    <row r="20" spans="1:3" ht="24" x14ac:dyDescent="0.2">
      <c r="A20" s="65" t="s">
        <v>413</v>
      </c>
      <c r="B20" s="68" t="s">
        <v>16</v>
      </c>
      <c r="C20" s="69" t="s">
        <v>44</v>
      </c>
    </row>
    <row r="21" spans="1:3" ht="24" x14ac:dyDescent="0.2">
      <c r="A21" s="65" t="s">
        <v>414</v>
      </c>
      <c r="B21" s="68" t="s">
        <v>16</v>
      </c>
      <c r="C21" s="69" t="s">
        <v>45</v>
      </c>
    </row>
    <row r="22" spans="1:3" x14ac:dyDescent="0.2">
      <c r="A22" s="65" t="s">
        <v>415</v>
      </c>
      <c r="B22" s="68" t="s">
        <v>17</v>
      </c>
      <c r="C22" s="69" t="s">
        <v>46</v>
      </c>
    </row>
    <row r="23" spans="1:3" x14ac:dyDescent="0.2">
      <c r="A23" s="65" t="s">
        <v>416</v>
      </c>
      <c r="B23" s="68" t="s">
        <v>17</v>
      </c>
      <c r="C23" s="69" t="s">
        <v>47</v>
      </c>
    </row>
    <row r="24" spans="1:3" x14ac:dyDescent="0.2">
      <c r="A24" s="65" t="s">
        <v>417</v>
      </c>
      <c r="B24" s="68" t="s">
        <v>17</v>
      </c>
      <c r="C24" s="69" t="s">
        <v>48</v>
      </c>
    </row>
    <row r="25" spans="1:3" x14ac:dyDescent="0.2">
      <c r="A25" s="65" t="s">
        <v>418</v>
      </c>
      <c r="B25" s="68" t="s">
        <v>17</v>
      </c>
      <c r="C25" s="69" t="s">
        <v>49</v>
      </c>
    </row>
    <row r="26" spans="1:3" x14ac:dyDescent="0.2">
      <c r="A26" s="65" t="s">
        <v>419</v>
      </c>
      <c r="B26" s="68" t="s">
        <v>17</v>
      </c>
      <c r="C26" s="69" t="s">
        <v>50</v>
      </c>
    </row>
    <row r="27" spans="1:3" x14ac:dyDescent="0.2">
      <c r="A27" s="65" t="s">
        <v>420</v>
      </c>
      <c r="B27" s="68" t="s">
        <v>17</v>
      </c>
      <c r="C27" s="69" t="s">
        <v>51</v>
      </c>
    </row>
    <row r="28" spans="1:3" x14ac:dyDescent="0.2">
      <c r="A28" s="65" t="s">
        <v>421</v>
      </c>
      <c r="B28" s="68" t="s">
        <v>17</v>
      </c>
      <c r="C28" s="69" t="s">
        <v>52</v>
      </c>
    </row>
    <row r="29" spans="1:3" x14ac:dyDescent="0.2">
      <c r="A29" s="65" t="s">
        <v>422</v>
      </c>
      <c r="B29" s="68" t="s">
        <v>17</v>
      </c>
      <c r="C29" s="69" t="s">
        <v>53</v>
      </c>
    </row>
    <row r="30" spans="1:3" x14ac:dyDescent="0.2">
      <c r="A30" s="65" t="s">
        <v>423</v>
      </c>
      <c r="B30" s="68" t="s">
        <v>17</v>
      </c>
      <c r="C30" s="69" t="s">
        <v>54</v>
      </c>
    </row>
    <row r="31" spans="1:3" ht="24" x14ac:dyDescent="0.2">
      <c r="A31" s="65" t="s">
        <v>424</v>
      </c>
      <c r="B31" s="68" t="s">
        <v>17</v>
      </c>
      <c r="C31" s="69" t="s">
        <v>55</v>
      </c>
    </row>
    <row r="32" spans="1:3" ht="48" x14ac:dyDescent="0.2">
      <c r="A32" s="65" t="s">
        <v>425</v>
      </c>
      <c r="B32" s="68" t="s">
        <v>17</v>
      </c>
      <c r="C32" s="69" t="s">
        <v>56</v>
      </c>
    </row>
    <row r="33" spans="1:3" x14ac:dyDescent="0.2">
      <c r="A33" s="65" t="s">
        <v>426</v>
      </c>
      <c r="B33" s="68" t="s">
        <v>17</v>
      </c>
      <c r="C33" s="69" t="s">
        <v>57</v>
      </c>
    </row>
    <row r="34" spans="1:3" ht="24" x14ac:dyDescent="0.2">
      <c r="A34" s="65" t="s">
        <v>427</v>
      </c>
      <c r="B34" s="68" t="s">
        <v>276</v>
      </c>
      <c r="C34" s="69" t="s">
        <v>376</v>
      </c>
    </row>
    <row r="35" spans="1:3" x14ac:dyDescent="0.2">
      <c r="A35" s="65" t="s">
        <v>428</v>
      </c>
      <c r="B35" s="68" t="s">
        <v>276</v>
      </c>
      <c r="C35" s="69" t="s">
        <v>59</v>
      </c>
    </row>
    <row r="36" spans="1:3" x14ac:dyDescent="0.2">
      <c r="A36" s="65" t="s">
        <v>429</v>
      </c>
      <c r="B36" s="68" t="s">
        <v>276</v>
      </c>
      <c r="C36" s="69" t="s">
        <v>61</v>
      </c>
    </row>
    <row r="37" spans="1:3" x14ac:dyDescent="0.2">
      <c r="A37" s="65" t="s">
        <v>430</v>
      </c>
      <c r="B37" s="68" t="s">
        <v>276</v>
      </c>
      <c r="C37" s="69" t="s">
        <v>62</v>
      </c>
    </row>
    <row r="38" spans="1:3" x14ac:dyDescent="0.2">
      <c r="A38" s="65" t="s">
        <v>431</v>
      </c>
      <c r="B38" s="68" t="s">
        <v>276</v>
      </c>
      <c r="C38" s="69" t="s">
        <v>63</v>
      </c>
    </row>
    <row r="39" spans="1:3" x14ac:dyDescent="0.2">
      <c r="A39" s="65" t="s">
        <v>432</v>
      </c>
      <c r="B39" s="68" t="s">
        <v>276</v>
      </c>
      <c r="C39" s="69" t="s">
        <v>66</v>
      </c>
    </row>
    <row r="40" spans="1:3" x14ac:dyDescent="0.2">
      <c r="A40" s="65" t="s">
        <v>433</v>
      </c>
      <c r="B40" s="68" t="s">
        <v>276</v>
      </c>
      <c r="C40" s="69" t="s">
        <v>67</v>
      </c>
    </row>
    <row r="41" spans="1:3" x14ac:dyDescent="0.2">
      <c r="A41" s="65" t="s">
        <v>434</v>
      </c>
      <c r="B41" s="68" t="s">
        <v>276</v>
      </c>
      <c r="C41" s="69" t="s">
        <v>68</v>
      </c>
    </row>
    <row r="42" spans="1:3" x14ac:dyDescent="0.2">
      <c r="A42" s="65" t="s">
        <v>435</v>
      </c>
      <c r="B42" s="68" t="s">
        <v>276</v>
      </c>
      <c r="C42" s="69" t="s">
        <v>69</v>
      </c>
    </row>
    <row r="43" spans="1:3" x14ac:dyDescent="0.2">
      <c r="A43" s="65" t="s">
        <v>436</v>
      </c>
      <c r="B43" s="68" t="s">
        <v>18</v>
      </c>
      <c r="C43" s="69" t="s">
        <v>70</v>
      </c>
    </row>
    <row r="44" spans="1:3" x14ac:dyDescent="0.2">
      <c r="A44" s="65" t="s">
        <v>437</v>
      </c>
      <c r="B44" s="68" t="s">
        <v>18</v>
      </c>
      <c r="C44" s="69" t="s">
        <v>71</v>
      </c>
    </row>
    <row r="45" spans="1:3" x14ac:dyDescent="0.2">
      <c r="A45" s="65" t="s">
        <v>438</v>
      </c>
      <c r="B45" s="68" t="s">
        <v>18</v>
      </c>
      <c r="C45" s="69" t="s">
        <v>72</v>
      </c>
    </row>
    <row r="46" spans="1:3" x14ac:dyDescent="0.2">
      <c r="A46" s="65" t="s">
        <v>439</v>
      </c>
      <c r="B46" s="68" t="s">
        <v>18</v>
      </c>
      <c r="C46" s="69" t="s">
        <v>73</v>
      </c>
    </row>
    <row r="47" spans="1:3" x14ac:dyDescent="0.2">
      <c r="A47" s="65" t="s">
        <v>440</v>
      </c>
      <c r="B47" s="68" t="s">
        <v>19</v>
      </c>
      <c r="C47" s="69" t="s">
        <v>74</v>
      </c>
    </row>
    <row r="48" spans="1:3" ht="24" x14ac:dyDescent="0.2">
      <c r="A48" s="65" t="s">
        <v>441</v>
      </c>
      <c r="B48" s="68" t="s">
        <v>19</v>
      </c>
      <c r="C48" s="69" t="s">
        <v>75</v>
      </c>
    </row>
    <row r="49" spans="1:3" ht="24" x14ac:dyDescent="0.2">
      <c r="A49" s="65" t="s">
        <v>442</v>
      </c>
      <c r="B49" s="68" t="s">
        <v>19</v>
      </c>
      <c r="C49" s="69" t="s">
        <v>76</v>
      </c>
    </row>
    <row r="50" spans="1:3" ht="24" x14ac:dyDescent="0.2">
      <c r="A50" s="65" t="s">
        <v>443</v>
      </c>
      <c r="B50" s="68" t="s">
        <v>19</v>
      </c>
      <c r="C50" s="69" t="s">
        <v>77</v>
      </c>
    </row>
    <row r="51" spans="1:3" ht="24" x14ac:dyDescent="0.2">
      <c r="A51" s="65" t="s">
        <v>444</v>
      </c>
      <c r="B51" s="68" t="s">
        <v>19</v>
      </c>
      <c r="C51" s="69" t="s">
        <v>78</v>
      </c>
    </row>
    <row r="52" spans="1:3" ht="24" x14ac:dyDescent="0.2">
      <c r="A52" s="65" t="s">
        <v>445</v>
      </c>
      <c r="B52" s="68" t="s">
        <v>19</v>
      </c>
      <c r="C52" s="69" t="s">
        <v>79</v>
      </c>
    </row>
    <row r="53" spans="1:3" x14ac:dyDescent="0.2">
      <c r="A53" s="65" t="s">
        <v>446</v>
      </c>
      <c r="B53" s="68" t="s">
        <v>20</v>
      </c>
      <c r="C53" s="70" t="s">
        <v>389</v>
      </c>
    </row>
    <row r="54" spans="1:3" ht="24" x14ac:dyDescent="0.2">
      <c r="A54" s="65" t="s">
        <v>447</v>
      </c>
      <c r="B54" s="68" t="s">
        <v>20</v>
      </c>
      <c r="C54" s="69" t="s">
        <v>81</v>
      </c>
    </row>
    <row r="55" spans="1:3" ht="24" x14ac:dyDescent="0.2">
      <c r="A55" s="65" t="s">
        <v>448</v>
      </c>
      <c r="B55" s="68" t="s">
        <v>20</v>
      </c>
      <c r="C55" s="69" t="s">
        <v>82</v>
      </c>
    </row>
    <row r="56" spans="1:3" ht="24" x14ac:dyDescent="0.2">
      <c r="A56" s="65" t="s">
        <v>449</v>
      </c>
      <c r="B56" s="68" t="s">
        <v>20</v>
      </c>
      <c r="C56" s="69" t="s">
        <v>83</v>
      </c>
    </row>
    <row r="57" spans="1:3" ht="24" x14ac:dyDescent="0.2">
      <c r="A57" s="65" t="s">
        <v>450</v>
      </c>
      <c r="B57" s="68" t="s">
        <v>20</v>
      </c>
      <c r="C57" s="69" t="s">
        <v>84</v>
      </c>
    </row>
    <row r="58" spans="1:3" ht="24" x14ac:dyDescent="0.2">
      <c r="A58" s="65" t="s">
        <v>451</v>
      </c>
      <c r="B58" s="68" t="s">
        <v>20</v>
      </c>
      <c r="C58" s="69" t="s">
        <v>85</v>
      </c>
    </row>
    <row r="59" spans="1:3" ht="24" x14ac:dyDescent="0.2">
      <c r="A59" s="65" t="s">
        <v>452</v>
      </c>
      <c r="B59" s="68" t="s">
        <v>20</v>
      </c>
      <c r="C59" s="69" t="s">
        <v>86</v>
      </c>
    </row>
    <row r="60" spans="1:3" ht="24" x14ac:dyDescent="0.2">
      <c r="A60" s="65" t="s">
        <v>453</v>
      </c>
      <c r="B60" s="68" t="s">
        <v>20</v>
      </c>
      <c r="C60" s="69" t="s">
        <v>87</v>
      </c>
    </row>
    <row r="61" spans="1:3" ht="24" x14ac:dyDescent="0.2">
      <c r="A61" s="65" t="s">
        <v>454</v>
      </c>
      <c r="B61" s="68" t="s">
        <v>20</v>
      </c>
      <c r="C61" s="69" t="s">
        <v>88</v>
      </c>
    </row>
    <row r="62" spans="1:3" ht="24" x14ac:dyDescent="0.2">
      <c r="A62" s="65" t="s">
        <v>455</v>
      </c>
      <c r="B62" s="68" t="s">
        <v>20</v>
      </c>
      <c r="C62" s="70" t="s">
        <v>375</v>
      </c>
    </row>
    <row r="63" spans="1:3" ht="36" x14ac:dyDescent="0.2">
      <c r="A63" s="65" t="s">
        <v>456</v>
      </c>
      <c r="B63" s="68" t="s">
        <v>21</v>
      </c>
      <c r="C63" s="69" t="s">
        <v>89</v>
      </c>
    </row>
    <row r="64" spans="1:3" x14ac:dyDescent="0.2">
      <c r="A64" s="65" t="s">
        <v>457</v>
      </c>
      <c r="B64" s="68" t="s">
        <v>21</v>
      </c>
      <c r="C64" s="69" t="s">
        <v>91</v>
      </c>
    </row>
    <row r="65" spans="1:3" ht="36" x14ac:dyDescent="0.2">
      <c r="A65" s="65" t="s">
        <v>458</v>
      </c>
      <c r="B65" s="68" t="s">
        <v>21</v>
      </c>
      <c r="C65" s="69" t="s">
        <v>92</v>
      </c>
    </row>
    <row r="66" spans="1:3" ht="24" x14ac:dyDescent="0.2">
      <c r="A66" s="65" t="s">
        <v>459</v>
      </c>
      <c r="B66" s="68" t="s">
        <v>21</v>
      </c>
      <c r="C66" s="69" t="s">
        <v>373</v>
      </c>
    </row>
    <row r="67" spans="1:3" ht="24" x14ac:dyDescent="0.2">
      <c r="A67" s="65" t="s">
        <v>460</v>
      </c>
      <c r="B67" s="68" t="s">
        <v>21</v>
      </c>
      <c r="C67" s="69" t="s">
        <v>94</v>
      </c>
    </row>
    <row r="68" spans="1:3" x14ac:dyDescent="0.2">
      <c r="A68" s="65" t="s">
        <v>461</v>
      </c>
      <c r="B68" s="68" t="s">
        <v>21</v>
      </c>
      <c r="C68" s="69" t="s">
        <v>95</v>
      </c>
    </row>
    <row r="69" spans="1:3" x14ac:dyDescent="0.2">
      <c r="A69" s="65" t="s">
        <v>462</v>
      </c>
      <c r="B69" s="68" t="s">
        <v>21</v>
      </c>
      <c r="C69" s="69" t="s">
        <v>96</v>
      </c>
    </row>
    <row r="70" spans="1:3" x14ac:dyDescent="0.2">
      <c r="A70" s="65" t="s">
        <v>463</v>
      </c>
      <c r="B70" s="68" t="s">
        <v>21</v>
      </c>
      <c r="C70" s="69" t="s">
        <v>97</v>
      </c>
    </row>
    <row r="71" spans="1:3" x14ac:dyDescent="0.2">
      <c r="A71" s="65" t="s">
        <v>464</v>
      </c>
      <c r="B71" s="68" t="s">
        <v>21</v>
      </c>
      <c r="C71" s="69" t="s">
        <v>98</v>
      </c>
    </row>
    <row r="72" spans="1:3" x14ac:dyDescent="0.2">
      <c r="A72" s="65" t="s">
        <v>465</v>
      </c>
      <c r="B72" s="68" t="s">
        <v>21</v>
      </c>
      <c r="C72" s="69" t="s">
        <v>99</v>
      </c>
    </row>
    <row r="73" spans="1:3" x14ac:dyDescent="0.2">
      <c r="A73" s="65" t="s">
        <v>466</v>
      </c>
      <c r="B73" s="68" t="s">
        <v>21</v>
      </c>
      <c r="C73" s="69" t="s">
        <v>100</v>
      </c>
    </row>
    <row r="74" spans="1:3" x14ac:dyDescent="0.2">
      <c r="A74" s="65" t="s">
        <v>467</v>
      </c>
      <c r="B74" s="68" t="s">
        <v>21</v>
      </c>
      <c r="C74" s="69" t="s">
        <v>101</v>
      </c>
    </row>
    <row r="75" spans="1:3" x14ac:dyDescent="0.2">
      <c r="A75" s="65" t="s">
        <v>468</v>
      </c>
      <c r="B75" s="68" t="s">
        <v>22</v>
      </c>
      <c r="C75" s="69" t="s">
        <v>102</v>
      </c>
    </row>
    <row r="76" spans="1:3" x14ac:dyDescent="0.2">
      <c r="A76" s="65" t="s">
        <v>469</v>
      </c>
      <c r="B76" s="68" t="s">
        <v>22</v>
      </c>
      <c r="C76" s="69" t="s">
        <v>103</v>
      </c>
    </row>
    <row r="77" spans="1:3" ht="24" x14ac:dyDescent="0.2">
      <c r="A77" s="65" t="s">
        <v>470</v>
      </c>
      <c r="B77" s="68" t="s">
        <v>22</v>
      </c>
      <c r="C77" s="69" t="s">
        <v>104</v>
      </c>
    </row>
    <row r="78" spans="1:3" ht="24" x14ac:dyDescent="0.2">
      <c r="A78" s="65" t="s">
        <v>471</v>
      </c>
      <c r="B78" s="68" t="s">
        <v>22</v>
      </c>
      <c r="C78" s="69" t="s">
        <v>105</v>
      </c>
    </row>
    <row r="79" spans="1:3" x14ac:dyDescent="0.2">
      <c r="A79" s="65" t="s">
        <v>472</v>
      </c>
      <c r="B79" s="68" t="s">
        <v>23</v>
      </c>
      <c r="C79" s="69" t="s">
        <v>106</v>
      </c>
    </row>
    <row r="80" spans="1:3" ht="24" x14ac:dyDescent="0.2">
      <c r="A80" s="65" t="s">
        <v>473</v>
      </c>
      <c r="B80" s="68" t="s">
        <v>23</v>
      </c>
      <c r="C80" s="69" t="s">
        <v>107</v>
      </c>
    </row>
    <row r="81" spans="1:3" x14ac:dyDescent="0.2">
      <c r="A81" s="65" t="s">
        <v>474</v>
      </c>
      <c r="B81" s="68" t="s">
        <v>23</v>
      </c>
      <c r="C81" s="69" t="s">
        <v>108</v>
      </c>
    </row>
    <row r="82" spans="1:3" x14ac:dyDescent="0.2">
      <c r="A82" s="65" t="s">
        <v>475</v>
      </c>
      <c r="B82" s="68" t="s">
        <v>23</v>
      </c>
      <c r="C82" s="69" t="s">
        <v>110</v>
      </c>
    </row>
    <row r="83" spans="1:3" x14ac:dyDescent="0.2">
      <c r="A83" s="65" t="s">
        <v>476</v>
      </c>
      <c r="B83" s="68" t="s">
        <v>23</v>
      </c>
      <c r="C83" s="69" t="s">
        <v>111</v>
      </c>
    </row>
    <row r="84" spans="1:3" x14ac:dyDescent="0.2">
      <c r="A84" s="65" t="s">
        <v>477</v>
      </c>
      <c r="B84" s="68" t="s">
        <v>23</v>
      </c>
      <c r="C84" s="69" t="s">
        <v>112</v>
      </c>
    </row>
    <row r="85" spans="1:3" ht="24" x14ac:dyDescent="0.2">
      <c r="A85" s="65" t="s">
        <v>478</v>
      </c>
      <c r="B85" s="68" t="s">
        <v>23</v>
      </c>
      <c r="C85" s="70" t="s">
        <v>289</v>
      </c>
    </row>
    <row r="86" spans="1:3" x14ac:dyDescent="0.2">
      <c r="A86" s="65" t="s">
        <v>479</v>
      </c>
      <c r="B86" s="68" t="s">
        <v>24</v>
      </c>
      <c r="C86" s="69" t="s">
        <v>114</v>
      </c>
    </row>
    <row r="87" spans="1:3" x14ac:dyDescent="0.2">
      <c r="A87" s="65" t="s">
        <v>480</v>
      </c>
      <c r="B87" s="68" t="s">
        <v>24</v>
      </c>
      <c r="C87" s="69" t="s">
        <v>115</v>
      </c>
    </row>
    <row r="88" spans="1:3" x14ac:dyDescent="0.2">
      <c r="A88" s="65" t="s">
        <v>481</v>
      </c>
      <c r="B88" s="68" t="s">
        <v>24</v>
      </c>
      <c r="C88" s="69" t="s">
        <v>116</v>
      </c>
    </row>
    <row r="89" spans="1:3" x14ac:dyDescent="0.2">
      <c r="A89" s="65" t="s">
        <v>482</v>
      </c>
      <c r="B89" s="68" t="s">
        <v>24</v>
      </c>
      <c r="C89" s="69" t="s">
        <v>117</v>
      </c>
    </row>
    <row r="90" spans="1:3" x14ac:dyDescent="0.2">
      <c r="A90" s="65" t="s">
        <v>483</v>
      </c>
      <c r="B90" s="68" t="s">
        <v>24</v>
      </c>
      <c r="C90" s="69" t="s">
        <v>118</v>
      </c>
    </row>
    <row r="91" spans="1:3" x14ac:dyDescent="0.2">
      <c r="A91" s="65" t="s">
        <v>484</v>
      </c>
      <c r="B91" s="68" t="s">
        <v>24</v>
      </c>
      <c r="C91" s="69" t="s">
        <v>119</v>
      </c>
    </row>
    <row r="92" spans="1:3" x14ac:dyDescent="0.2">
      <c r="A92" s="65" t="s">
        <v>485</v>
      </c>
      <c r="B92" s="68" t="s">
        <v>24</v>
      </c>
      <c r="C92" s="69" t="s">
        <v>120</v>
      </c>
    </row>
    <row r="93" spans="1:3" x14ac:dyDescent="0.2">
      <c r="A93" s="65" t="s">
        <v>486</v>
      </c>
      <c r="B93" s="68" t="s">
        <v>24</v>
      </c>
      <c r="C93" s="69" t="s">
        <v>121</v>
      </c>
    </row>
    <row r="94" spans="1:3" x14ac:dyDescent="0.2">
      <c r="A94" s="65" t="s">
        <v>487</v>
      </c>
      <c r="B94" s="68" t="s">
        <v>24</v>
      </c>
      <c r="C94" s="69" t="s">
        <v>122</v>
      </c>
    </row>
    <row r="95" spans="1:3" ht="24" x14ac:dyDescent="0.2">
      <c r="A95" s="65" t="s">
        <v>488</v>
      </c>
      <c r="B95" s="68" t="s">
        <v>24</v>
      </c>
      <c r="C95" s="71" t="s">
        <v>291</v>
      </c>
    </row>
    <row r="96" spans="1:3" ht="24" x14ac:dyDescent="0.2">
      <c r="A96" s="65" t="s">
        <v>489</v>
      </c>
      <c r="B96" s="68" t="s">
        <v>24</v>
      </c>
      <c r="C96" s="71" t="s">
        <v>292</v>
      </c>
    </row>
    <row r="97" spans="1:3" ht="24" x14ac:dyDescent="0.2">
      <c r="A97" s="65" t="s">
        <v>490</v>
      </c>
      <c r="B97" s="68" t="s">
        <v>24</v>
      </c>
      <c r="C97" s="69" t="s">
        <v>123</v>
      </c>
    </row>
    <row r="98" spans="1:3" x14ac:dyDescent="0.2">
      <c r="A98" s="65" t="s">
        <v>491</v>
      </c>
      <c r="B98" s="72" t="s">
        <v>25</v>
      </c>
      <c r="C98" s="70" t="s">
        <v>315</v>
      </c>
    </row>
    <row r="99" spans="1:3" x14ac:dyDescent="0.2">
      <c r="A99" s="65" t="s">
        <v>492</v>
      </c>
      <c r="B99" s="72" t="s">
        <v>25</v>
      </c>
      <c r="C99" s="70" t="s">
        <v>316</v>
      </c>
    </row>
    <row r="100" spans="1:3" x14ac:dyDescent="0.2">
      <c r="A100" s="65" t="s">
        <v>493</v>
      </c>
      <c r="B100" s="72" t="s">
        <v>25</v>
      </c>
      <c r="C100" s="70" t="s">
        <v>317</v>
      </c>
    </row>
    <row r="101" spans="1:3" ht="24" x14ac:dyDescent="0.2">
      <c r="A101" s="65" t="s">
        <v>494</v>
      </c>
      <c r="B101" s="72" t="s">
        <v>25</v>
      </c>
      <c r="C101" s="70" t="s">
        <v>318</v>
      </c>
    </row>
    <row r="102" spans="1:3" ht="24" x14ac:dyDescent="0.2">
      <c r="A102" s="65" t="s">
        <v>495</v>
      </c>
      <c r="B102" s="72" t="s">
        <v>25</v>
      </c>
      <c r="C102" s="70" t="s">
        <v>319</v>
      </c>
    </row>
    <row r="103" spans="1:3" ht="24" x14ac:dyDescent="0.2">
      <c r="A103" s="65" t="s">
        <v>496</v>
      </c>
      <c r="B103" s="72" t="s">
        <v>25</v>
      </c>
      <c r="C103" s="70" t="s">
        <v>320</v>
      </c>
    </row>
    <row r="104" spans="1:3" ht="24" x14ac:dyDescent="0.2">
      <c r="A104" s="65" t="s">
        <v>497</v>
      </c>
      <c r="B104" s="72" t="s">
        <v>25</v>
      </c>
      <c r="C104" s="70" t="s">
        <v>321</v>
      </c>
    </row>
    <row r="105" spans="1:3" ht="24" x14ac:dyDescent="0.2">
      <c r="A105" s="65" t="s">
        <v>498</v>
      </c>
      <c r="B105" s="72" t="s">
        <v>25</v>
      </c>
      <c r="C105" s="70" t="s">
        <v>342</v>
      </c>
    </row>
    <row r="106" spans="1:3" ht="24" x14ac:dyDescent="0.2">
      <c r="A106" s="65" t="s">
        <v>499</v>
      </c>
      <c r="B106" s="72" t="s">
        <v>25</v>
      </c>
      <c r="C106" s="70" t="s">
        <v>323</v>
      </c>
    </row>
    <row r="107" spans="1:3" ht="24" x14ac:dyDescent="0.2">
      <c r="A107" s="65" t="s">
        <v>500</v>
      </c>
      <c r="B107" s="72" t="s">
        <v>25</v>
      </c>
      <c r="C107" s="70" t="s">
        <v>324</v>
      </c>
    </row>
    <row r="108" spans="1:3" ht="24" x14ac:dyDescent="0.2">
      <c r="A108" s="65" t="s">
        <v>501</v>
      </c>
      <c r="B108" s="72" t="s">
        <v>25</v>
      </c>
      <c r="C108" s="70" t="s">
        <v>325</v>
      </c>
    </row>
    <row r="109" spans="1:3" ht="24" x14ac:dyDescent="0.2">
      <c r="A109" s="65" t="s">
        <v>502</v>
      </c>
      <c r="B109" s="72" t="s">
        <v>25</v>
      </c>
      <c r="C109" s="70" t="s">
        <v>326</v>
      </c>
    </row>
    <row r="110" spans="1:3" ht="24" x14ac:dyDescent="0.2">
      <c r="A110" s="65" t="s">
        <v>503</v>
      </c>
      <c r="B110" s="72" t="s">
        <v>25</v>
      </c>
      <c r="C110" s="70" t="s">
        <v>327</v>
      </c>
    </row>
    <row r="111" spans="1:3" ht="24" x14ac:dyDescent="0.2">
      <c r="A111" s="65" t="s">
        <v>504</v>
      </c>
      <c r="B111" s="72" t="s">
        <v>25</v>
      </c>
      <c r="C111" s="70" t="s">
        <v>328</v>
      </c>
    </row>
    <row r="112" spans="1:3" ht="24" x14ac:dyDescent="0.2">
      <c r="A112" s="65" t="s">
        <v>505</v>
      </c>
      <c r="B112" s="72" t="s">
        <v>25</v>
      </c>
      <c r="C112" s="70" t="s">
        <v>329</v>
      </c>
    </row>
    <row r="113" spans="1:3" ht="24" x14ac:dyDescent="0.2">
      <c r="A113" s="65" t="s">
        <v>506</v>
      </c>
      <c r="B113" s="72" t="s">
        <v>25</v>
      </c>
      <c r="C113" s="70" t="s">
        <v>330</v>
      </c>
    </row>
    <row r="114" spans="1:3" ht="24" x14ac:dyDescent="0.2">
      <c r="A114" s="65" t="s">
        <v>507</v>
      </c>
      <c r="B114" s="72" t="s">
        <v>25</v>
      </c>
      <c r="C114" s="70" t="s">
        <v>331</v>
      </c>
    </row>
    <row r="115" spans="1:3" ht="24" x14ac:dyDescent="0.2">
      <c r="A115" s="65" t="s">
        <v>508</v>
      </c>
      <c r="B115" s="68" t="s">
        <v>313</v>
      </c>
      <c r="C115" s="70" t="s">
        <v>334</v>
      </c>
    </row>
    <row r="116" spans="1:3" ht="24" x14ac:dyDescent="0.2">
      <c r="A116" s="65" t="s">
        <v>509</v>
      </c>
      <c r="B116" s="68" t="s">
        <v>313</v>
      </c>
      <c r="C116" s="70" t="s">
        <v>335</v>
      </c>
    </row>
    <row r="117" spans="1:3" ht="24" x14ac:dyDescent="0.2">
      <c r="A117" s="65" t="s">
        <v>510</v>
      </c>
      <c r="B117" s="68" t="s">
        <v>313</v>
      </c>
      <c r="C117" s="70" t="s">
        <v>336</v>
      </c>
    </row>
    <row r="118" spans="1:3" ht="24" x14ac:dyDescent="0.2">
      <c r="A118" s="65" t="s">
        <v>511</v>
      </c>
      <c r="B118" s="68" t="s">
        <v>313</v>
      </c>
      <c r="C118" s="70" t="s">
        <v>337</v>
      </c>
    </row>
    <row r="119" spans="1:3" ht="24" x14ac:dyDescent="0.2">
      <c r="A119" s="65" t="s">
        <v>512</v>
      </c>
      <c r="B119" s="68" t="s">
        <v>313</v>
      </c>
      <c r="C119" s="70" t="s">
        <v>338</v>
      </c>
    </row>
    <row r="120" spans="1:3" ht="24" x14ac:dyDescent="0.2">
      <c r="A120" s="65" t="s">
        <v>513</v>
      </c>
      <c r="B120" s="68" t="s">
        <v>313</v>
      </c>
      <c r="C120" s="70" t="s">
        <v>339</v>
      </c>
    </row>
    <row r="121" spans="1:3" ht="24" x14ac:dyDescent="0.2">
      <c r="A121" s="65" t="s">
        <v>514</v>
      </c>
      <c r="B121" s="68" t="s">
        <v>313</v>
      </c>
      <c r="C121" s="70" t="s">
        <v>340</v>
      </c>
    </row>
    <row r="122" spans="1:3" ht="24" x14ac:dyDescent="0.2">
      <c r="A122" s="65" t="s">
        <v>515</v>
      </c>
      <c r="B122" s="68" t="s">
        <v>313</v>
      </c>
      <c r="C122" s="70" t="s">
        <v>346</v>
      </c>
    </row>
    <row r="123" spans="1:3" ht="24" x14ac:dyDescent="0.2">
      <c r="A123" s="65" t="s">
        <v>516</v>
      </c>
      <c r="B123" s="68" t="s">
        <v>26</v>
      </c>
      <c r="C123" s="69" t="s">
        <v>132</v>
      </c>
    </row>
    <row r="124" spans="1:3" ht="24" x14ac:dyDescent="0.2">
      <c r="A124" s="65" t="s">
        <v>517</v>
      </c>
      <c r="B124" s="68" t="s">
        <v>26</v>
      </c>
      <c r="C124" s="69" t="s">
        <v>133</v>
      </c>
    </row>
    <row r="125" spans="1:3" ht="24" x14ac:dyDescent="0.2">
      <c r="A125" s="65" t="s">
        <v>518</v>
      </c>
      <c r="B125" s="68" t="s">
        <v>26</v>
      </c>
      <c r="C125" s="69" t="s">
        <v>134</v>
      </c>
    </row>
    <row r="126" spans="1:3" ht="24" x14ac:dyDescent="0.2">
      <c r="A126" s="65" t="s">
        <v>519</v>
      </c>
      <c r="B126" s="68" t="s">
        <v>26</v>
      </c>
      <c r="C126" s="69" t="s">
        <v>135</v>
      </c>
    </row>
    <row r="127" spans="1:3" ht="24" x14ac:dyDescent="0.2">
      <c r="A127" s="65" t="s">
        <v>520</v>
      </c>
      <c r="B127" s="68" t="s">
        <v>26</v>
      </c>
      <c r="C127" s="69" t="s">
        <v>136</v>
      </c>
    </row>
    <row r="128" spans="1:3" ht="24" x14ac:dyDescent="0.2">
      <c r="A128" s="65" t="s">
        <v>521</v>
      </c>
      <c r="B128" s="68" t="s">
        <v>26</v>
      </c>
      <c r="C128" s="70" t="s">
        <v>356</v>
      </c>
    </row>
    <row r="129" spans="1:3" ht="24" x14ac:dyDescent="0.2">
      <c r="A129" s="65" t="s">
        <v>522</v>
      </c>
      <c r="B129" s="68" t="s">
        <v>26</v>
      </c>
      <c r="C129" s="70" t="s">
        <v>357</v>
      </c>
    </row>
    <row r="130" spans="1:3" ht="24" x14ac:dyDescent="0.2">
      <c r="A130" s="65" t="s">
        <v>523</v>
      </c>
      <c r="B130" s="68" t="s">
        <v>26</v>
      </c>
      <c r="C130" s="70" t="s">
        <v>358</v>
      </c>
    </row>
    <row r="131" spans="1:3" ht="24" x14ac:dyDescent="0.2">
      <c r="A131" s="65" t="s">
        <v>524</v>
      </c>
      <c r="B131" s="68" t="s">
        <v>26</v>
      </c>
      <c r="C131" s="73" t="s">
        <v>360</v>
      </c>
    </row>
    <row r="132" spans="1:3" ht="24" x14ac:dyDescent="0.2">
      <c r="A132" s="65" t="s">
        <v>525</v>
      </c>
      <c r="B132" s="68" t="s">
        <v>26</v>
      </c>
      <c r="C132" s="69" t="s">
        <v>137</v>
      </c>
    </row>
    <row r="133" spans="1:3" ht="24" x14ac:dyDescent="0.2">
      <c r="A133" s="65" t="s">
        <v>526</v>
      </c>
      <c r="B133" s="68" t="s">
        <v>26</v>
      </c>
      <c r="C133" s="69" t="s">
        <v>138</v>
      </c>
    </row>
    <row r="134" spans="1:3" ht="24" x14ac:dyDescent="0.2">
      <c r="A134" s="65" t="s">
        <v>527</v>
      </c>
      <c r="B134" s="68" t="s">
        <v>26</v>
      </c>
      <c r="C134" s="70" t="s">
        <v>278</v>
      </c>
    </row>
    <row r="135" spans="1:3" ht="24" x14ac:dyDescent="0.2">
      <c r="A135" s="65" t="s">
        <v>528</v>
      </c>
      <c r="B135" s="68" t="s">
        <v>26</v>
      </c>
      <c r="C135" s="70" t="s">
        <v>279</v>
      </c>
    </row>
    <row r="136" spans="1:3" ht="24" x14ac:dyDescent="0.2">
      <c r="A136" s="65" t="s">
        <v>529</v>
      </c>
      <c r="B136" s="68" t="s">
        <v>391</v>
      </c>
      <c r="C136" s="70" t="s">
        <v>280</v>
      </c>
    </row>
    <row r="137" spans="1:3" ht="24" x14ac:dyDescent="0.2">
      <c r="A137" s="65" t="s">
        <v>530</v>
      </c>
      <c r="B137" s="68" t="s">
        <v>391</v>
      </c>
      <c r="C137" s="70" t="s">
        <v>281</v>
      </c>
    </row>
    <row r="138" spans="1:3" ht="24" x14ac:dyDescent="0.2">
      <c r="A138" s="65" t="s">
        <v>531</v>
      </c>
      <c r="B138" s="68" t="s">
        <v>391</v>
      </c>
      <c r="C138" s="70" t="s">
        <v>282</v>
      </c>
    </row>
    <row r="139" spans="1:3" ht="24" x14ac:dyDescent="0.2">
      <c r="A139" s="65" t="s">
        <v>532</v>
      </c>
      <c r="B139" s="68" t="s">
        <v>391</v>
      </c>
      <c r="C139" s="70" t="s">
        <v>283</v>
      </c>
    </row>
    <row r="140" spans="1:3" ht="24" x14ac:dyDescent="0.2">
      <c r="A140" s="65" t="s">
        <v>533</v>
      </c>
      <c r="B140" s="68" t="s">
        <v>391</v>
      </c>
      <c r="C140" s="70" t="s">
        <v>284</v>
      </c>
    </row>
  </sheetData>
  <sheetProtection algorithmName="SHA-512" hashValue="phgqP/FMihQeG+ujmZvV8b8ywsconzCnRjK7G9ucJvh0Gl0hXfu206Hh1tIm9eeXJp8h/MwgJIiWoY1w8NcmZA==" saltValue="DuhtbWRQ6PDcqC147HzvbQ==" spinCount="100000" sheet="1" objects="1" scenarios="1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I94"/>
  <sheetViews>
    <sheetView workbookViewId="0">
      <selection activeCell="I38" sqref="I38"/>
    </sheetView>
  </sheetViews>
  <sheetFormatPr defaultColWidth="11.42578125" defaultRowHeight="15" x14ac:dyDescent="0.25"/>
  <cols>
    <col min="1" max="2" width="5.5703125" customWidth="1"/>
    <col min="3" max="3" width="29.42578125" bestFit="1" customWidth="1"/>
    <col min="4" max="4" width="10.42578125" customWidth="1"/>
    <col min="5" max="5" width="5.5703125" customWidth="1"/>
    <col min="6" max="6" width="5.42578125" customWidth="1"/>
    <col min="7" max="7" width="44" bestFit="1" customWidth="1"/>
    <col min="8" max="8" width="3.42578125" customWidth="1"/>
  </cols>
  <sheetData>
    <row r="1" spans="3:9" ht="60" x14ac:dyDescent="0.25">
      <c r="C1" t="s">
        <v>223</v>
      </c>
      <c r="D1" s="21" t="s">
        <v>273</v>
      </c>
      <c r="E1" s="21" t="s">
        <v>274</v>
      </c>
      <c r="G1" t="s">
        <v>222</v>
      </c>
      <c r="I1" s="19" t="s">
        <v>224</v>
      </c>
    </row>
    <row r="2" spans="3:9" x14ac:dyDescent="0.25">
      <c r="C2" t="s">
        <v>14</v>
      </c>
      <c r="D2" s="19" t="s">
        <v>766</v>
      </c>
      <c r="E2" s="19" t="s">
        <v>766</v>
      </c>
      <c r="G2" t="s">
        <v>734</v>
      </c>
      <c r="I2" s="19" t="s">
        <v>721</v>
      </c>
    </row>
    <row r="3" spans="3:9" x14ac:dyDescent="0.25">
      <c r="C3" t="s">
        <v>190</v>
      </c>
      <c r="D3" s="19" t="s">
        <v>613</v>
      </c>
      <c r="E3" s="19" t="s">
        <v>613</v>
      </c>
      <c r="G3" t="s">
        <v>709</v>
      </c>
      <c r="I3" s="19" t="s">
        <v>255</v>
      </c>
    </row>
    <row r="4" spans="3:9" x14ac:dyDescent="0.25">
      <c r="C4" t="s">
        <v>191</v>
      </c>
      <c r="D4" s="19" t="s">
        <v>766</v>
      </c>
      <c r="E4" s="19" t="s">
        <v>766</v>
      </c>
      <c r="G4" t="s">
        <v>709</v>
      </c>
      <c r="I4" s="19" t="s">
        <v>611</v>
      </c>
    </row>
    <row r="5" spans="3:9" x14ac:dyDescent="0.25">
      <c r="C5" t="s">
        <v>21</v>
      </c>
      <c r="D5" s="19" t="s">
        <v>766</v>
      </c>
      <c r="E5" s="19" t="s">
        <v>766</v>
      </c>
      <c r="G5" t="s">
        <v>675</v>
      </c>
      <c r="I5" s="19" t="s">
        <v>230</v>
      </c>
    </row>
    <row r="6" spans="3:9" x14ac:dyDescent="0.25">
      <c r="C6" t="s">
        <v>259</v>
      </c>
      <c r="D6" s="19" t="s">
        <v>750</v>
      </c>
      <c r="E6" s="19" t="s">
        <v>750</v>
      </c>
      <c r="G6" t="s">
        <v>199</v>
      </c>
      <c r="I6" s="19" t="s">
        <v>229</v>
      </c>
    </row>
    <row r="7" spans="3:9" x14ac:dyDescent="0.25">
      <c r="C7" t="s">
        <v>267</v>
      </c>
      <c r="D7" s="19" t="s">
        <v>750</v>
      </c>
      <c r="E7" s="19" t="s">
        <v>750</v>
      </c>
      <c r="G7" t="s">
        <v>572</v>
      </c>
      <c r="I7" s="19" t="s">
        <v>599</v>
      </c>
    </row>
    <row r="8" spans="3:9" x14ac:dyDescent="0.25">
      <c r="C8" t="s">
        <v>260</v>
      </c>
      <c r="D8" s="19" t="s">
        <v>750</v>
      </c>
      <c r="E8" s="19" t="s">
        <v>750</v>
      </c>
      <c r="G8" s="100" t="s">
        <v>601</v>
      </c>
      <c r="I8" s="19" t="s">
        <v>254</v>
      </c>
    </row>
    <row r="9" spans="3:9" x14ac:dyDescent="0.25">
      <c r="C9" t="s">
        <v>189</v>
      </c>
      <c r="D9" s="19" t="s">
        <v>599</v>
      </c>
      <c r="E9" s="19" t="s">
        <v>599</v>
      </c>
      <c r="G9" t="s">
        <v>757</v>
      </c>
      <c r="I9" s="19" t="s">
        <v>590</v>
      </c>
    </row>
    <row r="10" spans="3:9" x14ac:dyDescent="0.25">
      <c r="C10" t="s">
        <v>253</v>
      </c>
      <c r="D10" s="19" t="s">
        <v>255</v>
      </c>
      <c r="E10" s="19" t="s">
        <v>255</v>
      </c>
      <c r="G10" t="s">
        <v>252</v>
      </c>
      <c r="I10" s="19" t="s">
        <v>591</v>
      </c>
    </row>
    <row r="11" spans="3:9" x14ac:dyDescent="0.25">
      <c r="C11" t="s">
        <v>161</v>
      </c>
      <c r="D11" s="19" t="s">
        <v>657</v>
      </c>
      <c r="E11" s="19" t="s">
        <v>657</v>
      </c>
      <c r="G11" t="s">
        <v>573</v>
      </c>
      <c r="I11" s="19" t="s">
        <v>618</v>
      </c>
    </row>
    <row r="12" spans="3:9" x14ac:dyDescent="0.25">
      <c r="C12" t="s">
        <v>183</v>
      </c>
      <c r="D12" s="19" t="s">
        <v>230</v>
      </c>
      <c r="E12" s="19" t="s">
        <v>230</v>
      </c>
      <c r="G12" t="s">
        <v>209</v>
      </c>
      <c r="I12" s="19" t="s">
        <v>558</v>
      </c>
    </row>
    <row r="13" spans="3:9" x14ac:dyDescent="0.25">
      <c r="C13" t="s">
        <v>182</v>
      </c>
      <c r="D13" s="19" t="s">
        <v>230</v>
      </c>
      <c r="E13" s="19" t="s">
        <v>230</v>
      </c>
      <c r="G13" t="s">
        <v>194</v>
      </c>
      <c r="I13" s="19" t="s">
        <v>617</v>
      </c>
    </row>
    <row r="14" spans="3:9" x14ac:dyDescent="0.25">
      <c r="C14" t="s">
        <v>227</v>
      </c>
      <c r="D14" s="19" t="s">
        <v>766</v>
      </c>
      <c r="E14" s="19" t="s">
        <v>766</v>
      </c>
      <c r="G14" t="s">
        <v>663</v>
      </c>
      <c r="I14" s="19" t="s">
        <v>604</v>
      </c>
    </row>
    <row r="15" spans="3:9" x14ac:dyDescent="0.25">
      <c r="C15" t="s">
        <v>187</v>
      </c>
      <c r="D15" s="19" t="s">
        <v>229</v>
      </c>
      <c r="E15" s="19" t="s">
        <v>229</v>
      </c>
      <c r="G15" t="s">
        <v>193</v>
      </c>
      <c r="I15" s="19" t="s">
        <v>713</v>
      </c>
    </row>
    <row r="16" spans="3:9" x14ac:dyDescent="0.25">
      <c r="C16" t="s">
        <v>186</v>
      </c>
      <c r="D16" s="19" t="s">
        <v>672</v>
      </c>
      <c r="E16" s="19" t="s">
        <v>672</v>
      </c>
      <c r="G16" t="s">
        <v>574</v>
      </c>
      <c r="I16" s="19" t="s">
        <v>609</v>
      </c>
    </row>
    <row r="17" spans="3:9" x14ac:dyDescent="0.25">
      <c r="C17" t="s">
        <v>185</v>
      </c>
      <c r="D17" s="19" t="s">
        <v>558</v>
      </c>
      <c r="E17" s="19" t="s">
        <v>558</v>
      </c>
      <c r="G17" t="s">
        <v>383</v>
      </c>
      <c r="I17" s="19" t="s">
        <v>611</v>
      </c>
    </row>
    <row r="18" spans="3:9" x14ac:dyDescent="0.25">
      <c r="C18" t="s">
        <v>179</v>
      </c>
      <c r="D18" s="19" t="s">
        <v>558</v>
      </c>
      <c r="E18" s="19" t="s">
        <v>558</v>
      </c>
      <c r="G18" t="s">
        <v>215</v>
      </c>
      <c r="I18" s="19" t="s">
        <v>261</v>
      </c>
    </row>
    <row r="19" spans="3:9" x14ac:dyDescent="0.25">
      <c r="C19" t="s">
        <v>180</v>
      </c>
      <c r="D19" s="19" t="s">
        <v>672</v>
      </c>
      <c r="E19" s="19" t="s">
        <v>672</v>
      </c>
      <c r="G19" t="s">
        <v>560</v>
      </c>
      <c r="I19" s="19" t="s">
        <v>613</v>
      </c>
    </row>
    <row r="20" spans="3:9" x14ac:dyDescent="0.25">
      <c r="C20" t="s">
        <v>178</v>
      </c>
      <c r="D20" s="19" t="s">
        <v>229</v>
      </c>
      <c r="E20" s="19" t="s">
        <v>733</v>
      </c>
      <c r="G20" t="s">
        <v>575</v>
      </c>
      <c r="I20" s="19" t="s">
        <v>616</v>
      </c>
    </row>
    <row r="21" spans="3:9" x14ac:dyDescent="0.25">
      <c r="C21" t="s">
        <v>184</v>
      </c>
      <c r="D21" s="19" t="s">
        <v>229</v>
      </c>
      <c r="E21" s="19" t="s">
        <v>229</v>
      </c>
      <c r="G21" t="s">
        <v>576</v>
      </c>
      <c r="I21" s="19" t="s">
        <v>632</v>
      </c>
    </row>
    <row r="22" spans="3:9" x14ac:dyDescent="0.25">
      <c r="C22" t="s">
        <v>272</v>
      </c>
      <c r="D22" s="19" t="s">
        <v>761</v>
      </c>
      <c r="E22" s="19" t="s">
        <v>761</v>
      </c>
      <c r="G22" s="100" t="s">
        <v>602</v>
      </c>
      <c r="I22" s="19" t="s">
        <v>657</v>
      </c>
    </row>
    <row r="23" spans="3:9" x14ac:dyDescent="0.25">
      <c r="C23" t="s">
        <v>188</v>
      </c>
      <c r="D23" s="19" t="s">
        <v>747</v>
      </c>
      <c r="E23" s="19" t="s">
        <v>747</v>
      </c>
      <c r="G23" s="100" t="s">
        <v>603</v>
      </c>
      <c r="I23" s="19" t="s">
        <v>658</v>
      </c>
    </row>
    <row r="24" spans="3:9" x14ac:dyDescent="0.25">
      <c r="C24" t="s">
        <v>181</v>
      </c>
      <c r="D24" s="19" t="s">
        <v>613</v>
      </c>
      <c r="E24" s="19" t="s">
        <v>613</v>
      </c>
      <c r="G24" s="100" t="s">
        <v>195</v>
      </c>
      <c r="I24" s="19" t="s">
        <v>672</v>
      </c>
    </row>
    <row r="25" spans="3:9" x14ac:dyDescent="0.25">
      <c r="C25" t="s">
        <v>559</v>
      </c>
      <c r="D25" s="19" t="s">
        <v>226</v>
      </c>
      <c r="E25" s="19" t="s">
        <v>226</v>
      </c>
      <c r="G25" t="s">
        <v>198</v>
      </c>
      <c r="I25" s="19" t="s">
        <v>659</v>
      </c>
    </row>
    <row r="26" spans="3:9" x14ac:dyDescent="0.25">
      <c r="C26" t="s">
        <v>253</v>
      </c>
      <c r="D26" s="19" t="s">
        <v>254</v>
      </c>
      <c r="E26" s="19" t="s">
        <v>254</v>
      </c>
      <c r="G26" t="s">
        <v>656</v>
      </c>
      <c r="I26" s="19" t="s">
        <v>724</v>
      </c>
    </row>
    <row r="27" spans="3:9" x14ac:dyDescent="0.25">
      <c r="G27" t="s">
        <v>740</v>
      </c>
      <c r="I27" s="19" t="s">
        <v>732</v>
      </c>
    </row>
    <row r="28" spans="3:9" x14ac:dyDescent="0.25">
      <c r="G28" t="s">
        <v>619</v>
      </c>
      <c r="I28" s="19" t="s">
        <v>558</v>
      </c>
    </row>
    <row r="29" spans="3:9" x14ac:dyDescent="0.25">
      <c r="G29" t="s">
        <v>739</v>
      </c>
      <c r="I29" s="19" t="s">
        <v>738</v>
      </c>
    </row>
    <row r="30" spans="3:9" x14ac:dyDescent="0.25">
      <c r="G30" s="100" t="s">
        <v>615</v>
      </c>
      <c r="I30" s="19" t="s">
        <v>747</v>
      </c>
    </row>
    <row r="31" spans="3:9" x14ac:dyDescent="0.25">
      <c r="G31" t="s">
        <v>651</v>
      </c>
      <c r="I31" s="19" t="s">
        <v>750</v>
      </c>
    </row>
    <row r="32" spans="3:9" x14ac:dyDescent="0.25">
      <c r="G32" t="s">
        <v>628</v>
      </c>
      <c r="I32" s="19" t="s">
        <v>657</v>
      </c>
    </row>
    <row r="33" spans="7:9" x14ac:dyDescent="0.25">
      <c r="G33" t="s">
        <v>207</v>
      </c>
      <c r="I33" s="19" t="s">
        <v>226</v>
      </c>
    </row>
    <row r="34" spans="7:9" x14ac:dyDescent="0.25">
      <c r="G34" t="s">
        <v>596</v>
      </c>
      <c r="I34" s="19" t="s">
        <v>761</v>
      </c>
    </row>
    <row r="35" spans="7:9" x14ac:dyDescent="0.25">
      <c r="G35" t="s">
        <v>595</v>
      </c>
      <c r="I35" s="19" t="s">
        <v>766</v>
      </c>
    </row>
    <row r="36" spans="7:9" x14ac:dyDescent="0.25">
      <c r="G36" t="s">
        <v>594</v>
      </c>
      <c r="I36" s="19" t="s">
        <v>768</v>
      </c>
    </row>
    <row r="37" spans="7:9" x14ac:dyDescent="0.25">
      <c r="G37" t="s">
        <v>220</v>
      </c>
    </row>
    <row r="38" spans="7:9" x14ac:dyDescent="0.25">
      <c r="G38" t="s">
        <v>213</v>
      </c>
    </row>
    <row r="39" spans="7:9" x14ac:dyDescent="0.25">
      <c r="G39" t="s">
        <v>218</v>
      </c>
    </row>
    <row r="40" spans="7:9" x14ac:dyDescent="0.25">
      <c r="G40" t="s">
        <v>760</v>
      </c>
    </row>
    <row r="41" spans="7:9" x14ac:dyDescent="0.25">
      <c r="G41" t="s">
        <v>577</v>
      </c>
    </row>
    <row r="42" spans="7:9" x14ac:dyDescent="0.25">
      <c r="G42" s="100" t="s">
        <v>607</v>
      </c>
    </row>
    <row r="43" spans="7:9" x14ac:dyDescent="0.25">
      <c r="G43" t="s">
        <v>203</v>
      </c>
    </row>
    <row r="44" spans="7:9" x14ac:dyDescent="0.25">
      <c r="G44" t="s">
        <v>162</v>
      </c>
    </row>
    <row r="45" spans="7:9" x14ac:dyDescent="0.25">
      <c r="G45" t="s">
        <v>201</v>
      </c>
    </row>
    <row r="46" spans="7:9" x14ac:dyDescent="0.25">
      <c r="G46" t="s">
        <v>597</v>
      </c>
    </row>
    <row r="47" spans="7:9" x14ac:dyDescent="0.25">
      <c r="G47" t="s">
        <v>196</v>
      </c>
    </row>
    <row r="48" spans="7:9" x14ac:dyDescent="0.25">
      <c r="G48" t="s">
        <v>216</v>
      </c>
    </row>
    <row r="49" spans="7:7" x14ac:dyDescent="0.25">
      <c r="G49" t="s">
        <v>217</v>
      </c>
    </row>
    <row r="50" spans="7:7" x14ac:dyDescent="0.25">
      <c r="G50" t="s">
        <v>208</v>
      </c>
    </row>
    <row r="51" spans="7:7" x14ac:dyDescent="0.25">
      <c r="G51" t="s">
        <v>578</v>
      </c>
    </row>
    <row r="52" spans="7:7" x14ac:dyDescent="0.25">
      <c r="G52" t="s">
        <v>570</v>
      </c>
    </row>
    <row r="53" spans="7:7" x14ac:dyDescent="0.25">
      <c r="G53" t="s">
        <v>633</v>
      </c>
    </row>
    <row r="54" spans="7:7" x14ac:dyDescent="0.25">
      <c r="G54" t="s">
        <v>579</v>
      </c>
    </row>
    <row r="55" spans="7:7" x14ac:dyDescent="0.25">
      <c r="G55" t="s">
        <v>662</v>
      </c>
    </row>
    <row r="56" spans="7:7" x14ac:dyDescent="0.25">
      <c r="G56" t="s">
        <v>163</v>
      </c>
    </row>
    <row r="57" spans="7:7" x14ac:dyDescent="0.25">
      <c r="G57" t="s">
        <v>388</v>
      </c>
    </row>
    <row r="58" spans="7:7" x14ac:dyDescent="0.25">
      <c r="G58" t="s">
        <v>571</v>
      </c>
    </row>
    <row r="59" spans="7:7" x14ac:dyDescent="0.25">
      <c r="G59" t="s">
        <v>192</v>
      </c>
    </row>
    <row r="60" spans="7:7" x14ac:dyDescent="0.25">
      <c r="G60" t="s">
        <v>204</v>
      </c>
    </row>
    <row r="61" spans="7:7" x14ac:dyDescent="0.25">
      <c r="G61" t="s">
        <v>382</v>
      </c>
    </row>
    <row r="62" spans="7:7" x14ac:dyDescent="0.25">
      <c r="G62" t="s">
        <v>580</v>
      </c>
    </row>
    <row r="63" spans="7:7" x14ac:dyDescent="0.25">
      <c r="G63" t="s">
        <v>667</v>
      </c>
    </row>
    <row r="64" spans="7:7" x14ac:dyDescent="0.25">
      <c r="G64" t="s">
        <v>588</v>
      </c>
    </row>
    <row r="65" spans="7:7" x14ac:dyDescent="0.25">
      <c r="G65" s="105" t="s">
        <v>605</v>
      </c>
    </row>
    <row r="66" spans="7:7" x14ac:dyDescent="0.25">
      <c r="G66" t="s">
        <v>638</v>
      </c>
    </row>
    <row r="67" spans="7:7" x14ac:dyDescent="0.25">
      <c r="G67" t="s">
        <v>202</v>
      </c>
    </row>
    <row r="68" spans="7:7" x14ac:dyDescent="0.25">
      <c r="G68" t="s">
        <v>654</v>
      </c>
    </row>
    <row r="69" spans="7:7" x14ac:dyDescent="0.25">
      <c r="G69" t="s">
        <v>210</v>
      </c>
    </row>
    <row r="70" spans="7:7" x14ac:dyDescent="0.25">
      <c r="G70" t="s">
        <v>665</v>
      </c>
    </row>
    <row r="71" spans="7:7" x14ac:dyDescent="0.25">
      <c r="G71" t="s">
        <v>221</v>
      </c>
    </row>
    <row r="72" spans="7:7" x14ac:dyDescent="0.25">
      <c r="G72" t="s">
        <v>219</v>
      </c>
    </row>
    <row r="73" spans="7:7" x14ac:dyDescent="0.25">
      <c r="G73" t="s">
        <v>593</v>
      </c>
    </row>
    <row r="74" spans="7:7" x14ac:dyDescent="0.25">
      <c r="G74" t="s">
        <v>584</v>
      </c>
    </row>
    <row r="75" spans="7:7" x14ac:dyDescent="0.25">
      <c r="G75" t="s">
        <v>211</v>
      </c>
    </row>
    <row r="76" spans="7:7" x14ac:dyDescent="0.25">
      <c r="G76" t="s">
        <v>381</v>
      </c>
    </row>
    <row r="77" spans="7:7" x14ac:dyDescent="0.25">
      <c r="G77" t="s">
        <v>200</v>
      </c>
    </row>
    <row r="78" spans="7:7" x14ac:dyDescent="0.25">
      <c r="G78" t="s">
        <v>642</v>
      </c>
    </row>
    <row r="79" spans="7:7" x14ac:dyDescent="0.25">
      <c r="G79" t="s">
        <v>582</v>
      </c>
    </row>
    <row r="80" spans="7:7" x14ac:dyDescent="0.25">
      <c r="G80" t="s">
        <v>205</v>
      </c>
    </row>
    <row r="81" spans="7:7" x14ac:dyDescent="0.25">
      <c r="G81" t="s">
        <v>225</v>
      </c>
    </row>
    <row r="82" spans="7:7" x14ac:dyDescent="0.25">
      <c r="G82" t="s">
        <v>735</v>
      </c>
    </row>
    <row r="83" spans="7:7" x14ac:dyDescent="0.25">
      <c r="G83" t="s">
        <v>384</v>
      </c>
    </row>
    <row r="84" spans="7:7" x14ac:dyDescent="0.25">
      <c r="G84" t="s">
        <v>592</v>
      </c>
    </row>
    <row r="85" spans="7:7" x14ac:dyDescent="0.25">
      <c r="G85" s="105" t="s">
        <v>592</v>
      </c>
    </row>
    <row r="86" spans="7:7" x14ac:dyDescent="0.25">
      <c r="G86" t="s">
        <v>731</v>
      </c>
    </row>
    <row r="87" spans="7:7" x14ac:dyDescent="0.25">
      <c r="G87" t="s">
        <v>653</v>
      </c>
    </row>
    <row r="88" spans="7:7" x14ac:dyDescent="0.25">
      <c r="G88" t="s">
        <v>655</v>
      </c>
    </row>
    <row r="89" spans="7:7" x14ac:dyDescent="0.25">
      <c r="G89" t="s">
        <v>197</v>
      </c>
    </row>
    <row r="90" spans="7:7" x14ac:dyDescent="0.25">
      <c r="G90" t="s">
        <v>214</v>
      </c>
    </row>
    <row r="91" spans="7:7" x14ac:dyDescent="0.25">
      <c r="G91" t="s">
        <v>610</v>
      </c>
    </row>
    <row r="92" spans="7:7" x14ac:dyDescent="0.25">
      <c r="G92" t="s">
        <v>212</v>
      </c>
    </row>
    <row r="93" spans="7:7" x14ac:dyDescent="0.25">
      <c r="G93" t="s">
        <v>674</v>
      </c>
    </row>
    <row r="94" spans="7:7" x14ac:dyDescent="0.25">
      <c r="G94" t="s">
        <v>742</v>
      </c>
    </row>
  </sheetData>
  <sheetProtection algorithmName="SHA-512" hashValue="OHnL86XJ0HkEwweqSyClTQIt49zSOz08gO25w47YI4ck/sBaaDw0qJet2eTnlKqw8UIkagnxgB/MnJXYaJXgfw==" saltValue="cfmT3J7wBGpxyt0B/TAhpw==" spinCount="100000" sheet="1" objects="1" scenarios="1"/>
  <pageMargins left="0.70866141732283472" right="0.70866141732283472" top="0.78740157480314965" bottom="0.78740157480314965" header="0.31496062992125984" footer="0.31496062992125984"/>
  <pageSetup paperSize="9" orientation="landscape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0"/>
  <sheetViews>
    <sheetView showGridLines="0" zoomScale="130" zoomScaleNormal="130" workbookViewId="0">
      <pane ySplit="1" topLeftCell="A2" activePane="bottomLeft" state="frozen"/>
      <selection activeCell="C14" sqref="C14"/>
      <selection pane="bottomLeft" activeCell="D18" sqref="D18"/>
    </sheetView>
  </sheetViews>
  <sheetFormatPr defaultColWidth="8.5703125" defaultRowHeight="15" x14ac:dyDescent="0.25"/>
  <cols>
    <col min="1" max="1" width="7.42578125" style="57" customWidth="1"/>
    <col min="2" max="2" width="28" style="61" customWidth="1"/>
    <col min="3" max="3" width="46.42578125" style="57" bestFit="1" customWidth="1"/>
    <col min="4" max="4" width="28.5703125" style="57" bestFit="1" customWidth="1"/>
    <col min="5" max="6" width="8.5703125" style="57"/>
    <col min="7" max="7" width="44" style="57" bestFit="1" customWidth="1"/>
    <col min="8" max="16384" width="8.5703125" style="57"/>
  </cols>
  <sheetData>
    <row r="1" spans="1:4" s="64" customFormat="1" ht="30" x14ac:dyDescent="0.25">
      <c r="A1" s="62" t="s">
        <v>386</v>
      </c>
      <c r="B1" s="62" t="s">
        <v>377</v>
      </c>
      <c r="C1" s="63" t="s">
        <v>378</v>
      </c>
      <c r="D1" s="63" t="s">
        <v>379</v>
      </c>
    </row>
    <row r="2" spans="1:4" s="64" customFormat="1" x14ac:dyDescent="0.25">
      <c r="A2" s="58">
        <v>1394</v>
      </c>
      <c r="B2" s="101" t="s">
        <v>598</v>
      </c>
      <c r="C2" s="59" t="s">
        <v>735</v>
      </c>
      <c r="D2" s="59" t="s">
        <v>21</v>
      </c>
    </row>
    <row r="3" spans="1:4" s="448" customFormat="1" x14ac:dyDescent="0.25">
      <c r="A3" s="58">
        <v>1170</v>
      </c>
      <c r="B3" s="426" t="s">
        <v>726</v>
      </c>
      <c r="C3" s="109" t="s">
        <v>610</v>
      </c>
      <c r="D3" s="425" t="s">
        <v>179</v>
      </c>
    </row>
    <row r="4" spans="1:4" s="448" customFormat="1" x14ac:dyDescent="0.25">
      <c r="A4" s="58">
        <v>46</v>
      </c>
      <c r="B4" s="60" t="s">
        <v>266</v>
      </c>
      <c r="C4" s="59" t="s">
        <v>193</v>
      </c>
      <c r="D4" s="129" t="s">
        <v>267</v>
      </c>
    </row>
    <row r="5" spans="1:4" x14ac:dyDescent="0.25">
      <c r="A5" s="58">
        <v>1280</v>
      </c>
      <c r="B5" s="103" t="s">
        <v>380</v>
      </c>
      <c r="C5" s="106" t="s">
        <v>197</v>
      </c>
      <c r="D5" s="106" t="s">
        <v>188</v>
      </c>
    </row>
    <row r="6" spans="1:4" x14ac:dyDescent="0.25">
      <c r="A6" s="58">
        <v>331</v>
      </c>
      <c r="B6" s="60" t="s">
        <v>235</v>
      </c>
      <c r="C6" s="109" t="s">
        <v>610</v>
      </c>
      <c r="D6" s="59" t="s">
        <v>179</v>
      </c>
    </row>
    <row r="7" spans="1:4" x14ac:dyDescent="0.25">
      <c r="A7" s="58">
        <v>513</v>
      </c>
      <c r="B7" s="60" t="s">
        <v>237</v>
      </c>
      <c r="C7" s="114" t="s">
        <v>212</v>
      </c>
      <c r="D7" s="59" t="s">
        <v>161</v>
      </c>
    </row>
    <row r="8" spans="1:4" x14ac:dyDescent="0.25">
      <c r="A8" s="102">
        <v>1431</v>
      </c>
      <c r="B8" s="103" t="s">
        <v>639</v>
      </c>
      <c r="C8" s="109" t="s">
        <v>610</v>
      </c>
      <c r="D8" s="118" t="s">
        <v>180</v>
      </c>
    </row>
    <row r="9" spans="1:4" x14ac:dyDescent="0.25">
      <c r="A9" s="58">
        <v>768</v>
      </c>
      <c r="B9" s="127" t="s">
        <v>668</v>
      </c>
      <c r="C9" s="109" t="s">
        <v>610</v>
      </c>
      <c r="D9" s="59" t="s">
        <v>179</v>
      </c>
    </row>
    <row r="10" spans="1:4" s="356" customFormat="1" x14ac:dyDescent="0.25">
      <c r="A10" s="58">
        <v>1870</v>
      </c>
      <c r="B10" s="379" t="s">
        <v>706</v>
      </c>
      <c r="C10" s="380" t="s">
        <v>221</v>
      </c>
      <c r="D10" s="380" t="s">
        <v>189</v>
      </c>
    </row>
    <row r="11" spans="1:4" x14ac:dyDescent="0.25">
      <c r="A11" s="58">
        <v>848</v>
      </c>
      <c r="B11" s="119" t="s">
        <v>643</v>
      </c>
      <c r="C11" s="129" t="s">
        <v>219</v>
      </c>
      <c r="D11" s="59" t="s">
        <v>183</v>
      </c>
    </row>
    <row r="12" spans="1:4" x14ac:dyDescent="0.25">
      <c r="A12" s="58">
        <v>1717</v>
      </c>
      <c r="B12" s="128" t="s">
        <v>670</v>
      </c>
      <c r="C12" s="449" t="s">
        <v>734</v>
      </c>
      <c r="D12" s="129" t="s">
        <v>21</v>
      </c>
    </row>
    <row r="13" spans="1:4" x14ac:dyDescent="0.25">
      <c r="A13" s="58">
        <v>1346</v>
      </c>
      <c r="B13" s="455" t="s">
        <v>620</v>
      </c>
      <c r="C13" s="456" t="s">
        <v>560</v>
      </c>
      <c r="D13" s="456" t="s">
        <v>180</v>
      </c>
    </row>
    <row r="14" spans="1:4" s="356" customFormat="1" x14ac:dyDescent="0.25">
      <c r="A14" s="58">
        <v>1788</v>
      </c>
      <c r="B14" s="365" t="s">
        <v>681</v>
      </c>
      <c r="C14" s="366" t="s">
        <v>207</v>
      </c>
      <c r="D14" s="366" t="s">
        <v>188</v>
      </c>
    </row>
    <row r="15" spans="1:4" s="357" customFormat="1" x14ac:dyDescent="0.25">
      <c r="A15" s="58">
        <v>845</v>
      </c>
      <c r="B15" s="103" t="s">
        <v>242</v>
      </c>
      <c r="C15" s="106" t="s">
        <v>655</v>
      </c>
      <c r="D15" s="106" t="s">
        <v>227</v>
      </c>
    </row>
    <row r="16" spans="1:4" x14ac:dyDescent="0.25">
      <c r="A16" s="58">
        <v>716</v>
      </c>
      <c r="B16" s="104" t="s">
        <v>608</v>
      </c>
      <c r="C16" s="109" t="s">
        <v>610</v>
      </c>
      <c r="D16" s="59" t="s">
        <v>178</v>
      </c>
    </row>
    <row r="17" spans="1:7" x14ac:dyDescent="0.25">
      <c r="A17" s="58">
        <v>447</v>
      </c>
      <c r="B17" s="104" t="s">
        <v>238</v>
      </c>
      <c r="C17" s="109" t="s">
        <v>610</v>
      </c>
      <c r="D17" s="59" t="s">
        <v>180</v>
      </c>
    </row>
    <row r="18" spans="1:7" s="484" customFormat="1" x14ac:dyDescent="0.25">
      <c r="A18" s="58">
        <v>1257</v>
      </c>
      <c r="B18" s="60" t="s">
        <v>251</v>
      </c>
      <c r="C18" s="59" t="s">
        <v>252</v>
      </c>
      <c r="D18" s="59" t="s">
        <v>181</v>
      </c>
    </row>
    <row r="19" spans="1:7" x14ac:dyDescent="0.25">
      <c r="A19" s="382">
        <v>1652</v>
      </c>
      <c r="B19" s="383" t="s">
        <v>753</v>
      </c>
      <c r="C19" s="109" t="s">
        <v>610</v>
      </c>
      <c r="D19" s="481" t="s">
        <v>186</v>
      </c>
    </row>
    <row r="20" spans="1:7" s="405" customFormat="1" x14ac:dyDescent="0.25">
      <c r="A20" s="382">
        <v>1372</v>
      </c>
      <c r="B20" s="411" t="s">
        <v>586</v>
      </c>
      <c r="C20" s="412" t="s">
        <v>200</v>
      </c>
      <c r="D20" s="412" t="s">
        <v>183</v>
      </c>
    </row>
    <row r="21" spans="1:7" s="356" customFormat="1" x14ac:dyDescent="0.25">
      <c r="A21" s="102">
        <v>603</v>
      </c>
      <c r="B21" s="103" t="s">
        <v>247</v>
      </c>
      <c r="C21" s="106" t="s">
        <v>740</v>
      </c>
      <c r="D21" s="412" t="s">
        <v>227</v>
      </c>
    </row>
    <row r="22" spans="1:7" s="408" customFormat="1" x14ac:dyDescent="0.25">
      <c r="A22" s="58">
        <v>2082</v>
      </c>
      <c r="B22" s="459" t="s">
        <v>748</v>
      </c>
      <c r="C22" s="106" t="s">
        <v>207</v>
      </c>
      <c r="D22" s="106" t="s">
        <v>188</v>
      </c>
      <c r="G22" s="409"/>
    </row>
    <row r="23" spans="1:7" s="408" customFormat="1" x14ac:dyDescent="0.25">
      <c r="A23" s="382">
        <v>13</v>
      </c>
      <c r="B23" s="411" t="s">
        <v>239</v>
      </c>
      <c r="C23" s="384" t="s">
        <v>573</v>
      </c>
      <c r="D23" s="412" t="s">
        <v>227</v>
      </c>
      <c r="G23" s="409"/>
    </row>
    <row r="24" spans="1:7" s="357" customFormat="1" x14ac:dyDescent="0.25">
      <c r="A24" s="58">
        <v>1278</v>
      </c>
      <c r="B24" s="362" t="s">
        <v>676</v>
      </c>
      <c r="C24" s="59" t="s">
        <v>193</v>
      </c>
      <c r="D24" s="59" t="s">
        <v>260</v>
      </c>
      <c r="G24" s="358"/>
    </row>
    <row r="25" spans="1:7" x14ac:dyDescent="0.25">
      <c r="A25" s="116">
        <v>522</v>
      </c>
      <c r="B25" s="60" t="s">
        <v>262</v>
      </c>
      <c r="C25" s="489" t="s">
        <v>760</v>
      </c>
      <c r="D25" s="59" t="s">
        <v>260</v>
      </c>
      <c r="G25"/>
    </row>
    <row r="26" spans="1:7" x14ac:dyDescent="0.25">
      <c r="A26" s="58">
        <v>1119</v>
      </c>
      <c r="B26" s="119" t="s">
        <v>649</v>
      </c>
      <c r="C26" s="114" t="s">
        <v>212</v>
      </c>
      <c r="D26" s="59" t="s">
        <v>161</v>
      </c>
      <c r="G26"/>
    </row>
    <row r="27" spans="1:7" x14ac:dyDescent="0.25">
      <c r="A27" s="58">
        <v>1795</v>
      </c>
      <c r="B27" s="365" t="s">
        <v>680</v>
      </c>
      <c r="C27" s="366" t="s">
        <v>666</v>
      </c>
      <c r="D27" s="366" t="s">
        <v>181</v>
      </c>
      <c r="G27"/>
    </row>
    <row r="28" spans="1:7" x14ac:dyDescent="0.25">
      <c r="A28" s="58">
        <v>828</v>
      </c>
      <c r="B28" s="115" t="s">
        <v>622</v>
      </c>
      <c r="C28" s="114" t="s">
        <v>252</v>
      </c>
      <c r="D28" s="59" t="s">
        <v>181</v>
      </c>
      <c r="G28"/>
    </row>
    <row r="29" spans="1:7" x14ac:dyDescent="0.25">
      <c r="A29" s="58">
        <v>1407</v>
      </c>
      <c r="B29" s="363" t="s">
        <v>678</v>
      </c>
      <c r="C29" s="364" t="s">
        <v>624</v>
      </c>
      <c r="D29" s="364" t="s">
        <v>259</v>
      </c>
      <c r="G29"/>
    </row>
    <row r="30" spans="1:7" x14ac:dyDescent="0.25">
      <c r="A30" s="102">
        <v>616</v>
      </c>
      <c r="B30" s="103" t="s">
        <v>614</v>
      </c>
      <c r="C30" s="106" t="s">
        <v>623</v>
      </c>
      <c r="D30" s="106" t="s">
        <v>183</v>
      </c>
      <c r="G30"/>
    </row>
    <row r="31" spans="1:7" x14ac:dyDescent="0.25">
      <c r="A31" s="432">
        <v>1970</v>
      </c>
      <c r="B31" s="433" t="s">
        <v>730</v>
      </c>
      <c r="C31" s="431" t="s">
        <v>207</v>
      </c>
      <c r="D31" s="431" t="s">
        <v>188</v>
      </c>
      <c r="G31"/>
    </row>
    <row r="32" spans="1:7" x14ac:dyDescent="0.25">
      <c r="A32" s="58">
        <v>2136</v>
      </c>
      <c r="B32" s="103" t="s">
        <v>755</v>
      </c>
      <c r="C32" s="106" t="s">
        <v>756</v>
      </c>
      <c r="D32" s="108" t="s">
        <v>227</v>
      </c>
      <c r="G32"/>
    </row>
    <row r="33" spans="1:7" x14ac:dyDescent="0.25">
      <c r="A33" s="58">
        <v>137</v>
      </c>
      <c r="B33" s="60" t="s">
        <v>240</v>
      </c>
      <c r="C33" s="97" t="s">
        <v>572</v>
      </c>
      <c r="D33" s="59" t="s">
        <v>227</v>
      </c>
      <c r="G33"/>
    </row>
    <row r="34" spans="1:7" x14ac:dyDescent="0.25">
      <c r="A34" s="102">
        <v>2068</v>
      </c>
      <c r="B34" s="103" t="s">
        <v>743</v>
      </c>
      <c r="C34" s="106" t="s">
        <v>252</v>
      </c>
      <c r="D34" s="106" t="s">
        <v>181</v>
      </c>
      <c r="G34"/>
    </row>
    <row r="35" spans="1:7" x14ac:dyDescent="0.25">
      <c r="A35" s="58">
        <v>1360</v>
      </c>
      <c r="B35" s="96" t="s">
        <v>585</v>
      </c>
      <c r="C35" s="59" t="s">
        <v>381</v>
      </c>
      <c r="D35" s="106" t="s">
        <v>183</v>
      </c>
      <c r="G35"/>
    </row>
    <row r="36" spans="1:7" x14ac:dyDescent="0.25">
      <c r="A36" s="403">
        <v>564</v>
      </c>
      <c r="B36" s="404" t="s">
        <v>715</v>
      </c>
      <c r="C36" s="402" t="s">
        <v>610</v>
      </c>
      <c r="D36" s="402" t="s">
        <v>179</v>
      </c>
      <c r="G36"/>
    </row>
    <row r="37" spans="1:7" s="357" customFormat="1" x14ac:dyDescent="0.25">
      <c r="A37" s="58">
        <v>1928</v>
      </c>
      <c r="B37" s="103" t="s">
        <v>717</v>
      </c>
      <c r="C37" s="106" t="s">
        <v>666</v>
      </c>
      <c r="D37" s="106" t="s">
        <v>181</v>
      </c>
      <c r="G37" s="358"/>
    </row>
    <row r="38" spans="1:7" x14ac:dyDescent="0.25">
      <c r="A38" s="58">
        <v>1628</v>
      </c>
      <c r="B38" s="426" t="s">
        <v>727</v>
      </c>
      <c r="C38" s="109" t="s">
        <v>610</v>
      </c>
      <c r="D38" s="425" t="s">
        <v>179</v>
      </c>
      <c r="G38"/>
    </row>
    <row r="39" spans="1:7" x14ac:dyDescent="0.25">
      <c r="A39" s="382">
        <v>1804</v>
      </c>
      <c r="B39" s="383" t="s">
        <v>707</v>
      </c>
      <c r="C39" s="384" t="s">
        <v>207</v>
      </c>
      <c r="D39" s="384" t="s">
        <v>188</v>
      </c>
      <c r="G39"/>
    </row>
    <row r="40" spans="1:7" x14ac:dyDescent="0.25">
      <c r="A40" s="58">
        <v>1217</v>
      </c>
      <c r="B40" s="60" t="s">
        <v>236</v>
      </c>
      <c r="C40" s="109" t="s">
        <v>610</v>
      </c>
      <c r="D40" s="59" t="s">
        <v>178</v>
      </c>
      <c r="G40"/>
    </row>
    <row r="41" spans="1:7" s="357" customFormat="1" x14ac:dyDescent="0.25">
      <c r="A41" s="58">
        <v>1114</v>
      </c>
      <c r="B41" s="60" t="s">
        <v>234</v>
      </c>
      <c r="C41" s="114" t="s">
        <v>207</v>
      </c>
      <c r="D41" s="106" t="s">
        <v>188</v>
      </c>
      <c r="G41" s="358"/>
    </row>
    <row r="42" spans="1:7" s="357" customFormat="1" x14ac:dyDescent="0.25">
      <c r="A42" s="58">
        <v>1453</v>
      </c>
      <c r="B42" s="111" t="s">
        <v>612</v>
      </c>
      <c r="C42" s="384" t="s">
        <v>752</v>
      </c>
      <c r="D42" s="112" t="s">
        <v>227</v>
      </c>
      <c r="G42" s="358"/>
    </row>
    <row r="43" spans="1:7" s="385" customFormat="1" ht="30" x14ac:dyDescent="0.25">
      <c r="A43" s="58">
        <v>1023</v>
      </c>
      <c r="B43" s="60" t="s">
        <v>268</v>
      </c>
      <c r="C43" s="114" t="s">
        <v>653</v>
      </c>
      <c r="D43" s="59" t="s">
        <v>267</v>
      </c>
      <c r="G43" s="386"/>
    </row>
    <row r="44" spans="1:7" s="107" customFormat="1" x14ac:dyDescent="0.25">
      <c r="A44" s="58">
        <v>502</v>
      </c>
      <c r="B44" s="60" t="s">
        <v>257</v>
      </c>
      <c r="C44" s="114" t="s">
        <v>602</v>
      </c>
      <c r="D44" s="108" t="s">
        <v>227</v>
      </c>
      <c r="G44" s="105"/>
    </row>
    <row r="45" spans="1:7" x14ac:dyDescent="0.25">
      <c r="A45" s="446">
        <v>2162</v>
      </c>
      <c r="B45" s="496" t="s">
        <v>763</v>
      </c>
      <c r="C45" s="497" t="s">
        <v>764</v>
      </c>
      <c r="D45" s="412" t="s">
        <v>188</v>
      </c>
      <c r="G45"/>
    </row>
    <row r="46" spans="1:7" x14ac:dyDescent="0.25">
      <c r="A46" s="58">
        <v>1712</v>
      </c>
      <c r="B46" s="122" t="s">
        <v>660</v>
      </c>
      <c r="C46" s="361" t="s">
        <v>675</v>
      </c>
      <c r="D46" s="59" t="s">
        <v>14</v>
      </c>
      <c r="G46"/>
    </row>
    <row r="47" spans="1:7" s="385" customFormat="1" x14ac:dyDescent="0.25">
      <c r="A47" s="58">
        <v>1525</v>
      </c>
      <c r="B47" s="115" t="s">
        <v>625</v>
      </c>
      <c r="C47" s="456" t="s">
        <v>661</v>
      </c>
      <c r="D47" s="59" t="s">
        <v>189</v>
      </c>
      <c r="G47" s="386"/>
    </row>
    <row r="48" spans="1:7" x14ac:dyDescent="0.25">
      <c r="A48" s="58">
        <v>1205</v>
      </c>
      <c r="B48" s="117" t="s">
        <v>640</v>
      </c>
      <c r="C48" s="109" t="s">
        <v>610</v>
      </c>
      <c r="D48" s="59" t="s">
        <v>180</v>
      </c>
      <c r="G48"/>
    </row>
    <row r="49" spans="1:7" x14ac:dyDescent="0.25">
      <c r="A49" s="58">
        <v>122</v>
      </c>
      <c r="B49" s="393" t="s">
        <v>232</v>
      </c>
      <c r="C49" s="109" t="s">
        <v>610</v>
      </c>
      <c r="D49" s="294" t="s">
        <v>186</v>
      </c>
      <c r="G49"/>
    </row>
    <row r="50" spans="1:7" s="357" customFormat="1" x14ac:dyDescent="0.25">
      <c r="A50" s="58">
        <v>527</v>
      </c>
      <c r="B50" s="60" t="s">
        <v>245</v>
      </c>
      <c r="C50" s="106" t="s">
        <v>199</v>
      </c>
      <c r="D50" s="59" t="s">
        <v>181</v>
      </c>
      <c r="G50" s="358"/>
    </row>
    <row r="51" spans="1:7" x14ac:dyDescent="0.25">
      <c r="A51" s="382">
        <v>321</v>
      </c>
      <c r="B51" s="383" t="s">
        <v>650</v>
      </c>
      <c r="C51" s="384" t="s">
        <v>674</v>
      </c>
      <c r="D51" s="384" t="s">
        <v>559</v>
      </c>
      <c r="G51"/>
    </row>
    <row r="52" spans="1:7" s="357" customFormat="1" x14ac:dyDescent="0.25">
      <c r="A52" s="58">
        <v>1763</v>
      </c>
      <c r="B52" s="374" t="s">
        <v>705</v>
      </c>
      <c r="C52" s="375" t="s">
        <v>666</v>
      </c>
      <c r="D52" s="375" t="s">
        <v>181</v>
      </c>
      <c r="G52" s="358"/>
    </row>
    <row r="53" spans="1:7" x14ac:dyDescent="0.25">
      <c r="A53" s="58">
        <v>449</v>
      </c>
      <c r="B53" s="60" t="s">
        <v>258</v>
      </c>
      <c r="C53" s="59" t="s">
        <v>213</v>
      </c>
      <c r="D53" s="59" t="s">
        <v>253</v>
      </c>
      <c r="G53"/>
    </row>
    <row r="54" spans="1:7" s="357" customFormat="1" x14ac:dyDescent="0.25">
      <c r="A54" s="58">
        <v>1621</v>
      </c>
      <c r="B54" s="119" t="s">
        <v>644</v>
      </c>
      <c r="C54" s="106" t="s">
        <v>623</v>
      </c>
      <c r="D54" s="59" t="s">
        <v>183</v>
      </c>
      <c r="G54" s="358"/>
    </row>
    <row r="55" spans="1:7" x14ac:dyDescent="0.25">
      <c r="A55" s="58">
        <v>1949</v>
      </c>
      <c r="B55" s="103" t="s">
        <v>716</v>
      </c>
      <c r="C55" s="106" t="s">
        <v>199</v>
      </c>
      <c r="D55" s="106" t="s">
        <v>181</v>
      </c>
    </row>
    <row r="56" spans="1:7" s="356" customFormat="1" x14ac:dyDescent="0.25">
      <c r="A56" s="58">
        <v>1512</v>
      </c>
      <c r="B56" s="115" t="s">
        <v>626</v>
      </c>
      <c r="C56" s="114" t="s">
        <v>207</v>
      </c>
      <c r="D56" s="106" t="s">
        <v>188</v>
      </c>
    </row>
    <row r="57" spans="1:7" x14ac:dyDescent="0.25">
      <c r="A57" s="58">
        <v>1787</v>
      </c>
      <c r="B57" s="365" t="s">
        <v>679</v>
      </c>
      <c r="C57" s="294" t="s">
        <v>642</v>
      </c>
      <c r="D57" s="125" t="s">
        <v>259</v>
      </c>
    </row>
    <row r="58" spans="1:7" x14ac:dyDescent="0.25">
      <c r="A58" s="58">
        <v>1295</v>
      </c>
      <c r="B58" s="103" t="s">
        <v>710</v>
      </c>
      <c r="C58" s="109" t="s">
        <v>610</v>
      </c>
      <c r="D58" s="391" t="s">
        <v>184</v>
      </c>
    </row>
    <row r="59" spans="1:7" s="356" customFormat="1" x14ac:dyDescent="0.25">
      <c r="A59" s="58">
        <v>1511</v>
      </c>
      <c r="B59" s="115" t="s">
        <v>627</v>
      </c>
      <c r="C59" s="114" t="s">
        <v>628</v>
      </c>
      <c r="D59" s="113" t="s">
        <v>181</v>
      </c>
    </row>
    <row r="60" spans="1:7" x14ac:dyDescent="0.25">
      <c r="A60" s="58">
        <v>997</v>
      </c>
      <c r="B60" s="60" t="s">
        <v>269</v>
      </c>
      <c r="C60" s="59" t="s">
        <v>193</v>
      </c>
      <c r="D60" s="59" t="s">
        <v>267</v>
      </c>
    </row>
    <row r="61" spans="1:7" s="447" customFormat="1" x14ac:dyDescent="0.25">
      <c r="A61" s="398">
        <v>1459</v>
      </c>
      <c r="B61" s="399" t="s">
        <v>704</v>
      </c>
      <c r="C61" s="400" t="s">
        <v>193</v>
      </c>
      <c r="D61" s="125" t="s">
        <v>259</v>
      </c>
    </row>
    <row r="62" spans="1:7" s="356" customFormat="1" x14ac:dyDescent="0.25">
      <c r="A62" s="410">
        <v>528</v>
      </c>
      <c r="B62" s="411" t="s">
        <v>244</v>
      </c>
      <c r="C62" s="412" t="s">
        <v>560</v>
      </c>
      <c r="D62" s="412" t="s">
        <v>181</v>
      </c>
    </row>
    <row r="63" spans="1:7" x14ac:dyDescent="0.25">
      <c r="A63" s="102">
        <v>969</v>
      </c>
      <c r="B63" s="103" t="s">
        <v>758</v>
      </c>
      <c r="C63" s="109" t="s">
        <v>610</v>
      </c>
      <c r="D63" s="485" t="s">
        <v>178</v>
      </c>
    </row>
    <row r="64" spans="1:7" s="356" customFormat="1" x14ac:dyDescent="0.25">
      <c r="A64" s="58">
        <v>803</v>
      </c>
      <c r="B64" s="60" t="s">
        <v>263</v>
      </c>
      <c r="C64" s="114" t="s">
        <v>629</v>
      </c>
      <c r="D64" s="59" t="s">
        <v>260</v>
      </c>
    </row>
    <row r="65" spans="1:4" x14ac:dyDescent="0.25">
      <c r="A65" s="428">
        <v>1976</v>
      </c>
      <c r="B65" s="429" t="s">
        <v>729</v>
      </c>
      <c r="C65" s="427" t="s">
        <v>199</v>
      </c>
      <c r="D65" s="427" t="s">
        <v>181</v>
      </c>
    </row>
    <row r="66" spans="1:4" x14ac:dyDescent="0.25">
      <c r="A66" s="58"/>
      <c r="B66" s="500" t="s">
        <v>771</v>
      </c>
      <c r="C66" s="501" t="s">
        <v>252</v>
      </c>
      <c r="D66" s="427" t="s">
        <v>181</v>
      </c>
    </row>
    <row r="67" spans="1:4" s="401" customFormat="1" x14ac:dyDescent="0.25">
      <c r="A67" s="398">
        <v>1069</v>
      </c>
      <c r="B67" s="399" t="s">
        <v>270</v>
      </c>
      <c r="C67" s="400" t="s">
        <v>624</v>
      </c>
      <c r="D67" s="400" t="s">
        <v>259</v>
      </c>
    </row>
    <row r="68" spans="1:4" x14ac:dyDescent="0.25">
      <c r="A68" s="398">
        <v>1568</v>
      </c>
      <c r="B68" s="399" t="s">
        <v>634</v>
      </c>
      <c r="C68" s="400" t="s">
        <v>638</v>
      </c>
      <c r="D68" s="400" t="s">
        <v>14</v>
      </c>
    </row>
    <row r="69" spans="1:4" x14ac:dyDescent="0.25">
      <c r="A69" s="482">
        <v>2118</v>
      </c>
      <c r="B69" s="483" t="s">
        <v>754</v>
      </c>
      <c r="C69" s="59" t="s">
        <v>252</v>
      </c>
      <c r="D69" s="59" t="s">
        <v>181</v>
      </c>
    </row>
    <row r="70" spans="1:4" x14ac:dyDescent="0.25">
      <c r="A70" s="58">
        <v>1064</v>
      </c>
      <c r="B70" s="96" t="s">
        <v>583</v>
      </c>
      <c r="C70" s="129" t="s">
        <v>219</v>
      </c>
      <c r="D70" s="59" t="s">
        <v>183</v>
      </c>
    </row>
    <row r="71" spans="1:4" x14ac:dyDescent="0.25">
      <c r="A71" s="58"/>
      <c r="B71" s="500" t="s">
        <v>770</v>
      </c>
      <c r="C71" s="501" t="s">
        <v>215</v>
      </c>
      <c r="D71" s="453" t="s">
        <v>161</v>
      </c>
    </row>
    <row r="72" spans="1:4" x14ac:dyDescent="0.25">
      <c r="A72" s="58">
        <v>925</v>
      </c>
      <c r="B72" s="119" t="s">
        <v>647</v>
      </c>
      <c r="C72" s="488" t="s">
        <v>196</v>
      </c>
      <c r="D72" s="59" t="s">
        <v>260</v>
      </c>
    </row>
    <row r="73" spans="1:4" x14ac:dyDescent="0.25">
      <c r="A73" s="58">
        <v>898</v>
      </c>
      <c r="B73" s="126" t="s">
        <v>256</v>
      </c>
      <c r="C73" s="124" t="s">
        <v>663</v>
      </c>
      <c r="D73" s="108" t="s">
        <v>227</v>
      </c>
    </row>
    <row r="74" spans="1:4" x14ac:dyDescent="0.25">
      <c r="A74" s="58">
        <v>1033</v>
      </c>
      <c r="B74" s="119" t="s">
        <v>648</v>
      </c>
      <c r="C74" s="59" t="s">
        <v>193</v>
      </c>
      <c r="D74" s="59" t="s">
        <v>260</v>
      </c>
    </row>
    <row r="75" spans="1:4" s="434" customFormat="1" x14ac:dyDescent="0.25">
      <c r="A75" s="58">
        <v>1719</v>
      </c>
      <c r="B75" s="123" t="s">
        <v>664</v>
      </c>
      <c r="C75" s="124" t="s">
        <v>199</v>
      </c>
      <c r="D75" s="59" t="s">
        <v>181</v>
      </c>
    </row>
    <row r="76" spans="1:4" s="430" customFormat="1" x14ac:dyDescent="0.25">
      <c r="A76" s="410">
        <v>797</v>
      </c>
      <c r="B76" s="411" t="s">
        <v>231</v>
      </c>
      <c r="C76" s="412" t="s">
        <v>225</v>
      </c>
      <c r="D76" s="384" t="s">
        <v>559</v>
      </c>
    </row>
    <row r="77" spans="1:4" s="357" customFormat="1" x14ac:dyDescent="0.25">
      <c r="A77" s="403">
        <v>610</v>
      </c>
      <c r="B77" s="455" t="s">
        <v>746</v>
      </c>
      <c r="C77" s="106" t="s">
        <v>629</v>
      </c>
      <c r="D77" s="456" t="s">
        <v>267</v>
      </c>
    </row>
    <row r="78" spans="1:4" x14ac:dyDescent="0.25">
      <c r="A78" s="58">
        <v>1927</v>
      </c>
      <c r="B78" s="415" t="s">
        <v>722</v>
      </c>
      <c r="C78" s="416" t="s">
        <v>621</v>
      </c>
      <c r="D78" s="416" t="s">
        <v>227</v>
      </c>
    </row>
    <row r="79" spans="1:4" x14ac:dyDescent="0.25">
      <c r="A79" s="58">
        <v>1298</v>
      </c>
      <c r="B79" s="399" t="s">
        <v>714</v>
      </c>
      <c r="C79" s="106" t="s">
        <v>623</v>
      </c>
      <c r="D79" s="59" t="s">
        <v>183</v>
      </c>
    </row>
    <row r="80" spans="1:4" s="107" customFormat="1" x14ac:dyDescent="0.25">
      <c r="A80" s="58">
        <v>2094</v>
      </c>
      <c r="B80" s="475" t="s">
        <v>751</v>
      </c>
      <c r="C80" s="474" t="s">
        <v>580</v>
      </c>
      <c r="D80" s="474" t="s">
        <v>227</v>
      </c>
    </row>
    <row r="81" spans="1:4" s="107" customFormat="1" x14ac:dyDescent="0.25">
      <c r="A81" s="58">
        <v>846</v>
      </c>
      <c r="B81" s="98" t="s">
        <v>587</v>
      </c>
      <c r="C81" s="99" t="s">
        <v>213</v>
      </c>
      <c r="D81" s="99" t="s">
        <v>253</v>
      </c>
    </row>
    <row r="82" spans="1:4" s="381" customFormat="1" x14ac:dyDescent="0.25">
      <c r="A82" s="102">
        <v>1375</v>
      </c>
      <c r="B82" s="103" t="s">
        <v>589</v>
      </c>
      <c r="C82" s="106" t="s">
        <v>214</v>
      </c>
      <c r="D82" s="106" t="s">
        <v>181</v>
      </c>
    </row>
    <row r="83" spans="1:4" s="107" customFormat="1" x14ac:dyDescent="0.25">
      <c r="A83" s="58">
        <v>1521</v>
      </c>
      <c r="B83" s="115" t="s">
        <v>631</v>
      </c>
      <c r="C83" s="456" t="s">
        <v>577</v>
      </c>
      <c r="D83" s="456" t="s">
        <v>227</v>
      </c>
    </row>
    <row r="84" spans="1:4" s="107" customFormat="1" x14ac:dyDescent="0.25">
      <c r="A84" s="58">
        <v>203</v>
      </c>
      <c r="B84" s="101" t="s">
        <v>271</v>
      </c>
      <c r="C84" s="58" t="s">
        <v>671</v>
      </c>
      <c r="D84" s="58" t="s">
        <v>267</v>
      </c>
    </row>
    <row r="85" spans="1:4" s="381" customFormat="1" x14ac:dyDescent="0.25">
      <c r="A85" s="58">
        <v>2081</v>
      </c>
      <c r="B85" s="103" t="s">
        <v>744</v>
      </c>
      <c r="C85" s="453" t="s">
        <v>745</v>
      </c>
      <c r="D85" s="453" t="s">
        <v>161</v>
      </c>
    </row>
    <row r="86" spans="1:4" s="107" customFormat="1" x14ac:dyDescent="0.25">
      <c r="A86" s="392">
        <v>1591</v>
      </c>
      <c r="B86" s="396" t="s">
        <v>712</v>
      </c>
      <c r="C86" s="397" t="s">
        <v>207</v>
      </c>
      <c r="D86" s="397" t="s">
        <v>188</v>
      </c>
    </row>
    <row r="87" spans="1:4" s="356" customFormat="1" x14ac:dyDescent="0.25">
      <c r="A87" s="58">
        <v>788</v>
      </c>
      <c r="B87" s="60" t="s">
        <v>264</v>
      </c>
      <c r="C87" s="114" t="s">
        <v>629</v>
      </c>
      <c r="D87" s="59" t="s">
        <v>260</v>
      </c>
    </row>
    <row r="88" spans="1:4" x14ac:dyDescent="0.25">
      <c r="A88" s="58">
        <v>1655</v>
      </c>
      <c r="B88" s="120" t="s">
        <v>652</v>
      </c>
      <c r="C88" s="129" t="s">
        <v>666</v>
      </c>
      <c r="D88" s="121" t="s">
        <v>181</v>
      </c>
    </row>
    <row r="89" spans="1:4" s="356" customFormat="1" x14ac:dyDescent="0.25">
      <c r="A89" s="58"/>
      <c r="B89" s="500" t="s">
        <v>769</v>
      </c>
      <c r="C89" s="501" t="s">
        <v>215</v>
      </c>
      <c r="D89" s="453" t="s">
        <v>161</v>
      </c>
    </row>
    <row r="90" spans="1:4" s="356" customFormat="1" x14ac:dyDescent="0.25">
      <c r="A90" s="58">
        <v>1716</v>
      </c>
      <c r="B90" s="103" t="s">
        <v>718</v>
      </c>
      <c r="C90" s="402" t="s">
        <v>610</v>
      </c>
      <c r="D90" s="118" t="s">
        <v>180</v>
      </c>
    </row>
    <row r="91" spans="1:4" x14ac:dyDescent="0.25">
      <c r="A91" s="490">
        <v>2144</v>
      </c>
      <c r="B91" s="491" t="s">
        <v>762</v>
      </c>
      <c r="C91" s="492" t="s">
        <v>198</v>
      </c>
      <c r="D91" s="492" t="s">
        <v>227</v>
      </c>
    </row>
    <row r="92" spans="1:4" x14ac:dyDescent="0.25">
      <c r="A92" s="58">
        <v>1672</v>
      </c>
      <c r="B92" s="119" t="s">
        <v>645</v>
      </c>
      <c r="C92" s="114" t="s">
        <v>624</v>
      </c>
      <c r="D92" s="59" t="s">
        <v>259</v>
      </c>
    </row>
    <row r="93" spans="1:4" x14ac:dyDescent="0.25">
      <c r="A93" s="58">
        <v>514</v>
      </c>
      <c r="B93" s="60" t="s">
        <v>265</v>
      </c>
      <c r="C93" s="114" t="s">
        <v>196</v>
      </c>
      <c r="D93" s="59" t="s">
        <v>260</v>
      </c>
    </row>
    <row r="94" spans="1:4" x14ac:dyDescent="0.25">
      <c r="A94" s="58">
        <v>1761</v>
      </c>
      <c r="B94" s="128" t="s">
        <v>669</v>
      </c>
      <c r="C94" s="384" t="s">
        <v>752</v>
      </c>
      <c r="D94" s="108" t="s">
        <v>227</v>
      </c>
    </row>
    <row r="95" spans="1:4" x14ac:dyDescent="0.25">
      <c r="A95" s="58">
        <v>1590</v>
      </c>
      <c r="B95" s="117" t="s">
        <v>636</v>
      </c>
      <c r="C95" s="118" t="s">
        <v>221</v>
      </c>
      <c r="D95" s="129" t="s">
        <v>189</v>
      </c>
    </row>
    <row r="96" spans="1:4" x14ac:dyDescent="0.25">
      <c r="A96" s="382">
        <v>489</v>
      </c>
      <c r="B96" s="383" t="s">
        <v>233</v>
      </c>
      <c r="C96" s="384" t="s">
        <v>674</v>
      </c>
      <c r="D96" s="384" t="s">
        <v>559</v>
      </c>
    </row>
    <row r="97" spans="1:4" s="493" customFormat="1" x14ac:dyDescent="0.25">
      <c r="A97" s="382">
        <v>437</v>
      </c>
      <c r="B97" s="383" t="s">
        <v>641</v>
      </c>
      <c r="C97" s="384" t="s">
        <v>674</v>
      </c>
      <c r="D97" s="384" t="s">
        <v>559</v>
      </c>
    </row>
    <row r="98" spans="1:4" x14ac:dyDescent="0.25">
      <c r="A98" s="58">
        <v>515</v>
      </c>
      <c r="B98" s="60" t="s">
        <v>241</v>
      </c>
      <c r="C98" s="451" t="s">
        <v>739</v>
      </c>
      <c r="D98" s="59" t="s">
        <v>227</v>
      </c>
    </row>
    <row r="99" spans="1:4" s="357" customFormat="1" x14ac:dyDescent="0.25">
      <c r="A99" s="482">
        <v>2159</v>
      </c>
      <c r="B99" s="500" t="s">
        <v>767</v>
      </c>
      <c r="C99" s="501" t="s">
        <v>252</v>
      </c>
      <c r="D99" s="59" t="s">
        <v>181</v>
      </c>
    </row>
    <row r="100" spans="1:4" s="356" customFormat="1" x14ac:dyDescent="0.25">
      <c r="A100" s="58">
        <v>303</v>
      </c>
      <c r="B100" s="60" t="s">
        <v>246</v>
      </c>
      <c r="C100" s="59" t="s">
        <v>214</v>
      </c>
      <c r="D100" s="59" t="s">
        <v>181</v>
      </c>
    </row>
    <row r="101" spans="1:4" s="420" customFormat="1" x14ac:dyDescent="0.25">
      <c r="A101" s="58">
        <v>1593</v>
      </c>
      <c r="B101" s="117" t="s">
        <v>637</v>
      </c>
      <c r="C101" s="294" t="s">
        <v>642</v>
      </c>
      <c r="D101" s="59" t="s">
        <v>260</v>
      </c>
    </row>
    <row r="102" spans="1:4" s="385" customFormat="1" x14ac:dyDescent="0.25">
      <c r="A102" s="58">
        <v>231</v>
      </c>
      <c r="B102" s="362" t="s">
        <v>677</v>
      </c>
      <c r="C102" s="59" t="s">
        <v>193</v>
      </c>
      <c r="D102" s="59" t="s">
        <v>260</v>
      </c>
    </row>
    <row r="103" spans="1:4" s="357" customFormat="1" x14ac:dyDescent="0.25">
      <c r="A103" s="58">
        <v>135</v>
      </c>
      <c r="B103" s="103" t="s">
        <v>249</v>
      </c>
      <c r="C103" s="106" t="s">
        <v>197</v>
      </c>
      <c r="D103" s="106" t="s">
        <v>188</v>
      </c>
    </row>
    <row r="104" spans="1:4" x14ac:dyDescent="0.25">
      <c r="A104" s="499">
        <v>1133</v>
      </c>
      <c r="B104" s="500" t="s">
        <v>600</v>
      </c>
      <c r="C104" s="501" t="s">
        <v>213</v>
      </c>
      <c r="D104" s="501" t="s">
        <v>253</v>
      </c>
    </row>
    <row r="105" spans="1:4" s="356" customFormat="1" x14ac:dyDescent="0.25">
      <c r="A105" s="382"/>
      <c r="B105" s="383" t="s">
        <v>765</v>
      </c>
      <c r="C105" s="384" t="s">
        <v>163</v>
      </c>
      <c r="D105" s="384" t="s">
        <v>227</v>
      </c>
    </row>
    <row r="106" spans="1:4" s="408" customFormat="1" x14ac:dyDescent="0.25">
      <c r="A106" s="58">
        <v>328</v>
      </c>
      <c r="B106" s="441" t="s">
        <v>228</v>
      </c>
      <c r="C106" s="384" t="s">
        <v>752</v>
      </c>
      <c r="D106" s="108" t="s">
        <v>227</v>
      </c>
    </row>
    <row r="107" spans="1:4" x14ac:dyDescent="0.25">
      <c r="A107" s="58">
        <v>1721</v>
      </c>
      <c r="B107" s="426" t="s">
        <v>728</v>
      </c>
      <c r="C107" s="109" t="s">
        <v>610</v>
      </c>
      <c r="D107" s="425" t="s">
        <v>179</v>
      </c>
    </row>
    <row r="108" spans="1:4" x14ac:dyDescent="0.25">
      <c r="A108" s="58">
        <v>1673</v>
      </c>
      <c r="B108" s="119" t="s">
        <v>646</v>
      </c>
      <c r="C108" s="114" t="s">
        <v>624</v>
      </c>
      <c r="D108" s="125" t="s">
        <v>259</v>
      </c>
    </row>
    <row r="109" spans="1:4" x14ac:dyDescent="0.25">
      <c r="A109" s="58">
        <v>1900</v>
      </c>
      <c r="B109" s="103" t="s">
        <v>708</v>
      </c>
      <c r="C109" s="106" t="s">
        <v>200</v>
      </c>
      <c r="D109" s="106" t="s">
        <v>183</v>
      </c>
    </row>
    <row r="110" spans="1:4" x14ac:dyDescent="0.25">
      <c r="A110" s="58">
        <v>1913</v>
      </c>
      <c r="B110" s="394" t="s">
        <v>711</v>
      </c>
      <c r="C110" s="395" t="s">
        <v>252</v>
      </c>
      <c r="D110" s="395" t="s">
        <v>181</v>
      </c>
    </row>
    <row r="111" spans="1:4" x14ac:dyDescent="0.25">
      <c r="A111" s="102">
        <v>1609</v>
      </c>
      <c r="B111" s="103" t="s">
        <v>741</v>
      </c>
      <c r="C111" s="451" t="s">
        <v>610</v>
      </c>
      <c r="D111" s="451" t="s">
        <v>185</v>
      </c>
    </row>
    <row r="112" spans="1:4" x14ac:dyDescent="0.25">
      <c r="A112" s="417">
        <v>1479</v>
      </c>
      <c r="B112" s="418" t="s">
        <v>725</v>
      </c>
      <c r="C112" s="419" t="s">
        <v>666</v>
      </c>
      <c r="D112" s="419" t="s">
        <v>181</v>
      </c>
    </row>
    <row r="113" spans="1:4" x14ac:dyDescent="0.25">
      <c r="A113" s="102">
        <v>267</v>
      </c>
      <c r="B113" s="103" t="s">
        <v>606</v>
      </c>
      <c r="C113" s="106" t="s">
        <v>193</v>
      </c>
      <c r="D113" s="106" t="s">
        <v>267</v>
      </c>
    </row>
    <row r="114" spans="1:4" s="357" customFormat="1" x14ac:dyDescent="0.25">
      <c r="A114" s="58">
        <v>825</v>
      </c>
      <c r="B114" s="441" t="s">
        <v>243</v>
      </c>
      <c r="C114" s="110" t="s">
        <v>194</v>
      </c>
      <c r="D114" s="108" t="s">
        <v>227</v>
      </c>
    </row>
    <row r="115" spans="1:4" x14ac:dyDescent="0.25">
      <c r="A115" s="58">
        <v>298</v>
      </c>
      <c r="B115" s="60" t="s">
        <v>250</v>
      </c>
      <c r="C115" s="294" t="s">
        <v>666</v>
      </c>
      <c r="D115" s="59" t="s">
        <v>181</v>
      </c>
    </row>
    <row r="116" spans="1:4" x14ac:dyDescent="0.25">
      <c r="A116" s="58"/>
      <c r="B116" s="60"/>
      <c r="C116" s="114"/>
      <c r="D116" s="59"/>
    </row>
    <row r="117" spans="1:4" x14ac:dyDescent="0.25">
      <c r="A117" s="58"/>
      <c r="B117" s="360"/>
      <c r="C117" s="109"/>
      <c r="D117" s="114"/>
    </row>
    <row r="340" ht="0.75" customHeight="1" x14ac:dyDescent="0.25"/>
  </sheetData>
  <sheetProtection algorithmName="SHA-512" hashValue="edQI9KACQIh2FdxSL69pg6OeugXtrWpl4tRcFNXVR21mg+a/rtVndK8VcUQxbmOXk1j7qU/AikgSQLqVgOhkew==" saltValue="bjEY9uJV/G7rPSwkzdE5hg==" spinCount="100000" sheet="1" objects="1" scenarios="1"/>
  <autoFilter ref="A1:D117" xr:uid="{00000000-0009-0000-0000-000006000000}">
    <sortState xmlns:xlrd2="http://schemas.microsoft.com/office/spreadsheetml/2017/richdata2" ref="A2:D117">
      <sortCondition ref="B1:B117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4</vt:i4>
      </vt:variant>
    </vt:vector>
  </HeadingPairs>
  <TitlesOfParts>
    <vt:vector size="11" baseType="lpstr">
      <vt:lpstr>Kompetencje</vt:lpstr>
      <vt:lpstr>Matrix min. Kompetencji</vt:lpstr>
      <vt:lpstr>Dzial Matrix AND Diff</vt:lpstr>
      <vt:lpstr>Słownik matrycy komp.</vt:lpstr>
      <vt:lpstr>Kompetencje wyj.</vt:lpstr>
      <vt:lpstr>Tabelle1</vt:lpstr>
      <vt:lpstr>Pracownicy</vt:lpstr>
      <vt:lpstr>'Dzial Matrix AND Diff'!Obszar_wydruku</vt:lpstr>
      <vt:lpstr>rng_Dzial</vt:lpstr>
      <vt:lpstr>rng_Stanow</vt:lpstr>
      <vt:lpstr>rng_Vorges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Kornelia Kodz</cp:lastModifiedBy>
  <cp:lastPrinted>2025-04-24T11:31:23Z</cp:lastPrinted>
  <dcterms:created xsi:type="dcterms:W3CDTF">2020-04-13T07:32:53Z</dcterms:created>
  <dcterms:modified xsi:type="dcterms:W3CDTF">2026-02-10T12:55:01Z</dcterms:modified>
</cp:coreProperties>
</file>